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L:\2023 Illustrative Financial Statements\Dogwood\3 Dogwood to be published\"/>
    </mc:Choice>
  </mc:AlternateContent>
  <xr:revisionPtr revIDLastSave="0" documentId="13_ncr:1_{1B85EE30-EBA9-4056-9EDC-C0FD6D7AD15C}" xr6:coauthVersionLast="47" xr6:coauthVersionMax="47" xr10:uidLastSave="{00000000-0000-0000-0000-000000000000}"/>
  <bookViews>
    <workbookView xWindow="-108" yWindow="-108" windowWidth="23256" windowHeight="12576" xr2:uid="{F0CCA77B-FAA8-4023-9940-70BE64140258}"/>
  </bookViews>
  <sheets>
    <sheet name="1-GWNetPos" sheetId="48" r:id="rId1"/>
    <sheet name="2-GWStmtAct" sheetId="49" r:id="rId2"/>
    <sheet name="3-GASB34GovtFundsBS" sheetId="50" r:id="rId3"/>
    <sheet name="4-GASB34GovtFundsIS" sheetId="51" r:id="rId4"/>
    <sheet name="4-Recon Change Net Pos" sheetId="52" r:id="rId5"/>
    <sheet name="5-GASB34GovtFundsBudget" sheetId="6" r:id="rId6"/>
    <sheet name="6-Net Pos-Prop" sheetId="53" r:id="rId7"/>
    <sheet name="7-Rev, Exp-Prop" sheetId="54" r:id="rId8"/>
    <sheet name="8-Cash Flow-Prop" sheetId="55" r:id="rId9"/>
    <sheet name="RSI-SSA2" sheetId="11" state="hidden" r:id="rId10"/>
    <sheet name="RSI - LGERS2" sheetId="41" r:id="rId11"/>
    <sheet name="RSI - SF1" sheetId="34" r:id="rId12"/>
    <sheet name="RSI - LGERS1" sheetId="39" r:id="rId13"/>
    <sheet name="RSI - LEO 1" sheetId="56" r:id="rId14"/>
    <sheet name="RSI - LEO 2" sheetId="57" r:id="rId15"/>
    <sheet name="RSI - OPEB 1" sheetId="59" r:id="rId16"/>
    <sheet name="GFBud-Act" sheetId="13" r:id="rId17"/>
    <sheet name="Bud-Act Econ Dev in GF" sheetId="14" r:id="rId18"/>
    <sheet name="911-Fund" sheetId="30" r:id="rId19"/>
    <sheet name="Comb BS-Nonmajor Govt" sheetId="15" r:id="rId20"/>
    <sheet name="Comb IS-Nonmajor Govt" sheetId="16" r:id="rId21"/>
    <sheet name="Bud-ActNon-MajorGovt" sheetId="17" r:id="rId22"/>
    <sheet name="SRFNon-Major Fines &amp; Forfeiture" sheetId="60" r:id="rId23"/>
    <sheet name="CPBud-Act" sheetId="18" r:id="rId24"/>
    <sheet name="ElecFd-Bud-Act" sheetId="19" r:id="rId25"/>
    <sheet name="ElecStabFdBud-Act" sheetId="20" r:id="rId26"/>
    <sheet name="W&amp;SBud-Act" sheetId="21" r:id="rId27"/>
    <sheet name="W&amp;SCPBud-Act" sheetId="22" r:id="rId28"/>
    <sheet name="ISB-A" sheetId="23" r:id="rId29"/>
    <sheet name="TaxesRec" sheetId="43" r:id="rId30"/>
    <sheet name="AnalysisTaxLevy" sheetId="44" r:id="rId31"/>
    <sheet name="USDA-WSF SNP" sheetId="27" r:id="rId32"/>
    <sheet name="USDA-WSF SOA" sheetId="28" r:id="rId33"/>
    <sheet name="USDA-WSF SCF" sheetId="29" r:id="rId34"/>
    <sheet name="Major Fund Det" sheetId="31" r:id="rId35"/>
  </sheets>
  <externalReferences>
    <externalReference r:id="rId36"/>
    <externalReference r:id="rId37"/>
  </externalReferences>
  <definedNames>
    <definedName name="_Fill" localSheetId="15" hidden="1">#REF!</definedName>
    <definedName name="_Fill" hidden="1">#REF!</definedName>
    <definedName name="_xlnm.Print_Area" localSheetId="0">'1-GWNetPos'!$B$2:$F$82</definedName>
    <definedName name="_xlnm.Print_Area" localSheetId="1">'2-GWStmtAct'!$A$1:$I$48</definedName>
    <definedName name="_xlnm.Print_Area" localSheetId="2">'3-GASB34GovtFundsBS'!$B$2:$G$104</definedName>
    <definedName name="_xlnm.Print_Area" localSheetId="3">'4-GASB34GovtFundsIS'!$B$2:$G$59</definedName>
    <definedName name="_xlnm.Print_Area" localSheetId="4">'4-Recon Change Net Pos'!$B$2:$G$51</definedName>
    <definedName name="_xlnm.Print_Area" localSheetId="5">'5-GASB34GovtFundsBudget'!$B$1:$O$61</definedName>
    <definedName name="_xlnm.Print_Area" localSheetId="6">'6-Net Pos-Prop'!$A$1:$E$86</definedName>
    <definedName name="_xlnm.Print_Area" localSheetId="7">'7-Rev, Exp-Prop'!$B$2:$F$61</definedName>
    <definedName name="_xlnm.Print_Area" localSheetId="8">'8-Cash Flow-Prop'!$B$2:$I$85</definedName>
    <definedName name="_xlnm.Print_Area" localSheetId="18">'911-Fund'!$B$2:$L$54</definedName>
    <definedName name="_xlnm.Print_Area" localSheetId="30">AnalysisTaxLevy!$B$2:$Q$52</definedName>
    <definedName name="_xlnm.Print_Area" localSheetId="17">'Bud-Act Econ Dev in GF'!$B$2:$E$33</definedName>
    <definedName name="_xlnm.Print_Area" localSheetId="21">'Bud-ActNon-MajorGovt'!$A$1:$S$43</definedName>
    <definedName name="_xlnm.Print_Area" localSheetId="19">'Comb BS-Nonmajor Govt'!$B$1:$F$50</definedName>
    <definedName name="_xlnm.Print_Area" localSheetId="20">'Comb IS-Nonmajor Govt'!$B$2:$F$48</definedName>
    <definedName name="_xlnm.Print_Area" localSheetId="23">'CPBud-Act'!$A$1:$O$56</definedName>
    <definedName name="_xlnm.Print_Area" localSheetId="24">'ElecFd-Bud-Act'!$B$2:$K$97</definedName>
    <definedName name="_xlnm.Print_Area" localSheetId="25">'ElecStabFdBud-Act'!$B$2:$R$33</definedName>
    <definedName name="_xlnm.Print_Area" localSheetId="16">'GFBud-Act'!$B$2:$K$222</definedName>
    <definedName name="_xlnm.Print_Area" localSheetId="28">'ISB-A'!$B$2:$J$50</definedName>
    <definedName name="_xlnm.Print_Area" localSheetId="34">'Major Fund Det'!$A$1:$O$38</definedName>
    <definedName name="_xlnm.Print_Area" localSheetId="13">'RSI - LEO 1'!$B$2:$G$22</definedName>
    <definedName name="_xlnm.Print_Area" localSheetId="14">'RSI - LEO 2'!$B$2:$G$17</definedName>
    <definedName name="_xlnm.Print_Area" localSheetId="12">'RSI - LGERS1'!$B$2:$AH$33</definedName>
    <definedName name="_xlnm.Print_Area" localSheetId="10">'RSI - LGERS2'!$B$2:$AG$22</definedName>
    <definedName name="_xlnm.Print_Area" localSheetId="15">'RSI - OPEB 1'!$B$2:$I$35</definedName>
    <definedName name="_xlnm.Print_Area" localSheetId="11">'RSI - SF1'!$B$2:$I$26</definedName>
    <definedName name="_xlnm.Print_Area" localSheetId="9">'RSI-SSA2'!$A$1:$N$47</definedName>
    <definedName name="_xlnm.Print_Area" localSheetId="29">TaxesRec!$B$2:$N$48</definedName>
    <definedName name="_xlnm.Print_Area" localSheetId="33">'USDA-WSF SCF'!$B$1:$H$74</definedName>
    <definedName name="_xlnm.Print_Area" localSheetId="31">'USDA-WSF SNP'!$B$2:$E$78</definedName>
    <definedName name="_xlnm.Print_Area" localSheetId="32">'USDA-WSF SOA'!$B$1:$F$51</definedName>
    <definedName name="_xlnm.Print_Area" localSheetId="26">'W&amp;SBud-Act'!$B$2:$M$175</definedName>
    <definedName name="_xlnm.Print_Area" localSheetId="27">'W&amp;SCPBud-Act'!$B$2:$O$52</definedName>
    <definedName name="_xlnm.Print_Titles" localSheetId="24">'ElecFd-Bud-Act'!$2:$6</definedName>
    <definedName name="_xlnm.Print_Titles" localSheetId="16">'GFBud-Act'!$2:$6</definedName>
    <definedName name="_xlnm.Print_Titles" localSheetId="26">'W&amp;SBud-Act'!$2:$6</definedName>
    <definedName name="Z_AB48C5D7_99F4_4378_A0F9_05018B348977_.wvu.PrintArea" localSheetId="18" hidden="1">'911-Fund'!$B$2:$L$43</definedName>
    <definedName name="Z_AB48C5D7_99F4_4378_A0F9_05018B348977_.wvu.PrintArea" localSheetId="30" hidden="1">AnalysisTaxLevy!$B$2:$Q$54</definedName>
    <definedName name="Z_AB48C5D7_99F4_4378_A0F9_05018B348977_.wvu.PrintArea" localSheetId="19" hidden="1">'Comb BS-Nonmajor Govt'!$B$1:$H$50</definedName>
    <definedName name="Z_AB48C5D7_99F4_4378_A0F9_05018B348977_.wvu.PrintArea" localSheetId="20" hidden="1">'Comb IS-Nonmajor Govt'!$B$2:$I$49</definedName>
    <definedName name="Z_AB48C5D7_99F4_4378_A0F9_05018B348977_.wvu.PrintArea" localSheetId="16" hidden="1">'GFBud-Act'!$B$2:$K$222</definedName>
    <definedName name="Z_AB48C5D7_99F4_4378_A0F9_05018B348977_.wvu.PrintArea" localSheetId="34" hidden="1">'Major Fund Det'!$A$1:$O$38</definedName>
    <definedName name="Z_AB48C5D7_99F4_4378_A0F9_05018B348977_.wvu.PrintArea" localSheetId="9" hidden="1">'RSI-SSA2'!$A$1:$O$47</definedName>
    <definedName name="Z_AB48C5D7_99F4_4378_A0F9_05018B348977_.wvu.PrintArea" localSheetId="29" hidden="1">TaxesRec!$B$2:$P$57</definedName>
    <definedName name="Z_AB48C5D7_99F4_4378_A0F9_05018B348977_.wvu.PrintArea" localSheetId="33" hidden="1">'USDA-WSF SCF'!$B$1:$H$79</definedName>
    <definedName name="Z_AB48C5D7_99F4_4378_A0F9_05018B348977_.wvu.PrintArea" localSheetId="31" hidden="1">'USDA-WSF SNP'!$B$2:$E$84</definedName>
    <definedName name="Z_AB48C5D7_99F4_4378_A0F9_05018B348977_.wvu.PrintArea" localSheetId="32" hidden="1">'USDA-WSF SOA'!$B$1:$G$53</definedName>
    <definedName name="Z_AB48C5D7_99F4_4378_A0F9_05018B348977_.wvu.PrintArea" localSheetId="27" hidden="1">'W&amp;SCPBud-Act'!$B$2:$O$66</definedName>
    <definedName name="Z_AB48C5D7_99F4_4378_A0F9_05018B348977_.wvu.PrintTitles" localSheetId="5" hidden="1">'5-GASB34GovtFundsBudget'!$1:$6</definedName>
    <definedName name="Z_AB48C5D7_99F4_4378_A0F9_05018B348977_.wvu.PrintTitles" localSheetId="24" hidden="1">'ElecFd-Bud-Act'!$2:$6</definedName>
    <definedName name="Z_AB48C5D7_99F4_4378_A0F9_05018B348977_.wvu.PrintTitles" localSheetId="16" hidden="1">'GFBud-Act'!$2:$6</definedName>
    <definedName name="Z_AB48C5D7_99F4_4378_A0F9_05018B348977_.wvu.PrintTitles" localSheetId="33" hidden="1">'USDA-WSF SCF'!$1:$8</definedName>
    <definedName name="Z_AB48C5D7_99F4_4378_A0F9_05018B348977_.wvu.PrintTitles" localSheetId="26" hidden="1">'W&amp;SBud-Act'!$2:$6</definedName>
  </definedNames>
  <calcPr calcId="191029"/>
  <customWorkbookViews>
    <customWorkbookView name="Preeta Nayak - Personal View" guid="{AB48C5D7-99F4-4378-A0F9-05018B348977}" mergeInterval="0" personalView="1" maximized="1" windowWidth="1280" windowHeight="755" tabRatio="863" activeSheetId="2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3" i="48" l="1"/>
  <c r="C72" i="48"/>
  <c r="C71" i="48"/>
  <c r="C70" i="48"/>
  <c r="G44" i="52" l="1"/>
  <c r="C47" i="48" l="1"/>
  <c r="C44" i="48"/>
  <c r="C43" i="48"/>
  <c r="D16" i="49"/>
  <c r="D15" i="49"/>
  <c r="D14" i="49"/>
  <c r="E13" i="49"/>
  <c r="D13" i="49"/>
  <c r="D12" i="49"/>
  <c r="E11" i="49"/>
  <c r="E16" i="49"/>
  <c r="E15" i="49"/>
  <c r="E14" i="49"/>
  <c r="E12" i="49"/>
  <c r="D11" i="49"/>
  <c r="C16" i="49"/>
  <c r="C15" i="49"/>
  <c r="C14" i="49"/>
  <c r="C13" i="49"/>
  <c r="C12" i="49"/>
  <c r="C11" i="49"/>
  <c r="F42" i="49"/>
  <c r="F44" i="49" s="1"/>
  <c r="B17" i="49"/>
  <c r="B16" i="49"/>
  <c r="B15" i="49"/>
  <c r="B14" i="49"/>
  <c r="B13" i="49"/>
  <c r="B12" i="49"/>
  <c r="B11" i="49"/>
  <c r="B23" i="49" l="1"/>
  <c r="D46" i="54"/>
  <c r="C46" i="54"/>
  <c r="B34" i="53"/>
  <c r="B36" i="53" s="1"/>
  <c r="B73" i="53" s="1"/>
  <c r="D37" i="48"/>
  <c r="C71" i="53" l="1"/>
  <c r="E10" i="29" l="1"/>
  <c r="C10" i="29"/>
  <c r="E12" i="29"/>
  <c r="C12" i="29"/>
  <c r="C60" i="29"/>
  <c r="C38" i="29"/>
  <c r="G31" i="29"/>
  <c r="E41" i="27"/>
  <c r="E39" i="27"/>
  <c r="C38" i="27"/>
  <c r="C24" i="27"/>
  <c r="C26" i="27" s="1"/>
  <c r="D26" i="27"/>
  <c r="E25" i="27"/>
  <c r="J159" i="21"/>
  <c r="E42" i="28"/>
  <c r="E41" i="28"/>
  <c r="D41" i="28"/>
  <c r="C41" i="28"/>
  <c r="D9" i="28"/>
  <c r="C9" i="28"/>
  <c r="J13" i="21"/>
  <c r="J19" i="21"/>
  <c r="J31" i="21"/>
  <c r="C23" i="51"/>
  <c r="F46" i="54" l="1"/>
  <c r="F24" i="54"/>
  <c r="E23" i="54"/>
  <c r="D43" i="48"/>
  <c r="D32" i="54"/>
  <c r="F36" i="52"/>
  <c r="F18" i="52"/>
  <c r="F32" i="52"/>
  <c r="F37" i="52"/>
  <c r="F38" i="52"/>
  <c r="F34" i="52"/>
  <c r="F22" i="52"/>
  <c r="F21" i="52"/>
  <c r="F93" i="50"/>
  <c r="F94" i="50"/>
  <c r="F92" i="50"/>
  <c r="G96" i="50"/>
  <c r="G95" i="50"/>
  <c r="G85" i="50"/>
  <c r="G84" i="50"/>
  <c r="F91" i="50"/>
  <c r="B21" i="49" l="1"/>
  <c r="B22" i="49"/>
  <c r="E36" i="53"/>
  <c r="C38" i="51" l="1"/>
  <c r="C17" i="51"/>
  <c r="H37" i="6"/>
  <c r="C11" i="51"/>
  <c r="I106" i="13"/>
  <c r="K139" i="13"/>
  <c r="N27" i="44" l="1"/>
  <c r="I13" i="13"/>
  <c r="F22" i="6"/>
  <c r="N14" i="44"/>
  <c r="P14" i="44"/>
  <c r="L14" i="44"/>
  <c r="F14" i="44"/>
  <c r="C42" i="51"/>
  <c r="C56" i="48" l="1"/>
  <c r="C48" i="48"/>
  <c r="D41" i="53" l="1"/>
  <c r="C40" i="53"/>
  <c r="E45" i="48"/>
  <c r="D43" i="53"/>
  <c r="G23" i="6"/>
  <c r="G191" i="13"/>
  <c r="F28" i="6"/>
  <c r="F29" i="6"/>
  <c r="G28" i="6"/>
  <c r="G59" i="13"/>
  <c r="G35" i="55"/>
  <c r="E76" i="55"/>
  <c r="D31" i="54"/>
  <c r="E42" i="55"/>
  <c r="C30" i="48" l="1"/>
  <c r="G21" i="49"/>
  <c r="C21" i="49" l="1"/>
  <c r="D27" i="53"/>
  <c r="C47" i="54"/>
  <c r="C26" i="53"/>
  <c r="C37" i="48" l="1"/>
  <c r="E46" i="54"/>
  <c r="G44" i="49" s="1"/>
  <c r="D36" i="48"/>
  <c r="C14" i="48" l="1"/>
  <c r="E30" i="48" l="1"/>
  <c r="C17" i="48" l="1"/>
  <c r="C18" i="48"/>
  <c r="C15" i="48"/>
  <c r="C12" i="48"/>
  <c r="C20" i="48" l="1"/>
  <c r="C22" i="48"/>
  <c r="C11" i="48"/>
  <c r="C13" i="48" l="1"/>
  <c r="C29" i="48" l="1"/>
  <c r="C28" i="48" l="1"/>
  <c r="C31" i="48" s="1"/>
  <c r="C19" i="48"/>
  <c r="G29" i="6" l="1"/>
  <c r="G190" i="13"/>
  <c r="C31" i="51"/>
  <c r="C30" i="51"/>
  <c r="C18" i="51" l="1"/>
  <c r="B28" i="31" l="1"/>
  <c r="E60" i="29"/>
  <c r="C51" i="29"/>
  <c r="C40" i="29"/>
  <c r="C30" i="29"/>
  <c r="C28" i="29"/>
  <c r="C27" i="28"/>
  <c r="C26" i="28"/>
  <c r="C29" i="28" s="1"/>
  <c r="E25" i="28"/>
  <c r="C19" i="28"/>
  <c r="C69" i="27"/>
  <c r="E65" i="27"/>
  <c r="E56" i="27"/>
  <c r="E43" i="27"/>
  <c r="E21" i="27"/>
  <c r="E13" i="27"/>
  <c r="E14" i="27"/>
  <c r="J160" i="21"/>
  <c r="J120" i="21"/>
  <c r="J30" i="21"/>
  <c r="J154" i="21" l="1"/>
  <c r="J167" i="21" l="1"/>
  <c r="G31" i="13"/>
  <c r="I209" i="13"/>
  <c r="K209" i="13" s="1"/>
  <c r="I75" i="13"/>
  <c r="I89" i="13"/>
  <c r="I52" i="13"/>
  <c r="I40" i="6"/>
  <c r="G42" i="51"/>
  <c r="C44" i="51"/>
  <c r="E32" i="55" l="1"/>
  <c r="E31" i="55"/>
  <c r="E66" i="55"/>
  <c r="E44" i="55"/>
  <c r="E34" i="55"/>
  <c r="AJ16" i="39" l="1"/>
  <c r="J16" i="34"/>
  <c r="J20" i="34" s="1"/>
  <c r="AJ18" i="41"/>
  <c r="S18" i="41"/>
  <c r="C25" i="53"/>
  <c r="C28" i="53" s="1"/>
  <c r="C11" i="53"/>
  <c r="D24" i="54"/>
  <c r="J121" i="21"/>
  <c r="J122" i="21" s="1"/>
  <c r="G121" i="21"/>
  <c r="G120" i="21"/>
  <c r="M120" i="21" s="1"/>
  <c r="G73" i="53"/>
  <c r="M30" i="21" l="1"/>
  <c r="D17" i="54" l="1"/>
  <c r="D15" i="53"/>
  <c r="D14" i="48" s="1"/>
  <c r="D67" i="53" l="1"/>
  <c r="D62" i="48" s="1"/>
  <c r="D34" i="54" l="1"/>
  <c r="D56" i="53"/>
  <c r="D45" i="53"/>
  <c r="D23" i="53"/>
  <c r="D26" i="48" s="1"/>
  <c r="D14" i="53"/>
  <c r="D16" i="48" s="1"/>
  <c r="E16" i="48" s="1"/>
  <c r="C21" i="50"/>
  <c r="G21" i="50"/>
  <c r="G16" i="50"/>
  <c r="E14" i="48"/>
  <c r="C26" i="48"/>
  <c r="C32" i="48" s="1"/>
  <c r="C27" i="50"/>
  <c r="C30" i="50" s="1"/>
  <c r="I116" i="13"/>
  <c r="C24" i="51"/>
  <c r="I218" i="13"/>
  <c r="I57" i="13"/>
  <c r="I210" i="13"/>
  <c r="K210" i="13" s="1"/>
  <c r="I50" i="13"/>
  <c r="K50" i="13" s="1"/>
  <c r="H16" i="6"/>
  <c r="H49" i="6"/>
  <c r="C47" i="51"/>
  <c r="G47" i="51" s="1"/>
  <c r="G18" i="51"/>
  <c r="C48" i="50"/>
  <c r="G48" i="50" s="1"/>
  <c r="F36" i="49"/>
  <c r="C16" i="51"/>
  <c r="F11" i="49"/>
  <c r="H11" i="49" s="1"/>
  <c r="F17" i="52"/>
  <c r="C50" i="51"/>
  <c r="G22" i="52"/>
  <c r="G83" i="50"/>
  <c r="F75" i="50"/>
  <c r="G11" i="50"/>
  <c r="G42" i="50"/>
  <c r="G34" i="50"/>
  <c r="E62" i="48"/>
  <c r="E73" i="48"/>
  <c r="I44" i="49"/>
  <c r="G49" i="50"/>
  <c r="K16" i="31"/>
  <c r="E16" i="31"/>
  <c r="F15" i="15"/>
  <c r="F14" i="15"/>
  <c r="F13" i="15"/>
  <c r="D26" i="15"/>
  <c r="E26" i="15"/>
  <c r="E34" i="15" s="1"/>
  <c r="C26" i="15"/>
  <c r="F24" i="15"/>
  <c r="D32" i="15"/>
  <c r="D34" i="15" s="1"/>
  <c r="E32" i="15"/>
  <c r="C32" i="15"/>
  <c r="C34" i="15" s="1"/>
  <c r="F30" i="15"/>
  <c r="D17" i="15"/>
  <c r="B16" i="31" s="1"/>
  <c r="D27" i="16"/>
  <c r="E27" i="16"/>
  <c r="C27" i="16"/>
  <c r="C28" i="16" s="1"/>
  <c r="F26" i="16"/>
  <c r="F27" i="16" s="1"/>
  <c r="F28" i="16" s="1"/>
  <c r="F13" i="16"/>
  <c r="F12" i="16"/>
  <c r="F11" i="16"/>
  <c r="F15" i="16" s="1"/>
  <c r="F23" i="16" s="1"/>
  <c r="D21" i="16"/>
  <c r="E21" i="16"/>
  <c r="C21" i="16"/>
  <c r="F18" i="16"/>
  <c r="F21" i="16"/>
  <c r="D15" i="16"/>
  <c r="H16" i="31" s="1"/>
  <c r="H28" i="60"/>
  <c r="H22" i="60"/>
  <c r="F22" i="60"/>
  <c r="J21" i="60"/>
  <c r="J22" i="60" s="1"/>
  <c r="H15" i="60"/>
  <c r="F15" i="60"/>
  <c r="F24" i="60" s="1"/>
  <c r="J14" i="60"/>
  <c r="J15" i="60" s="1"/>
  <c r="I16" i="59"/>
  <c r="I18" i="59" s="1"/>
  <c r="I21" i="59" s="1"/>
  <c r="G8" i="56"/>
  <c r="G15" i="56" s="1"/>
  <c r="G8" i="57" s="1"/>
  <c r="G10" i="57" s="1"/>
  <c r="I16" i="34"/>
  <c r="I20" i="34"/>
  <c r="Q18" i="41"/>
  <c r="Q16" i="39"/>
  <c r="E16" i="59"/>
  <c r="E18" i="59"/>
  <c r="E21" i="59" s="1"/>
  <c r="D9" i="57"/>
  <c r="E7" i="56"/>
  <c r="E13" i="56"/>
  <c r="E12" i="56"/>
  <c r="E11" i="56"/>
  <c r="E9" i="56"/>
  <c r="E8" i="56"/>
  <c r="G16" i="34"/>
  <c r="G20" i="34" s="1"/>
  <c r="M14" i="39"/>
  <c r="M16" i="39" s="1"/>
  <c r="K14" i="39"/>
  <c r="K16" i="39" s="1"/>
  <c r="I14" i="39"/>
  <c r="I16" i="39" s="1"/>
  <c r="K12" i="41"/>
  <c r="K14" i="41" s="1"/>
  <c r="I113" i="13"/>
  <c r="C13" i="56"/>
  <c r="C12" i="56"/>
  <c r="C11" i="56"/>
  <c r="C10" i="56"/>
  <c r="C9" i="56"/>
  <c r="C8" i="56"/>
  <c r="C63" i="48"/>
  <c r="C54" i="48"/>
  <c r="E54" i="48" s="1"/>
  <c r="C36" i="48"/>
  <c r="H22" i="23"/>
  <c r="H20" i="23"/>
  <c r="G107" i="21"/>
  <c r="G84" i="21"/>
  <c r="G16" i="21"/>
  <c r="G21" i="21"/>
  <c r="M25" i="21"/>
  <c r="M23" i="21"/>
  <c r="G44" i="21"/>
  <c r="J36" i="21"/>
  <c r="G16" i="19"/>
  <c r="G19" i="19" s="1"/>
  <c r="G23" i="19" s="1"/>
  <c r="K50" i="19"/>
  <c r="G50" i="19"/>
  <c r="G40" i="19"/>
  <c r="G32" i="19"/>
  <c r="I27" i="19"/>
  <c r="I32" i="19" s="1"/>
  <c r="I71" i="13"/>
  <c r="C16" i="59"/>
  <c r="C18" i="59" s="1"/>
  <c r="C21" i="59" s="1"/>
  <c r="C16" i="34"/>
  <c r="C20" i="34"/>
  <c r="G14" i="39"/>
  <c r="G16" i="39" s="1"/>
  <c r="E14" i="39"/>
  <c r="E16" i="39" s="1"/>
  <c r="C16" i="41"/>
  <c r="C14" i="41"/>
  <c r="C76" i="55"/>
  <c r="G76" i="55" s="1"/>
  <c r="I75" i="55"/>
  <c r="E75" i="55"/>
  <c r="E59" i="29" s="1"/>
  <c r="I74" i="55"/>
  <c r="E74" i="55"/>
  <c r="C72" i="55"/>
  <c r="I83" i="19"/>
  <c r="C75" i="55"/>
  <c r="C74" i="55"/>
  <c r="G74" i="55" s="1"/>
  <c r="I72" i="55"/>
  <c r="E72" i="55"/>
  <c r="E57" i="29" s="1"/>
  <c r="I16" i="55"/>
  <c r="E16" i="55"/>
  <c r="C16" i="55"/>
  <c r="C20" i="55" s="1"/>
  <c r="C17" i="54"/>
  <c r="E17" i="54" s="1"/>
  <c r="F23" i="54"/>
  <c r="E33" i="53"/>
  <c r="C53" i="48"/>
  <c r="B11" i="53"/>
  <c r="E11" i="53"/>
  <c r="E20" i="53" s="1"/>
  <c r="D63" i="48"/>
  <c r="B65" i="53" s="1"/>
  <c r="D53" i="48"/>
  <c r="I82" i="19"/>
  <c r="I89" i="19"/>
  <c r="H35" i="23"/>
  <c r="H13" i="23"/>
  <c r="K14" i="31"/>
  <c r="E15" i="31"/>
  <c r="K15" i="31"/>
  <c r="B5" i="29"/>
  <c r="B47" i="29" s="1"/>
  <c r="G11" i="29"/>
  <c r="G13" i="29"/>
  <c r="G14" i="29"/>
  <c r="G15" i="29"/>
  <c r="G19" i="29"/>
  <c r="C20" i="29"/>
  <c r="E20" i="29"/>
  <c r="E23" i="29" s="1"/>
  <c r="G21" i="29"/>
  <c r="G22" i="29"/>
  <c r="G26" i="29"/>
  <c r="G27" i="29"/>
  <c r="G28" i="29"/>
  <c r="G29" i="29"/>
  <c r="G30" i="29"/>
  <c r="G32" i="29"/>
  <c r="G33" i="29"/>
  <c r="G34" i="29"/>
  <c r="C35" i="29"/>
  <c r="E35" i="29"/>
  <c r="G38" i="29"/>
  <c r="E40" i="29"/>
  <c r="G40" i="29" s="1"/>
  <c r="G51" i="29"/>
  <c r="G53" i="29"/>
  <c r="C54" i="29"/>
  <c r="E54" i="29"/>
  <c r="G55" i="29"/>
  <c r="C56" i="29"/>
  <c r="G56" i="29" s="1"/>
  <c r="G60" i="29"/>
  <c r="G61" i="29"/>
  <c r="C62" i="29"/>
  <c r="E62" i="29"/>
  <c r="G62" i="29" s="1"/>
  <c r="B5" i="28"/>
  <c r="E10" i="28"/>
  <c r="E11" i="28"/>
  <c r="C17" i="28"/>
  <c r="E17" i="28" s="1"/>
  <c r="D18" i="28"/>
  <c r="E18" i="28" s="1"/>
  <c r="E19" i="28"/>
  <c r="E26" i="28"/>
  <c r="E27" i="28"/>
  <c r="E28" i="28"/>
  <c r="D29" i="28"/>
  <c r="E33" i="28"/>
  <c r="E34" i="28"/>
  <c r="E35" i="28"/>
  <c r="E36" i="28"/>
  <c r="E11" i="27"/>
  <c r="E12" i="27"/>
  <c r="E15" i="27"/>
  <c r="E16" i="27"/>
  <c r="C17" i="27"/>
  <c r="D17" i="27"/>
  <c r="E23" i="27"/>
  <c r="E24" i="27"/>
  <c r="E26" i="27" s="1"/>
  <c r="C27" i="27"/>
  <c r="D27" i="27"/>
  <c r="C33" i="27"/>
  <c r="D33" i="27" s="1"/>
  <c r="E33" i="27" s="1"/>
  <c r="E38" i="27"/>
  <c r="E42" i="27"/>
  <c r="C44" i="27"/>
  <c r="D44" i="27"/>
  <c r="E45" i="27"/>
  <c r="E47" i="27"/>
  <c r="E48" i="27"/>
  <c r="C53" i="27"/>
  <c r="D53" i="27"/>
  <c r="E55" i="27"/>
  <c r="C58" i="27"/>
  <c r="D58" i="27"/>
  <c r="E59" i="27"/>
  <c r="D69" i="27"/>
  <c r="C70" i="27"/>
  <c r="D70" i="27"/>
  <c r="P21" i="44"/>
  <c r="L16" i="44"/>
  <c r="N16" i="44"/>
  <c r="F19" i="44"/>
  <c r="L23" i="44"/>
  <c r="N11" i="43" s="1"/>
  <c r="B5" i="44"/>
  <c r="B5" i="27" s="1"/>
  <c r="E12" i="43"/>
  <c r="N12" i="43"/>
  <c r="E13" i="43"/>
  <c r="E22" i="43" s="1"/>
  <c r="N13" i="43"/>
  <c r="E14" i="43"/>
  <c r="N14" i="43" s="1"/>
  <c r="K14" i="43"/>
  <c r="E15" i="43"/>
  <c r="K15" i="43"/>
  <c r="E16" i="43"/>
  <c r="N16" i="43"/>
  <c r="E17" i="43"/>
  <c r="N17" i="43" s="1"/>
  <c r="N18" i="43"/>
  <c r="N19" i="43"/>
  <c r="N25" i="43"/>
  <c r="N37" i="43"/>
  <c r="N38" i="43"/>
  <c r="B5" i="23"/>
  <c r="F13" i="23"/>
  <c r="J13" i="23" s="1"/>
  <c r="J16" i="23"/>
  <c r="J17" i="23" s="1"/>
  <c r="H17" i="23"/>
  <c r="F20" i="23"/>
  <c r="J20" i="23" s="1"/>
  <c r="J25" i="23" s="1"/>
  <c r="J21" i="23"/>
  <c r="J22" i="23"/>
  <c r="F24" i="23"/>
  <c r="J24" i="23"/>
  <c r="M14" i="22"/>
  <c r="O14" i="22" s="1"/>
  <c r="M15" i="22"/>
  <c r="O15" i="22"/>
  <c r="M16" i="22"/>
  <c r="O16" i="22" s="1"/>
  <c r="G17" i="22"/>
  <c r="I17" i="22"/>
  <c r="K17" i="22"/>
  <c r="K26" i="22" s="1"/>
  <c r="K40" i="22" s="1"/>
  <c r="K50" i="22" s="1"/>
  <c r="M21" i="22"/>
  <c r="M25" i="22" s="1"/>
  <c r="M22" i="22"/>
  <c r="O22" i="22" s="1"/>
  <c r="O25" i="22" s="1"/>
  <c r="M23" i="22"/>
  <c r="M24" i="22"/>
  <c r="O24" i="22"/>
  <c r="G25" i="22"/>
  <c r="G26" i="22" s="1"/>
  <c r="G40" i="22" s="1"/>
  <c r="I25" i="22"/>
  <c r="I26" i="22" s="1"/>
  <c r="I40" i="22" s="1"/>
  <c r="I50" i="22" s="1"/>
  <c r="K25" i="22"/>
  <c r="M29" i="22"/>
  <c r="O29" i="22" s="1"/>
  <c r="O31" i="22" s="1"/>
  <c r="M30" i="22"/>
  <c r="O30" i="22"/>
  <c r="G31" i="22"/>
  <c r="I31" i="22"/>
  <c r="K31" i="22"/>
  <c r="M34" i="22"/>
  <c r="M37" i="22"/>
  <c r="M35" i="22"/>
  <c r="M36" i="22"/>
  <c r="G37" i="22"/>
  <c r="G38" i="22"/>
  <c r="I37" i="22"/>
  <c r="I38" i="22" s="1"/>
  <c r="K37" i="22"/>
  <c r="K38" i="22"/>
  <c r="O37" i="22"/>
  <c r="G44" i="22"/>
  <c r="G47" i="22"/>
  <c r="M44" i="22"/>
  <c r="O44" i="22" s="1"/>
  <c r="O47" i="22" s="1"/>
  <c r="O45" i="22"/>
  <c r="I47" i="22"/>
  <c r="K47" i="22"/>
  <c r="L47" i="22"/>
  <c r="N47" i="22"/>
  <c r="B6" i="21"/>
  <c r="J14" i="21"/>
  <c r="J20" i="21"/>
  <c r="J41" i="21"/>
  <c r="J47" i="21"/>
  <c r="J53" i="21"/>
  <c r="G53" i="21"/>
  <c r="J62" i="21"/>
  <c r="J68" i="21" s="1"/>
  <c r="G68" i="21"/>
  <c r="J71" i="21"/>
  <c r="J76" i="21" s="1"/>
  <c r="G76" i="21"/>
  <c r="J79" i="21"/>
  <c r="J84" i="21" s="1"/>
  <c r="J90" i="21"/>
  <c r="J94" i="21" s="1"/>
  <c r="G94" i="21"/>
  <c r="J102" i="21"/>
  <c r="J107" i="21" s="1"/>
  <c r="J110" i="21"/>
  <c r="J114" i="21" s="1"/>
  <c r="G114" i="21"/>
  <c r="G132" i="21"/>
  <c r="J132" i="21"/>
  <c r="H135" i="21"/>
  <c r="I135" i="21"/>
  <c r="K135" i="21"/>
  <c r="L135" i="21"/>
  <c r="G142" i="21"/>
  <c r="J142" i="21"/>
  <c r="M142" i="21"/>
  <c r="J155" i="21"/>
  <c r="B5" i="20"/>
  <c r="O12" i="20"/>
  <c r="Q12" i="20" s="1"/>
  <c r="O16" i="20"/>
  <c r="O20" i="20"/>
  <c r="O23" i="20" s="1"/>
  <c r="Q18" i="20"/>
  <c r="I20" i="20"/>
  <c r="I23" i="20"/>
  <c r="K20" i="20"/>
  <c r="K23" i="20" s="1"/>
  <c r="M20" i="20"/>
  <c r="B6" i="19"/>
  <c r="I13" i="19"/>
  <c r="I16" i="19" s="1"/>
  <c r="I19" i="19" s="1"/>
  <c r="I23" i="19" s="1"/>
  <c r="I30" i="19"/>
  <c r="I40" i="19"/>
  <c r="K40" i="19" s="1"/>
  <c r="H48" i="19"/>
  <c r="I48" i="19"/>
  <c r="K48" i="19"/>
  <c r="J48" i="19"/>
  <c r="K60" i="19"/>
  <c r="K68" i="19"/>
  <c r="K69" i="19"/>
  <c r="K70" i="19" s="1"/>
  <c r="G70" i="19"/>
  <c r="I70" i="19"/>
  <c r="B6" i="18"/>
  <c r="B5" i="22" s="1"/>
  <c r="O16" i="18"/>
  <c r="O18" i="18" s="1"/>
  <c r="O17" i="18"/>
  <c r="G18" i="18"/>
  <c r="I18" i="18"/>
  <c r="K18" i="18"/>
  <c r="M18" i="18"/>
  <c r="O24" i="18"/>
  <c r="O28" i="18"/>
  <c r="O29" i="18" s="1"/>
  <c r="G29" i="18"/>
  <c r="I29" i="18"/>
  <c r="K29" i="18"/>
  <c r="M29" i="18"/>
  <c r="O38" i="18"/>
  <c r="O41" i="18" s="1"/>
  <c r="O40" i="18"/>
  <c r="G41" i="18"/>
  <c r="G44" i="18" s="1"/>
  <c r="I41" i="18"/>
  <c r="I44" i="18" s="1"/>
  <c r="K41" i="18"/>
  <c r="K44" i="18"/>
  <c r="M41" i="18"/>
  <c r="M44" i="18" s="1"/>
  <c r="P15" i="17"/>
  <c r="S15" i="17" s="1"/>
  <c r="P21" i="17"/>
  <c r="S21" i="17"/>
  <c r="P22" i="17"/>
  <c r="S22" i="17" s="1"/>
  <c r="J23" i="17"/>
  <c r="M23" i="17"/>
  <c r="P23" i="17"/>
  <c r="S23" i="17" s="1"/>
  <c r="P24" i="17"/>
  <c r="S24" i="17"/>
  <c r="P25" i="17"/>
  <c r="S25" i="17" s="1"/>
  <c r="G26" i="17"/>
  <c r="G28" i="17" s="1"/>
  <c r="J26" i="17"/>
  <c r="J28" i="17" s="1"/>
  <c r="B5" i="16"/>
  <c r="C15" i="16"/>
  <c r="C23" i="16" s="1"/>
  <c r="E15" i="16"/>
  <c r="E23" i="16" s="1"/>
  <c r="H17" i="31"/>
  <c r="C17" i="15"/>
  <c r="B15" i="31" s="1"/>
  <c r="E17" i="15"/>
  <c r="B17" i="31"/>
  <c r="F23" i="15"/>
  <c r="F26" i="15" s="1"/>
  <c r="F29" i="15"/>
  <c r="F32" i="15" s="1"/>
  <c r="F34" i="15" s="1"/>
  <c r="B6" i="30"/>
  <c r="J13" i="30"/>
  <c r="J15" i="30" s="1"/>
  <c r="J14" i="30"/>
  <c r="F15" i="30"/>
  <c r="F29" i="30" s="1"/>
  <c r="F36" i="30" s="1"/>
  <c r="H15" i="30"/>
  <c r="J19" i="30"/>
  <c r="J20" i="30"/>
  <c r="J21" i="30"/>
  <c r="J22" i="30"/>
  <c r="H23" i="30"/>
  <c r="J23" i="30" s="1"/>
  <c r="J27" i="30" s="1"/>
  <c r="J24" i="30"/>
  <c r="J25" i="30"/>
  <c r="J26" i="30"/>
  <c r="F27" i="30"/>
  <c r="J32" i="30"/>
  <c r="J34" i="30"/>
  <c r="C6" i="14"/>
  <c r="E11" i="14"/>
  <c r="E12" i="14"/>
  <c r="C14" i="14"/>
  <c r="D14" i="14"/>
  <c r="E14" i="14" s="1"/>
  <c r="E17" i="14"/>
  <c r="C19" i="14"/>
  <c r="C24" i="14" s="1"/>
  <c r="E22" i="14"/>
  <c r="D26" i="14"/>
  <c r="B6" i="13"/>
  <c r="I14" i="13"/>
  <c r="I15" i="13"/>
  <c r="K15" i="13" s="1"/>
  <c r="I18" i="13"/>
  <c r="I20" i="13"/>
  <c r="K20" i="13" s="1"/>
  <c r="G20" i="13"/>
  <c r="I23" i="13"/>
  <c r="I24" i="13"/>
  <c r="I25" i="13"/>
  <c r="I26" i="13"/>
  <c r="I27" i="13"/>
  <c r="I28" i="13"/>
  <c r="I34" i="13"/>
  <c r="I35" i="13"/>
  <c r="I37" i="13"/>
  <c r="I38" i="13"/>
  <c r="G39" i="13"/>
  <c r="I42" i="13"/>
  <c r="I43" i="13"/>
  <c r="I44" i="13"/>
  <c r="G45" i="13"/>
  <c r="K52" i="13"/>
  <c r="I74" i="13"/>
  <c r="I80" i="13"/>
  <c r="I84" i="13"/>
  <c r="I87" i="13"/>
  <c r="I91" i="13" s="1"/>
  <c r="I94" i="13"/>
  <c r="I97" i="13" s="1"/>
  <c r="I103" i="13"/>
  <c r="I105" i="13"/>
  <c r="I115" i="13"/>
  <c r="I117" i="13" s="1"/>
  <c r="I131" i="13"/>
  <c r="I138" i="13"/>
  <c r="G142" i="13"/>
  <c r="I146" i="13"/>
  <c r="I149" i="13"/>
  <c r="I153" i="13" s="1"/>
  <c r="I156" i="13" s="1"/>
  <c r="K156" i="13" s="1"/>
  <c r="I151" i="13"/>
  <c r="I163" i="13"/>
  <c r="I168" i="13" s="1"/>
  <c r="K168" i="13" s="1"/>
  <c r="I172" i="13"/>
  <c r="I174" i="13"/>
  <c r="I175" i="13"/>
  <c r="K195" i="13"/>
  <c r="H198" i="13"/>
  <c r="G211" i="13"/>
  <c r="I202" i="13"/>
  <c r="I211" i="13"/>
  <c r="K204" i="13"/>
  <c r="K205" i="13"/>
  <c r="K206" i="13"/>
  <c r="K207" i="13"/>
  <c r="I220" i="13"/>
  <c r="G16" i="59"/>
  <c r="G18" i="59"/>
  <c r="G21" i="59" s="1"/>
  <c r="C9" i="57"/>
  <c r="D8" i="56"/>
  <c r="D9" i="56"/>
  <c r="D10" i="56"/>
  <c r="D11" i="56"/>
  <c r="D12" i="56"/>
  <c r="F12" i="56"/>
  <c r="F15" i="56" s="1"/>
  <c r="F8" i="57" s="1"/>
  <c r="F10" i="57" s="1"/>
  <c r="D13" i="56"/>
  <c r="F14" i="34"/>
  <c r="F16" i="34"/>
  <c r="F20" i="34" s="1"/>
  <c r="D16" i="34"/>
  <c r="D20" i="34" s="1"/>
  <c r="E16" i="34"/>
  <c r="E20" i="34" s="1"/>
  <c r="H16" i="34"/>
  <c r="H20" i="34" s="1"/>
  <c r="K16" i="34"/>
  <c r="M16" i="34"/>
  <c r="O16" i="34"/>
  <c r="Q16" i="34"/>
  <c r="S16" i="34"/>
  <c r="U16" i="34"/>
  <c r="W16" i="34"/>
  <c r="Y16" i="34"/>
  <c r="AA16" i="34"/>
  <c r="I12" i="41"/>
  <c r="I18" i="41"/>
  <c r="I14" i="41"/>
  <c r="E14" i="41"/>
  <c r="G14" i="41"/>
  <c r="M14" i="41"/>
  <c r="U14" i="41"/>
  <c r="W14" i="41"/>
  <c r="Y14" i="41"/>
  <c r="AA14" i="41"/>
  <c r="AC14" i="41"/>
  <c r="AE14" i="41"/>
  <c r="AG14" i="41"/>
  <c r="E16" i="41"/>
  <c r="C14" i="39"/>
  <c r="C16" i="39" s="1"/>
  <c r="G18" i="41"/>
  <c r="M18" i="41"/>
  <c r="U18" i="41"/>
  <c r="W18" i="41"/>
  <c r="Y18" i="41"/>
  <c r="AA18" i="41"/>
  <c r="AC18" i="41"/>
  <c r="AE18" i="41"/>
  <c r="AG18" i="41"/>
  <c r="O16" i="39"/>
  <c r="B60" i="55"/>
  <c r="E14" i="55"/>
  <c r="I14" i="55"/>
  <c r="I20" i="55" s="1"/>
  <c r="G15" i="55"/>
  <c r="G17" i="55"/>
  <c r="G18" i="55"/>
  <c r="G19" i="55"/>
  <c r="G23" i="55"/>
  <c r="G24" i="55"/>
  <c r="G25" i="55"/>
  <c r="G26" i="55"/>
  <c r="C27" i="55"/>
  <c r="E27" i="55"/>
  <c r="I27" i="55"/>
  <c r="G30" i="55"/>
  <c r="G31" i="55"/>
  <c r="G32" i="55"/>
  <c r="G33" i="55"/>
  <c r="G34" i="55"/>
  <c r="G36" i="55"/>
  <c r="G37" i="55"/>
  <c r="G38" i="55"/>
  <c r="C39" i="55"/>
  <c r="I39" i="55"/>
  <c r="G42" i="55"/>
  <c r="C44" i="55"/>
  <c r="G44" i="55" s="1"/>
  <c r="G66" i="55"/>
  <c r="G68" i="55"/>
  <c r="G69" i="55"/>
  <c r="E70" i="55"/>
  <c r="G70" i="55" s="1"/>
  <c r="I70" i="55"/>
  <c r="G71" i="55"/>
  <c r="H36" i="23"/>
  <c r="C73" i="55"/>
  <c r="I86" i="19" s="1"/>
  <c r="E73" i="55"/>
  <c r="C63" i="29" s="1"/>
  <c r="I73" i="55"/>
  <c r="H39" i="23" s="1"/>
  <c r="C58" i="29"/>
  <c r="H37" i="23"/>
  <c r="H38" i="23"/>
  <c r="C77" i="55"/>
  <c r="E77" i="55"/>
  <c r="G78" i="55"/>
  <c r="I78" i="55"/>
  <c r="C79" i="55"/>
  <c r="I87" i="19" s="1"/>
  <c r="E79" i="55"/>
  <c r="J165" i="21" s="1"/>
  <c r="I79" i="55"/>
  <c r="H40" i="23" s="1"/>
  <c r="C80" i="55"/>
  <c r="I88" i="19" s="1"/>
  <c r="E80" i="55"/>
  <c r="C65" i="29" s="1"/>
  <c r="I80" i="55"/>
  <c r="H41" i="23" s="1"/>
  <c r="G81" i="55"/>
  <c r="D11" i="54"/>
  <c r="D14" i="54" s="1"/>
  <c r="H28" i="31" s="1"/>
  <c r="C12" i="28"/>
  <c r="F11" i="54"/>
  <c r="F14" i="54" s="1"/>
  <c r="E12" i="54"/>
  <c r="E13" i="54"/>
  <c r="C14" i="54"/>
  <c r="C15" i="28"/>
  <c r="D18" i="54"/>
  <c r="C16" i="28" s="1"/>
  <c r="C19" i="54"/>
  <c r="E20" i="54"/>
  <c r="D21" i="54"/>
  <c r="E21" i="54" s="1"/>
  <c r="D22" i="54"/>
  <c r="E24" i="54"/>
  <c r="E30" i="54"/>
  <c r="E32" i="54"/>
  <c r="E33" i="54"/>
  <c r="C34" i="54"/>
  <c r="F34" i="54"/>
  <c r="D38" i="54"/>
  <c r="E38" i="54"/>
  <c r="E39" i="54"/>
  <c r="E40" i="54"/>
  <c r="E41" i="54"/>
  <c r="A2" i="53"/>
  <c r="B12" i="53"/>
  <c r="C12" i="53"/>
  <c r="D13" i="53"/>
  <c r="C17" i="53"/>
  <c r="D17" i="53" s="1"/>
  <c r="D20" i="48" s="1"/>
  <c r="E20" i="48" s="1"/>
  <c r="D18" i="53"/>
  <c r="C19" i="53"/>
  <c r="D19" i="53" s="1"/>
  <c r="B26" i="53"/>
  <c r="B28" i="53" s="1"/>
  <c r="B29" i="53" s="1"/>
  <c r="E26" i="53"/>
  <c r="E28" i="53" s="1"/>
  <c r="E29" i="53" s="1"/>
  <c r="A33" i="53"/>
  <c r="E34" i="53"/>
  <c r="D35" i="53"/>
  <c r="D40" i="53"/>
  <c r="E43" i="48" s="1"/>
  <c r="C42" i="53"/>
  <c r="D40" i="27" s="1"/>
  <c r="D49" i="27" s="1"/>
  <c r="D44" i="53"/>
  <c r="C46" i="53"/>
  <c r="D46" i="53" s="1"/>
  <c r="D47" i="53"/>
  <c r="D49" i="53"/>
  <c r="D50" i="53"/>
  <c r="B51" i="53"/>
  <c r="E51" i="53"/>
  <c r="D54" i="53"/>
  <c r="B55" i="53"/>
  <c r="C55" i="53"/>
  <c r="E58" i="53"/>
  <c r="C59" i="53"/>
  <c r="D59" i="53" s="1"/>
  <c r="D60" i="53"/>
  <c r="E66" i="53"/>
  <c r="D71" i="53"/>
  <c r="D68" i="48" s="1"/>
  <c r="D72" i="53"/>
  <c r="I10" i="6"/>
  <c r="N10" i="6"/>
  <c r="F11" i="6"/>
  <c r="G11" i="6"/>
  <c r="H11" i="6"/>
  <c r="N11" i="6"/>
  <c r="F12" i="6"/>
  <c r="G12" i="6"/>
  <c r="H12" i="6"/>
  <c r="N12" i="6"/>
  <c r="F13" i="6"/>
  <c r="G13" i="6"/>
  <c r="H13" i="6"/>
  <c r="I13" i="6" s="1"/>
  <c r="N13" i="6"/>
  <c r="F14" i="6"/>
  <c r="G14" i="6"/>
  <c r="I14" i="6" s="1"/>
  <c r="H14" i="6"/>
  <c r="N14" i="6"/>
  <c r="I15" i="6"/>
  <c r="N15" i="6"/>
  <c r="I16" i="6"/>
  <c r="N16" i="6"/>
  <c r="I17" i="6"/>
  <c r="N17" i="6"/>
  <c r="K18" i="6"/>
  <c r="L18" i="6"/>
  <c r="M18" i="6"/>
  <c r="F31" i="6"/>
  <c r="N22" i="6"/>
  <c r="F23" i="6"/>
  <c r="H23" i="6"/>
  <c r="N23" i="6"/>
  <c r="F24" i="6"/>
  <c r="G24" i="6"/>
  <c r="N24" i="6"/>
  <c r="H25" i="6"/>
  <c r="I25" i="6" s="1"/>
  <c r="N25" i="6"/>
  <c r="N26" i="6"/>
  <c r="H28" i="6"/>
  <c r="I190" i="13" s="1"/>
  <c r="N28" i="6"/>
  <c r="H29" i="6"/>
  <c r="I191" i="13" s="1"/>
  <c r="K191" i="13" s="1"/>
  <c r="N29" i="6"/>
  <c r="H30" i="6"/>
  <c r="I30" i="6" s="1"/>
  <c r="N30" i="6"/>
  <c r="K31" i="6"/>
  <c r="L31" i="6"/>
  <c r="M31" i="6"/>
  <c r="M33" i="6" s="1"/>
  <c r="M46" i="6" s="1"/>
  <c r="M53" i="6" s="1"/>
  <c r="I36" i="6"/>
  <c r="G42" i="6"/>
  <c r="N37" i="6"/>
  <c r="I38" i="6"/>
  <c r="N38" i="6"/>
  <c r="I39" i="6"/>
  <c r="N39" i="6"/>
  <c r="I41" i="6"/>
  <c r="N41" i="6"/>
  <c r="F42" i="6"/>
  <c r="K42" i="6"/>
  <c r="L42" i="6"/>
  <c r="M42" i="6"/>
  <c r="H51" i="6"/>
  <c r="M51" i="6"/>
  <c r="H58" i="6"/>
  <c r="G26" i="52"/>
  <c r="F30" i="52"/>
  <c r="G30" i="52"/>
  <c r="G34" i="52"/>
  <c r="G38" i="52"/>
  <c r="G11" i="51"/>
  <c r="C12" i="51"/>
  <c r="D12" i="51"/>
  <c r="C13" i="51"/>
  <c r="G13" i="51" s="1"/>
  <c r="C14" i="51"/>
  <c r="G14" i="51"/>
  <c r="D14" i="51"/>
  <c r="C15" i="51"/>
  <c r="G15" i="51"/>
  <c r="G16" i="51"/>
  <c r="G17" i="51"/>
  <c r="E19" i="51"/>
  <c r="H20" i="31" s="1"/>
  <c r="F19" i="51"/>
  <c r="H22" i="6"/>
  <c r="I22" i="6" s="1"/>
  <c r="G24" i="51"/>
  <c r="C25" i="51"/>
  <c r="G26" i="51"/>
  <c r="G27" i="51"/>
  <c r="C28" i="51"/>
  <c r="C33" i="51" s="1"/>
  <c r="K12" i="31" s="1"/>
  <c r="K22" i="31" s="1"/>
  <c r="G30" i="51"/>
  <c r="G31" i="51"/>
  <c r="G32" i="51"/>
  <c r="E33" i="51"/>
  <c r="F33" i="51"/>
  <c r="C37" i="51"/>
  <c r="G39" i="51"/>
  <c r="G40" i="51"/>
  <c r="G41" i="51"/>
  <c r="G43" i="51"/>
  <c r="D44" i="51"/>
  <c r="E44" i="51"/>
  <c r="F44" i="51"/>
  <c r="G48" i="51"/>
  <c r="D50" i="51"/>
  <c r="E50" i="51"/>
  <c r="F50" i="51"/>
  <c r="G51" i="51"/>
  <c r="G14" i="52" s="1"/>
  <c r="B6" i="50"/>
  <c r="D69" i="50" s="1"/>
  <c r="C12" i="50"/>
  <c r="G12" i="50" s="1"/>
  <c r="G23" i="50" s="1"/>
  <c r="G14" i="50"/>
  <c r="G15" i="50"/>
  <c r="C17" i="50"/>
  <c r="G17" i="50"/>
  <c r="G18" i="50"/>
  <c r="G19" i="50"/>
  <c r="G20" i="50"/>
  <c r="G22" i="50"/>
  <c r="D23" i="50"/>
  <c r="B14" i="31" s="1"/>
  <c r="E23" i="50"/>
  <c r="B20" i="31" s="1"/>
  <c r="F23" i="50"/>
  <c r="G27" i="50"/>
  <c r="G28" i="50"/>
  <c r="G29" i="50"/>
  <c r="D30" i="50"/>
  <c r="E30" i="50"/>
  <c r="F30" i="50"/>
  <c r="G33" i="50"/>
  <c r="G35" i="50"/>
  <c r="C36" i="50"/>
  <c r="D36" i="50"/>
  <c r="E36" i="50"/>
  <c r="E20" i="31" s="1"/>
  <c r="F36" i="50"/>
  <c r="G41" i="50"/>
  <c r="G43" i="50"/>
  <c r="G45" i="50"/>
  <c r="G46" i="50"/>
  <c r="G47" i="50"/>
  <c r="G51" i="50"/>
  <c r="G52" i="50"/>
  <c r="D54" i="50"/>
  <c r="E54" i="50"/>
  <c r="E55" i="50"/>
  <c r="F54" i="50"/>
  <c r="G78" i="50"/>
  <c r="G86" i="50"/>
  <c r="G88" i="50"/>
  <c r="G89" i="50"/>
  <c r="F12" i="49"/>
  <c r="H12" i="49" s="1"/>
  <c r="F13" i="49"/>
  <c r="H13" i="49" s="1"/>
  <c r="F14" i="49"/>
  <c r="H14" i="49" s="1"/>
  <c r="F15" i="49"/>
  <c r="H15" i="49" s="1"/>
  <c r="F16" i="49"/>
  <c r="H16" i="49" s="1"/>
  <c r="F17" i="49"/>
  <c r="H17" i="49" s="1"/>
  <c r="E18" i="49"/>
  <c r="E24" i="49" s="1"/>
  <c r="C23" i="49"/>
  <c r="D21" i="49"/>
  <c r="D23" i="49" s="1"/>
  <c r="G22" i="49"/>
  <c r="E23" i="49"/>
  <c r="F23" i="49"/>
  <c r="B27" i="49"/>
  <c r="C28" i="49"/>
  <c r="D28" i="49"/>
  <c r="E28" i="49"/>
  <c r="F28" i="49"/>
  <c r="G28" i="49"/>
  <c r="H28" i="49"/>
  <c r="F40" i="49"/>
  <c r="H32" i="49"/>
  <c r="F33" i="49"/>
  <c r="F38" i="49" s="1"/>
  <c r="F34" i="49"/>
  <c r="H34" i="49"/>
  <c r="F35" i="49"/>
  <c r="H36" i="49"/>
  <c r="H37" i="49"/>
  <c r="I38" i="49"/>
  <c r="F39" i="49"/>
  <c r="H39" i="49"/>
  <c r="I40" i="49"/>
  <c r="H42" i="49"/>
  <c r="E12" i="48"/>
  <c r="E13" i="48"/>
  <c r="E17" i="48"/>
  <c r="E18" i="48"/>
  <c r="D21" i="48"/>
  <c r="E21" i="48" s="1"/>
  <c r="D22" i="48"/>
  <c r="F31" i="48"/>
  <c r="F32" i="48" s="1"/>
  <c r="F36" i="48"/>
  <c r="F11" i="48" s="1"/>
  <c r="F23" i="48" s="1"/>
  <c r="E38" i="48"/>
  <c r="C50" i="48"/>
  <c r="E44" i="48"/>
  <c r="E46" i="48"/>
  <c r="F50" i="48"/>
  <c r="F53" i="48"/>
  <c r="F57" i="48" s="1"/>
  <c r="C55" i="48"/>
  <c r="D55" i="48" s="1"/>
  <c r="E61" i="48"/>
  <c r="F63" i="48"/>
  <c r="F65" i="48" s="1"/>
  <c r="C64" i="48"/>
  <c r="D64" i="48" s="1"/>
  <c r="C66" i="53" s="1"/>
  <c r="E70" i="48"/>
  <c r="E71" i="48"/>
  <c r="E72" i="48"/>
  <c r="E74" i="48"/>
  <c r="B57" i="53"/>
  <c r="C57" i="53"/>
  <c r="D57" i="27" s="1"/>
  <c r="H42" i="6"/>
  <c r="C10" i="27"/>
  <c r="D10" i="27"/>
  <c r="D18" i="27" s="1"/>
  <c r="E19" i="54"/>
  <c r="C25" i="54"/>
  <c r="I84" i="19"/>
  <c r="H27" i="30"/>
  <c r="H39" i="30"/>
  <c r="D15" i="28"/>
  <c r="D12" i="28"/>
  <c r="G28" i="51"/>
  <c r="G23" i="51"/>
  <c r="F17" i="23"/>
  <c r="G61" i="19"/>
  <c r="J161" i="21"/>
  <c r="D16" i="28"/>
  <c r="E58" i="29"/>
  <c r="E18" i="54"/>
  <c r="H29" i="30"/>
  <c r="H36" i="30"/>
  <c r="H25" i="23"/>
  <c r="H27" i="23"/>
  <c r="H33" i="49"/>
  <c r="E64" i="29"/>
  <c r="O38" i="22"/>
  <c r="M47" i="22"/>
  <c r="M31" i="22"/>
  <c r="M38" i="22" s="1"/>
  <c r="O23" i="22"/>
  <c r="M17" i="22"/>
  <c r="O17" i="22" s="1"/>
  <c r="M26" i="22"/>
  <c r="M40" i="22" s="1"/>
  <c r="M50" i="22" s="1"/>
  <c r="K16" i="19"/>
  <c r="K19" i="19"/>
  <c r="K18" i="41"/>
  <c r="N42" i="6"/>
  <c r="N31" i="6"/>
  <c r="I11" i="6"/>
  <c r="F18" i="6"/>
  <c r="L33" i="6"/>
  <c r="K33" i="6"/>
  <c r="K46" i="6" s="1"/>
  <c r="G31" i="6"/>
  <c r="E15" i="56"/>
  <c r="E8" i="57" s="1"/>
  <c r="E10" i="57" s="1"/>
  <c r="D7" i="56"/>
  <c r="D15" i="56" s="1"/>
  <c r="D18" i="49"/>
  <c r="D24" i="49" s="1"/>
  <c r="E34" i="51"/>
  <c r="E45" i="51" s="1"/>
  <c r="E52" i="51" s="1"/>
  <c r="E63" i="51" s="1"/>
  <c r="E63" i="29"/>
  <c r="H24" i="6"/>
  <c r="I24" i="6" s="1"/>
  <c r="G25" i="51"/>
  <c r="J29" i="30"/>
  <c r="J36" i="30" s="1"/>
  <c r="G50" i="22"/>
  <c r="G37" i="51"/>
  <c r="E39" i="55"/>
  <c r="P26" i="17"/>
  <c r="P28" i="17" s="1"/>
  <c r="G14" i="55"/>
  <c r="M26" i="17"/>
  <c r="M28" i="17" s="1"/>
  <c r="M31" i="17" s="1"/>
  <c r="Q16" i="20"/>
  <c r="Q20" i="20"/>
  <c r="Q23" i="20"/>
  <c r="O21" i="22"/>
  <c r="O26" i="22"/>
  <c r="O40" i="22"/>
  <c r="F25" i="23"/>
  <c r="E47" i="48"/>
  <c r="H21" i="49"/>
  <c r="B18" i="49"/>
  <c r="B24" i="49" s="1"/>
  <c r="F34" i="51"/>
  <c r="H24" i="60"/>
  <c r="H29" i="60" s="1"/>
  <c r="F17" i="15"/>
  <c r="H15" i="31"/>
  <c r="N21" i="44"/>
  <c r="N25" i="44" s="1"/>
  <c r="C23" i="29"/>
  <c r="N15" i="43"/>
  <c r="G19" i="52"/>
  <c r="C18" i="49"/>
  <c r="H44" i="49"/>
  <c r="I39" i="13"/>
  <c r="K39" i="13" s="1"/>
  <c r="I77" i="13"/>
  <c r="I108" i="13"/>
  <c r="K57" i="13"/>
  <c r="I45" i="13"/>
  <c r="K45" i="13" s="1"/>
  <c r="E65" i="53"/>
  <c r="C65" i="53"/>
  <c r="E26" i="48"/>
  <c r="C23" i="50"/>
  <c r="G16" i="55"/>
  <c r="I85" i="19"/>
  <c r="E58" i="27" l="1"/>
  <c r="E44" i="27"/>
  <c r="F55" i="50"/>
  <c r="E14" i="31"/>
  <c r="G30" i="50"/>
  <c r="E12" i="31"/>
  <c r="B12" i="31"/>
  <c r="B22" i="31" s="1"/>
  <c r="B24" i="31" s="1"/>
  <c r="C20" i="31" s="1"/>
  <c r="C53" i="50"/>
  <c r="C54" i="50" s="1"/>
  <c r="H22" i="49"/>
  <c r="G23" i="49"/>
  <c r="P25" i="44"/>
  <c r="L21" i="44"/>
  <c r="H11" i="43" s="1"/>
  <c r="H22" i="43" s="1"/>
  <c r="E53" i="48"/>
  <c r="D49" i="48"/>
  <c r="E49" i="48" s="1"/>
  <c r="G72" i="55"/>
  <c r="J166" i="21"/>
  <c r="E65" i="29"/>
  <c r="C57" i="29"/>
  <c r="C59" i="29"/>
  <c r="G57" i="29"/>
  <c r="H23" i="49"/>
  <c r="G24" i="49"/>
  <c r="C24" i="49"/>
  <c r="H27" i="31"/>
  <c r="C27" i="54"/>
  <c r="D12" i="53"/>
  <c r="D15" i="48" s="1"/>
  <c r="E15" i="48" s="1"/>
  <c r="D48" i="48"/>
  <c r="E48" i="48" s="1"/>
  <c r="E50" i="48" s="1"/>
  <c r="B20" i="53"/>
  <c r="B30" i="53" s="1"/>
  <c r="F39" i="48"/>
  <c r="E63" i="48"/>
  <c r="E68" i="53"/>
  <c r="C57" i="48"/>
  <c r="C58" i="48" s="1"/>
  <c r="B58" i="53"/>
  <c r="B61" i="53" s="1"/>
  <c r="B62" i="53" s="1"/>
  <c r="F58" i="48"/>
  <c r="E68" i="48"/>
  <c r="C23" i="48"/>
  <c r="C33" i="48" s="1"/>
  <c r="E37" i="48"/>
  <c r="C58" i="53"/>
  <c r="E55" i="48"/>
  <c r="E22" i="48"/>
  <c r="F33" i="48"/>
  <c r="C16" i="29"/>
  <c r="C39" i="29" s="1"/>
  <c r="C41" i="29" s="1"/>
  <c r="G58" i="29"/>
  <c r="G10" i="29"/>
  <c r="G54" i="29"/>
  <c r="G35" i="29"/>
  <c r="E29" i="28"/>
  <c r="E9" i="28"/>
  <c r="E12" i="28" s="1"/>
  <c r="E27" i="27"/>
  <c r="E17" i="27"/>
  <c r="E69" i="27"/>
  <c r="J16" i="21"/>
  <c r="M16" i="21" s="1"/>
  <c r="M94" i="21"/>
  <c r="J21" i="21"/>
  <c r="M21" i="21" s="1"/>
  <c r="G116" i="21"/>
  <c r="M68" i="21"/>
  <c r="M107" i="21"/>
  <c r="J44" i="21"/>
  <c r="M44" i="21" s="1"/>
  <c r="K211" i="13"/>
  <c r="I176" i="13"/>
  <c r="I187" i="13" s="1"/>
  <c r="K187" i="13" s="1"/>
  <c r="I31" i="13"/>
  <c r="I142" i="13"/>
  <c r="K142" i="13" s="1"/>
  <c r="I109" i="13"/>
  <c r="K109" i="13" s="1"/>
  <c r="N18" i="6"/>
  <c r="N33" i="6" s="1"/>
  <c r="I23" i="6"/>
  <c r="I12" i="6"/>
  <c r="I18" i="6" s="1"/>
  <c r="L46" i="6"/>
  <c r="H18" i="6"/>
  <c r="I37" i="6"/>
  <c r="I42" i="6" s="1"/>
  <c r="G18" i="6"/>
  <c r="G33" i="6" s="1"/>
  <c r="G46" i="6" s="1"/>
  <c r="D19" i="51"/>
  <c r="G12" i="51"/>
  <c r="F45" i="51"/>
  <c r="G50" i="51"/>
  <c r="I29" i="6"/>
  <c r="I28" i="6"/>
  <c r="G75" i="55"/>
  <c r="G80" i="55"/>
  <c r="C82" i="55"/>
  <c r="G65" i="29"/>
  <c r="G20" i="29"/>
  <c r="G23" i="29" s="1"/>
  <c r="E82" i="55"/>
  <c r="G73" i="55"/>
  <c r="G20" i="55"/>
  <c r="H42" i="23"/>
  <c r="H44" i="23" s="1"/>
  <c r="C43" i="55"/>
  <c r="C45" i="55" s="1"/>
  <c r="E16" i="29"/>
  <c r="E39" i="29" s="1"/>
  <c r="E41" i="29" s="1"/>
  <c r="G79" i="55"/>
  <c r="G39" i="55"/>
  <c r="G12" i="29"/>
  <c r="G77" i="55"/>
  <c r="G59" i="29"/>
  <c r="I90" i="19"/>
  <c r="G27" i="55"/>
  <c r="I82" i="55"/>
  <c r="I43" i="55"/>
  <c r="I45" i="55" s="1"/>
  <c r="E20" i="55"/>
  <c r="E43" i="55" s="1"/>
  <c r="E45" i="55" s="1"/>
  <c r="J86" i="21"/>
  <c r="M84" i="21"/>
  <c r="M114" i="21"/>
  <c r="G86" i="21"/>
  <c r="M76" i="21"/>
  <c r="J116" i="21"/>
  <c r="G26" i="21"/>
  <c r="G32" i="21" s="1"/>
  <c r="D65" i="53"/>
  <c r="C68" i="53"/>
  <c r="D25" i="54"/>
  <c r="K28" i="31" s="1"/>
  <c r="E31" i="54"/>
  <c r="E16" i="28"/>
  <c r="H30" i="31"/>
  <c r="H32" i="31" s="1"/>
  <c r="I27" i="31" s="1"/>
  <c r="E11" i="54"/>
  <c r="E14" i="54" s="1"/>
  <c r="C20" i="28"/>
  <c r="C22" i="28" s="1"/>
  <c r="C29" i="53"/>
  <c r="F25" i="54"/>
  <c r="F27" i="54" s="1"/>
  <c r="E53" i="27"/>
  <c r="D11" i="53"/>
  <c r="C40" i="27"/>
  <c r="C49" i="27" s="1"/>
  <c r="D57" i="53"/>
  <c r="E70" i="27"/>
  <c r="C20" i="53"/>
  <c r="C57" i="27"/>
  <c r="E57" i="27" s="1"/>
  <c r="D55" i="53"/>
  <c r="D56" i="48" s="1"/>
  <c r="E56" i="48" s="1"/>
  <c r="D26" i="53"/>
  <c r="D29" i="48" s="1"/>
  <c r="E29" i="48" s="1"/>
  <c r="D25" i="53"/>
  <c r="D28" i="53" s="1"/>
  <c r="C63" i="27"/>
  <c r="D63" i="27"/>
  <c r="C51" i="53"/>
  <c r="D42" i="53"/>
  <c r="E30" i="53"/>
  <c r="C7" i="56"/>
  <c r="C15" i="56" s="1"/>
  <c r="C8" i="57" s="1"/>
  <c r="C10" i="57" s="1"/>
  <c r="D8" i="57"/>
  <c r="D10" i="57" s="1"/>
  <c r="C64" i="27"/>
  <c r="D64" i="27"/>
  <c r="E64" i="48"/>
  <c r="E65" i="48" s="1"/>
  <c r="F18" i="49"/>
  <c r="C18" i="27"/>
  <c r="C28" i="27" s="1"/>
  <c r="E10" i="27"/>
  <c r="E18" i="27" s="1"/>
  <c r="G19" i="51"/>
  <c r="E19" i="14"/>
  <c r="S26" i="17"/>
  <c r="E28" i="16"/>
  <c r="C34" i="53"/>
  <c r="D34" i="53" s="1"/>
  <c r="C65" i="48"/>
  <c r="G63" i="29"/>
  <c r="G64" i="19"/>
  <c r="G73" i="19" s="1"/>
  <c r="O50" i="22"/>
  <c r="G36" i="50"/>
  <c r="K27" i="31"/>
  <c r="F27" i="23"/>
  <c r="G33" i="51"/>
  <c r="D34" i="51"/>
  <c r="D45" i="51" s="1"/>
  <c r="D52" i="51" s="1"/>
  <c r="D63" i="51" s="1"/>
  <c r="H14" i="31"/>
  <c r="I192" i="13"/>
  <c r="K190" i="13"/>
  <c r="S28" i="17"/>
  <c r="K23" i="19"/>
  <c r="K24" i="31"/>
  <c r="D28" i="27"/>
  <c r="E66" i="29"/>
  <c r="F52" i="51"/>
  <c r="F63" i="51" s="1"/>
  <c r="E22" i="31"/>
  <c r="B66" i="53"/>
  <c r="D66" i="53" s="1"/>
  <c r="D65" i="48"/>
  <c r="D55" i="50"/>
  <c r="J24" i="60"/>
  <c r="C19" i="51"/>
  <c r="I27" i="49"/>
  <c r="I28" i="49" s="1"/>
  <c r="I41" i="49" s="1"/>
  <c r="I45" i="49" s="1"/>
  <c r="B28" i="49"/>
  <c r="N22" i="43"/>
  <c r="N27" i="43" s="1"/>
  <c r="I61" i="19"/>
  <c r="K61" i="19" s="1"/>
  <c r="K32" i="19"/>
  <c r="C39" i="48"/>
  <c r="F33" i="6"/>
  <c r="F46" i="6" s="1"/>
  <c r="E15" i="28"/>
  <c r="D20" i="28"/>
  <c r="D22" i="28" s="1"/>
  <c r="C64" i="55"/>
  <c r="C36" i="54"/>
  <c r="C44" i="54" s="1"/>
  <c r="O31" i="18"/>
  <c r="O44" i="18" s="1"/>
  <c r="J27" i="23"/>
  <c r="H26" i="6"/>
  <c r="D19" i="14"/>
  <c r="D24" i="14" s="1"/>
  <c r="G38" i="51"/>
  <c r="G44" i="51" s="1"/>
  <c r="E22" i="54"/>
  <c r="E25" i="54" s="1"/>
  <c r="C64" i="29"/>
  <c r="D23" i="16"/>
  <c r="D28" i="16" s="1"/>
  <c r="G196" i="13"/>
  <c r="G198" i="13" s="1"/>
  <c r="G215" i="13" s="1"/>
  <c r="M132" i="21"/>
  <c r="G16" i="29" l="1"/>
  <c r="E28" i="27"/>
  <c r="J26" i="21"/>
  <c r="J32" i="21" s="1"/>
  <c r="G133" i="21"/>
  <c r="E57" i="53"/>
  <c r="E61" i="53" s="1"/>
  <c r="E62" i="53" s="1"/>
  <c r="C15" i="31"/>
  <c r="C14" i="31"/>
  <c r="C16" i="31"/>
  <c r="C17" i="31"/>
  <c r="P27" i="44"/>
  <c r="L25" i="44"/>
  <c r="D50" i="48"/>
  <c r="E34" i="54"/>
  <c r="G35" i="49"/>
  <c r="G82" i="55"/>
  <c r="C75" i="48"/>
  <c r="D28" i="48"/>
  <c r="D31" i="48" s="1"/>
  <c r="D32" i="48" s="1"/>
  <c r="D58" i="53"/>
  <c r="D61" i="53" s="1"/>
  <c r="D20" i="53"/>
  <c r="D11" i="48"/>
  <c r="D51" i="53"/>
  <c r="D19" i="48"/>
  <c r="E19" i="48" s="1"/>
  <c r="E57" i="48"/>
  <c r="E58" i="48" s="1"/>
  <c r="D57" i="48"/>
  <c r="C61" i="53"/>
  <c r="C62" i="53" s="1"/>
  <c r="F73" i="48"/>
  <c r="F76" i="48" s="1"/>
  <c r="I51" i="49" s="1"/>
  <c r="C54" i="27"/>
  <c r="C60" i="27" s="1"/>
  <c r="D66" i="27"/>
  <c r="D54" i="27"/>
  <c r="D60" i="27" s="1"/>
  <c r="G94" i="50"/>
  <c r="C66" i="27"/>
  <c r="E27" i="31"/>
  <c r="E20" i="28"/>
  <c r="M116" i="21"/>
  <c r="J133" i="21"/>
  <c r="J173" i="21"/>
  <c r="K31" i="13"/>
  <c r="I59" i="13"/>
  <c r="K59" i="13" s="1"/>
  <c r="G39" i="29"/>
  <c r="G41" i="29" s="1"/>
  <c r="G43" i="55"/>
  <c r="G45" i="55" s="1"/>
  <c r="G135" i="21"/>
  <c r="G144" i="21"/>
  <c r="M86" i="21"/>
  <c r="M133" i="21" s="1"/>
  <c r="K30" i="31"/>
  <c r="D27" i="54"/>
  <c r="E64" i="55"/>
  <c r="D68" i="53"/>
  <c r="B68" i="53"/>
  <c r="C30" i="53"/>
  <c r="E27" i="54"/>
  <c r="E36" i="54" s="1"/>
  <c r="E44" i="54" s="1"/>
  <c r="I28" i="31"/>
  <c r="E40" i="27"/>
  <c r="D29" i="53"/>
  <c r="C49" i="29"/>
  <c r="C31" i="28"/>
  <c r="C39" i="28" s="1"/>
  <c r="C42" i="28" s="1"/>
  <c r="F36" i="54"/>
  <c r="F44" i="54" s="1"/>
  <c r="I64" i="55"/>
  <c r="I83" i="55" s="1"/>
  <c r="I92" i="55" s="1"/>
  <c r="E73" i="53"/>
  <c r="E74" i="53" s="1"/>
  <c r="E63" i="27"/>
  <c r="E64" i="27"/>
  <c r="D31" i="28"/>
  <c r="D39" i="28" s="1"/>
  <c r="D42" i="28" s="1"/>
  <c r="E49" i="29"/>
  <c r="I64" i="19"/>
  <c r="C66" i="29"/>
  <c r="G64" i="29"/>
  <c r="G66" i="29" s="1"/>
  <c r="K192" i="13"/>
  <c r="I196" i="13"/>
  <c r="C83" i="55"/>
  <c r="C92" i="55" s="1"/>
  <c r="I26" i="6"/>
  <c r="I31" i="6" s="1"/>
  <c r="H31" i="6"/>
  <c r="H33" i="6" s="1"/>
  <c r="H46" i="6" s="1"/>
  <c r="H53" i="6" s="1"/>
  <c r="H59" i="6" s="1"/>
  <c r="H12" i="31"/>
  <c r="H22" i="31" s="1"/>
  <c r="C34" i="51"/>
  <c r="C45" i="51" s="1"/>
  <c r="L17" i="31"/>
  <c r="L14" i="31"/>
  <c r="L16" i="31"/>
  <c r="L20" i="31"/>
  <c r="L15" i="31"/>
  <c r="G34" i="51"/>
  <c r="F24" i="49"/>
  <c r="F41" i="49" s="1"/>
  <c r="F45" i="49" s="1"/>
  <c r="H18" i="49"/>
  <c r="H24" i="49" s="1"/>
  <c r="E24" i="31"/>
  <c r="E49" i="27"/>
  <c r="C32" i="27"/>
  <c r="D32" i="27"/>
  <c r="D27" i="14"/>
  <c r="E24" i="14"/>
  <c r="C84" i="48"/>
  <c r="E67" i="29" l="1"/>
  <c r="G49" i="29"/>
  <c r="M26" i="21"/>
  <c r="M32" i="21" s="1"/>
  <c r="I198" i="13"/>
  <c r="I215" i="13" s="1"/>
  <c r="I222" i="13" s="1"/>
  <c r="K11" i="43"/>
  <c r="K22" i="43" s="1"/>
  <c r="L27" i="44"/>
  <c r="D30" i="53"/>
  <c r="E31" i="48"/>
  <c r="E32" i="48" s="1"/>
  <c r="E28" i="48"/>
  <c r="G40" i="49"/>
  <c r="G41" i="49" s="1"/>
  <c r="G45" i="49" s="1"/>
  <c r="H35" i="49"/>
  <c r="G38" i="49"/>
  <c r="D62" i="53"/>
  <c r="E83" i="55"/>
  <c r="E92" i="55" s="1"/>
  <c r="E52" i="54"/>
  <c r="E47" i="54"/>
  <c r="E11" i="48"/>
  <c r="E23" i="48" s="1"/>
  <c r="D23" i="48"/>
  <c r="D33" i="48" s="1"/>
  <c r="D75" i="48" s="1"/>
  <c r="E66" i="27"/>
  <c r="E54" i="27"/>
  <c r="E60" i="27"/>
  <c r="E28" i="31"/>
  <c r="E22" i="28"/>
  <c r="E31" i="28" s="1"/>
  <c r="E39" i="28" s="1"/>
  <c r="D36" i="54"/>
  <c r="D44" i="54" s="1"/>
  <c r="D47" i="54" s="1"/>
  <c r="G64" i="55"/>
  <c r="C67" i="29"/>
  <c r="G67" i="29"/>
  <c r="F47" i="54"/>
  <c r="H47" i="54" s="1"/>
  <c r="F41" i="52"/>
  <c r="G42" i="52" s="1"/>
  <c r="J144" i="21"/>
  <c r="M135" i="21"/>
  <c r="J135" i="21"/>
  <c r="K64" i="19"/>
  <c r="K73" i="19" s="1"/>
  <c r="I73" i="19"/>
  <c r="I91" i="19" s="1"/>
  <c r="C76" i="48"/>
  <c r="I33" i="6"/>
  <c r="I46" i="6"/>
  <c r="K32" i="31"/>
  <c r="K35" i="31"/>
  <c r="K37" i="31" s="1"/>
  <c r="F17" i="31"/>
  <c r="F16" i="31"/>
  <c r="F15" i="31"/>
  <c r="F14" i="31"/>
  <c r="F20" i="31"/>
  <c r="G45" i="51"/>
  <c r="C52" i="51"/>
  <c r="K196" i="13"/>
  <c r="K198" i="13" s="1"/>
  <c r="K215" i="13" s="1"/>
  <c r="E32" i="27"/>
  <c r="H24" i="31"/>
  <c r="H35" i="31"/>
  <c r="H37" i="31" s="1"/>
  <c r="E63" i="54" l="1"/>
  <c r="H38" i="49"/>
  <c r="H40" i="49"/>
  <c r="H41" i="49" s="1"/>
  <c r="H45" i="49" s="1"/>
  <c r="G83" i="55"/>
  <c r="G92" i="55" s="1"/>
  <c r="E33" i="48"/>
  <c r="E30" i="31"/>
  <c r="I17" i="31"/>
  <c r="I16" i="31"/>
  <c r="I15" i="31"/>
  <c r="I20" i="31"/>
  <c r="I14" i="31"/>
  <c r="M14" i="31"/>
  <c r="M17" i="31"/>
  <c r="M20" i="31"/>
  <c r="M15" i="31"/>
  <c r="M16" i="31"/>
  <c r="M28" i="31"/>
  <c r="M27" i="31"/>
  <c r="L28" i="31"/>
  <c r="L27" i="31"/>
  <c r="J28" i="31"/>
  <c r="J27" i="31"/>
  <c r="J15" i="31"/>
  <c r="J17" i="31"/>
  <c r="J20" i="31"/>
  <c r="J16" i="31"/>
  <c r="J14" i="31"/>
  <c r="J151" i="21"/>
  <c r="M144" i="21"/>
  <c r="F51" i="49"/>
  <c r="G13" i="52"/>
  <c r="I44" i="52" s="1"/>
  <c r="G52" i="51"/>
  <c r="H62" i="6"/>
  <c r="E32" i="31" l="1"/>
  <c r="E35" i="31"/>
  <c r="E37" i="31" s="1"/>
  <c r="J175" i="21"/>
  <c r="P175" i="21" s="1"/>
  <c r="G28" i="31" l="1"/>
  <c r="G15" i="31"/>
  <c r="G17" i="31"/>
  <c r="G16" i="31"/>
  <c r="G27" i="31"/>
  <c r="G20" i="31"/>
  <c r="G14" i="31"/>
  <c r="F27" i="31"/>
  <c r="F28" i="31"/>
  <c r="C33" i="53"/>
  <c r="C31" i="27" s="1"/>
  <c r="E36" i="48"/>
  <c r="D39" i="48"/>
  <c r="B33" i="53"/>
  <c r="E39" i="48" l="1"/>
  <c r="B27" i="31"/>
  <c r="C34" i="27"/>
  <c r="D31" i="27"/>
  <c r="D34" i="27" s="1"/>
  <c r="D33" i="53"/>
  <c r="C36" i="53"/>
  <c r="C73" i="53" s="1"/>
  <c r="D73" i="53" s="1"/>
  <c r="D36" i="53" l="1"/>
  <c r="D89" i="53" s="1"/>
  <c r="D74" i="53"/>
  <c r="D78" i="53" s="1"/>
  <c r="E31" i="27"/>
  <c r="E34" i="27"/>
  <c r="B74" i="53"/>
  <c r="B30" i="31"/>
  <c r="C74" i="53"/>
  <c r="C71" i="27"/>
  <c r="D71" i="27"/>
  <c r="D72" i="27" s="1"/>
  <c r="D63" i="54" l="1"/>
  <c r="C89" i="53"/>
  <c r="B35" i="31"/>
  <c r="B37" i="31" s="1"/>
  <c r="B32" i="31"/>
  <c r="B91" i="53"/>
  <c r="C63" i="54"/>
  <c r="B89" i="53"/>
  <c r="C72" i="27"/>
  <c r="E71" i="27"/>
  <c r="E72" i="27" s="1"/>
  <c r="E52" i="28" s="1"/>
  <c r="C28" i="31" l="1"/>
  <c r="C27" i="31"/>
  <c r="D28" i="31"/>
  <c r="D15" i="31"/>
  <c r="O15" i="31" s="1"/>
  <c r="D14" i="31"/>
  <c r="O14" i="31" s="1"/>
  <c r="D16" i="31"/>
  <c r="O16" i="31" s="1"/>
  <c r="D20" i="31"/>
  <c r="O20" i="31" s="1"/>
  <c r="D17" i="31"/>
  <c r="O17" i="31" s="1"/>
  <c r="D27" i="31"/>
  <c r="O27" i="31" l="1"/>
  <c r="O28" i="31"/>
  <c r="D58" i="48"/>
  <c r="D84" i="48" l="1"/>
  <c r="E75" i="48"/>
  <c r="E76" i="48" s="1"/>
  <c r="H51" i="49" s="1"/>
  <c r="D76" i="48" l="1"/>
  <c r="G51" i="49" s="1"/>
  <c r="G53" i="50"/>
  <c r="G54" i="50" s="1"/>
  <c r="C63" i="51"/>
  <c r="C55" i="50"/>
  <c r="G63" i="51" l="1"/>
  <c r="G72" i="50"/>
  <c r="G98" i="50" s="1"/>
  <c r="I98" i="5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lgc0206</author>
  </authors>
  <commentList>
    <comment ref="L13" authorId="0" shapeId="0" xr:uid="{00000000-0006-0000-0400-000001000000}">
      <text>
        <r>
          <rPr>
            <b/>
            <sz val="8"/>
            <color indexed="81"/>
            <rFont val="Tahoma"/>
            <family val="2"/>
          </rPr>
          <t>lgc0206:</t>
        </r>
        <r>
          <rPr>
            <sz val="8"/>
            <color indexed="81"/>
            <rFont val="Tahoma"/>
            <family val="2"/>
          </rPr>
          <t xml:space="preserve">
Capital outlay which has been capitalized less depreciation expense plus depreciation for I/S fund.  Note that I/S deprec. Is included below in net rev. from I/S allocation.</t>
        </r>
      </text>
    </comment>
  </commentList>
</comments>
</file>

<file path=xl/sharedStrings.xml><?xml version="1.0" encoding="utf-8"?>
<sst xmlns="http://schemas.openxmlformats.org/spreadsheetml/2006/main" count="1766" uniqueCount="901">
  <si>
    <t>City of Dogwood</t>
  </si>
  <si>
    <t>Total</t>
  </si>
  <si>
    <t>ASSETS</t>
  </si>
  <si>
    <t>Cash and cash equivalents</t>
  </si>
  <si>
    <t>Inventories</t>
  </si>
  <si>
    <t>Total assets</t>
  </si>
  <si>
    <t>LIABILITIES</t>
  </si>
  <si>
    <t>Total liabilities</t>
  </si>
  <si>
    <t>The notes to the financial statements are an integral part of this statement.</t>
  </si>
  <si>
    <t>Expenses</t>
  </si>
  <si>
    <t>General government</t>
  </si>
  <si>
    <t>Public safety</t>
  </si>
  <si>
    <t>Culture and recreation</t>
  </si>
  <si>
    <t>Miscellaneous</t>
  </si>
  <si>
    <t>Balance Sheet</t>
  </si>
  <si>
    <t>Governmental Funds</t>
  </si>
  <si>
    <t>General</t>
  </si>
  <si>
    <t>Total Governmental Funds</t>
  </si>
  <si>
    <t>Liabilities:</t>
  </si>
  <si>
    <t>Accounts payable</t>
  </si>
  <si>
    <t>Due to other funds</t>
  </si>
  <si>
    <t>Fund balances:</t>
  </si>
  <si>
    <t>Total fund balances</t>
  </si>
  <si>
    <t>Total liabilities and fund balances</t>
  </si>
  <si>
    <t>Capital assets used in governmental activities are not financial resources and therefore are not reported in the funds.</t>
  </si>
  <si>
    <t>Exhibit 3</t>
  </si>
  <si>
    <t>Exhibit 4</t>
  </si>
  <si>
    <t>Statement of Revenues, Expenditures, and Changes in Fund Balance</t>
  </si>
  <si>
    <t>General Fund</t>
  </si>
  <si>
    <t>REVENUES</t>
  </si>
  <si>
    <t>Charges for services</t>
  </si>
  <si>
    <t>Investment earnings</t>
  </si>
  <si>
    <t>Total revenues</t>
  </si>
  <si>
    <t>EXPENDITURES</t>
  </si>
  <si>
    <t>Current:</t>
  </si>
  <si>
    <t>Debt service:</t>
  </si>
  <si>
    <t>Principal</t>
  </si>
  <si>
    <t>Interest and other charges</t>
  </si>
  <si>
    <t>Capital outlay</t>
  </si>
  <si>
    <t>Total expenditures</t>
  </si>
  <si>
    <t>Excess (deficiency) of revenues over expenditures</t>
  </si>
  <si>
    <t>OTHER FINANCING SOURCES (USES)</t>
  </si>
  <si>
    <t>Exhibit 6</t>
  </si>
  <si>
    <t>Proprietary Funds</t>
  </si>
  <si>
    <t>Current assets:</t>
  </si>
  <si>
    <t>Total current assets</t>
  </si>
  <si>
    <t>Noncurrent assets:</t>
  </si>
  <si>
    <t>Total noncurrent assets</t>
  </si>
  <si>
    <t>Current liabilities:</t>
  </si>
  <si>
    <t>Compensated absences</t>
  </si>
  <si>
    <t>Total current liabilities</t>
  </si>
  <si>
    <t>Noncurrent liabilities:</t>
  </si>
  <si>
    <t>Total noncurrent liabilities</t>
  </si>
  <si>
    <t>Unrestricted</t>
  </si>
  <si>
    <t>Exhibit 7</t>
  </si>
  <si>
    <t>OPERATING REVENUES</t>
  </si>
  <si>
    <t>Total operating revenues</t>
  </si>
  <si>
    <t>OPERATING EXPENSES</t>
  </si>
  <si>
    <t>Depreciation</t>
  </si>
  <si>
    <t>Operating income (loss)</t>
  </si>
  <si>
    <t>NONOPERATING REVENUES (EXPENSES)</t>
  </si>
  <si>
    <t>Total nonoperating revenue (expenses)</t>
  </si>
  <si>
    <t>Income (loss) before contributions and transfers</t>
  </si>
  <si>
    <t>Capital contributions</t>
  </si>
  <si>
    <t>Assets</t>
  </si>
  <si>
    <t>Taxes</t>
  </si>
  <si>
    <t>Economic and physical development</t>
  </si>
  <si>
    <t>Parking and Recreation</t>
  </si>
  <si>
    <t>Ad valorem taxes</t>
  </si>
  <si>
    <t>Other taxes and licenses</t>
  </si>
  <si>
    <t>Unrestricted intergovernmental</t>
  </si>
  <si>
    <t>Restricted intergovernmental</t>
  </si>
  <si>
    <t>Permits and fees</t>
  </si>
  <si>
    <t>Sales and services</t>
  </si>
  <si>
    <t>Transportation</t>
  </si>
  <si>
    <t>Environmental protection</t>
  </si>
  <si>
    <t>Total other financing sources  (uses)</t>
  </si>
  <si>
    <t>Net change in fund balance</t>
  </si>
  <si>
    <t>Grant Project Fund</t>
  </si>
  <si>
    <t>Enterprise Funds:</t>
  </si>
  <si>
    <t>Electric Fund</t>
  </si>
  <si>
    <t>Water and Sewer Fund</t>
  </si>
  <si>
    <t>Parking
and
Recreation</t>
  </si>
  <si>
    <t>Water and
Sewer Fund</t>
  </si>
  <si>
    <t>Internal Service Fund</t>
  </si>
  <si>
    <t>Water and sewer taps</t>
  </si>
  <si>
    <t>Other operating revenues</t>
  </si>
  <si>
    <t>Administration</t>
  </si>
  <si>
    <t>Finance</t>
  </si>
  <si>
    <t>Electric operations</t>
  </si>
  <si>
    <t>Electric power purchases</t>
  </si>
  <si>
    <t>Water treatment and distribution</t>
  </si>
  <si>
    <t>Waste collection and treatment</t>
  </si>
  <si>
    <t>Bond issuance costs</t>
  </si>
  <si>
    <t>Local option sales tax</t>
  </si>
  <si>
    <t>Garage operations</t>
  </si>
  <si>
    <t>GASB 34 CALCULATION OF MAJOR FUNDS</t>
  </si>
  <si>
    <t>Type of Fund</t>
  </si>
  <si>
    <t>10% Rule</t>
  </si>
  <si>
    <t>5% Rule</t>
  </si>
  <si>
    <t>Revenue</t>
  </si>
  <si>
    <t>Columns, Then Fund is a Major Fund</t>
  </si>
  <si>
    <t>N/A</t>
  </si>
  <si>
    <t>YES, ALWAYS MAJOR</t>
  </si>
  <si>
    <t>Capital Projects Funds:</t>
  </si>
  <si>
    <t>10 % of Total Governmental Funds</t>
  </si>
  <si>
    <t>Total Enterprise Funds</t>
  </si>
  <si>
    <t>10% of Total Enterprise Funds</t>
  </si>
  <si>
    <t>Total Governmental &amp; Enterprise Funds</t>
  </si>
  <si>
    <t>5% of Total Governmental &amp; Enterprise Funds</t>
  </si>
  <si>
    <r>
      <t>Computes "</t>
    </r>
    <r>
      <rPr>
        <b/>
        <sz val="8"/>
        <rFont val="Arial"/>
        <family val="2"/>
      </rPr>
      <t>X</t>
    </r>
    <r>
      <rPr>
        <sz val="8"/>
        <rFont val="Arial"/>
        <family val="2"/>
      </rPr>
      <t>" if Meets</t>
    </r>
  </si>
  <si>
    <r>
      <t>Computes "</t>
    </r>
    <r>
      <rPr>
        <b/>
        <sz val="8"/>
        <rFont val="Arial"/>
        <family val="2"/>
      </rPr>
      <t>MAJOR</t>
    </r>
    <r>
      <rPr>
        <sz val="8"/>
        <rFont val="Arial"/>
        <family val="2"/>
      </rPr>
      <t>" if Fund is Major</t>
    </r>
  </si>
  <si>
    <r>
      <t>If a "Category" Has an "</t>
    </r>
    <r>
      <rPr>
        <b/>
        <sz val="8"/>
        <rFont val="Arial"/>
        <family val="2"/>
      </rPr>
      <t>X</t>
    </r>
    <r>
      <rPr>
        <sz val="8"/>
        <rFont val="Arial"/>
        <family val="2"/>
      </rPr>
      <t>" in Both</t>
    </r>
  </si>
  <si>
    <t>Accounts receivable (net) - billed</t>
  </si>
  <si>
    <t>Accounts receivable (net) - unbilled</t>
  </si>
  <si>
    <t>Prepaid items</t>
  </si>
  <si>
    <t>Accounts payable and accrued
 liabilities</t>
  </si>
  <si>
    <t>Revenue bond payable - current</t>
  </si>
  <si>
    <t>Bond anticipation notes payable</t>
  </si>
  <si>
    <t>Revenue bond payable -
 noncurrent</t>
  </si>
  <si>
    <t>Compensated absences - 
current</t>
  </si>
  <si>
    <t>Receivables, net:</t>
  </si>
  <si>
    <t>Accounts</t>
  </si>
  <si>
    <t>Due from component unit</t>
  </si>
  <si>
    <t xml:space="preserve">    Emergency Telephone System Fund</t>
  </si>
  <si>
    <t>Emergency Telephone System</t>
  </si>
  <si>
    <t>Accounts payable and accrued liabilities</t>
  </si>
  <si>
    <t>Statement of Revenues, Expenditures, and Changes in Fund Balance - Budget and Actual</t>
  </si>
  <si>
    <t>Original</t>
  </si>
  <si>
    <t>Final</t>
  </si>
  <si>
    <t>Actual Amounts</t>
  </si>
  <si>
    <t>Variance with Final Budget - Positive (Negative)</t>
  </si>
  <si>
    <t>Emergency Telephone System Fund</t>
  </si>
  <si>
    <t>Revenues:</t>
  </si>
  <si>
    <t>Expenditures:</t>
  </si>
  <si>
    <t>Cultural and recreation</t>
  </si>
  <si>
    <t>Principal retirement</t>
  </si>
  <si>
    <t>Contingency</t>
  </si>
  <si>
    <t>Revenues over (under) expenditures</t>
  </si>
  <si>
    <t>Other financing sources (uses):</t>
  </si>
  <si>
    <t>Total other financing sources (uses)</t>
  </si>
  <si>
    <t>Exhibit 5</t>
  </si>
  <si>
    <t>City of Dogwood, North Carolina</t>
  </si>
  <si>
    <t>Law Enforcement Officers' Special Separation Allowance</t>
  </si>
  <si>
    <t>Required Supplementary Information</t>
  </si>
  <si>
    <t>Schedule of Funding Progress</t>
  </si>
  <si>
    <t>Actuarial Accrued</t>
  </si>
  <si>
    <t>Actuarial</t>
  </si>
  <si>
    <t>Liability (AAL)</t>
  </si>
  <si>
    <t>Unfunded</t>
  </si>
  <si>
    <t>UAAL as a</t>
  </si>
  <si>
    <t>Value of</t>
  </si>
  <si>
    <t>-Projected Unit</t>
  </si>
  <si>
    <t xml:space="preserve">AAL </t>
  </si>
  <si>
    <t>Funded</t>
  </si>
  <si>
    <t>Covered</t>
  </si>
  <si>
    <t>% of Covered</t>
  </si>
  <si>
    <t>Valuation</t>
  </si>
  <si>
    <t>Credit</t>
  </si>
  <si>
    <t>(UAAL)</t>
  </si>
  <si>
    <t>Ratio</t>
  </si>
  <si>
    <t>Payroll</t>
  </si>
  <si>
    <t>Date</t>
  </si>
  <si>
    <t>(a)</t>
  </si>
  <si>
    <t>(b)</t>
  </si>
  <si>
    <t>(b - a)</t>
  </si>
  <si>
    <t>(a/b)</t>
  </si>
  <si>
    <t>(c)</t>
  </si>
  <si>
    <t>((b - a)/c)</t>
  </si>
  <si>
    <t>$</t>
  </si>
  <si>
    <t>Due from other governments</t>
  </si>
  <si>
    <t xml:space="preserve">  Current:</t>
  </si>
  <si>
    <t>Special Revenue Fund - Grant Project Fund</t>
  </si>
  <si>
    <t>Changes in Fund Balances - Budget and Actual</t>
  </si>
  <si>
    <t>Project</t>
  </si>
  <si>
    <t>Actual</t>
  </si>
  <si>
    <t>Variance</t>
  </si>
  <si>
    <t xml:space="preserve">Author - </t>
  </si>
  <si>
    <t>Prior</t>
  </si>
  <si>
    <t xml:space="preserve">Current </t>
  </si>
  <si>
    <t>Total to</t>
  </si>
  <si>
    <t xml:space="preserve"> </t>
  </si>
  <si>
    <t>ization</t>
  </si>
  <si>
    <t>Years</t>
  </si>
  <si>
    <t>Year</t>
  </si>
  <si>
    <t xml:space="preserve">Community Development </t>
  </si>
  <si>
    <t xml:space="preserve">Economic and physical </t>
  </si>
  <si>
    <t xml:space="preserve">  development:</t>
  </si>
  <si>
    <t>Street improvements</t>
  </si>
  <si>
    <t>Construction</t>
  </si>
  <si>
    <t>Rehabilitation</t>
  </si>
  <si>
    <t>Demolition</t>
  </si>
  <si>
    <t>Revenues over expenditures</t>
  </si>
  <si>
    <t>-</t>
  </si>
  <si>
    <t>Budget</t>
  </si>
  <si>
    <t>Ad valorem taxes:</t>
  </si>
  <si>
    <t xml:space="preserve">Total </t>
  </si>
  <si>
    <t>Other taxes and licenses:</t>
  </si>
  <si>
    <t>Local option sales taxes</t>
  </si>
  <si>
    <t>Gross receipts tax on short-term
rental property</t>
  </si>
  <si>
    <t>Animal taxes</t>
  </si>
  <si>
    <t>Unrestricted intergovernmental:</t>
  </si>
  <si>
    <t>Telecommunications sales tax</t>
  </si>
  <si>
    <t>Beer and wine tax</t>
  </si>
  <si>
    <t>Restricted intergovernmental:</t>
  </si>
  <si>
    <t>Powell Bill allocation</t>
  </si>
  <si>
    <t>Controlled substance tax</t>
  </si>
  <si>
    <t>On-behalf of payments - Fire and Rescue</t>
  </si>
  <si>
    <t>Permits and fees:</t>
  </si>
  <si>
    <t>Inspection fees</t>
  </si>
  <si>
    <t>Sales and services:</t>
  </si>
  <si>
    <t>Recreation department fees</t>
  </si>
  <si>
    <t>Miscellaneous:</t>
  </si>
  <si>
    <t>Sale of materials</t>
  </si>
  <si>
    <t>General government:</t>
  </si>
  <si>
    <t>Salaries and employee benefits</t>
  </si>
  <si>
    <t>Professional services</t>
  </si>
  <si>
    <t>Membership dues</t>
  </si>
  <si>
    <t>Other operating expenditures</t>
  </si>
  <si>
    <t>Reimbursement - proprietary funds</t>
  </si>
  <si>
    <t>Administration:</t>
  </si>
  <si>
    <t>Finance:</t>
  </si>
  <si>
    <t>Taxes:</t>
  </si>
  <si>
    <t>Collection fees</t>
  </si>
  <si>
    <t>Legal:</t>
  </si>
  <si>
    <t>Contracted services</t>
  </si>
  <si>
    <t>Public buildings:</t>
  </si>
  <si>
    <t>Vehicle maintenance</t>
  </si>
  <si>
    <t>Total general government</t>
  </si>
  <si>
    <t>Public safety:</t>
  </si>
  <si>
    <t>Police:</t>
  </si>
  <si>
    <t>Fire:</t>
  </si>
  <si>
    <t>Inspections:</t>
  </si>
  <si>
    <t>Rescue units:</t>
  </si>
  <si>
    <t>Assistance to local rescue units</t>
  </si>
  <si>
    <t>Total public safety</t>
  </si>
  <si>
    <t>Transportation:</t>
  </si>
  <si>
    <t>Streets and highways:</t>
  </si>
  <si>
    <t>Sidewalk construction</t>
  </si>
  <si>
    <t>Street Lights</t>
  </si>
  <si>
    <t>Contribution to regional airport</t>
  </si>
  <si>
    <t>Total transportation</t>
  </si>
  <si>
    <t>Environmental protection:</t>
  </si>
  <si>
    <t>Solid waste:</t>
  </si>
  <si>
    <t>Tipping fees</t>
  </si>
  <si>
    <t>Total environmental protection</t>
  </si>
  <si>
    <t>Culture and recreation:</t>
  </si>
  <si>
    <t>Parks and  recreation:</t>
  </si>
  <si>
    <t>Libraries:</t>
  </si>
  <si>
    <t>Contribution to regional library</t>
  </si>
  <si>
    <t>Total culture and recreation</t>
  </si>
  <si>
    <t>Total debt service</t>
  </si>
  <si>
    <t>Capital Projects Fund</t>
  </si>
  <si>
    <t xml:space="preserve">     Total</t>
  </si>
  <si>
    <t>Revenues</t>
  </si>
  <si>
    <t>Recreation Project:</t>
  </si>
  <si>
    <t>State grant</t>
  </si>
  <si>
    <t>Expenditures</t>
  </si>
  <si>
    <t>Capital outlay:</t>
  </si>
  <si>
    <t>Parking Facility Project:</t>
  </si>
  <si>
    <t>Revenues under expenditures</t>
  </si>
  <si>
    <t>Other Financing Sources</t>
  </si>
  <si>
    <t>Parking Facility Project :</t>
  </si>
  <si>
    <t>Total other financing sources</t>
  </si>
  <si>
    <t>Schedule of Revenues and Expenditures</t>
  </si>
  <si>
    <t>Budget and Actual (Non - GAAP)</t>
  </si>
  <si>
    <t xml:space="preserve">Variance </t>
  </si>
  <si>
    <t>Operating revenues:</t>
  </si>
  <si>
    <t xml:space="preserve">    Residential</t>
  </si>
  <si>
    <t xml:space="preserve">    Commercial and industrial</t>
  </si>
  <si>
    <t xml:space="preserve">    Municipal usage</t>
  </si>
  <si>
    <t>Nonoperating revenues:</t>
  </si>
  <si>
    <t>Interest earnings</t>
  </si>
  <si>
    <t>Supplies</t>
  </si>
  <si>
    <t>Insurance</t>
  </si>
  <si>
    <t>Utility service fee</t>
  </si>
  <si>
    <t>Electrical  operations:</t>
  </si>
  <si>
    <t>Contracted  maintenance</t>
  </si>
  <si>
    <t>Electrical power purchases</t>
  </si>
  <si>
    <t>Equipment</t>
  </si>
  <si>
    <t>Rate Stabilization Fund</t>
  </si>
  <si>
    <t xml:space="preserve">Reconciliation from budgetary basis </t>
  </si>
  <si>
    <t>(modified accrual) to full accrual:</t>
  </si>
  <si>
    <t>Reconciling items:</t>
  </si>
  <si>
    <t>Transfer to Rate Stabilization Fund</t>
  </si>
  <si>
    <t>Capital outlays</t>
  </si>
  <si>
    <t>Increase in accrued vacation pay</t>
  </si>
  <si>
    <t>Electric Rate Stabilization Fund</t>
  </si>
  <si>
    <t>Project     Author-   ization</t>
  </si>
  <si>
    <t>Prior Years</t>
  </si>
  <si>
    <t>Current year</t>
  </si>
  <si>
    <t>Total to Date</t>
  </si>
  <si>
    <t>Electric Operating Fund</t>
  </si>
  <si>
    <t xml:space="preserve">     Total other financing</t>
  </si>
  <si>
    <t xml:space="preserve">        sources (uses)</t>
  </si>
  <si>
    <t>Revenues over other financing</t>
  </si>
  <si>
    <t xml:space="preserve">    sources (uses)</t>
  </si>
  <si>
    <t xml:space="preserve">  </t>
  </si>
  <si>
    <t>Water sales:</t>
  </si>
  <si>
    <t xml:space="preserve">   Residential</t>
  </si>
  <si>
    <t xml:space="preserve">   Commercial and industrial</t>
  </si>
  <si>
    <t xml:space="preserve">     Municipal usage </t>
  </si>
  <si>
    <t>Sewer charges:</t>
  </si>
  <si>
    <t>Water and sewer administration:</t>
  </si>
  <si>
    <t>Travel</t>
  </si>
  <si>
    <t>Utility service fees</t>
  </si>
  <si>
    <t>Total water and sewer</t>
  </si>
  <si>
    <t xml:space="preserve">   administration</t>
  </si>
  <si>
    <t>Water treatment and distribution:</t>
  </si>
  <si>
    <t>Water treatment plant:</t>
  </si>
  <si>
    <t xml:space="preserve">   Salaries and employee benefits</t>
  </si>
  <si>
    <t xml:space="preserve">   Chemicals</t>
  </si>
  <si>
    <t xml:space="preserve">   Supplies</t>
  </si>
  <si>
    <t xml:space="preserve">   Other operating expenditures</t>
  </si>
  <si>
    <t xml:space="preserve">   Utility service fee</t>
  </si>
  <si>
    <t>Raw water pump station:</t>
  </si>
  <si>
    <t xml:space="preserve">   Electric power</t>
  </si>
  <si>
    <t>Water distribution:</t>
  </si>
  <si>
    <t xml:space="preserve">   Meter replacements</t>
  </si>
  <si>
    <t xml:space="preserve">Total water treatment and </t>
  </si>
  <si>
    <t xml:space="preserve">   distribution</t>
  </si>
  <si>
    <t>Waste collection and treatment:</t>
  </si>
  <si>
    <t>Sewage collection system:</t>
  </si>
  <si>
    <t>Primary waste treatment:</t>
  </si>
  <si>
    <t>Secondary waste treatment:</t>
  </si>
  <si>
    <t xml:space="preserve">Total waste collection and </t>
  </si>
  <si>
    <t xml:space="preserve">   treatment</t>
  </si>
  <si>
    <t>Water extensions</t>
  </si>
  <si>
    <t>Water taps</t>
  </si>
  <si>
    <t>Miscellaneous water</t>
  </si>
  <si>
    <t>Sewer extensions</t>
  </si>
  <si>
    <t>Sewer taps</t>
  </si>
  <si>
    <t>Miscellaneous sewer</t>
  </si>
  <si>
    <t>Total capital outlay</t>
  </si>
  <si>
    <t xml:space="preserve">  (uses)</t>
  </si>
  <si>
    <t xml:space="preserve">   expenditures and other uses</t>
  </si>
  <si>
    <t xml:space="preserve">Amortization of deferred loss </t>
  </si>
  <si>
    <t xml:space="preserve">   on refunding</t>
  </si>
  <si>
    <t>Total reconciling items</t>
  </si>
  <si>
    <t>Water and Sewer Capital Projects Fund</t>
  </si>
  <si>
    <t>Schedule of Revenues and Expenditures - Budget and Actual (Non - GAAP)</t>
  </si>
  <si>
    <t>Author -</t>
  </si>
  <si>
    <t>Revenues - Water Project :</t>
  </si>
  <si>
    <t>Federal grant</t>
  </si>
  <si>
    <t>Revenues - Sewer Project:</t>
  </si>
  <si>
    <t>Total  revenues</t>
  </si>
  <si>
    <t>Expenditures - Water Project:</t>
  </si>
  <si>
    <t>Engineering</t>
  </si>
  <si>
    <t>Expenditures - Sewer Project:</t>
  </si>
  <si>
    <t>Land</t>
  </si>
  <si>
    <t>Other financing sources :</t>
  </si>
  <si>
    <t>Total other sources</t>
  </si>
  <si>
    <t>Revenues and other sources</t>
  </si>
  <si>
    <t xml:space="preserve">   over (under) expenditures</t>
  </si>
  <si>
    <t>Central Garage Internal Service Fund</t>
  </si>
  <si>
    <t>Schedule of Revenues and Expenditures - Financial Plan  and Actual (Non - GAAP)</t>
  </si>
  <si>
    <t xml:space="preserve">Financial </t>
  </si>
  <si>
    <t>Plan</t>
  </si>
  <si>
    <t>Reconciliation from financial plan</t>
  </si>
  <si>
    <t>basis (modified accrual) to full accrual:</t>
  </si>
  <si>
    <t>Schedule of Ad Valorem Taxes Receivable</t>
  </si>
  <si>
    <t>Uncollected</t>
  </si>
  <si>
    <t>Balance</t>
  </si>
  <si>
    <t>Collections</t>
  </si>
  <si>
    <t>Fiscal Year</t>
  </si>
  <si>
    <t>Additions</t>
  </si>
  <si>
    <t>And Credits</t>
  </si>
  <si>
    <t xml:space="preserve"> $</t>
  </si>
  <si>
    <t>--</t>
  </si>
  <si>
    <t>(d)</t>
  </si>
  <si>
    <t>Less:  allowance for uncollectible accounts:</t>
  </si>
  <si>
    <t xml:space="preserve">    General Fund</t>
  </si>
  <si>
    <t>Ad valorem taxes receivable - net</t>
  </si>
  <si>
    <t>Ad valorem taxes - General Fund</t>
  </si>
  <si>
    <t xml:space="preserve">  Reconciling items:</t>
  </si>
  <si>
    <t xml:space="preserve">     Interest collected</t>
  </si>
  <si>
    <t xml:space="preserve">     Discounts allowed</t>
  </si>
  <si>
    <t xml:space="preserve">     Taxes written off</t>
  </si>
  <si>
    <t xml:space="preserve">       Subtotal</t>
  </si>
  <si>
    <t xml:space="preserve">Total collections and credits </t>
  </si>
  <si>
    <t>Analysis of Current Tax Levy</t>
  </si>
  <si>
    <t>City - Wide Levy</t>
  </si>
  <si>
    <t>Total Levy</t>
  </si>
  <si>
    <t>Property</t>
  </si>
  <si>
    <t>excluding</t>
  </si>
  <si>
    <t>City - Wide</t>
  </si>
  <si>
    <t>Registered</t>
  </si>
  <si>
    <t>Motor</t>
  </si>
  <si>
    <t>Rate</t>
  </si>
  <si>
    <t>Levy</t>
  </si>
  <si>
    <t>Vehicles</t>
  </si>
  <si>
    <t>Original levy:</t>
  </si>
  <si>
    <t>.60</t>
  </si>
  <si>
    <t xml:space="preserve">   Total property valuation</t>
  </si>
  <si>
    <t>Net levy</t>
  </si>
  <si>
    <t>Current year's taxes collected</t>
  </si>
  <si>
    <t>Current levy collection percentage</t>
  </si>
  <si>
    <t>Transfers</t>
  </si>
  <si>
    <t>Enterprise Fund</t>
  </si>
  <si>
    <t>Exhibit 8</t>
  </si>
  <si>
    <t>Statement of Cash Flows</t>
  </si>
  <si>
    <t>Water and</t>
  </si>
  <si>
    <t>Internal</t>
  </si>
  <si>
    <t>Electric</t>
  </si>
  <si>
    <t>Sewer</t>
  </si>
  <si>
    <t>Service</t>
  </si>
  <si>
    <t>Fund</t>
  </si>
  <si>
    <t>CASH FLOWS FROM OPERATING ACTIVITIES</t>
  </si>
  <si>
    <t>Cash paid for goods and services</t>
  </si>
  <si>
    <t>Cash paid to or on behalf of employees for services</t>
  </si>
  <si>
    <t>Customer deposits received</t>
  </si>
  <si>
    <t>Customer deposits returned</t>
  </si>
  <si>
    <t>Net cash provided (used) by operating activities</t>
  </si>
  <si>
    <t>CASH FLOWS FROM NONCAPITAL FINANCING ACTIVITIES</t>
  </si>
  <si>
    <t>CASH FLOWS FROM CAPITAL AND RELATED FINANCING ACTIVITIES</t>
  </si>
  <si>
    <t>Acquisition and construction of capital assets</t>
  </si>
  <si>
    <t>Capital contributions-State grant</t>
  </si>
  <si>
    <t>Capital contributions-federal grant</t>
  </si>
  <si>
    <t>Net cash provided (used) by capital and related financing activities</t>
  </si>
  <si>
    <t>CASH FLOWS FROM INVESTING ACTIVITIES</t>
  </si>
  <si>
    <t>Interest and dividends</t>
  </si>
  <si>
    <t>Net increase (decrease) in cash and cash equivalents</t>
  </si>
  <si>
    <t>Reconciliation of operating income to net cash provided by operating activities</t>
  </si>
  <si>
    <t>Operating income</t>
  </si>
  <si>
    <t>Adjustments to reconcile operating income to net cash provided by operating activities:</t>
  </si>
  <si>
    <t>(Increase) decrease in accounts receivable</t>
  </si>
  <si>
    <t>Increase (decrease) in allowance for doubtful accounts</t>
  </si>
  <si>
    <t>Increase (decrease) in accounts payable and accrued liabilities</t>
  </si>
  <si>
    <t>Total adjustments</t>
  </si>
  <si>
    <t>Net cash provided by operating activities</t>
  </si>
  <si>
    <t>Total other financing (uses)</t>
  </si>
  <si>
    <t>Other financing (uses):</t>
  </si>
  <si>
    <t xml:space="preserve">    and other financing (uses)</t>
  </si>
  <si>
    <t>Transfer to other fund:</t>
  </si>
  <si>
    <t>ABC Revenue for law enforcement</t>
  </si>
  <si>
    <t>ABC profit distribution</t>
  </si>
  <si>
    <t>From General Fund</t>
  </si>
  <si>
    <t>Exhibit 2</t>
  </si>
  <si>
    <t>Statement of Activities</t>
  </si>
  <si>
    <t>Primary Government</t>
  </si>
  <si>
    <t>Functions/Programs</t>
  </si>
  <si>
    <t>Charges for Services</t>
  </si>
  <si>
    <t>Operating Grants and Contributions</t>
  </si>
  <si>
    <t>Capital Grants and Contributions</t>
  </si>
  <si>
    <t>Governmental Activities</t>
  </si>
  <si>
    <t>Business-type Activities</t>
  </si>
  <si>
    <t>Primary government:</t>
  </si>
  <si>
    <t>Governmental Activities:</t>
  </si>
  <si>
    <t>Interest on long-term debt</t>
  </si>
  <si>
    <t>Total governmental activities (See Note 1)</t>
  </si>
  <si>
    <t>Business-type activities:</t>
  </si>
  <si>
    <t>Total business-type activities</t>
  </si>
  <si>
    <t>Total primary government</t>
  </si>
  <si>
    <t>General revenues:</t>
  </si>
  <si>
    <t>Property taxes, levied for general purpose</t>
  </si>
  <si>
    <t>Grants and contributions not restricted to specific programs</t>
  </si>
  <si>
    <t>Unrestricted investment earnings</t>
  </si>
  <si>
    <t>Exhibit 1</t>
  </si>
  <si>
    <t>Internal balances</t>
  </si>
  <si>
    <t>Other capital assets, net of depreciation</t>
  </si>
  <si>
    <t>Total capital assets</t>
  </si>
  <si>
    <t>Due in more than one year</t>
  </si>
  <si>
    <t>Restricted for:</t>
  </si>
  <si>
    <t>Water and sewer</t>
  </si>
  <si>
    <t>ABC Board</t>
  </si>
  <si>
    <t>Due from other funds</t>
  </si>
  <si>
    <t>Cash received from customers</t>
  </si>
  <si>
    <t>Adjustment to reflect the consolidation of internal service fund activities related to enterprise funds.</t>
  </si>
  <si>
    <t>Capital outlays:</t>
  </si>
  <si>
    <t>Due from component units</t>
  </si>
  <si>
    <t>Payable from restricted assets</t>
  </si>
  <si>
    <t>Other taxes</t>
  </si>
  <si>
    <t>Taxes receivables (net)</t>
  </si>
  <si>
    <t>Accounts receivable (net)</t>
  </si>
  <si>
    <t>Accrued interest receivable on taxes</t>
  </si>
  <si>
    <t>Accrued interest payable</t>
  </si>
  <si>
    <t>Change in reserve for inventories</t>
  </si>
  <si>
    <t>Due to primary government</t>
  </si>
  <si>
    <t>Due to other governments</t>
  </si>
  <si>
    <t>Amounts reported for governmental activities in the statement of activities are</t>
  </si>
  <si>
    <t>different because:</t>
  </si>
  <si>
    <t>Governmental funds report capital outlays as expenditures. However, in the Statement of Activities the cost of those assets is allocated over their estimated useful lives and reported as depreciation expense.  This is the amount by which capital outlays exceeded depreciation in the current period</t>
  </si>
  <si>
    <t>Some expenses reported in the statement of activities do not require the use of current financial resources and, therefore, are not reported as expenditures in governmental funds.</t>
  </si>
  <si>
    <t>Transfers from other funds</t>
  </si>
  <si>
    <t>Transfers to other funds</t>
  </si>
  <si>
    <t>Net changes in fund balances - total governmental funds</t>
  </si>
  <si>
    <t>Revenues in the statement of activities that do not provide current financial resources are not reported as revenues in the funds.</t>
  </si>
  <si>
    <t>Capital assets:</t>
  </si>
  <si>
    <t xml:space="preserve">Schedule of Revenues, Expenditures, and </t>
  </si>
  <si>
    <t>Schedule of Revenues, Expenditures, and Changes in Fund Balances - Budget and Actual</t>
  </si>
  <si>
    <t>Major Funds</t>
  </si>
  <si>
    <t>Other noncurrent liabilities:</t>
  </si>
  <si>
    <t>Transfers from other funds:</t>
  </si>
  <si>
    <t>Transfers to other funds:</t>
  </si>
  <si>
    <t>(continued)</t>
  </si>
  <si>
    <t xml:space="preserve">  Amount of donated assets</t>
  </si>
  <si>
    <t>Long-term liabilities:</t>
  </si>
  <si>
    <t>General Fund and Annually Budgeted Major Special Revenue Fund</t>
  </si>
  <si>
    <t>Bond anticipation notes issued</t>
  </si>
  <si>
    <t>Increase in customer deposits</t>
  </si>
  <si>
    <t>Positive</t>
  </si>
  <si>
    <t>(Negative)</t>
  </si>
  <si>
    <t>Installment purchase obligations</t>
  </si>
  <si>
    <t xml:space="preserve"> issued</t>
  </si>
  <si>
    <t>Variance Positive (Negative)</t>
  </si>
  <si>
    <t>General obligation bonds issued</t>
  </si>
  <si>
    <t>Revenue bonds issued</t>
  </si>
  <si>
    <t xml:space="preserve">Note: Revenue includes operating and nonoperating but not other financing sources. Amounts should be taken from the fund statements instead of the government-wide. </t>
  </si>
  <si>
    <t>Installment purchase obligations issued</t>
  </si>
  <si>
    <t>Total operating expenses</t>
  </si>
  <si>
    <t>Combining Balance Sheet</t>
  </si>
  <si>
    <t>Nonmajor Governmental Funds</t>
  </si>
  <si>
    <t>Total Nonmajor</t>
  </si>
  <si>
    <t>Grant Project</t>
  </si>
  <si>
    <t>Governmental</t>
  </si>
  <si>
    <t>Funds</t>
  </si>
  <si>
    <t>Accounts receivable, net</t>
  </si>
  <si>
    <t>Liabilities and Fund Balances</t>
  </si>
  <si>
    <t>Combining Statement of Revenues, Expenditures, and Changes in Fund Balances</t>
  </si>
  <si>
    <t>Cemetery Care Fund</t>
  </si>
  <si>
    <t>Total Non-Major Funds</t>
  </si>
  <si>
    <t>Perpetual maintenance</t>
  </si>
  <si>
    <t>Change in fund balance due to change in reserve for inventory</t>
  </si>
  <si>
    <t>Interest</t>
  </si>
  <si>
    <t xml:space="preserve">State grant </t>
  </si>
  <si>
    <t>Sales of capital assets</t>
  </si>
  <si>
    <t>Fund balances, ending</t>
  </si>
  <si>
    <t>Balances, beginning</t>
  </si>
  <si>
    <t>Balances, ending</t>
  </si>
  <si>
    <t>Fund balance, beginning</t>
  </si>
  <si>
    <t>Fund balance, ending</t>
  </si>
  <si>
    <t>Prior period adjustment</t>
  </si>
  <si>
    <t>Fund balances, beginning as previously</t>
  </si>
  <si>
    <t>reported</t>
  </si>
  <si>
    <t>Major Enterprise Funds</t>
  </si>
  <si>
    <t>Total general revenues and transfers</t>
  </si>
  <si>
    <t>City of Dogwood ABC Board</t>
  </si>
  <si>
    <t>Component unit:</t>
  </si>
  <si>
    <t>Total component unit</t>
  </si>
  <si>
    <t>Enterprise Funds</t>
  </si>
  <si>
    <t xml:space="preserve">Fund balances, beginning as </t>
  </si>
  <si>
    <t>Prior period adjustment (Note III.D.)</t>
  </si>
  <si>
    <t>Extraordinary Item: Gain on insurance recovery</t>
  </si>
  <si>
    <t>Insurance recovery</t>
  </si>
  <si>
    <t>Extraordinary item: gain on insurance recovery</t>
  </si>
  <si>
    <t>Insurance Recovery</t>
  </si>
  <si>
    <t>Impairment loss on waste aerating facility</t>
  </si>
  <si>
    <t>Restoration of flood damage</t>
  </si>
  <si>
    <t>Current portion of long-term liabilities</t>
  </si>
  <si>
    <t>Non-current assets:</t>
  </si>
  <si>
    <t>Accumulated depreciation</t>
  </si>
  <si>
    <t>Gross capital assets at historical cost</t>
  </si>
  <si>
    <t>Depreciation expense for governmental assets</t>
  </si>
  <si>
    <t>Asset impairment loss</t>
  </si>
  <si>
    <t>Sale of capital assets</t>
  </si>
  <si>
    <t>Fund balance appropriated</t>
  </si>
  <si>
    <t>Capital outlay expenditures which were capitalized</t>
  </si>
  <si>
    <t>Liabilities payable from restricted assets:</t>
  </si>
  <si>
    <t>Capital assets (Note 4):</t>
  </si>
  <si>
    <r>
      <t xml:space="preserve">General Fund </t>
    </r>
    <r>
      <rPr>
        <sz val="9"/>
        <rFont val="Arial"/>
        <family val="2"/>
      </rPr>
      <t>(payment in lieu of taxes)</t>
    </r>
  </si>
  <si>
    <t>Building Grant</t>
  </si>
  <si>
    <t>Due to (from) other funds</t>
  </si>
  <si>
    <t>Consolidation adjustment for internal balances between the Internal Service Fund and the Governmental Funds</t>
  </si>
  <si>
    <t>General obligation bonds payable- current</t>
  </si>
  <si>
    <t>Cemetery</t>
  </si>
  <si>
    <t>Permanent</t>
  </si>
  <si>
    <t xml:space="preserve">   New long-term debt issued</t>
  </si>
  <si>
    <t xml:space="preserve">   Principal payments on long-term debt</t>
  </si>
  <si>
    <t xml:space="preserve">   Increase in accrued interest payable </t>
  </si>
  <si>
    <t>Video franchise fee</t>
  </si>
  <si>
    <t>Stormwater:</t>
  </si>
  <si>
    <t>Maps</t>
  </si>
  <si>
    <t>Land use study</t>
  </si>
  <si>
    <t>Land and construction in progress</t>
  </si>
  <si>
    <t xml:space="preserve">Capital assets </t>
  </si>
  <si>
    <t>Solid waste disposal tax</t>
  </si>
  <si>
    <t xml:space="preserve">Program Revenues     </t>
  </si>
  <si>
    <t>Restricted cash and cash equivalents</t>
  </si>
  <si>
    <t>(Increase) decrease in inventory</t>
  </si>
  <si>
    <t>Increase in prepaid items</t>
  </si>
  <si>
    <t>Water and Sewer Fund by Function</t>
  </si>
  <si>
    <t>Water</t>
  </si>
  <si>
    <t>Revenue bond payable - noncurrent</t>
  </si>
  <si>
    <t>Compensated absences -current</t>
  </si>
  <si>
    <t>Revenues over(under) expenditures</t>
  </si>
  <si>
    <t>Schedule of Cash Flows</t>
  </si>
  <si>
    <t xml:space="preserve">   Maintenance</t>
  </si>
  <si>
    <t>Increase in accrued OPEB liability</t>
  </si>
  <si>
    <t>Total general revenues not including transfers</t>
  </si>
  <si>
    <t>Building permits</t>
  </si>
  <si>
    <t xml:space="preserve">   (Increase) decrease in accounts receivable</t>
  </si>
  <si>
    <t>Interest Income</t>
  </si>
  <si>
    <t>Fund Balance, Ending (Exhibit 4)</t>
  </si>
  <si>
    <t>Non Spendable</t>
  </si>
  <si>
    <t>Assigned</t>
  </si>
  <si>
    <t>Restricted</t>
  </si>
  <si>
    <t>Streets</t>
  </si>
  <si>
    <t>Public Safety</t>
  </si>
  <si>
    <t>Unassigned</t>
  </si>
  <si>
    <t>and Changes in Fund Balance - Budget and Actual</t>
  </si>
  <si>
    <t>Economic Development</t>
  </si>
  <si>
    <t>Transfer from the General Fund</t>
  </si>
  <si>
    <t>Fund Balance, Beginning</t>
  </si>
  <si>
    <t xml:space="preserve">   Total Fund Balance, Governmental Funds</t>
  </si>
  <si>
    <t>Economic Development Fund</t>
  </si>
  <si>
    <t>Other functions</t>
  </si>
  <si>
    <t>Subsequent year's expenditures</t>
  </si>
  <si>
    <t>consolidated into the General Fund for reporting purposes:</t>
  </si>
  <si>
    <t>A legally budgeted Economic Development Fund is</t>
  </si>
  <si>
    <t>Stabilization by State Statute</t>
  </si>
  <si>
    <t>Other long-term liabilities (accrued interest) are not due and payable in the current period and therefore are not reported in the funds.</t>
  </si>
  <si>
    <t>Long-term liabilities used in governmental activities are not financial uses and therefore are not reported in the funds</t>
  </si>
  <si>
    <t>Consolidation adjustment for the Internal Service Fund and the Governmental Funds</t>
  </si>
  <si>
    <t>Net revenue of internal service fund</t>
  </si>
  <si>
    <t>Portion of revenue allocated to business-type activities</t>
  </si>
  <si>
    <t xml:space="preserve">   Customer deposits</t>
  </si>
  <si>
    <t>Interest earned</t>
  </si>
  <si>
    <t>Implemental functions</t>
  </si>
  <si>
    <t>Telephone</t>
  </si>
  <si>
    <t>Furniture</t>
  </si>
  <si>
    <t>Software maintenance</t>
  </si>
  <si>
    <t>Hardware maintenance</t>
  </si>
  <si>
    <t>Training</t>
  </si>
  <si>
    <t>S.L. 2010-158 Expenditures</t>
  </si>
  <si>
    <t>Other financing sources:</t>
  </si>
  <si>
    <t xml:space="preserve">Transfer in </t>
  </si>
  <si>
    <t>Appropriated fund balance</t>
  </si>
  <si>
    <t>Cemetery Perpetual Care</t>
  </si>
  <si>
    <t>2011-2012</t>
  </si>
  <si>
    <t xml:space="preserve">   previously reported</t>
  </si>
  <si>
    <t>Statement of Net Position</t>
  </si>
  <si>
    <t>Statement of Revenues, Expenses, and Changes in Fund Net Position</t>
  </si>
  <si>
    <t>DEFERRED INFLOWS OF RESOURCES</t>
  </si>
  <si>
    <t>Total deferred inflows of resources</t>
  </si>
  <si>
    <t>NET POSITION</t>
  </si>
  <si>
    <t>Total net position</t>
  </si>
  <si>
    <t>Net position, ending</t>
  </si>
  <si>
    <t>Total changes in net position of governmental activities</t>
  </si>
  <si>
    <t>Net position of business-type activities</t>
  </si>
  <si>
    <t>Change in net position</t>
  </si>
  <si>
    <t>Total net position, ending</t>
  </si>
  <si>
    <t>Change in net position - business-type activities</t>
  </si>
  <si>
    <t>Schedule of Net Position</t>
  </si>
  <si>
    <t>Prepaid taxes</t>
  </si>
  <si>
    <t>Total liabilities, deferred inflows of resources and fund balances</t>
  </si>
  <si>
    <t>Assets and Deferred Outflows of Resources</t>
  </si>
  <si>
    <t>Liabilities and Deferred Inflows of Resources</t>
  </si>
  <si>
    <t>Decrease in due to other funds</t>
  </si>
  <si>
    <t>Net investment in capital assets</t>
  </si>
  <si>
    <t>Total deferred outflows of resources</t>
  </si>
  <si>
    <t>DEFERRED OUTFLOWS OF RESOURCES</t>
  </si>
  <si>
    <t>Deferred charge on refunding</t>
  </si>
  <si>
    <t>General obligation bonds payable-noncurrent</t>
  </si>
  <si>
    <t>FUND BALANCES</t>
  </si>
  <si>
    <t>Amounts reported for governmental activities in the Statement of Net Position (Exhibit 1) are different because:</t>
  </si>
  <si>
    <t>Long-term debt included as net position below (includes the addition of long-term debt and principal payments during the year.)</t>
  </si>
  <si>
    <t>Net position of governmental activities</t>
  </si>
  <si>
    <t>Payments in lieu of taxes (external sources)</t>
  </si>
  <si>
    <t>2012-2013</t>
  </si>
  <si>
    <t>Expenditures/Expenses</t>
  </si>
  <si>
    <t>The issuance of long-term debt provides current financial resources to governmental funds, while the repayment of the principal of long-term debt consumes the current financial resources of governmental funds.  Neither transaction has any effect on net position.  This amount is the net effect of these differences in the treatment of long-term debt and related items.</t>
  </si>
  <si>
    <t>Charge on refunding</t>
  </si>
  <si>
    <t>Net (Expense) Revenue and Changes in Net Position</t>
  </si>
  <si>
    <t xml:space="preserve">  Change in unavailable revenue for tax revenues</t>
  </si>
  <si>
    <t>Schedule of Revenues, Expenses, and Changes in Fund Net Position</t>
  </si>
  <si>
    <t>Statement of Fund Net Position</t>
  </si>
  <si>
    <t>Property taxes receivable</t>
  </si>
  <si>
    <t>2013-2014</t>
  </si>
  <si>
    <t>Property taxed at current rate</t>
  </si>
  <si>
    <t>Reconciliation to revenues:</t>
  </si>
  <si>
    <t>Internal service funds are used by management to charge the costs of certain activities, such as insurance and telecommunications, to individual funds. The assets and liabilities of certain internal service funds are included in governmental activities in the statement of net position.</t>
  </si>
  <si>
    <r>
      <t>NOTE TO PREPARER:</t>
    </r>
    <r>
      <rPr>
        <sz val="10"/>
        <color indexed="8"/>
        <rFont val="Arial"/>
        <family val="2"/>
      </rPr>
      <t xml:space="preserve">  The consolidation of the internal service fund activities related to the enterprise fund is shown for illustrative purposes only.  The amount shown here is clearly immaterial and should be allocated back to the primary user of the internal service fund (in Dogwood, the General Fund)  instead of consolidated with the enterprise fund.  However, we chose to leave the allocation here for illustrative purposes so that the user could see how this consolidation, if material, should be treated.  </t>
    </r>
  </si>
  <si>
    <r>
      <t>Note to preparer</t>
    </r>
    <r>
      <rPr>
        <sz val="10"/>
        <color indexed="8"/>
        <rFont val="Arial"/>
        <family val="2"/>
      </rPr>
      <t xml:space="preserve">:  The City of Dogwood budgets a Economic Development Fund that does not meet the GASB Statement 54 definition of a Special Revenue Fund.  The primary revenue source of the Economic Development Fund is a General Fund transfer of unassigned revenues, which is not a restricted or committed revenue resource for a Special Revenue Fund as defined by GASB Statement 54.  This fund is consolidated in the General Fund for reporting purposes.  </t>
    </r>
  </si>
  <si>
    <r>
      <t>NOTE TO PREPARER:</t>
    </r>
    <r>
      <rPr>
        <sz val="10"/>
        <color indexed="8"/>
        <rFont val="Arial"/>
        <family val="2"/>
      </rPr>
      <t xml:space="preserve">  As requested by the USDA, those governments who have borrowed from the USDA must report for their water and sewer systems separately.  For the City of Dogwood, it is assumed that the budgeting and accounting for water and sewer services are performed for the Water and Sewer Fund as a whole.  To accommodate the USDA's request, the separation by function of the Water and Sewer Fund has been included as Supplementary Information.  This is for illustrative purposes only.</t>
    </r>
  </si>
  <si>
    <r>
      <t xml:space="preserve">Note to Preparer:  </t>
    </r>
    <r>
      <rPr>
        <sz val="10"/>
        <color indexed="8"/>
        <rFont val="Arial"/>
        <family val="2"/>
      </rPr>
      <t>In 2008, the State assumed the responsibility for charging and administering the 911 funds under the new State 911 Board.  Session Law 2007-383 became effective January 1, 2008.  Any unspent Local land telephone 911 fees should have been transferred into the General Fund for any lawful purpose during the 2007-2008 fiscal year.  See memoranda #2011-7, 2010-14, 1105, and 1091 for additional information. It is recommended that any reimbursement for ineligible expenditures made in the prior fiscal year should be presented as a transfer into the Emergency Telephone System Fund.</t>
    </r>
  </si>
  <si>
    <t>Plan fiduciary net position as a percentage of the total pension liability</t>
  </si>
  <si>
    <t>City of Dogwood's Contributions</t>
  </si>
  <si>
    <t>City of Dogwood's Proportionate Share of Net Pension Liability</t>
  </si>
  <si>
    <t>Contractually required contribution</t>
  </si>
  <si>
    <t>Contributions in relation to the contractually required contribution</t>
  </si>
  <si>
    <t>Contribution deficiency (excess)</t>
  </si>
  <si>
    <t>Pension deferrals</t>
  </si>
  <si>
    <t>Less Internal Service Fund's beginning net capital assets included as net position below (include the addition to accumulated depreciation less capital outlays during the year)</t>
  </si>
  <si>
    <t>Other long-term assets (accrued interest receivable from taxes) are not available to pay for current-period expenditures and therefore are inflows of resources in the funds.</t>
  </si>
  <si>
    <t>Earned revenues considered deferred inflows of resources in fund statements.</t>
  </si>
  <si>
    <t>Local Government Employees' Retirement System</t>
  </si>
  <si>
    <t>Firefighters' and Rescue Squad Workers' Pension</t>
  </si>
  <si>
    <t>Dogwood's proportionate share of the net pension liability (%)</t>
  </si>
  <si>
    <t>Dogwood's proportionate share of the net pension liability ($)</t>
  </si>
  <si>
    <t>Business registration fee</t>
  </si>
  <si>
    <t>Utilities sales tax</t>
  </si>
  <si>
    <t>Piped natural gas sales tax</t>
  </si>
  <si>
    <t>Pension expense</t>
  </si>
  <si>
    <t xml:space="preserve">  cont.  </t>
  </si>
  <si>
    <r>
      <t xml:space="preserve">Note to Preparer:  </t>
    </r>
    <r>
      <rPr>
        <sz val="10"/>
        <color indexed="8"/>
        <rFont val="Arial"/>
        <family val="2"/>
      </rPr>
      <t>The City adopted a fund balance spending policy after implementation of GASB Statement No. 54.  It requires the City to first use restricted revenues before unrestricted revenues.  In this example, fund balance would be classified as assigned fund balance, since the expenditures of $590,000 used first the long term debt issuance of $200,000 then $205,000 of restricted revenue, and the remainder was covered by the $208,400 unrestricted revenue. In other circumstances fund balance could be classified as Committed in Capital Project Funds.  Please review Memo #2010-35 which addresses components of Fund Balance.</t>
    </r>
  </si>
  <si>
    <t>Advance from other funds</t>
  </si>
  <si>
    <t>Advance to other funds</t>
  </si>
  <si>
    <t>Dogwood's proportion of the net pension liability (asset) ($)</t>
  </si>
  <si>
    <t>Dogwood's proportion of the net pension liability (asset) (%)</t>
  </si>
  <si>
    <t>Increase in advances from other funds</t>
  </si>
  <si>
    <r>
      <t xml:space="preserve">Note to preparer:  </t>
    </r>
    <r>
      <rPr>
        <sz val="10"/>
        <color indexed="8"/>
        <rFont val="Arial"/>
        <family val="2"/>
      </rPr>
      <t>The lower case letters next to certain amounts on the Analysis of Current Tax Levy and in the above schedule show the relationships of taxes levied, taxes collected, and uncollected taxes on both schedules.</t>
    </r>
  </si>
  <si>
    <t>Contributions to pension plan in fiscal year</t>
  </si>
  <si>
    <t>Advances from other funds</t>
  </si>
  <si>
    <r>
      <rPr>
        <b/>
        <sz val="11"/>
        <color indexed="8"/>
        <rFont val="Arial"/>
        <family val="2"/>
      </rPr>
      <t xml:space="preserve">Note to preparer: </t>
    </r>
    <r>
      <rPr>
        <sz val="11"/>
        <color indexed="8"/>
        <rFont val="Arial"/>
        <family val="2"/>
      </rPr>
      <t>GAAP does not require that a financial plan for an Internal Service Fund be included with the financial statements.  However, this financial plan is included to demonstrate legal compliance with G.S. 159-13.1</t>
    </r>
  </si>
  <si>
    <t>2014-2015</t>
  </si>
  <si>
    <t>Contributions to the pension plan in the current fiscal year are not included on the Statement of Activities</t>
  </si>
  <si>
    <t>Plan fiduciary net position as a percentage of the total pension liability**</t>
  </si>
  <si>
    <t xml:space="preserve">**  This will be the same percentage for all participant employers in the LGERS plan.  </t>
  </si>
  <si>
    <t>*  The amounts presented for each fiscal year were determined as of the prior fiscal year ending June 30.</t>
  </si>
  <si>
    <t>(cont.)</t>
  </si>
  <si>
    <t xml:space="preserve">Note to preparer:  Units that choose to aggregate deferred outflows and deferred inflows on the face of the statements should itemize components in the notes.  For financial statement presentation of deferred outflows and inflows of resources in the aggregate, please see Carolina County. </t>
  </si>
  <si>
    <r>
      <t>Note to preparer:</t>
    </r>
    <r>
      <rPr>
        <sz val="9"/>
        <rFont val="Arial"/>
        <family val="2"/>
      </rPr>
      <t xml:space="preserve">  A NC Supreme Court ruling and later interpretation of that ruling indicate that penalties assessed by local governments are in fact, property of the LEA.  It is our belief that this interpretation applies to fees including, but not limited to, late listing and failure to list penalties, NSF fees, and red light camera fees.  Under the State Constitution, units may withhold 10% of the funds to cover administrative costs.  Memorandum #1060 provides additional discussion on this subject. 
</t>
    </r>
  </si>
  <si>
    <r>
      <t xml:space="preserve">Note to preparer:  </t>
    </r>
    <r>
      <rPr>
        <sz val="10"/>
        <rFont val="Arial"/>
        <family val="2"/>
      </rPr>
      <t>Information is not required to be presented retroactively.  This schedule will NOT present 10 years' worth of information until fiscal year 2024.</t>
    </r>
  </si>
  <si>
    <r>
      <rPr>
        <b/>
        <sz val="10"/>
        <rFont val="Arial"/>
        <family val="2"/>
      </rPr>
      <t>Note to preparer</t>
    </r>
    <r>
      <rPr>
        <sz val="10"/>
        <rFont val="Arial"/>
        <family val="2"/>
      </rPr>
      <t xml:space="preserve">: Units that report to ORBIT under more than one ORBIT account number should present RSI as a total of their ORBIT accounts.  </t>
    </r>
  </si>
  <si>
    <r>
      <rPr>
        <b/>
        <sz val="10"/>
        <rFont val="Arial"/>
        <family val="2"/>
      </rPr>
      <t>Note to preparer</t>
    </r>
    <r>
      <rPr>
        <sz val="10"/>
        <rFont val="Arial"/>
        <family val="2"/>
      </rPr>
      <t xml:space="preserve">:  The amounts for contributions to the pension plan in the reconciliation differ from Exhibit 1 because a portion of these amounts have been allocated to the internal service fund on Exhibit 6.  The amounts on these two exhibits should be the same for units with no internal service fund.  </t>
    </r>
  </si>
  <si>
    <t xml:space="preserve">Schedule of Revenues, Expenditures, </t>
  </si>
  <si>
    <t>City of Dogwood's Proportionate Share of Net Pension Liability (Asset)</t>
  </si>
  <si>
    <t>State's proportionate share of the net pension liability associated with City of Dogwood</t>
  </si>
  <si>
    <t>Changes in assets, deferred outflows of resources, and liabilities:</t>
  </si>
  <si>
    <t>Net pension liability</t>
  </si>
  <si>
    <t>*  The amounts presented are for the prior fiscal year.</t>
  </si>
  <si>
    <r>
      <rPr>
        <b/>
        <sz val="10"/>
        <color indexed="8"/>
        <rFont val="ARIAL"/>
        <family val="2"/>
      </rPr>
      <t xml:space="preserve">Note to preparer:  </t>
    </r>
    <r>
      <rPr>
        <sz val="10"/>
        <color indexed="8"/>
        <rFont val="Arial"/>
        <family val="2"/>
      </rPr>
      <t xml:space="preserve">Current year's taxes collected for motor vehicles should </t>
    </r>
    <r>
      <rPr>
        <b/>
        <sz val="10"/>
        <color indexed="8"/>
        <rFont val="ARIAL"/>
        <family val="2"/>
      </rPr>
      <t>not</t>
    </r>
    <r>
      <rPr>
        <sz val="10"/>
        <color indexed="8"/>
        <rFont val="Arial"/>
        <family val="2"/>
      </rPr>
      <t xml:space="preserve"> be presented net of any administrative fees charged by the county or State.  The number appearing in this schedule for current year's taxes collected should be gross revenues collected.  </t>
    </r>
  </si>
  <si>
    <r>
      <t>For budget purposes interest, discovery/"late listing" penalties, service fees, advertising fees and other costs are not principal tax and should be excluded form the collection percentage calculation.  Please refer to Budgets and Tax Collection Percentage (</t>
    </r>
    <r>
      <rPr>
        <u/>
        <sz val="10"/>
        <color indexed="8"/>
        <rFont val="Arial"/>
        <family val="2"/>
      </rPr>
      <t xml:space="preserve">http://canons.sog.unc.edu/?p=6483 </t>
    </r>
    <r>
      <rPr>
        <sz val="10"/>
        <color indexed="8"/>
        <rFont val="Arial"/>
        <family val="2"/>
      </rPr>
      <t xml:space="preserve">) by Chris McLaughlin from the School of Government at UNC Chapel-Hill for more information on tax collection percentages.  </t>
    </r>
  </si>
  <si>
    <t>Releases</t>
  </si>
  <si>
    <t>Increase in deferred outflows of resources  - pensions</t>
  </si>
  <si>
    <t>Increase in net pension liability</t>
  </si>
  <si>
    <t>Decrease in deferred inflows of resources - pensions</t>
  </si>
  <si>
    <t>Pursuant to loan requirements</t>
  </si>
  <si>
    <t>Restricted pursuant to loan requirements</t>
  </si>
  <si>
    <t>Discoveries - current and prior years</t>
  </si>
  <si>
    <t>Deferred outflows of resources related to pensions are not reported in the funds</t>
  </si>
  <si>
    <t>Deferred inflows of resources related to pensions are not reported in the funds</t>
  </si>
  <si>
    <t>Dogwood's covered payroll</t>
  </si>
  <si>
    <t>(cont)</t>
  </si>
  <si>
    <t xml:space="preserve">Statement of Revenues, Expenditures, and </t>
  </si>
  <si>
    <r>
      <rPr>
        <b/>
        <sz val="10"/>
        <rFont val="Arial"/>
        <family val="2"/>
      </rPr>
      <t>Note to preparer</t>
    </r>
    <r>
      <rPr>
        <sz val="10"/>
        <rFont val="Arial"/>
        <family val="2"/>
      </rPr>
      <t xml:space="preserve">:  With the implementation of the asset provision of GASB Statement 73, employer contributions are no longer considered in the calculation of the net pension asset or pbligation for units who are not setting aside assets to fund the benefit in a trust fund.  The Schedule of Employer Contributions has been deleted. </t>
    </r>
  </si>
  <si>
    <r>
      <rPr>
        <b/>
        <sz val="10"/>
        <rFont val="Arial"/>
        <family val="2"/>
      </rPr>
      <t>Note to preparer</t>
    </r>
    <r>
      <rPr>
        <sz val="10"/>
        <rFont val="Arial"/>
        <family val="2"/>
      </rPr>
      <t>: Factors that would significantly affect the identification of trends in the amounts reported in the required schedules should be disclosed here (for example, in benefit provisions or the actuarial methods and assumptions used).</t>
    </r>
  </si>
  <si>
    <r>
      <t xml:space="preserve">Note to Preparer:  </t>
    </r>
    <r>
      <rPr>
        <sz val="10"/>
        <color indexed="8"/>
        <rFont val="Arial"/>
        <family val="2"/>
      </rPr>
      <t xml:space="preserve">The City of Dogwood budgets an Economic Development Fund that does not meet the GASBS 54 definition of a Special Revenue Fund as its primary revenue source is a transfer of assigned revenues from the General Fund.  Under certain circumstances, it can also be a transfer of committed revenues from the General Fund.  Review Memo #2010-35 which addresses components of Fund Balance for more information.   This fund is consolidated in the General Fund for reporting purposes.  </t>
    </r>
  </si>
  <si>
    <r>
      <t>NOTE TO PREPARER:</t>
    </r>
    <r>
      <rPr>
        <sz val="10"/>
        <color indexed="8"/>
        <rFont val="Arial"/>
        <family val="2"/>
      </rPr>
      <t xml:space="preserve">  The consolidation of the internal service fund activities related to the enterprise fund is shown for illustrative purposes only.  The amount shown here is clearly immaterial and should be allocated back the primary user of the internal service fund (in Dogwood, the General Fund)  instead of consolidated with the enterprise fund.  However, we chose to leave the allocation here for illustrative purposes so that the user could see how this consolidation, if material, should be treated.  </t>
    </r>
  </si>
  <si>
    <t>Total pension liability</t>
  </si>
  <si>
    <t>Benefit payments paid and administrative expense for the LEOSSA are not included on the Statement of Activities</t>
  </si>
  <si>
    <t>Contributions as a percentage of covered payroll</t>
  </si>
  <si>
    <t>Schedule of Changes in Total Pension Liability</t>
  </si>
  <si>
    <t xml:space="preserve">Law Enforcement Officers' Special Separation Allowance </t>
  </si>
  <si>
    <t>Beginning balance</t>
  </si>
  <si>
    <t>Service Cost</t>
  </si>
  <si>
    <t>Interest on the total pension liability</t>
  </si>
  <si>
    <t>Changes of benefit terms</t>
  </si>
  <si>
    <t>Changes of assumptions or other inputs</t>
  </si>
  <si>
    <t>Benefit payments</t>
  </si>
  <si>
    <t>Other changes</t>
  </si>
  <si>
    <t>Ending balance of the total pension liability</t>
  </si>
  <si>
    <t>Schedule of Total Pension Liability as a Percentage of Covered Payroll</t>
  </si>
  <si>
    <t>Covered payroll</t>
  </si>
  <si>
    <t>Total pension liability as a percentage of covered payroll</t>
  </si>
  <si>
    <t>Notes to the schedules:</t>
  </si>
  <si>
    <t>The City of Dogwood has no assets accumulated in a trust that meets the criteria in paragraph 4 of GASB Statement 73 to pay related benefits.</t>
  </si>
  <si>
    <t xml:space="preserve">  Variance   </t>
  </si>
  <si>
    <t xml:space="preserve">  Positive  </t>
  </si>
  <si>
    <t xml:space="preserve">     </t>
  </si>
  <si>
    <t xml:space="preserve">  Budget  </t>
  </si>
  <si>
    <t xml:space="preserve">  Actual  </t>
  </si>
  <si>
    <t xml:space="preserve">  (Negative)  </t>
  </si>
  <si>
    <t>2015-2016</t>
  </si>
  <si>
    <t>Public Safety:</t>
  </si>
  <si>
    <t>2016-2017</t>
  </si>
  <si>
    <t>Last Five Fiscal Years *</t>
  </si>
  <si>
    <t>2017-2018</t>
  </si>
  <si>
    <t>(Increase) in prepaid items</t>
  </si>
  <si>
    <t>Increase in deferred inflows of resources - pensions</t>
  </si>
  <si>
    <t>Differences between expected and actual experience in the measurement of the total pension liability</t>
  </si>
  <si>
    <t>Total OPEB liability</t>
  </si>
  <si>
    <t>OPEB deferrals</t>
  </si>
  <si>
    <t>Deferred outflows of resources related to OPEB are not reported in the funds</t>
  </si>
  <si>
    <t>Deferred inflows of resources related to OPEB are not reported in the funds</t>
  </si>
  <si>
    <t>OPEB plan expense</t>
  </si>
  <si>
    <t xml:space="preserve">Last Five Fiscal Years </t>
  </si>
  <si>
    <t>Total OPEB Liability</t>
  </si>
  <si>
    <t>Service cost</t>
  </si>
  <si>
    <t>Differences between expected and actual experience</t>
  </si>
  <si>
    <t>Changes of assumptions</t>
  </si>
  <si>
    <t>Net change in total OPEB liability</t>
  </si>
  <si>
    <t>Total OPEB liability - beginning</t>
  </si>
  <si>
    <t xml:space="preserve">Total OPEB liability - ending </t>
  </si>
  <si>
    <t>Increase in OPEB liability</t>
  </si>
  <si>
    <t>(Increase) in deferred outflows of resources - OPEB</t>
  </si>
  <si>
    <t>Increase in deferred inflows of resources - OPEB</t>
  </si>
  <si>
    <t>OPEB benefit payments and administrative costs made in the current fiscal year are not included on the Statement of Activities</t>
  </si>
  <si>
    <t>OPEB liability</t>
  </si>
  <si>
    <t>Total OPEB liability as a percentage of covered payroll</t>
  </si>
  <si>
    <t xml:space="preserve">* Amounts paid to the State by taxpayers but not yet remitted/distributed to cities within the county should be counted as collected for purposes of this schedule and not include in "Unpaid (by taxpayer)" amount.  </t>
  </si>
  <si>
    <t>General Fund (de facto payment for property taxes - PILOT)</t>
  </si>
  <si>
    <t>Notes to Schedule</t>
  </si>
  <si>
    <t>Schedule of Changes in the Total OPEB Liability and Related Ratios</t>
  </si>
  <si>
    <t>Changes of assumptions:  Changes of assumptions and other inputs reflect the effects of changes in the discount rate of each period.  The following are the discount rates used in each period:</t>
  </si>
  <si>
    <t>Fiscal year</t>
  </si>
  <si>
    <t>Decrease in deferred outflows of resources - OPEB</t>
  </si>
  <si>
    <t>Decrease in accrued OPEB liability</t>
  </si>
  <si>
    <t>(Increase) decrease in deferred outflows of resources  - pensions</t>
  </si>
  <si>
    <t>Increase (decrease) in net pension liability</t>
  </si>
  <si>
    <t>Increase (decrease) in deferred inflows of resources - pensions</t>
  </si>
  <si>
    <t>2018-2019</t>
  </si>
  <si>
    <t>2019-2020</t>
  </si>
  <si>
    <r>
      <t xml:space="preserve">The property valuations, tax rate, and levy amounts above </t>
    </r>
    <r>
      <rPr>
        <b/>
        <sz val="10"/>
        <color indexed="8"/>
        <rFont val="ARIAL"/>
        <family val="2"/>
      </rPr>
      <t xml:space="preserve">should be Unit-Wide; </t>
    </r>
    <r>
      <rPr>
        <sz val="10"/>
        <color indexed="8"/>
        <rFont val="Arial"/>
        <family val="2"/>
      </rPr>
      <t xml:space="preserve">additional taxes  levied for fire protection districts or special service districts </t>
    </r>
    <r>
      <rPr>
        <b/>
        <sz val="10"/>
        <color indexed="8"/>
        <rFont val="ARIAL"/>
        <family val="2"/>
      </rPr>
      <t xml:space="preserve">should not be included. </t>
    </r>
  </si>
  <si>
    <r>
      <t xml:space="preserve">Note to preparer: </t>
    </r>
    <r>
      <rPr>
        <sz val="10"/>
        <rFont val="Arial"/>
        <family val="2"/>
      </rPr>
      <t>The only unpaid registered motor vehicle tax at June 30 will be amounts owed for limited registration plates. This does not include amounts that have been paid by taxpayers to other entities on behalf of the unit (e.g. motor vehicle taxes paid to State but not yet remitted to taxing unit).</t>
    </r>
  </si>
  <si>
    <r>
      <t>Note to preparer</t>
    </r>
    <r>
      <rPr>
        <sz val="10"/>
        <color indexed="8"/>
        <rFont val="Arial"/>
        <family val="2"/>
      </rPr>
      <t xml:space="preserve">: In order for the Department of Commerce to be able to track where the funding  for each Community Development Block Grant ("CDBG") is spent, multiple grants should be distinguished.  If a  CDBG is primarily for a project that will benefit an enterprise fund, the grant should be shown as a capital project of the respective enterprise fund.  For purposes of GASB  Statement No. 54 the grants fund example was determined to be a special revenue fund since it did have a specific special revenue source with restricted uses; the revenue source allows for uses other than capital and debt and  any capital expenditures are normally for assets for which the unit does not have title.  </t>
    </r>
  </si>
  <si>
    <t xml:space="preserve">   Net cash provided (used) by noncapital financing
   activities</t>
  </si>
  <si>
    <t>Fund balance. ending</t>
  </si>
  <si>
    <r>
      <t xml:space="preserve">For budget purposes interest, discovery/"late listing" penalties, service fees, advertising fees and other costs are not principal tax and should be excluded from the collection percentage calculation. </t>
    </r>
    <r>
      <rPr>
        <sz val="10"/>
        <color indexed="8"/>
        <rFont val="Arial"/>
        <family val="2"/>
      </rPr>
      <t xml:space="preserve">  </t>
    </r>
  </si>
  <si>
    <t>Last Eight Fiscal Years *</t>
  </si>
  <si>
    <t>Dogwood's proportionate share of the net pension liability (asset) as a percentage of its covered payroll</t>
  </si>
  <si>
    <t>Dogwood's proportionate share of the net pension liability as a percentage of its covered payroll</t>
  </si>
  <si>
    <r>
      <rPr>
        <b/>
        <sz val="10"/>
        <rFont val="Arial"/>
        <family val="2"/>
      </rPr>
      <t>Note to preparer:</t>
    </r>
    <r>
      <rPr>
        <sz val="10"/>
        <rFont val="Arial"/>
        <family val="2"/>
      </rPr>
      <t xml:space="preserve">  All years for which information is available should be presented up to 10 years.  If your valuation report provides information from the prior year(s), present all prior years for which information has been provided to you.  </t>
    </r>
  </si>
  <si>
    <t>.</t>
  </si>
  <si>
    <t>* The amounts presented for each fiscal year were determined as of the prior year ending December 31.</t>
  </si>
  <si>
    <t>Last Four Fiscal Years</t>
  </si>
  <si>
    <t>Fines and Forfeitures Fund</t>
  </si>
  <si>
    <t>Penalties, fines and forfeitures</t>
  </si>
  <si>
    <t xml:space="preserve">   General government</t>
  </si>
  <si>
    <t xml:space="preserve">Payments of penalties, fines and forfeitures to the </t>
  </si>
  <si>
    <t>Carolina County Board of Education</t>
  </si>
  <si>
    <t>Fund balance, beginning, as previously reported</t>
  </si>
  <si>
    <t>Prior period restatement - change in accounting principle</t>
  </si>
  <si>
    <t>Fund balance, beginning, as restated</t>
  </si>
  <si>
    <t>Special Revenue Fund - Fines and Forfeitures Fund</t>
  </si>
  <si>
    <r>
      <t xml:space="preserve">Note to Preparer:  </t>
    </r>
    <r>
      <rPr>
        <sz val="10"/>
        <color indexed="8"/>
        <rFont val="Arial"/>
        <family val="2"/>
      </rPr>
      <t>As a result of the implementation of GASB Statement No. 84 -</t>
    </r>
    <r>
      <rPr>
        <i/>
        <sz val="10"/>
        <color indexed="8"/>
        <rFont val="Arial"/>
        <family val="2"/>
      </rPr>
      <t xml:space="preserve"> Fiduciary Activities</t>
    </r>
    <r>
      <rPr>
        <sz val="10"/>
        <color indexed="8"/>
        <rFont val="Arial"/>
        <family val="2"/>
      </rPr>
      <t xml:space="preserve">, fines and forfeitures assessed that are required to be remitted to the Carolina County Board of Education, formerly reported as agency funds,  are now required to be reported as a governmental fund type.  The City of Dogwood has chosen to report these funds in a special revenue fund.  </t>
    </r>
  </si>
  <si>
    <t xml:space="preserve">Fines and </t>
  </si>
  <si>
    <t>Payments of penalties, fines and forfeitures to the Carolina County Board of Education</t>
  </si>
  <si>
    <t xml:space="preserve">  Prior period restatement - change in accounting principle</t>
  </si>
  <si>
    <t>Forfeitures</t>
  </si>
  <si>
    <t>Nonspendable - Perpetual Maintenance</t>
  </si>
  <si>
    <t>Restricted - Education</t>
  </si>
  <si>
    <r>
      <t xml:space="preserve">Note to Preparer:  </t>
    </r>
    <r>
      <rPr>
        <sz val="10"/>
        <color indexed="8"/>
        <rFont val="Arial"/>
        <family val="2"/>
      </rPr>
      <t>Please refer to Memorandum #1060 for a discussion on the trends of courts judging in favor of the remittance of penalties on delinquent ad valorem taxes to local educational agencies.</t>
    </r>
  </si>
  <si>
    <t>Penalties collected on ad valorem taxes - Fines and Forfeitures Special Revenue Fund</t>
  </si>
  <si>
    <t>Education</t>
  </si>
  <si>
    <t>Net position, beginning, as previously reported</t>
  </si>
  <si>
    <t>2020-2021</t>
  </si>
  <si>
    <t>NOTE TO PREPARER:  Cash flow from operations has taken on an important role in our evaluation of fiscal health. Statement preparers need to be sure that only operating items go in the cash flow from operations category.</t>
  </si>
  <si>
    <r>
      <rPr>
        <b/>
        <sz val="10"/>
        <rFont val="Arial"/>
        <family val="2"/>
      </rPr>
      <t xml:space="preserve">Note to preparer:  </t>
    </r>
    <r>
      <rPr>
        <sz val="10"/>
        <rFont val="Arial"/>
        <family val="2"/>
      </rPr>
      <t>The transfer amounts presented in this exhibit should not be considered to be a recommendation by the State and Local Government Finance Division of the amounts which a local government should transfer from its Electric Operating Fund to the Rate Stabilization Fund.  The amounts presented here are to be used for illustrative purposes only.</t>
    </r>
  </si>
  <si>
    <t>Lease receivable</t>
  </si>
  <si>
    <t>Total non-current assets</t>
  </si>
  <si>
    <t>Net position, beginning</t>
  </si>
  <si>
    <t>Lease Receivable</t>
  </si>
  <si>
    <t>Accumulated amortization</t>
  </si>
  <si>
    <t>Lease liabilities issued</t>
  </si>
  <si>
    <t>Amortization expense for intangible assets</t>
  </si>
  <si>
    <t>Fund balances, beginning</t>
  </si>
  <si>
    <t>Leases</t>
  </si>
  <si>
    <t>Right to use assets at historical cost</t>
  </si>
  <si>
    <t>Lease revenue</t>
  </si>
  <si>
    <t>Interest on lease receivable</t>
  </si>
  <si>
    <t>Right to use leased assets used in governmental activities are not financial resources and therefore are not reported in the funds.</t>
  </si>
  <si>
    <t>Right to used leased asset capital outlay expenditures which were capitalized</t>
  </si>
  <si>
    <t>Accrued interest receivable on leases</t>
  </si>
  <si>
    <t xml:space="preserve">Note to preparer:  Though GAAP requires expenditures to be presented by function in the basic financial statements,  the State of North Carolina requires that the Emergency Telephone System Fund expenditures be presented in more detail in the supplementary information.  </t>
  </si>
  <si>
    <r>
      <rPr>
        <b/>
        <sz val="10"/>
        <rFont val="Arial"/>
        <family val="2"/>
      </rPr>
      <t>Note to Preparer</t>
    </r>
    <r>
      <rPr>
        <sz val="10"/>
        <rFont val="Arial"/>
        <family val="2"/>
      </rPr>
      <t>:  The amounts above should agree with the amounts reported on the PSAP Revenue-Expenditure Report submitted to the State 911 Board.  If the amounts do not agree please provide a reconciliation explaining expenditures not reported.  Please see Carolina County for a sample reconciliation page.</t>
    </r>
  </si>
  <si>
    <r>
      <t>Note to preparer</t>
    </r>
    <r>
      <rPr>
        <sz val="10"/>
        <color indexed="8"/>
        <rFont val="Arial"/>
        <family val="2"/>
      </rPr>
      <t>: To simplify confirming compliance with  the unit's electric transfer  policies, please itemize components of Electric Fund transfers should a transfer include amounts in excess of payments made in essence for property taxes (PILOT).  See transfer note in notes to the financial statements.</t>
    </r>
  </si>
  <si>
    <t>June 30, 2023</t>
  </si>
  <si>
    <t>For the Year Ended June 30, 2023</t>
  </si>
  <si>
    <t>From Inception and For the Fiscal Year Ended June 30, 2023</t>
  </si>
  <si>
    <t>Lease liabilities</t>
  </si>
  <si>
    <t>Beginning net position</t>
  </si>
  <si>
    <t>Accrued interest receivable - lease</t>
  </si>
  <si>
    <t>Depreciation and amortization</t>
  </si>
  <si>
    <r>
      <t xml:space="preserve">Note to preparer: </t>
    </r>
    <r>
      <rPr>
        <sz val="10"/>
        <rFont val="Arial"/>
        <family val="2"/>
      </rPr>
      <t xml:space="preserve">The RSI schedules presented in the updated fiscal year-end 2023 illustrative statements were not changed from the amounts presented in the prior fiscal year other than to add an additional year of data. Since both the pension and OPEB GASB statements were implemented and updated in the Illustrated statements at least two years ago, financial statement preparers should have now had experience with them. LGC Staff is reverting to our historical practice of only changing amounts in the illustrative statements that are the result of any New accounting and reporting changes required for the FYE 2023.  Conversion workbooks were updated to include the current fiscal year- end Pension data. The pension data used in development of the updated conversion workbooks was from the JE Templates that are all available on the NC DST Financial Statement Resources listed by each Unit Type under Pension Resources. </t>
    </r>
  </si>
  <si>
    <t xml:space="preserve">Last Nine Fiscal Years </t>
  </si>
  <si>
    <r>
      <t xml:space="preserve">Note to preparer: </t>
    </r>
    <r>
      <rPr>
        <sz val="10"/>
        <rFont val="Arial"/>
        <family val="2"/>
      </rPr>
      <t xml:space="preserve">The RSI schedules presented in the updated fiscal year-end 2023 illustrative statements were not changed from the amounts presented in the prior fiscal year other than to add an additional year of data. Since both the pension and OPEB GASB statements were implemented and updated in the Illustrated statements at least two years ago, financial statement preparers should have now had experience with them. LGC Staff is reverting to our historical practice of only changing amounts in the illustrative statements that are the result of any New accounting and reporting changes required for the FYE 2023. Reference the Memo that is available on the NC DST Financial Statement Resources for Firefighters' and Rescue Squad Workers' Pension Fund disclosure amounts related to the current year. </t>
    </r>
  </si>
  <si>
    <t>Last Nine Fiscal Years *</t>
  </si>
  <si>
    <r>
      <t xml:space="preserve">Note to preparer: </t>
    </r>
    <r>
      <rPr>
        <sz val="10"/>
        <rFont val="Arial"/>
        <family val="2"/>
      </rPr>
      <t xml:space="preserve">The RSI schedules presented in the updated fiscal year-end 2023 illustrative statements were not changed from the amounts presented in the prior fiscal year other than to add an additional year of data. Since both the pension and OPEB GASB statements were implemented and updated in the Illustrated statements at least two years ago, financial statement preparers should have now had experience with them. LGC Staff is reverting to our historical practice of only changing amounts in the illustrative statements that are the result of any New accounting and reporting changes required for the FYE 2023.  Conversion workbooks were updated to include the current fiscal year- end Pension data. The pension data used in development of the updated conversion workbooks was from the  JE Templates that are all available on the NC DST Financial Statement Resources listed by each Unit Type under Pension Resources. </t>
    </r>
  </si>
  <si>
    <t>]</t>
  </si>
  <si>
    <t>Cash received from a cell tower and license agreement</t>
  </si>
  <si>
    <t>Principal paid on bond, lease and equipment contracts</t>
  </si>
  <si>
    <t>Interest paid on bond, lease and equipment contracts</t>
  </si>
  <si>
    <t>IT subscription agreement</t>
  </si>
  <si>
    <t>Final Budget</t>
  </si>
  <si>
    <t>Decrease in lease accrued interest payable</t>
  </si>
  <si>
    <t>Decrease in lease accrued interest receivable</t>
  </si>
  <si>
    <t xml:space="preserve"> Decrease in deferred outflows of resources - OPEB</t>
  </si>
  <si>
    <t xml:space="preserve"> Increase in deferred inflows of resources - OPEB</t>
  </si>
  <si>
    <t xml:space="preserve"> Increase in OPEB liability</t>
  </si>
  <si>
    <t>Decrease in deferred inflows of resources - leases</t>
  </si>
  <si>
    <t>Revenues and other sources under</t>
  </si>
  <si>
    <t>Water and sewer capital projects fund:</t>
  </si>
  <si>
    <t>Revenues and other sources (under) expenditures</t>
  </si>
  <si>
    <t>Customer deposits</t>
  </si>
  <si>
    <t xml:space="preserve">   Depreciation and amortization</t>
  </si>
  <si>
    <t xml:space="preserve">      Right to use assets, net of amortization</t>
  </si>
  <si>
    <t>Change in net position - enterprise funds</t>
  </si>
  <si>
    <t>Leases receivable</t>
  </si>
  <si>
    <t xml:space="preserve"> Leases receivable, non-current </t>
  </si>
  <si>
    <t>Lease liabilities - current</t>
  </si>
  <si>
    <t>Unpaid (by taxpayer) taxes at June 30, 2023*</t>
  </si>
  <si>
    <r>
      <t xml:space="preserve">Note to the Preparer: </t>
    </r>
    <r>
      <rPr>
        <sz val="10"/>
        <color indexed="8"/>
        <rFont val="Arial"/>
        <family val="2"/>
      </rPr>
      <t xml:space="preserve">See the note at the bottom of the Schedule of Ad Valorem Taxes Receivable.   The lower case letters (a) (b) and (c) next to certain amounts on both schedules show the relationships of the taxes levied, taxes collected and uncollected taxes on both schedules.  </t>
    </r>
  </si>
  <si>
    <t>Total nonoperating revenues</t>
  </si>
  <si>
    <t>Right to use leased assets, net of amortization</t>
  </si>
  <si>
    <t xml:space="preserve">Total Capital assets </t>
  </si>
  <si>
    <t>Cash received from a cell tower license agreement</t>
  </si>
  <si>
    <r>
      <t>xx</t>
    </r>
    <r>
      <rPr>
        <b/>
        <sz val="10"/>
        <rFont val="Arial"/>
        <family val="2"/>
      </rPr>
      <t>.</t>
    </r>
    <r>
      <rPr>
        <sz val="10"/>
        <rFont val="Arial"/>
        <family val="2"/>
      </rPr>
      <t>xx%</t>
    </r>
  </si>
  <si>
    <r>
      <t>Note to preparer:</t>
    </r>
    <r>
      <rPr>
        <sz val="10"/>
        <rFont val="Arial"/>
        <family val="2"/>
      </rPr>
      <t xml:space="preserve"> The information source for the "Plan fiduciary net position as a percentage of the total pension liability" is the State of North Carolina Annual Comprehensive Financial Report (ACFR). The information is included as required supplementary information on the "Schedule of Changes in the Net Pension Liability and Related Ratios" for the Local Governmental Employees' Retirement System. The information above uses the format x.xx% to present these percentages. This has been done to emphasize that each year the information must be obtained form the appropriate source to prepare the schedule. </t>
    </r>
  </si>
  <si>
    <t>Leases Receivable, net (see Note I.E.12)</t>
  </si>
  <si>
    <t>Capital Projects Fund - Parks and Recreation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</si>
</sst>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0_);_(* \(#,##0.0\);_(* &quot;-&quot;??_);_(@_)"/>
    <numFmt numFmtId="166" formatCode="_(* #,##0_);_(* \(#,##0\);_(* &quot;-&quot;??_);_(@_)"/>
    <numFmt numFmtId="167" formatCode="0.0%"/>
    <numFmt numFmtId="168" formatCode="_(* #,##0.0000_);_(* \(#,##0.0000\);_(* &quot;-&quot;??_);_(@_)"/>
    <numFmt numFmtId="169" formatCode="General_)"/>
    <numFmt numFmtId="170" formatCode="mmmm\ d\,\ yyyy"/>
    <numFmt numFmtId="171" formatCode="m/d/yy"/>
    <numFmt numFmtId="172" formatCode="&quot;$&quot;#,##0"/>
    <numFmt numFmtId="173" formatCode="[$-409]mmmm\ d\,\ yyyy;@"/>
    <numFmt numFmtId="174" formatCode="0.0000%"/>
    <numFmt numFmtId="175" formatCode="0.00000%"/>
    <numFmt numFmtId="176" formatCode="0.00000"/>
    <numFmt numFmtId="177" formatCode="#,##0.00%;\(#,#\ #0.00%\)"/>
    <numFmt numFmtId="178" formatCode="_(* #,##0.000_);_(* \(#,##0.000\);_(* &quot;-&quot;???_);_(@_)"/>
    <numFmt numFmtId="179" formatCode="_(* #,##0.00000_);_(* \(#,##0.00000\);_(* &quot;-&quot;??_);_(@_)"/>
    <numFmt numFmtId="180" formatCode="_(* #,##0.000000_);_(* \(#,##0.000000\);_(* &quot;-&quot;??_);_(@_)"/>
    <numFmt numFmtId="181" formatCode="_(* #,##0.0000_);_(* \(#,##0.0000\);_(* &quot;-&quot;_);_(@_)"/>
    <numFmt numFmtId="182" formatCode="_(* #,##0.00000_);_(* \(#,##0.00000\);_(* &quot;-&quot;_);_(@_)"/>
  </numFmts>
  <fonts count="46" x14ac:knownFonts="1">
    <font>
      <sz val="10"/>
      <name val="Arial"/>
    </font>
    <font>
      <sz val="10"/>
      <name val="Arial"/>
      <family val="2"/>
    </font>
    <font>
      <b/>
      <sz val="10"/>
      <name val="Arial"/>
      <family val="2"/>
    </font>
    <font>
      <sz val="10"/>
      <name val="Arial"/>
      <family val="2"/>
    </font>
    <font>
      <sz val="8"/>
      <name val="Arial"/>
      <family val="2"/>
    </font>
    <font>
      <b/>
      <sz val="8"/>
      <name val="Arial"/>
      <family val="2"/>
    </font>
    <font>
      <u/>
      <sz val="8"/>
      <name val="Arial"/>
      <family val="2"/>
    </font>
    <font>
      <sz val="9"/>
      <name val="Century Schoolbook"/>
      <family val="1"/>
    </font>
    <font>
      <sz val="9"/>
      <name val="Arial"/>
      <family val="2"/>
    </font>
    <font>
      <b/>
      <sz val="9"/>
      <name val="Century Schoolbook"/>
      <family val="1"/>
    </font>
    <font>
      <sz val="10"/>
      <name val="Times New Roman"/>
      <family val="1"/>
    </font>
    <font>
      <b/>
      <sz val="9"/>
      <name val="Arial"/>
      <family val="2"/>
    </font>
    <font>
      <sz val="12"/>
      <name val="Times New Roman"/>
      <family val="1"/>
    </font>
    <font>
      <sz val="9"/>
      <name val="Tms Rmn"/>
    </font>
    <font>
      <sz val="10"/>
      <name val="Tms Rmn"/>
    </font>
    <font>
      <sz val="9"/>
      <name val="Century Schoolbook"/>
      <family val="1"/>
    </font>
    <font>
      <sz val="10"/>
      <name val="Century Schoolbook"/>
      <family val="1"/>
    </font>
    <font>
      <sz val="8"/>
      <name val="Century Schoolbook"/>
      <family val="1"/>
    </font>
    <font>
      <sz val="8"/>
      <color indexed="81"/>
      <name val="Tahoma"/>
      <family val="2"/>
    </font>
    <font>
      <b/>
      <sz val="8"/>
      <color indexed="81"/>
      <name val="Tahoma"/>
      <family val="2"/>
    </font>
    <font>
      <u/>
      <sz val="9"/>
      <name val="Arial"/>
      <family val="2"/>
    </font>
    <font>
      <b/>
      <sz val="16"/>
      <name val="Arial"/>
      <family val="2"/>
    </font>
    <font>
      <b/>
      <sz val="10"/>
      <name val="Arial"/>
      <family val="2"/>
    </font>
    <font>
      <b/>
      <sz val="10"/>
      <name val="Century Schoolbook"/>
      <family val="1"/>
    </font>
    <font>
      <sz val="12"/>
      <name val="Times New Roman"/>
      <family val="1"/>
    </font>
    <font>
      <b/>
      <sz val="11"/>
      <name val="Arial"/>
      <family val="2"/>
    </font>
    <font>
      <sz val="10"/>
      <color indexed="8"/>
      <name val="Arial"/>
      <family val="2"/>
    </font>
    <font>
      <sz val="11"/>
      <color indexed="8"/>
      <name val="Arial"/>
      <family val="2"/>
    </font>
    <font>
      <sz val="11"/>
      <name val="Arial"/>
      <family val="2"/>
    </font>
    <font>
      <b/>
      <sz val="10"/>
      <color indexed="8"/>
      <name val="ARIAL"/>
      <family val="2"/>
    </font>
    <font>
      <u/>
      <sz val="10"/>
      <color indexed="8"/>
      <name val="Arial"/>
      <family val="2"/>
    </font>
    <font>
      <b/>
      <sz val="11"/>
      <color indexed="8"/>
      <name val="Arial"/>
      <family val="2"/>
    </font>
    <font>
      <sz val="10"/>
      <name val="Arial"/>
      <family val="2"/>
    </font>
    <font>
      <sz val="10"/>
      <name val="Arial"/>
      <family val="2"/>
    </font>
    <font>
      <b/>
      <u/>
      <sz val="10"/>
      <name val="Arial"/>
      <family val="2"/>
    </font>
    <font>
      <sz val="10"/>
      <name val="Arial"/>
      <family val="2"/>
    </font>
    <font>
      <u/>
      <sz val="10"/>
      <name val="Arial"/>
      <family val="2"/>
    </font>
    <font>
      <sz val="10"/>
      <name val="Arial"/>
      <family val="2"/>
    </font>
    <font>
      <i/>
      <sz val="10"/>
      <color indexed="8"/>
      <name val="Arial"/>
      <family val="2"/>
    </font>
    <font>
      <sz val="10"/>
      <name val="Arial"/>
      <family val="2"/>
    </font>
    <font>
      <sz val="10"/>
      <color rgb="FFFF0000"/>
      <name val="Arial"/>
      <family val="2"/>
    </font>
    <font>
      <b/>
      <sz val="10"/>
      <color rgb="FF000000"/>
      <name val="Arial"/>
      <family val="2"/>
    </font>
    <font>
      <b/>
      <sz val="10"/>
      <color rgb="FFFF0000"/>
      <name val="Arial"/>
      <family val="2"/>
    </font>
    <font>
      <sz val="10"/>
      <color rgb="FF000000"/>
      <name val="Arial"/>
      <family val="2"/>
    </font>
    <font>
      <sz val="10"/>
      <color theme="1"/>
      <name val="Arial"/>
      <family val="2"/>
    </font>
    <font>
      <b/>
      <sz val="11"/>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3">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top/>
      <bottom style="thin">
        <color indexed="8"/>
      </bottom>
      <diagonal/>
    </border>
    <border>
      <left/>
      <right/>
      <top style="thin">
        <color indexed="64"/>
      </top>
      <bottom style="thin">
        <color indexed="64"/>
      </bottom>
      <diagonal/>
    </border>
    <border>
      <left/>
      <right/>
      <top/>
      <bottom style="double">
        <color indexed="8"/>
      </bottom>
      <diagonal/>
    </border>
    <border>
      <left/>
      <right/>
      <top/>
      <bottom style="medium">
        <color indexed="8"/>
      </bottom>
      <diagonal/>
    </border>
    <border>
      <left/>
      <right/>
      <top style="thin">
        <color indexed="8"/>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ck">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bottom style="thin">
        <color rgb="FF000000"/>
      </bottom>
      <diagonal/>
    </border>
    <border>
      <left/>
      <right style="medium">
        <color rgb="FF000000"/>
      </right>
      <top style="medium">
        <color indexed="64"/>
      </top>
      <bottom/>
      <diagonal/>
    </border>
    <border>
      <left/>
      <right style="medium">
        <color rgb="FF000000"/>
      </right>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s>
  <cellStyleXfs count="28">
    <xf numFmtId="0" fontId="0" fillId="0" borderId="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2" fillId="0" borderId="0" applyFont="0" applyFill="0" applyBorder="0" applyAlignment="0" applyProtection="0"/>
    <xf numFmtId="44" fontId="35" fillId="0" borderId="0" applyFont="0" applyFill="0" applyBorder="0" applyAlignment="0" applyProtection="0"/>
    <xf numFmtId="0" fontId="3" fillId="0" borderId="0"/>
    <xf numFmtId="0" fontId="3" fillId="0" borderId="0"/>
    <xf numFmtId="0" fontId="10" fillId="0" borderId="0"/>
    <xf numFmtId="0" fontId="10" fillId="0" borderId="0"/>
    <xf numFmtId="169" fontId="14" fillId="0" borderId="0"/>
    <xf numFmtId="0" fontId="12" fillId="0" borderId="0"/>
    <xf numFmtId="0" fontId="24" fillId="0" borderId="0"/>
    <xf numFmtId="0" fontId="14" fillId="0" borderId="0"/>
    <xf numFmtId="0" fontId="14" fillId="0" borderId="0"/>
    <xf numFmtId="169" fontId="14" fillId="0" borderId="0"/>
    <xf numFmtId="0" fontId="1" fillId="0" borderId="0"/>
    <xf numFmtId="0" fontId="1" fillId="0" borderId="0"/>
    <xf numFmtId="169" fontId="14" fillId="0" borderId="0"/>
    <xf numFmtId="9" fontId="1" fillId="0" borderId="0" applyFont="0" applyFill="0" applyBorder="0" applyAlignment="0" applyProtection="0"/>
    <xf numFmtId="9" fontId="32" fillId="0" borderId="0" applyFont="0" applyFill="0" applyBorder="0" applyAlignment="0" applyProtection="0"/>
    <xf numFmtId="9" fontId="35" fillId="0" borderId="0" applyFont="0" applyFill="0" applyBorder="0" applyAlignment="0" applyProtection="0"/>
  </cellStyleXfs>
  <cellXfs count="1162">
    <xf numFmtId="0" fontId="0" fillId="0" borderId="0" xfId="0"/>
    <xf numFmtId="37" fontId="4" fillId="0" borderId="0" xfId="0" applyNumberFormat="1" applyFont="1"/>
    <xf numFmtId="37" fontId="4" fillId="0" borderId="0" xfId="0" quotePrefix="1" applyNumberFormat="1" applyFont="1" applyAlignment="1">
      <alignment horizontal="left"/>
    </xf>
    <xf numFmtId="37" fontId="4" fillId="0" borderId="1" xfId="0" quotePrefix="1" applyNumberFormat="1" applyFont="1" applyBorder="1" applyAlignment="1">
      <alignment horizontal="center"/>
    </xf>
    <xf numFmtId="37" fontId="4" fillId="0" borderId="0" xfId="0" applyNumberFormat="1" applyFont="1" applyBorder="1" applyAlignment="1">
      <alignment horizontal="center"/>
    </xf>
    <xf numFmtId="37" fontId="4" fillId="0" borderId="0" xfId="0" applyNumberFormat="1" applyFont="1" applyAlignment="1">
      <alignment horizontal="center"/>
    </xf>
    <xf numFmtId="37" fontId="4" fillId="0" borderId="0" xfId="0" quotePrefix="1" applyNumberFormat="1" applyFont="1" applyAlignment="1">
      <alignment horizontal="center"/>
    </xf>
    <xf numFmtId="37" fontId="6" fillId="0" borderId="0" xfId="0" applyNumberFormat="1" applyFont="1" applyAlignment="1">
      <alignment horizontal="center"/>
    </xf>
    <xf numFmtId="37" fontId="6" fillId="0" borderId="0" xfId="0" quotePrefix="1" applyNumberFormat="1" applyFont="1" applyAlignment="1">
      <alignment horizontal="center"/>
    </xf>
    <xf numFmtId="37" fontId="5" fillId="0" borderId="0" xfId="0" quotePrefix="1" applyNumberFormat="1" applyFont="1" applyAlignment="1">
      <alignment horizontal="center"/>
    </xf>
    <xf numFmtId="37" fontId="4" fillId="0" borderId="0" xfId="0" quotePrefix="1" applyNumberFormat="1" applyFont="1" applyAlignment="1">
      <alignment horizontal="left" indent="1"/>
    </xf>
    <xf numFmtId="37" fontId="5" fillId="0" borderId="0" xfId="0" applyNumberFormat="1" applyFont="1" applyAlignment="1">
      <alignment horizontal="center"/>
    </xf>
    <xf numFmtId="37" fontId="4" fillId="0" borderId="0" xfId="0" applyNumberFormat="1" applyFont="1" applyAlignment="1">
      <alignment horizontal="left"/>
    </xf>
    <xf numFmtId="37" fontId="4" fillId="0" borderId="0" xfId="0" applyNumberFormat="1" applyFont="1" applyAlignment="1">
      <alignment horizontal="left" indent="1"/>
    </xf>
    <xf numFmtId="37" fontId="4" fillId="0" borderId="2" xfId="0" applyNumberFormat="1" applyFont="1" applyBorder="1"/>
    <xf numFmtId="37" fontId="4" fillId="0" borderId="3" xfId="0" applyNumberFormat="1" applyFont="1" applyBorder="1"/>
    <xf numFmtId="37" fontId="4" fillId="0" borderId="0" xfId="0" applyNumberFormat="1" applyFont="1" applyAlignment="1">
      <alignment horizontal="left" indent="2"/>
    </xf>
    <xf numFmtId="0" fontId="0" fillId="0" borderId="0" xfId="0" applyFill="1"/>
    <xf numFmtId="0" fontId="0" fillId="0" borderId="0" xfId="0" applyFill="1" applyAlignment="1">
      <alignment horizontal="left" wrapText="1" indent="2"/>
    </xf>
    <xf numFmtId="0" fontId="8" fillId="0" borderId="0" xfId="0" applyFont="1" applyFill="1"/>
    <xf numFmtId="0" fontId="8" fillId="0" borderId="0" xfId="0" applyFont="1" applyFill="1" applyAlignment="1">
      <alignment horizontal="left"/>
    </xf>
    <xf numFmtId="0" fontId="0" fillId="0" borderId="0" xfId="0" applyFill="1" applyAlignment="1">
      <alignment wrapText="1"/>
    </xf>
    <xf numFmtId="0" fontId="0" fillId="0" borderId="0" xfId="0" applyFill="1" applyAlignment="1">
      <alignment horizontal="left" wrapText="1" indent="1"/>
    </xf>
    <xf numFmtId="0" fontId="0" fillId="0" borderId="0" xfId="0" applyFill="1" applyAlignment="1">
      <alignment horizontal="left" indent="2"/>
    </xf>
    <xf numFmtId="0" fontId="2" fillId="0" borderId="4" xfId="0" applyFont="1" applyFill="1" applyBorder="1" applyAlignment="1">
      <alignment horizontal="center" wrapText="1"/>
    </xf>
    <xf numFmtId="41" fontId="0" fillId="0" borderId="1" xfId="0" applyNumberFormat="1" applyFill="1" applyBorder="1"/>
    <xf numFmtId="0" fontId="0" fillId="0" borderId="0" xfId="0" applyFill="1" applyAlignment="1"/>
    <xf numFmtId="0" fontId="3" fillId="0" borderId="0" xfId="17" applyFont="1" applyFill="1" applyAlignment="1">
      <alignment horizontal="center"/>
    </xf>
    <xf numFmtId="0" fontId="3" fillId="0" borderId="5" xfId="17" applyFont="1" applyFill="1" applyBorder="1" applyAlignment="1">
      <alignment horizontal="center"/>
    </xf>
    <xf numFmtId="0" fontId="3" fillId="0" borderId="0" xfId="17" applyFont="1" applyFill="1" applyAlignment="1">
      <alignment horizontal="left"/>
    </xf>
    <xf numFmtId="0" fontId="3" fillId="0" borderId="0" xfId="17" applyFont="1" applyFill="1"/>
    <xf numFmtId="166" fontId="3" fillId="0" borderId="0" xfId="1" applyNumberFormat="1" applyFont="1" applyFill="1" applyAlignment="1">
      <alignment horizontal="center"/>
    </xf>
    <xf numFmtId="166" fontId="3" fillId="0" borderId="5" xfId="1" applyNumberFormat="1" applyFont="1" applyFill="1" applyBorder="1" applyAlignment="1">
      <alignment horizontal="center"/>
    </xf>
    <xf numFmtId="0" fontId="2" fillId="0" borderId="0" xfId="19" applyFont="1" applyFill="1" applyAlignment="1">
      <alignment horizontal="centerContinuous"/>
    </xf>
    <xf numFmtId="0" fontId="3" fillId="0" borderId="0" xfId="19" applyFont="1" applyFill="1" applyAlignment="1">
      <alignment horizontal="center"/>
    </xf>
    <xf numFmtId="0" fontId="3" fillId="0" borderId="5" xfId="19" applyFont="1" applyFill="1" applyBorder="1" applyAlignment="1">
      <alignment horizontal="center"/>
    </xf>
    <xf numFmtId="0" fontId="3" fillId="0" borderId="0" xfId="19" applyFont="1" applyFill="1"/>
    <xf numFmtId="169" fontId="3" fillId="0" borderId="0" xfId="16" applyFont="1" applyFill="1" applyAlignment="1">
      <alignment horizontal="center"/>
    </xf>
    <xf numFmtId="169" fontId="3" fillId="0" borderId="5" xfId="16" applyFont="1" applyFill="1" applyBorder="1" applyAlignment="1">
      <alignment horizontal="center"/>
    </xf>
    <xf numFmtId="169" fontId="3" fillId="0" borderId="0" xfId="16" applyFont="1" applyFill="1" applyAlignment="1">
      <alignment horizontal="left"/>
    </xf>
    <xf numFmtId="164" fontId="3" fillId="0" borderId="1" xfId="0" applyNumberFormat="1" applyFont="1" applyFill="1" applyBorder="1"/>
    <xf numFmtId="0" fontId="3" fillId="0" borderId="0" xfId="0" applyFont="1" applyFill="1"/>
    <xf numFmtId="166" fontId="3" fillId="0" borderId="0" xfId="0" applyNumberFormat="1" applyFont="1" applyFill="1"/>
    <xf numFmtId="166" fontId="3" fillId="0" borderId="1" xfId="0" applyNumberFormat="1" applyFont="1" applyFill="1" applyBorder="1"/>
    <xf numFmtId="169" fontId="2" fillId="0" borderId="0" xfId="16" applyFont="1" applyFill="1" applyAlignment="1">
      <alignment horizontal="centerContinuous"/>
    </xf>
    <xf numFmtId="169" fontId="3" fillId="0" borderId="1" xfId="16" applyFont="1" applyFill="1" applyBorder="1" applyAlignment="1">
      <alignment horizontal="center" wrapText="1"/>
    </xf>
    <xf numFmtId="169" fontId="3" fillId="0" borderId="0" xfId="16" applyFont="1" applyFill="1" applyBorder="1" applyAlignment="1">
      <alignment horizontal="center"/>
    </xf>
    <xf numFmtId="0" fontId="3" fillId="0" borderId="0" xfId="15" applyFont="1" applyFill="1"/>
    <xf numFmtId="0" fontId="3" fillId="0" borderId="0" xfId="0" applyFont="1" applyFill="1" applyBorder="1"/>
    <xf numFmtId="166" fontId="3" fillId="0" borderId="0" xfId="1" applyNumberFormat="1" applyFont="1" applyFill="1" applyAlignment="1">
      <alignment horizontal="left"/>
    </xf>
    <xf numFmtId="166" fontId="3" fillId="0" borderId="0" xfId="1" applyNumberFormat="1" applyFont="1" applyFill="1"/>
    <xf numFmtId="41" fontId="3" fillId="0" borderId="0" xfId="20" applyNumberFormat="1" applyFont="1" applyFill="1" applyAlignment="1">
      <alignment horizontal="center"/>
    </xf>
    <xf numFmtId="41" fontId="3" fillId="0" borderId="5" xfId="20" applyNumberFormat="1" applyFont="1" applyFill="1" applyBorder="1" applyAlignment="1">
      <alignment horizontal="center"/>
    </xf>
    <xf numFmtId="41" fontId="3" fillId="0" borderId="0" xfId="20" applyNumberFormat="1" applyFont="1" applyFill="1"/>
    <xf numFmtId="169" fontId="8" fillId="0" borderId="0" xfId="24" applyFont="1" applyFill="1" applyAlignment="1">
      <alignment horizontal="left"/>
    </xf>
    <xf numFmtId="166" fontId="0" fillId="0" borderId="0" xfId="0" applyNumberFormat="1" applyFill="1"/>
    <xf numFmtId="41" fontId="0" fillId="0" borderId="0" xfId="0" applyNumberFormat="1" applyFill="1"/>
    <xf numFmtId="0" fontId="0" fillId="0" borderId="0" xfId="0" applyFill="1" applyAlignment="1">
      <alignment horizontal="left" indent="3"/>
    </xf>
    <xf numFmtId="0" fontId="0" fillId="0" borderId="0" xfId="0" applyFill="1" applyAlignment="1">
      <alignment horizontal="left" indent="1"/>
    </xf>
    <xf numFmtId="166" fontId="0" fillId="0" borderId="0" xfId="0" applyNumberFormat="1" applyFill="1" applyBorder="1"/>
    <xf numFmtId="169" fontId="8" fillId="0" borderId="0" xfId="16" applyFont="1" applyFill="1"/>
    <xf numFmtId="169" fontId="8" fillId="0" borderId="0" xfId="16" applyFont="1" applyFill="1" applyAlignment="1">
      <alignment horizontal="left"/>
    </xf>
    <xf numFmtId="164" fontId="8" fillId="0" borderId="0" xfId="16" applyNumberFormat="1" applyFont="1" applyFill="1" applyProtection="1"/>
    <xf numFmtId="169" fontId="8" fillId="0" borderId="0" xfId="16" applyFont="1" applyFill="1" applyAlignment="1"/>
    <xf numFmtId="166" fontId="8" fillId="0" borderId="5" xfId="1" applyNumberFormat="1" applyFont="1" applyFill="1" applyBorder="1" applyAlignment="1" applyProtection="1">
      <alignment horizontal="right"/>
    </xf>
    <xf numFmtId="166" fontId="8" fillId="0" borderId="5" xfId="1" applyNumberFormat="1" applyFont="1" applyFill="1" applyBorder="1" applyProtection="1"/>
    <xf numFmtId="166" fontId="8" fillId="0" borderId="1" xfId="1" applyNumberFormat="1" applyFont="1" applyFill="1" applyBorder="1" applyProtection="1"/>
    <xf numFmtId="166" fontId="8" fillId="0" borderId="5" xfId="1" applyNumberFormat="1" applyFont="1" applyFill="1" applyBorder="1" applyAlignment="1">
      <alignment horizontal="right"/>
    </xf>
    <xf numFmtId="44" fontId="8" fillId="0" borderId="3" xfId="5" applyFont="1" applyFill="1" applyBorder="1" applyProtection="1"/>
    <xf numFmtId="166" fontId="8" fillId="0" borderId="0" xfId="1" applyNumberFormat="1" applyFont="1" applyFill="1" applyBorder="1" applyProtection="1"/>
    <xf numFmtId="166" fontId="8" fillId="0" borderId="1" xfId="0" applyNumberFormat="1" applyFont="1" applyFill="1" applyBorder="1"/>
    <xf numFmtId="0" fontId="0" fillId="0" borderId="0" xfId="0" applyFill="1" applyAlignment="1">
      <alignment horizontal="left"/>
    </xf>
    <xf numFmtId="0" fontId="11" fillId="0" borderId="0" xfId="0" applyFont="1" applyFill="1" applyAlignment="1">
      <alignment horizontal="right"/>
    </xf>
    <xf numFmtId="0" fontId="8" fillId="0" borderId="0" xfId="0" applyFont="1" applyFill="1" applyAlignment="1">
      <alignment horizontal="centerContinuous"/>
    </xf>
    <xf numFmtId="0" fontId="11" fillId="0" borderId="0" xfId="0" applyFont="1" applyFill="1" applyAlignment="1">
      <alignment horizontal="centerContinuous"/>
    </xf>
    <xf numFmtId="0" fontId="11" fillId="0" borderId="1" xfId="0" applyFont="1" applyFill="1" applyBorder="1" applyAlignment="1">
      <alignment horizontal="centerContinuous"/>
    </xf>
    <xf numFmtId="0" fontId="8" fillId="0" borderId="1" xfId="0" applyFont="1" applyFill="1" applyBorder="1" applyAlignment="1">
      <alignment horizontal="centerContinuous"/>
    </xf>
    <xf numFmtId="0" fontId="8" fillId="0" borderId="6" xfId="0" applyFont="1" applyFill="1" applyBorder="1" applyAlignment="1">
      <alignment horizontal="center" wrapText="1"/>
    </xf>
    <xf numFmtId="166" fontId="8" fillId="0" borderId="0" xfId="1" applyNumberFormat="1" applyFont="1" applyFill="1" applyProtection="1"/>
    <xf numFmtId="164" fontId="8" fillId="0" borderId="7" xfId="5" applyNumberFormat="1" applyFont="1" applyFill="1" applyBorder="1" applyProtection="1"/>
    <xf numFmtId="164" fontId="8" fillId="0" borderId="3" xfId="5" applyNumberFormat="1" applyFont="1" applyFill="1" applyBorder="1" applyProtection="1"/>
    <xf numFmtId="0" fontId="2" fillId="0" borderId="1" xfId="0" applyFont="1" applyFill="1" applyBorder="1" applyAlignment="1">
      <alignment horizontal="center" wrapText="1"/>
    </xf>
    <xf numFmtId="0" fontId="2" fillId="0" borderId="0" xfId="0" applyFont="1" applyFill="1" applyAlignment="1">
      <alignment horizontal="right"/>
    </xf>
    <xf numFmtId="0" fontId="2" fillId="0" borderId="1" xfId="0" applyFont="1" applyFill="1" applyBorder="1" applyAlignment="1">
      <alignment horizontal="center"/>
    </xf>
    <xf numFmtId="0" fontId="2" fillId="0" borderId="0" xfId="0" applyFont="1" applyFill="1" applyAlignment="1">
      <alignment horizontal="centerContinuous"/>
    </xf>
    <xf numFmtId="0" fontId="2" fillId="0" borderId="1" xfId="0" applyFont="1" applyFill="1" applyBorder="1" applyAlignment="1">
      <alignment horizontal="centerContinuous"/>
    </xf>
    <xf numFmtId="0" fontId="2" fillId="0" borderId="0" xfId="0" applyFont="1" applyFill="1" applyAlignment="1">
      <alignment horizontal="center"/>
    </xf>
    <xf numFmtId="42" fontId="0" fillId="0" borderId="0" xfId="0" applyNumberFormat="1" applyFill="1"/>
    <xf numFmtId="41" fontId="0" fillId="0" borderId="6" xfId="0" applyNumberFormat="1" applyFill="1" applyBorder="1"/>
    <xf numFmtId="41" fontId="0" fillId="0" borderId="0" xfId="0" applyNumberFormat="1" applyFill="1" applyBorder="1"/>
    <xf numFmtId="42" fontId="0" fillId="0" borderId="2" xfId="0" applyNumberFormat="1" applyFill="1" applyBorder="1"/>
    <xf numFmtId="166" fontId="3" fillId="0" borderId="0" xfId="1" applyNumberFormat="1" applyFont="1" applyFill="1" applyAlignment="1">
      <alignment horizontal="right"/>
    </xf>
    <xf numFmtId="0" fontId="3" fillId="0" borderId="0" xfId="17" applyFont="1" applyFill="1" applyBorder="1"/>
    <xf numFmtId="166" fontId="3" fillId="0" borderId="0" xfId="1" applyNumberFormat="1" applyFont="1" applyFill="1" applyBorder="1" applyProtection="1"/>
    <xf numFmtId="166" fontId="3" fillId="0" borderId="5" xfId="1" applyNumberFormat="1" applyFont="1" applyFill="1" applyBorder="1" applyProtection="1"/>
    <xf numFmtId="166" fontId="3" fillId="0" borderId="0" xfId="1" applyNumberFormat="1" applyFont="1" applyFill="1" applyBorder="1" applyAlignment="1">
      <alignment horizontal="right"/>
    </xf>
    <xf numFmtId="166" fontId="3" fillId="0" borderId="5" xfId="1" applyNumberFormat="1" applyFont="1" applyFill="1" applyBorder="1" applyAlignment="1">
      <alignment horizontal="right"/>
    </xf>
    <xf numFmtId="166" fontId="2" fillId="0" borderId="0" xfId="1" applyNumberFormat="1" applyFont="1" applyFill="1" applyAlignment="1">
      <alignment horizontal="centerContinuous"/>
    </xf>
    <xf numFmtId="166" fontId="3" fillId="0" borderId="8" xfId="1" applyNumberFormat="1" applyFont="1" applyFill="1" applyBorder="1"/>
    <xf numFmtId="164" fontId="3" fillId="0" borderId="0" xfId="1" applyNumberFormat="1" applyFont="1" applyFill="1" applyAlignment="1" applyProtection="1">
      <alignment horizontal="right"/>
    </xf>
    <xf numFmtId="164" fontId="3" fillId="0" borderId="0" xfId="1" applyNumberFormat="1" applyFont="1" applyFill="1" applyProtection="1"/>
    <xf numFmtId="164" fontId="3" fillId="0" borderId="0" xfId="1" applyNumberFormat="1" applyFont="1" applyFill="1" applyAlignment="1" applyProtection="1">
      <alignment horizontal="center"/>
    </xf>
    <xf numFmtId="166" fontId="3" fillId="0" borderId="0" xfId="1" applyNumberFormat="1" applyFont="1" applyFill="1" applyProtection="1"/>
    <xf numFmtId="169" fontId="3" fillId="0" borderId="0" xfId="21" applyFont="1" applyFill="1"/>
    <xf numFmtId="43" fontId="3" fillId="0" borderId="0" xfId="1" applyFont="1" applyFill="1" applyBorder="1" applyAlignment="1" applyProtection="1">
      <alignment horizontal="right"/>
    </xf>
    <xf numFmtId="43" fontId="3" fillId="0" borderId="0" xfId="1" applyFont="1" applyFill="1" applyBorder="1" applyAlignment="1" applyProtection="1">
      <alignment horizontal="center"/>
    </xf>
    <xf numFmtId="43" fontId="3" fillId="0" borderId="1" xfId="1" applyFont="1" applyFill="1" applyBorder="1"/>
    <xf numFmtId="166" fontId="3" fillId="0" borderId="1" xfId="1" applyNumberFormat="1" applyFont="1" applyFill="1" applyBorder="1"/>
    <xf numFmtId="43" fontId="3" fillId="0" borderId="1" xfId="1" applyFont="1" applyFill="1" applyBorder="1" applyAlignment="1">
      <alignment horizontal="center"/>
    </xf>
    <xf numFmtId="164" fontId="3" fillId="0" borderId="5" xfId="5" applyNumberFormat="1" applyFont="1" applyFill="1" applyBorder="1" applyProtection="1"/>
    <xf numFmtId="43" fontId="3" fillId="0" borderId="0" xfId="1" applyFont="1" applyFill="1" applyAlignment="1" applyProtection="1">
      <alignment horizontal="right"/>
    </xf>
    <xf numFmtId="165" fontId="3" fillId="0" borderId="0" xfId="1" applyNumberFormat="1" applyFont="1" applyFill="1" applyAlignment="1" applyProtection="1"/>
    <xf numFmtId="43" fontId="3" fillId="0" borderId="1" xfId="1" applyFont="1" applyFill="1" applyBorder="1" applyAlignment="1" applyProtection="1">
      <alignment horizontal="right"/>
    </xf>
    <xf numFmtId="166" fontId="3" fillId="0" borderId="1" xfId="1" applyNumberFormat="1" applyFont="1" applyFill="1" applyBorder="1" applyProtection="1"/>
    <xf numFmtId="165" fontId="3" fillId="0" borderId="1" xfId="1" applyNumberFormat="1" applyFont="1" applyFill="1" applyBorder="1" applyAlignment="1" applyProtection="1"/>
    <xf numFmtId="166" fontId="3" fillId="0" borderId="5" xfId="1" applyNumberFormat="1" applyFont="1" applyFill="1" applyBorder="1" applyAlignment="1" applyProtection="1">
      <alignment horizontal="right"/>
    </xf>
    <xf numFmtId="166" fontId="3" fillId="0" borderId="0" xfId="1" applyNumberFormat="1" applyFont="1" applyFill="1" applyBorder="1" applyAlignment="1" applyProtection="1">
      <alignment horizontal="right"/>
    </xf>
    <xf numFmtId="166" fontId="3" fillId="0" borderId="0" xfId="1" applyNumberFormat="1" applyFont="1" applyFill="1" applyAlignment="1" applyProtection="1">
      <alignment horizontal="right"/>
    </xf>
    <xf numFmtId="166" fontId="3" fillId="0" borderId="1" xfId="1" applyNumberFormat="1" applyFont="1" applyFill="1" applyBorder="1" applyAlignment="1" applyProtection="1">
      <alignment horizontal="right"/>
    </xf>
    <xf numFmtId="166" fontId="7" fillId="0" borderId="0" xfId="1" applyNumberFormat="1" applyFont="1" applyFill="1"/>
    <xf numFmtId="165" fontId="3" fillId="0" borderId="0" xfId="1" applyNumberFormat="1" applyFont="1" applyFill="1"/>
    <xf numFmtId="43" fontId="3" fillId="0" borderId="0" xfId="1" applyFont="1" applyFill="1"/>
    <xf numFmtId="164" fontId="3" fillId="0" borderId="7" xfId="1" applyNumberFormat="1" applyFont="1" applyFill="1" applyBorder="1" applyProtection="1"/>
    <xf numFmtId="166" fontId="3" fillId="0" borderId="0" xfId="1" applyNumberFormat="1" applyFont="1" applyFill="1" applyAlignment="1" applyProtection="1">
      <alignment horizontal="left"/>
    </xf>
    <xf numFmtId="166" fontId="7" fillId="0" borderId="0" xfId="1" applyNumberFormat="1" applyFont="1" applyFill="1" applyProtection="1"/>
    <xf numFmtId="166" fontId="2" fillId="0" borderId="0" xfId="1" applyNumberFormat="1" applyFont="1" applyFill="1" applyAlignment="1">
      <alignment horizontal="left"/>
    </xf>
    <xf numFmtId="164" fontId="3" fillId="0" borderId="0" xfId="5" applyNumberFormat="1" applyFont="1" applyFill="1"/>
    <xf numFmtId="166" fontId="3" fillId="0" borderId="6" xfId="1" applyNumberFormat="1" applyFont="1" applyFill="1" applyBorder="1" applyProtection="1"/>
    <xf numFmtId="166" fontId="0" fillId="0" borderId="1" xfId="0" applyNumberFormat="1" applyFill="1" applyBorder="1"/>
    <xf numFmtId="164" fontId="8" fillId="0" borderId="0" xfId="5" applyNumberFormat="1" applyFont="1" applyFill="1" applyProtection="1"/>
    <xf numFmtId="42" fontId="0" fillId="0" borderId="0" xfId="0" applyNumberFormat="1" applyFill="1" applyBorder="1"/>
    <xf numFmtId="0" fontId="0" fillId="0" borderId="0" xfId="0" applyFill="1" applyAlignment="1">
      <alignment horizontal="centerContinuous"/>
    </xf>
    <xf numFmtId="0" fontId="2" fillId="0" borderId="0" xfId="0" applyFont="1" applyFill="1"/>
    <xf numFmtId="42" fontId="0" fillId="0" borderId="3" xfId="0" applyNumberFormat="1" applyFill="1" applyBorder="1"/>
    <xf numFmtId="37" fontId="3" fillId="0" borderId="0" xfId="17" applyNumberFormat="1" applyFont="1" applyFill="1" applyProtection="1"/>
    <xf numFmtId="166" fontId="3" fillId="0" borderId="5" xfId="0" applyNumberFormat="1" applyFont="1" applyFill="1" applyBorder="1"/>
    <xf numFmtId="169" fontId="8" fillId="0" borderId="0" xfId="24" applyFont="1" applyFill="1" applyBorder="1"/>
    <xf numFmtId="169" fontId="8" fillId="0" borderId="0" xfId="24" applyFont="1" applyFill="1" applyBorder="1" applyAlignment="1">
      <alignment horizontal="center"/>
    </xf>
    <xf numFmtId="37" fontId="8" fillId="0" borderId="0" xfId="24" applyNumberFormat="1" applyFont="1" applyFill="1" applyBorder="1" applyProtection="1"/>
    <xf numFmtId="0" fontId="3" fillId="0" borderId="8" xfId="17" applyFont="1" applyFill="1" applyBorder="1"/>
    <xf numFmtId="0" fontId="2" fillId="0" borderId="0" xfId="17" applyFont="1" applyFill="1" applyAlignment="1">
      <alignment horizontal="left"/>
    </xf>
    <xf numFmtId="0" fontId="2" fillId="0" borderId="0" xfId="17" applyFont="1" applyFill="1" applyAlignment="1">
      <alignment horizontal="centerContinuous"/>
    </xf>
    <xf numFmtId="166" fontId="7" fillId="0" borderId="0" xfId="0" applyNumberFormat="1" applyFont="1" applyFill="1" applyBorder="1"/>
    <xf numFmtId="37" fontId="3" fillId="0" borderId="0" xfId="17" applyNumberFormat="1" applyFont="1" applyFill="1" applyBorder="1" applyProtection="1"/>
    <xf numFmtId="166" fontId="3" fillId="0" borderId="9" xfId="1" applyNumberFormat="1" applyFont="1" applyFill="1" applyBorder="1" applyAlignment="1" applyProtection="1">
      <alignment horizontal="right"/>
    </xf>
    <xf numFmtId="3" fontId="0" fillId="0" borderId="0" xfId="0" applyNumberFormat="1" applyFill="1"/>
    <xf numFmtId="164" fontId="3" fillId="0" borderId="5" xfId="1" applyNumberFormat="1" applyFont="1" applyFill="1" applyBorder="1" applyProtection="1"/>
    <xf numFmtId="164" fontId="3" fillId="0" borderId="3" xfId="5" applyNumberFormat="1" applyFont="1" applyFill="1" applyBorder="1" applyAlignment="1" applyProtection="1">
      <alignment horizontal="right"/>
    </xf>
    <xf numFmtId="41" fontId="3" fillId="0" borderId="1" xfId="0" applyNumberFormat="1" applyFont="1" applyFill="1" applyBorder="1"/>
    <xf numFmtId="169" fontId="8" fillId="0" borderId="8" xfId="16" applyFont="1" applyFill="1" applyBorder="1"/>
    <xf numFmtId="169" fontId="8" fillId="0" borderId="10" xfId="16" applyFont="1" applyFill="1" applyBorder="1"/>
    <xf numFmtId="169" fontId="8" fillId="0" borderId="0" xfId="16" applyFont="1" applyFill="1" applyBorder="1"/>
    <xf numFmtId="169" fontId="8" fillId="0" borderId="0" xfId="16" applyFont="1" applyFill="1" applyAlignment="1">
      <alignment horizontal="center"/>
    </xf>
    <xf numFmtId="169" fontId="8" fillId="0" borderId="1" xfId="16" applyFont="1" applyFill="1" applyBorder="1" applyAlignment="1">
      <alignment horizontal="center"/>
    </xf>
    <xf numFmtId="169" fontId="8" fillId="0" borderId="5" xfId="16" applyFont="1" applyFill="1" applyBorder="1" applyAlignment="1">
      <alignment horizontal="center"/>
    </xf>
    <xf numFmtId="37" fontId="8" fillId="0" borderId="0" xfId="16" applyNumberFormat="1" applyFont="1" applyFill="1" applyProtection="1"/>
    <xf numFmtId="37" fontId="8" fillId="0" borderId="5" xfId="16" applyNumberFormat="1" applyFont="1" applyFill="1" applyBorder="1" applyProtection="1"/>
    <xf numFmtId="37" fontId="8" fillId="0" borderId="7" xfId="16" applyNumberFormat="1" applyFont="1" applyFill="1" applyBorder="1" applyProtection="1"/>
    <xf numFmtId="5" fontId="8" fillId="0" borderId="7" xfId="16" applyNumberFormat="1" applyFont="1" applyFill="1" applyBorder="1" applyProtection="1"/>
    <xf numFmtId="10" fontId="8" fillId="0" borderId="3" xfId="16" applyNumberFormat="1" applyFont="1" applyFill="1" applyBorder="1" applyProtection="1"/>
    <xf numFmtId="37" fontId="8" fillId="0" borderId="0" xfId="24" applyNumberFormat="1" applyFont="1" applyFill="1" applyProtection="1"/>
    <xf numFmtId="0" fontId="0" fillId="0" borderId="0" xfId="0" applyFill="1" applyBorder="1"/>
    <xf numFmtId="169" fontId="7" fillId="0" borderId="0" xfId="16" applyFont="1" applyFill="1"/>
    <xf numFmtId="169" fontId="9" fillId="0" borderId="0" xfId="16" applyFont="1" applyFill="1" applyBorder="1" applyAlignment="1">
      <alignment horizontal="center"/>
    </xf>
    <xf numFmtId="169" fontId="7" fillId="0" borderId="0" xfId="16" applyFont="1" applyFill="1" applyBorder="1" applyAlignment="1">
      <alignment horizontal="left"/>
    </xf>
    <xf numFmtId="169" fontId="8" fillId="0" borderId="0" xfId="24" applyFont="1" applyFill="1"/>
    <xf numFmtId="169" fontId="11" fillId="0" borderId="0" xfId="24" applyFont="1" applyFill="1" applyAlignment="1">
      <alignment horizontal="centerContinuous"/>
    </xf>
    <xf numFmtId="169" fontId="11" fillId="0" borderId="0" xfId="24" applyFont="1" applyFill="1"/>
    <xf numFmtId="169" fontId="8" fillId="0" borderId="8" xfId="24" applyFont="1" applyFill="1" applyBorder="1" applyAlignment="1">
      <alignment horizontal="centerContinuous"/>
    </xf>
    <xf numFmtId="169" fontId="8" fillId="0" borderId="0" xfId="24" applyFont="1" applyFill="1" applyAlignment="1">
      <alignment horizontal="center"/>
    </xf>
    <xf numFmtId="169" fontId="8" fillId="0" borderId="5" xfId="24" applyFont="1" applyFill="1" applyBorder="1" applyAlignment="1">
      <alignment horizontal="left"/>
    </xf>
    <xf numFmtId="169" fontId="8" fillId="0" borderId="5" xfId="24" applyFont="1" applyFill="1" applyBorder="1" applyAlignment="1">
      <alignment horizontal="center"/>
    </xf>
    <xf numFmtId="37" fontId="8" fillId="0" borderId="0" xfId="24" applyNumberFormat="1" applyFont="1" applyFill="1" applyAlignment="1" applyProtection="1">
      <alignment horizontal="center"/>
    </xf>
    <xf numFmtId="37" fontId="8" fillId="0" borderId="0" xfId="24" applyNumberFormat="1" applyFont="1" applyFill="1" applyAlignment="1" applyProtection="1">
      <alignment horizontal="right"/>
    </xf>
    <xf numFmtId="37" fontId="8" fillId="0" borderId="0" xfId="24" applyNumberFormat="1" applyFont="1" applyFill="1" applyAlignment="1" applyProtection="1">
      <alignment horizontal="left"/>
    </xf>
    <xf numFmtId="169" fontId="8" fillId="0" borderId="0" xfId="24" applyFont="1" applyFill="1" applyAlignment="1">
      <alignment horizontal="right"/>
    </xf>
    <xf numFmtId="37" fontId="8" fillId="0" borderId="5" xfId="24" applyNumberFormat="1" applyFont="1" applyFill="1" applyBorder="1" applyProtection="1"/>
    <xf numFmtId="37" fontId="8" fillId="0" borderId="5" xfId="24" applyNumberFormat="1" applyFont="1" applyFill="1" applyBorder="1" applyAlignment="1" applyProtection="1">
      <alignment horizontal="right"/>
    </xf>
    <xf numFmtId="37" fontId="8" fillId="0" borderId="7" xfId="24" applyNumberFormat="1" applyFont="1" applyFill="1" applyBorder="1" applyProtection="1"/>
    <xf numFmtId="169" fontId="20" fillId="0" borderId="0" xfId="24" applyFont="1" applyFill="1" applyAlignment="1">
      <alignment horizontal="left"/>
    </xf>
    <xf numFmtId="169" fontId="13" fillId="0" borderId="0" xfId="24" applyFont="1" applyFill="1" applyBorder="1"/>
    <xf numFmtId="169" fontId="7" fillId="0" borderId="0" xfId="24" applyFont="1" applyFill="1" applyBorder="1"/>
    <xf numFmtId="169" fontId="7" fillId="0" borderId="0" xfId="24" applyFont="1" applyFill="1" applyBorder="1" applyAlignment="1">
      <alignment horizontal="center"/>
    </xf>
    <xf numFmtId="37" fontId="7" fillId="0" borderId="0" xfId="24" applyNumberFormat="1" applyFont="1" applyFill="1" applyBorder="1" applyProtection="1"/>
    <xf numFmtId="37" fontId="7" fillId="0" borderId="0" xfId="24" applyNumberFormat="1" applyFont="1" applyFill="1" applyBorder="1" applyAlignment="1" applyProtection="1">
      <alignment horizontal="center"/>
    </xf>
    <xf numFmtId="37" fontId="7" fillId="0" borderId="0" xfId="24" applyNumberFormat="1" applyFont="1" applyFill="1" applyProtection="1"/>
    <xf numFmtId="169" fontId="16" fillId="0" borderId="0" xfId="24" applyFont="1" applyFill="1"/>
    <xf numFmtId="169" fontId="16" fillId="0" borderId="0" xfId="24" applyFont="1" applyFill="1" applyAlignment="1">
      <alignment horizontal="center"/>
    </xf>
    <xf numFmtId="37" fontId="16" fillId="0" borderId="0" xfId="24" applyNumberFormat="1" applyFont="1" applyFill="1" applyProtection="1"/>
    <xf numFmtId="37" fontId="16" fillId="0" borderId="0" xfId="24" applyNumberFormat="1" applyFont="1" applyFill="1" applyAlignment="1" applyProtection="1">
      <alignment horizontal="center"/>
    </xf>
    <xf numFmtId="169" fontId="23" fillId="0" borderId="0" xfId="16" applyFont="1" applyFill="1" applyAlignment="1"/>
    <xf numFmtId="169" fontId="23" fillId="0" borderId="0" xfId="16" applyFont="1" applyFill="1"/>
    <xf numFmtId="169" fontId="3" fillId="0" borderId="0" xfId="16" applyFont="1" applyFill="1" applyAlignment="1">
      <alignment horizontal="centerContinuous"/>
    </xf>
    <xf numFmtId="169" fontId="16" fillId="0" borderId="0" xfId="16" applyFont="1" applyFill="1" applyAlignment="1">
      <alignment horizontal="centerContinuous"/>
    </xf>
    <xf numFmtId="169" fontId="16" fillId="0" borderId="0" xfId="16" applyFont="1" applyFill="1"/>
    <xf numFmtId="169" fontId="3" fillId="0" borderId="8" xfId="16" applyFont="1" applyFill="1" applyBorder="1"/>
    <xf numFmtId="169" fontId="16" fillId="0" borderId="0" xfId="16" applyFont="1" applyFill="1" applyBorder="1"/>
    <xf numFmtId="169" fontId="3" fillId="0" borderId="0" xfId="16" applyFont="1" applyFill="1"/>
    <xf numFmtId="169" fontId="16" fillId="0" borderId="0" xfId="16" applyFont="1" applyFill="1" applyBorder="1" applyAlignment="1">
      <alignment horizontal="centerContinuous"/>
    </xf>
    <xf numFmtId="169" fontId="3" fillId="0" borderId="5" xfId="16" applyFont="1" applyFill="1" applyBorder="1" applyAlignment="1">
      <alignment horizontal="center" wrapText="1"/>
    </xf>
    <xf numFmtId="164" fontId="3" fillId="0" borderId="0" xfId="16" applyNumberFormat="1" applyFont="1" applyFill="1" applyBorder="1" applyProtection="1"/>
    <xf numFmtId="37" fontId="3" fillId="0" borderId="0" xfId="16" applyNumberFormat="1" applyFont="1" applyFill="1" applyBorder="1" applyProtection="1"/>
    <xf numFmtId="164" fontId="3" fillId="0" borderId="0" xfId="16" applyNumberFormat="1" applyFont="1" applyFill="1" applyBorder="1" applyAlignment="1" applyProtection="1">
      <alignment horizontal="right"/>
    </xf>
    <xf numFmtId="37" fontId="16" fillId="0" borderId="0" xfId="16" applyNumberFormat="1" applyFont="1" applyFill="1" applyBorder="1" applyProtection="1"/>
    <xf numFmtId="37" fontId="16" fillId="0" borderId="0" xfId="16" applyNumberFormat="1" applyFont="1" applyFill="1" applyProtection="1"/>
    <xf numFmtId="37" fontId="3" fillId="0" borderId="0" xfId="16" applyNumberFormat="1" applyFont="1" applyFill="1" applyProtection="1"/>
    <xf numFmtId="37" fontId="3" fillId="0" borderId="5" xfId="16" applyNumberFormat="1" applyFont="1" applyFill="1" applyBorder="1" applyProtection="1"/>
    <xf numFmtId="37" fontId="3" fillId="0" borderId="1" xfId="16" applyNumberFormat="1" applyFont="1" applyFill="1" applyBorder="1" applyProtection="1"/>
    <xf numFmtId="164" fontId="3" fillId="0" borderId="7" xfId="16" applyNumberFormat="1" applyFont="1" applyFill="1" applyBorder="1" applyAlignment="1" applyProtection="1">
      <alignment horizontal="right"/>
    </xf>
    <xf numFmtId="164" fontId="3" fillId="0" borderId="7" xfId="16" applyNumberFormat="1" applyFont="1" applyFill="1" applyBorder="1" applyProtection="1"/>
    <xf numFmtId="169" fontId="2" fillId="0" borderId="0" xfId="16" applyFont="1" applyFill="1" applyAlignment="1">
      <alignment horizontal="left"/>
    </xf>
    <xf numFmtId="42" fontId="3" fillId="0" borderId="7" xfId="16" applyNumberFormat="1" applyFont="1" applyFill="1" applyBorder="1" applyProtection="1"/>
    <xf numFmtId="41" fontId="2" fillId="0" borderId="0" xfId="20" applyNumberFormat="1" applyFont="1" applyFill="1" applyAlignment="1">
      <alignment horizontal="centerContinuous"/>
    </xf>
    <xf numFmtId="41" fontId="3" fillId="0" borderId="8" xfId="20" applyNumberFormat="1" applyFont="1" applyFill="1" applyBorder="1"/>
    <xf numFmtId="41" fontId="3" fillId="0" borderId="5" xfId="20" applyNumberFormat="1" applyFont="1" applyFill="1" applyBorder="1" applyAlignment="1">
      <alignment horizontal="centerContinuous"/>
    </xf>
    <xf numFmtId="41" fontId="3" fillId="0" borderId="1" xfId="20" applyNumberFormat="1" applyFont="1" applyFill="1" applyBorder="1" applyAlignment="1">
      <alignment horizontal="centerContinuous"/>
    </xf>
    <xf numFmtId="41" fontId="3" fillId="0" borderId="0" xfId="20" applyNumberFormat="1" applyFont="1" applyFill="1" applyProtection="1"/>
    <xf numFmtId="41" fontId="3" fillId="0" borderId="0" xfId="20" applyNumberFormat="1" applyFont="1" applyFill="1" applyAlignment="1"/>
    <xf numFmtId="164" fontId="3" fillId="0" borderId="0" xfId="5" applyNumberFormat="1" applyFont="1" applyFill="1" applyProtection="1"/>
    <xf numFmtId="41" fontId="3" fillId="0" borderId="0" xfId="5" applyNumberFormat="1" applyFont="1" applyFill="1" applyProtection="1"/>
    <xf numFmtId="41" fontId="3" fillId="0" borderId="0" xfId="1" applyNumberFormat="1" applyFont="1" applyFill="1" applyProtection="1"/>
    <xf numFmtId="41" fontId="3" fillId="0" borderId="5" xfId="20" applyNumberFormat="1" applyFont="1" applyFill="1" applyBorder="1" applyProtection="1"/>
    <xf numFmtId="41" fontId="3" fillId="0" borderId="0" xfId="20" applyNumberFormat="1" applyFont="1" applyFill="1" applyBorder="1" applyProtection="1"/>
    <xf numFmtId="41" fontId="3" fillId="0" borderId="1" xfId="5" applyNumberFormat="1" applyFont="1" applyFill="1" applyBorder="1" applyProtection="1"/>
    <xf numFmtId="41" fontId="3" fillId="0" borderId="0" xfId="1" applyNumberFormat="1" applyFont="1" applyFill="1" applyAlignment="1" applyProtection="1">
      <alignment horizontal="right"/>
    </xf>
    <xf numFmtId="41" fontId="3" fillId="0" borderId="0" xfId="1" applyNumberFormat="1" applyFont="1" applyFill="1" applyBorder="1" applyProtection="1"/>
    <xf numFmtId="41" fontId="3" fillId="0" borderId="0" xfId="20" applyNumberFormat="1" applyFont="1" applyFill="1" applyBorder="1"/>
    <xf numFmtId="41" fontId="3" fillId="0" borderId="1" xfId="20" applyNumberFormat="1" applyFont="1" applyFill="1" applyBorder="1" applyProtection="1"/>
    <xf numFmtId="41" fontId="3" fillId="0" borderId="1" xfId="1" applyNumberFormat="1" applyFont="1" applyFill="1" applyBorder="1" applyProtection="1"/>
    <xf numFmtId="41" fontId="3" fillId="0" borderId="5" xfId="1" applyNumberFormat="1" applyFont="1" applyFill="1" applyBorder="1" applyProtection="1"/>
    <xf numFmtId="41" fontId="3" fillId="0" borderId="5" xfId="1" applyNumberFormat="1" applyFont="1" applyFill="1" applyBorder="1" applyAlignment="1" applyProtection="1">
      <alignment horizontal="right"/>
    </xf>
    <xf numFmtId="41" fontId="3" fillId="0" borderId="0" xfId="1" applyNumberFormat="1" applyFont="1" applyFill="1" applyBorder="1" applyAlignment="1" applyProtection="1">
      <alignment horizontal="right"/>
    </xf>
    <xf numFmtId="164" fontId="3" fillId="0" borderId="7" xfId="5" applyNumberFormat="1" applyFont="1" applyFill="1" applyBorder="1" applyProtection="1"/>
    <xf numFmtId="166" fontId="9" fillId="0" borderId="0" xfId="1" applyNumberFormat="1" applyFont="1" applyFill="1" applyAlignment="1">
      <alignment horizontal="right"/>
    </xf>
    <xf numFmtId="0" fontId="22" fillId="0" borderId="0" xfId="0" applyFont="1" applyFill="1"/>
    <xf numFmtId="166" fontId="9" fillId="0" borderId="0" xfId="1" applyNumberFormat="1" applyFont="1" applyFill="1"/>
    <xf numFmtId="166" fontId="7" fillId="0" borderId="0" xfId="1" applyNumberFormat="1" applyFont="1" applyFill="1" applyBorder="1"/>
    <xf numFmtId="0" fontId="2" fillId="0" borderId="0" xfId="15" applyFont="1" applyFill="1" applyAlignment="1">
      <alignment horizontal="centerContinuous"/>
    </xf>
    <xf numFmtId="169" fontId="3" fillId="0" borderId="10" xfId="16" applyFont="1" applyFill="1" applyBorder="1" applyAlignment="1">
      <alignment horizontal="centerContinuous"/>
    </xf>
    <xf numFmtId="0" fontId="3" fillId="0" borderId="10" xfId="0" applyFont="1" applyFill="1" applyBorder="1" applyAlignment="1">
      <alignment horizontal="centerContinuous"/>
    </xf>
    <xf numFmtId="169" fontId="3" fillId="0" borderId="0" xfId="16" applyFont="1" applyFill="1" applyBorder="1" applyAlignment="1">
      <alignment horizontal="centerContinuous"/>
    </xf>
    <xf numFmtId="0" fontId="3" fillId="0" borderId="1" xfId="15" applyFont="1" applyFill="1" applyBorder="1" applyAlignment="1">
      <alignment horizontal="centerContinuous"/>
    </xf>
    <xf numFmtId="0" fontId="3" fillId="0" borderId="1" xfId="0" applyFont="1" applyFill="1" applyBorder="1" applyAlignment="1">
      <alignment horizontal="centerContinuous"/>
    </xf>
    <xf numFmtId="0" fontId="3" fillId="0" borderId="1" xfId="15" applyFont="1" applyFill="1" applyBorder="1" applyAlignment="1">
      <alignment horizontal="center" wrapText="1"/>
    </xf>
    <xf numFmtId="0" fontId="3" fillId="0" borderId="0" xfId="15" applyFont="1" applyFill="1" applyAlignment="1">
      <alignment horizontal="center" wrapText="1"/>
    </xf>
    <xf numFmtId="164" fontId="3" fillId="0" borderId="1" xfId="5" applyNumberFormat="1" applyFont="1" applyFill="1" applyBorder="1"/>
    <xf numFmtId="166" fontId="3" fillId="0" borderId="0" xfId="15" applyNumberFormat="1" applyFont="1" applyFill="1"/>
    <xf numFmtId="166" fontId="3" fillId="0" borderId="1" xfId="15" applyNumberFormat="1" applyFont="1" applyFill="1" applyBorder="1"/>
    <xf numFmtId="164" fontId="3" fillId="0" borderId="3" xfId="15" applyNumberFormat="1" applyFont="1" applyFill="1" applyBorder="1"/>
    <xf numFmtId="164" fontId="3" fillId="0" borderId="0" xfId="16" applyNumberFormat="1" applyFont="1" applyFill="1" applyAlignment="1" applyProtection="1">
      <alignment horizontal="left"/>
    </xf>
    <xf numFmtId="164" fontId="3" fillId="0" borderId="0" xfId="16" applyNumberFormat="1" applyFont="1" applyFill="1" applyProtection="1"/>
    <xf numFmtId="164" fontId="3" fillId="0" borderId="0" xfId="5" applyNumberFormat="1" applyFont="1" applyFill="1" applyBorder="1" applyProtection="1"/>
    <xf numFmtId="43" fontId="3" fillId="0" borderId="5" xfId="1" applyFont="1" applyFill="1" applyBorder="1" applyAlignment="1" applyProtection="1">
      <alignment horizontal="right"/>
    </xf>
    <xf numFmtId="166" fontId="3" fillId="0" borderId="0" xfId="1" applyNumberFormat="1" applyFont="1" applyFill="1" applyBorder="1"/>
    <xf numFmtId="37" fontId="3" fillId="0" borderId="0" xfId="16" applyNumberFormat="1" applyFont="1" applyFill="1" applyAlignment="1" applyProtection="1">
      <alignment horizontal="right"/>
    </xf>
    <xf numFmtId="169" fontId="3" fillId="0" borderId="0" xfId="16" applyFont="1" applyFill="1" applyAlignment="1">
      <alignment wrapText="1"/>
    </xf>
    <xf numFmtId="166" fontId="3" fillId="0" borderId="0" xfId="16" applyNumberFormat="1" applyFont="1" applyFill="1"/>
    <xf numFmtId="169" fontId="3" fillId="0" borderId="1" xfId="16" applyFont="1" applyFill="1" applyBorder="1"/>
    <xf numFmtId="169" fontId="3" fillId="0" borderId="0" xfId="16" applyFont="1" applyFill="1" applyBorder="1"/>
    <xf numFmtId="169" fontId="3" fillId="0" borderId="0" xfId="16" applyFont="1" applyFill="1" applyAlignment="1">
      <alignment horizontal="right"/>
    </xf>
    <xf numFmtId="164" fontId="3" fillId="0" borderId="7" xfId="1" applyNumberFormat="1" applyFont="1" applyFill="1" applyBorder="1" applyAlignment="1">
      <alignment horizontal="right"/>
    </xf>
    <xf numFmtId="166" fontId="3" fillId="0" borderId="1" xfId="1" applyNumberFormat="1" applyFont="1" applyFill="1" applyBorder="1" applyAlignment="1">
      <alignment horizontal="right"/>
    </xf>
    <xf numFmtId="37" fontId="3" fillId="0" borderId="6" xfId="16" applyNumberFormat="1" applyFont="1" applyFill="1" applyBorder="1" applyProtection="1"/>
    <xf numFmtId="37" fontId="3" fillId="0" borderId="0" xfId="16" applyNumberFormat="1" applyFont="1" applyFill="1" applyAlignment="1" applyProtection="1">
      <alignment horizontal="left"/>
    </xf>
    <xf numFmtId="169" fontId="7" fillId="0" borderId="0" xfId="16" applyFont="1" applyFill="1" applyAlignment="1">
      <alignment horizontal="left"/>
    </xf>
    <xf numFmtId="37" fontId="7" fillId="0" borderId="0" xfId="16" applyNumberFormat="1" applyFont="1" applyFill="1" applyAlignment="1" applyProtection="1">
      <alignment horizontal="left"/>
    </xf>
    <xf numFmtId="37" fontId="7" fillId="0" borderId="0" xfId="16" applyNumberFormat="1" applyFont="1" applyFill="1" applyBorder="1" applyProtection="1"/>
    <xf numFmtId="37" fontId="7" fillId="0" borderId="0" xfId="16" applyNumberFormat="1" applyFont="1" applyFill="1" applyProtection="1"/>
    <xf numFmtId="169" fontId="15" fillId="0" borderId="0" xfId="16" applyFont="1" applyFill="1" applyBorder="1"/>
    <xf numFmtId="169" fontId="15" fillId="0" borderId="0" xfId="16" applyFont="1" applyFill="1"/>
    <xf numFmtId="0" fontId="3" fillId="0" borderId="8" xfId="19" applyFont="1" applyFill="1" applyBorder="1"/>
    <xf numFmtId="0" fontId="3" fillId="0" borderId="5" xfId="19" applyFont="1" applyFill="1" applyBorder="1" applyAlignment="1">
      <alignment horizontal="centerContinuous"/>
    </xf>
    <xf numFmtId="0" fontId="3" fillId="0" borderId="5" xfId="19" applyFont="1" applyFill="1" applyBorder="1"/>
    <xf numFmtId="0" fontId="2" fillId="0" borderId="0" xfId="19" applyFont="1" applyFill="1"/>
    <xf numFmtId="164" fontId="3" fillId="0" borderId="0" xfId="19" applyNumberFormat="1" applyFont="1" applyFill="1" applyProtection="1"/>
    <xf numFmtId="164" fontId="3" fillId="0" borderId="0" xfId="19" applyNumberFormat="1" applyFont="1" applyFill="1"/>
    <xf numFmtId="41" fontId="3" fillId="0" borderId="5" xfId="19" applyNumberFormat="1" applyFont="1" applyFill="1" applyBorder="1" applyProtection="1"/>
    <xf numFmtId="41" fontId="3" fillId="0" borderId="0" xfId="19" applyNumberFormat="1" applyFont="1" applyFill="1" applyProtection="1"/>
    <xf numFmtId="41" fontId="3" fillId="0" borderId="0" xfId="19" applyNumberFormat="1" applyFont="1" applyFill="1"/>
    <xf numFmtId="37" fontId="3" fillId="0" borderId="0" xfId="19" applyNumberFormat="1" applyFont="1" applyFill="1" applyProtection="1"/>
    <xf numFmtId="41" fontId="3" fillId="0" borderId="0" xfId="19" applyNumberFormat="1" applyFont="1" applyFill="1" applyBorder="1" applyProtection="1"/>
    <xf numFmtId="164" fontId="3" fillId="0" borderId="7" xfId="19" applyNumberFormat="1" applyFont="1" applyFill="1" applyBorder="1" applyProtection="1"/>
    <xf numFmtId="166" fontId="2" fillId="0" borderId="0" xfId="1" applyNumberFormat="1" applyFont="1" applyFill="1" applyAlignment="1" applyProtection="1">
      <alignment horizontal="centerContinuous"/>
    </xf>
    <xf numFmtId="166" fontId="3" fillId="0" borderId="5" xfId="1" applyNumberFormat="1" applyFont="1" applyFill="1" applyBorder="1" applyAlignment="1">
      <alignment horizontal="centerContinuous"/>
    </xf>
    <xf numFmtId="164" fontId="3" fillId="0" borderId="1" xfId="1" applyNumberFormat="1" applyFont="1" applyFill="1" applyBorder="1"/>
    <xf numFmtId="164" fontId="3" fillId="0" borderId="1" xfId="1" applyNumberFormat="1" applyFont="1" applyFill="1" applyBorder="1" applyAlignment="1">
      <alignment horizontal="center"/>
    </xf>
    <xf numFmtId="164" fontId="3" fillId="0" borderId="0" xfId="1" applyNumberFormat="1" applyFont="1" applyFill="1"/>
    <xf numFmtId="164" fontId="3" fillId="0" borderId="0" xfId="1" applyNumberFormat="1" applyFont="1" applyFill="1" applyAlignment="1">
      <alignment horizontal="center"/>
    </xf>
    <xf numFmtId="166" fontId="3" fillId="0" borderId="0" xfId="1" applyNumberFormat="1" applyFont="1" applyFill="1" applyAlignment="1" applyProtection="1">
      <alignment horizontal="center"/>
    </xf>
    <xf numFmtId="164" fontId="3" fillId="0" borderId="7" xfId="1" applyNumberFormat="1" applyFont="1" applyFill="1" applyBorder="1" applyAlignment="1" applyProtection="1">
      <alignment horizontal="right"/>
    </xf>
    <xf numFmtId="0" fontId="0" fillId="0" borderId="0" xfId="0" applyFill="1" applyAlignment="1">
      <alignment horizontal="center"/>
    </xf>
    <xf numFmtId="0" fontId="0" fillId="0" borderId="0" xfId="0" applyFill="1" applyBorder="1" applyAlignment="1">
      <alignment horizontal="center"/>
    </xf>
    <xf numFmtId="0" fontId="0" fillId="0" borderId="1" xfId="0" applyFill="1" applyBorder="1" applyAlignment="1">
      <alignment horizontal="center"/>
    </xf>
    <xf numFmtId="0" fontId="2" fillId="0" borderId="0" xfId="0" applyFont="1" applyFill="1" applyAlignment="1">
      <alignment horizontal="left" indent="2"/>
    </xf>
    <xf numFmtId="0" fontId="9" fillId="0" borderId="0" xfId="23" applyFont="1" applyFill="1"/>
    <xf numFmtId="0" fontId="7" fillId="0" borderId="0" xfId="23" applyFont="1" applyFill="1"/>
    <xf numFmtId="0" fontId="16" fillId="0" borderId="0" xfId="14" applyFont="1" applyFill="1"/>
    <xf numFmtId="0" fontId="7" fillId="0" borderId="0" xfId="23" applyFont="1" applyFill="1" applyBorder="1"/>
    <xf numFmtId="0" fontId="16" fillId="0" borderId="0" xfId="23" applyFont="1" applyFill="1"/>
    <xf numFmtId="0" fontId="7" fillId="0" borderId="0" xfId="23" quotePrefix="1" applyFont="1" applyFill="1"/>
    <xf numFmtId="167" fontId="7" fillId="0" borderId="0" xfId="23" applyNumberFormat="1" applyFont="1" applyFill="1" applyAlignment="1">
      <alignment horizontal="left"/>
    </xf>
    <xf numFmtId="0" fontId="7" fillId="0" borderId="0" xfId="23" applyFont="1" applyFill="1" applyAlignment="1">
      <alignment horizontal="left"/>
    </xf>
    <xf numFmtId="0" fontId="10" fillId="0" borderId="0" xfId="14" applyFill="1"/>
    <xf numFmtId="0" fontId="7" fillId="0" borderId="0" xfId="22" applyFont="1" applyFill="1"/>
    <xf numFmtId="0" fontId="9" fillId="0" borderId="10" xfId="22" applyFont="1" applyFill="1" applyBorder="1" applyAlignment="1"/>
    <xf numFmtId="0" fontId="7" fillId="0" borderId="10" xfId="22" applyFont="1" applyFill="1" applyBorder="1"/>
    <xf numFmtId="0" fontId="9" fillId="0" borderId="0" xfId="22" applyFont="1" applyFill="1" applyAlignment="1"/>
    <xf numFmtId="0" fontId="7" fillId="0" borderId="0" xfId="22" applyFont="1" applyFill="1" applyAlignment="1">
      <alignment horizontal="center"/>
    </xf>
    <xf numFmtId="0" fontId="2" fillId="0" borderId="0" xfId="0" applyFont="1" applyFill="1" applyBorder="1" applyAlignment="1">
      <alignment horizontal="center"/>
    </xf>
    <xf numFmtId="0" fontId="2" fillId="0" borderId="0" xfId="0" applyFont="1" applyFill="1" applyAlignment="1">
      <alignment wrapText="1"/>
    </xf>
    <xf numFmtId="0" fontId="3" fillId="0" borderId="0" xfId="0" applyFont="1" applyFill="1" applyAlignment="1">
      <alignment wrapText="1"/>
    </xf>
    <xf numFmtId="0" fontId="0" fillId="0" borderId="0" xfId="0" applyFill="1" applyBorder="1" applyAlignment="1">
      <alignment wrapText="1"/>
    </xf>
    <xf numFmtId="0" fontId="2" fillId="0" borderId="0" xfId="0" applyFont="1" applyFill="1" applyAlignment="1"/>
    <xf numFmtId="164" fontId="0" fillId="0" borderId="0" xfId="0" applyNumberFormat="1" applyFill="1"/>
    <xf numFmtId="0" fontId="2" fillId="0" borderId="0" xfId="0" quotePrefix="1" applyFont="1" applyFill="1" applyAlignment="1">
      <alignment horizontal="center"/>
    </xf>
    <xf numFmtId="0" fontId="0" fillId="0" borderId="0" xfId="0" applyFill="1" applyAlignment="1">
      <alignment horizontal="left" wrapText="1" indent="3"/>
    </xf>
    <xf numFmtId="0" fontId="0" fillId="0" borderId="0" xfId="0" applyFill="1" applyAlignment="1">
      <alignment horizontal="left" wrapText="1" indent="4"/>
    </xf>
    <xf numFmtId="0" fontId="0" fillId="0" borderId="0" xfId="0" applyFill="1" applyAlignment="1">
      <alignment horizontal="left" wrapText="1" indent="5"/>
    </xf>
    <xf numFmtId="0" fontId="0" fillId="0" borderId="0" xfId="0" applyFill="1" applyAlignment="1">
      <alignment horizontal="left" indent="4"/>
    </xf>
    <xf numFmtId="0" fontId="8" fillId="0" borderId="0" xfId="0" applyFont="1" applyFill="1" applyBorder="1"/>
    <xf numFmtId="166" fontId="8" fillId="0" borderId="0" xfId="0" applyNumberFormat="1" applyFont="1" applyFill="1"/>
    <xf numFmtId="0" fontId="0" fillId="0" borderId="0" xfId="0" applyFill="1" applyAlignment="1">
      <alignment horizontal="right"/>
    </xf>
    <xf numFmtId="0" fontId="2" fillId="0" borderId="11" xfId="0" applyFont="1" applyFill="1" applyBorder="1" applyAlignment="1">
      <alignment horizontal="centerContinuous"/>
    </xf>
    <xf numFmtId="0" fontId="0" fillId="0" borderId="6" xfId="0" applyFill="1" applyBorder="1" applyAlignment="1">
      <alignment horizontal="centerContinuous"/>
    </xf>
    <xf numFmtId="0" fontId="2" fillId="0" borderId="12" xfId="0" applyFont="1" applyFill="1" applyBorder="1" applyAlignment="1">
      <alignment horizontal="center"/>
    </xf>
    <xf numFmtId="0" fontId="0" fillId="0" borderId="13" xfId="0" applyFill="1" applyBorder="1"/>
    <xf numFmtId="0" fontId="2" fillId="0" borderId="14" xfId="0" applyFont="1" applyFill="1" applyBorder="1" applyAlignment="1">
      <alignment horizontal="center" wrapText="1"/>
    </xf>
    <xf numFmtId="0" fontId="2" fillId="0" borderId="15" xfId="0" applyFont="1" applyFill="1" applyBorder="1" applyAlignment="1">
      <alignment horizontal="center" wrapText="1"/>
    </xf>
    <xf numFmtId="0" fontId="0" fillId="0" borderId="11" xfId="0" applyFill="1" applyBorder="1"/>
    <xf numFmtId="0" fontId="2" fillId="0" borderId="6" xfId="0" applyFont="1" applyFill="1" applyBorder="1" applyAlignment="1">
      <alignment horizontal="centerContinuous"/>
    </xf>
    <xf numFmtId="0" fontId="0" fillId="0" borderId="6" xfId="0" applyFill="1" applyBorder="1"/>
    <xf numFmtId="164" fontId="0" fillId="0" borderId="0" xfId="0" applyNumberFormat="1" applyFill="1" applyBorder="1"/>
    <xf numFmtId="41" fontId="0" fillId="0" borderId="0" xfId="0" applyNumberFormat="1" applyFill="1" applyAlignment="1">
      <alignment horizontal="left" wrapText="1" indent="1"/>
    </xf>
    <xf numFmtId="41" fontId="0" fillId="0" borderId="1" xfId="0" applyNumberFormat="1" applyFill="1" applyBorder="1" applyAlignment="1">
      <alignment horizontal="left" wrapText="1" indent="1"/>
    </xf>
    <xf numFmtId="41" fontId="0" fillId="0" borderId="0" xfId="0" applyNumberFormat="1" applyFill="1" applyBorder="1" applyAlignment="1">
      <alignment horizontal="left" wrapText="1" indent="1"/>
    </xf>
    <xf numFmtId="0" fontId="2" fillId="0" borderId="1" xfId="0" applyFont="1" applyFill="1" applyBorder="1" applyAlignment="1">
      <alignment horizontal="left"/>
    </xf>
    <xf numFmtId="0" fontId="2" fillId="0" borderId="6" xfId="0" applyFont="1" applyFill="1" applyBorder="1" applyAlignment="1">
      <alignment horizontal="center" wrapText="1"/>
    </xf>
    <xf numFmtId="0" fontId="7" fillId="0" borderId="0" xfId="0" applyFont="1" applyFill="1" applyBorder="1" applyAlignment="1">
      <alignment horizontal="left" wrapText="1"/>
    </xf>
    <xf numFmtId="0" fontId="0" fillId="0" borderId="0" xfId="0" applyFill="1" applyAlignment="1">
      <alignment horizontal="left" wrapText="1"/>
    </xf>
    <xf numFmtId="164" fontId="1" fillId="0" borderId="0" xfId="5" applyNumberFormat="1" applyFill="1"/>
    <xf numFmtId="166" fontId="1" fillId="0" borderId="0" xfId="1" applyNumberFormat="1" applyFill="1"/>
    <xf numFmtId="166" fontId="1" fillId="0" borderId="0" xfId="1" applyNumberFormat="1" applyFill="1" applyBorder="1"/>
    <xf numFmtId="166" fontId="1" fillId="0" borderId="6" xfId="1" applyNumberFormat="1" applyFill="1" applyBorder="1"/>
    <xf numFmtId="166" fontId="1" fillId="0" borderId="1" xfId="1" applyNumberFormat="1" applyFill="1" applyBorder="1"/>
    <xf numFmtId="164" fontId="1" fillId="0" borderId="2" xfId="5" applyNumberFormat="1" applyFill="1" applyBorder="1"/>
    <xf numFmtId="164" fontId="1" fillId="0" borderId="0" xfId="5" applyNumberFormat="1" applyFill="1" applyBorder="1"/>
    <xf numFmtId="166" fontId="1" fillId="0" borderId="16" xfId="1" applyNumberFormat="1" applyFill="1" applyBorder="1"/>
    <xf numFmtId="0" fontId="3" fillId="0" borderId="0" xfId="0" applyFont="1" applyBorder="1" applyAlignment="1" applyProtection="1">
      <protection locked="0"/>
    </xf>
    <xf numFmtId="0" fontId="0" fillId="0" borderId="0" xfId="0" applyFill="1" applyBorder="1" applyAlignment="1">
      <alignment horizontal="left" wrapText="1" indent="1"/>
    </xf>
    <xf numFmtId="169" fontId="3" fillId="0" borderId="0" xfId="16" applyFont="1" applyFill="1" applyBorder="1" applyAlignment="1">
      <alignment horizontal="left"/>
    </xf>
    <xf numFmtId="0" fontId="3" fillId="0" borderId="0" xfId="17" applyFont="1" applyFill="1" applyBorder="1" applyAlignment="1">
      <alignment horizontal="left"/>
    </xf>
    <xf numFmtId="37" fontId="3" fillId="0" borderId="0" xfId="16" applyNumberFormat="1" applyFont="1" applyFill="1" applyBorder="1" applyAlignment="1" applyProtection="1">
      <alignment horizontal="left"/>
    </xf>
    <xf numFmtId="37" fontId="16" fillId="0" borderId="0" xfId="16" applyNumberFormat="1" applyFont="1" applyFill="1" applyBorder="1" applyAlignment="1" applyProtection="1">
      <alignment horizontal="left"/>
    </xf>
    <xf numFmtId="41" fontId="3" fillId="0" borderId="0" xfId="20" applyNumberFormat="1" applyFont="1" applyFill="1" applyBorder="1" applyAlignment="1">
      <alignment horizontal="left"/>
    </xf>
    <xf numFmtId="0" fontId="3" fillId="0" borderId="0" xfId="19" applyFont="1" applyFill="1" applyBorder="1"/>
    <xf numFmtId="37" fontId="3" fillId="0" borderId="0" xfId="19" applyNumberFormat="1" applyFont="1" applyFill="1" applyBorder="1" applyProtection="1"/>
    <xf numFmtId="0" fontId="3" fillId="0" borderId="0" xfId="17" applyFont="1" applyFill="1" applyBorder="1" applyAlignment="1">
      <alignment horizontal="center"/>
    </xf>
    <xf numFmtId="0" fontId="16" fillId="0" borderId="0" xfId="14" applyFont="1" applyFill="1" applyBorder="1"/>
    <xf numFmtId="0" fontId="17" fillId="0" borderId="0" xfId="14" applyFont="1" applyFill="1" applyBorder="1"/>
    <xf numFmtId="0" fontId="7" fillId="0" borderId="0" xfId="23" quotePrefix="1" applyFont="1" applyFill="1" applyBorder="1"/>
    <xf numFmtId="0" fontId="0" fillId="0" borderId="0" xfId="0" applyBorder="1" applyAlignment="1"/>
    <xf numFmtId="0" fontId="0" fillId="0" borderId="0" xfId="0" applyFill="1" applyBorder="1" applyAlignment="1"/>
    <xf numFmtId="166" fontId="3" fillId="0" borderId="0" xfId="1" applyNumberFormat="1" applyFont="1" applyFill="1" applyBorder="1" applyAlignment="1"/>
    <xf numFmtId="166" fontId="3" fillId="0" borderId="0" xfId="1" applyNumberFormat="1" applyFont="1" applyFill="1" applyBorder="1" applyAlignment="1" applyProtection="1"/>
    <xf numFmtId="49" fontId="3" fillId="0" borderId="0" xfId="1" applyNumberFormat="1" applyFont="1" applyFill="1" applyBorder="1" applyAlignment="1"/>
    <xf numFmtId="49" fontId="0" fillId="0" borderId="0" xfId="0" applyNumberFormat="1" applyBorder="1" applyAlignment="1"/>
    <xf numFmtId="37" fontId="3" fillId="0" borderId="0" xfId="16" applyNumberFormat="1" applyFont="1" applyFill="1" applyBorder="1" applyAlignment="1" applyProtection="1"/>
    <xf numFmtId="0" fontId="3" fillId="0" borderId="0" xfId="0" applyFont="1" applyBorder="1" applyAlignment="1"/>
    <xf numFmtId="0" fontId="0" fillId="0" borderId="1" xfId="0" applyBorder="1" applyAlignment="1"/>
    <xf numFmtId="166" fontId="3" fillId="0" borderId="6" xfId="1" applyNumberFormat="1" applyFont="1" applyFill="1" applyBorder="1" applyAlignment="1" applyProtection="1"/>
    <xf numFmtId="3" fontId="0" fillId="0" borderId="1" xfId="0" applyNumberFormat="1" applyBorder="1" applyAlignment="1"/>
    <xf numFmtId="166" fontId="3" fillId="0" borderId="1" xfId="1" applyNumberFormat="1" applyFont="1" applyFill="1" applyBorder="1" applyAlignment="1" applyProtection="1"/>
    <xf numFmtId="166" fontId="3" fillId="0" borderId="5" xfId="16" applyNumberFormat="1" applyFont="1" applyFill="1" applyBorder="1" applyProtection="1"/>
    <xf numFmtId="0" fontId="3" fillId="0" borderId="0" xfId="0" applyFont="1" applyFill="1" applyBorder="1" applyAlignment="1" applyProtection="1">
      <protection locked="0"/>
    </xf>
    <xf numFmtId="3" fontId="0" fillId="0" borderId="6" xfId="0" applyNumberFormat="1" applyBorder="1" applyAlignment="1"/>
    <xf numFmtId="164" fontId="3" fillId="0" borderId="0" xfId="5" applyNumberFormat="1" applyFont="1" applyFill="1" applyBorder="1" applyAlignment="1" applyProtection="1"/>
    <xf numFmtId="41" fontId="3" fillId="0" borderId="6" xfId="20" applyNumberFormat="1" applyFont="1" applyFill="1" applyBorder="1" applyProtection="1"/>
    <xf numFmtId="41" fontId="3" fillId="0" borderId="6" xfId="1" applyNumberFormat="1" applyFont="1" applyFill="1" applyBorder="1" applyAlignment="1" applyProtection="1">
      <alignment horizontal="right"/>
    </xf>
    <xf numFmtId="41" fontId="0" fillId="0" borderId="0" xfId="0" applyNumberFormat="1" applyBorder="1" applyAlignment="1"/>
    <xf numFmtId="172" fontId="3" fillId="0" borderId="3" xfId="0" applyNumberFormat="1" applyFont="1" applyBorder="1" applyAlignment="1"/>
    <xf numFmtId="172" fontId="0" fillId="0" borderId="0" xfId="0" applyNumberFormat="1" applyBorder="1" applyAlignment="1"/>
    <xf numFmtId="5" fontId="0" fillId="0" borderId="3" xfId="0" applyNumberFormat="1" applyBorder="1" applyAlignment="1"/>
    <xf numFmtId="5" fontId="0" fillId="0" borderId="0" xfId="0" applyNumberFormat="1" applyBorder="1" applyAlignment="1"/>
    <xf numFmtId="169" fontId="3" fillId="0" borderId="0" xfId="16" applyFont="1" applyFill="1" applyBorder="1" applyAlignment="1"/>
    <xf numFmtId="164" fontId="3" fillId="0" borderId="0" xfId="5" applyNumberFormat="1" applyFont="1" applyFill="1" applyBorder="1" applyAlignment="1"/>
    <xf numFmtId="0" fontId="3" fillId="0" borderId="0" xfId="17" applyFont="1" applyFill="1" applyBorder="1" applyAlignment="1">
      <alignment horizontal="center" vertical="center"/>
    </xf>
    <xf numFmtId="41" fontId="0" fillId="0" borderId="6" xfId="0" applyNumberFormat="1" applyBorder="1" applyAlignment="1"/>
    <xf numFmtId="41" fontId="3" fillId="0" borderId="0" xfId="1" applyNumberFormat="1" applyFont="1" applyFill="1" applyBorder="1"/>
    <xf numFmtId="164" fontId="3" fillId="0" borderId="3" xfId="1" applyNumberFormat="1" applyFont="1" applyFill="1" applyBorder="1" applyProtection="1"/>
    <xf numFmtId="42" fontId="0" fillId="0" borderId="2" xfId="0" applyNumberFormat="1" applyBorder="1" applyAlignment="1"/>
    <xf numFmtId="41" fontId="3" fillId="0" borderId="0" xfId="0" applyNumberFormat="1" applyFont="1" applyFill="1" applyBorder="1" applyAlignment="1"/>
    <xf numFmtId="37" fontId="0" fillId="0" borderId="0" xfId="0" applyNumberFormat="1" applyFill="1" applyBorder="1"/>
    <xf numFmtId="37" fontId="0" fillId="0" borderId="0" xfId="0" applyNumberFormat="1" applyBorder="1" applyAlignment="1"/>
    <xf numFmtId="37" fontId="0" fillId="0" borderId="0" xfId="0" applyNumberFormat="1" applyFill="1" applyBorder="1" applyAlignment="1"/>
    <xf numFmtId="0" fontId="21" fillId="0" borderId="0" xfId="0" applyFont="1" applyFill="1" applyAlignment="1"/>
    <xf numFmtId="42" fontId="0" fillId="0" borderId="2" xfId="0" applyNumberFormat="1" applyFill="1" applyBorder="1" applyAlignment="1"/>
    <xf numFmtId="42" fontId="0" fillId="0" borderId="0" xfId="0" applyNumberFormat="1" applyFill="1" applyAlignment="1"/>
    <xf numFmtId="42" fontId="0" fillId="0" borderId="0" xfId="0" applyNumberFormat="1" applyFill="1" applyBorder="1" applyAlignment="1"/>
    <xf numFmtId="164" fontId="8" fillId="0" borderId="0" xfId="5" applyNumberFormat="1" applyFont="1" applyFill="1" applyBorder="1" applyProtection="1"/>
    <xf numFmtId="0" fontId="3" fillId="0" borderId="0" xfId="12"/>
    <xf numFmtId="0" fontId="3" fillId="0" borderId="8" xfId="18" applyFont="1" applyFill="1" applyBorder="1"/>
    <xf numFmtId="0" fontId="2" fillId="0" borderId="8" xfId="18" applyFont="1" applyFill="1" applyBorder="1" applyAlignment="1">
      <alignment horizontal="center"/>
    </xf>
    <xf numFmtId="0" fontId="3" fillId="0" borderId="0" xfId="12" applyFill="1"/>
    <xf numFmtId="0" fontId="3" fillId="0" borderId="0" xfId="12" applyFill="1" applyBorder="1" applyAlignment="1">
      <alignment horizontal="center"/>
    </xf>
    <xf numFmtId="0" fontId="3" fillId="0" borderId="1" xfId="12" applyFill="1" applyBorder="1" applyAlignment="1">
      <alignment horizontal="center"/>
    </xf>
    <xf numFmtId="0" fontId="3" fillId="0" borderId="0" xfId="12" applyFill="1" applyAlignment="1">
      <alignment horizontal="left" indent="1"/>
    </xf>
    <xf numFmtId="42" fontId="3" fillId="0" borderId="0" xfId="12" applyNumberFormat="1" applyFill="1"/>
    <xf numFmtId="41" fontId="3" fillId="0" borderId="1" xfId="12" applyNumberFormat="1" applyFill="1" applyBorder="1"/>
    <xf numFmtId="41" fontId="3" fillId="0" borderId="0" xfId="12" applyNumberFormat="1" applyFill="1"/>
    <xf numFmtId="41" fontId="3" fillId="0" borderId="0" xfId="12" applyNumberFormat="1" applyFill="1" applyBorder="1"/>
    <xf numFmtId="0" fontId="3" fillId="0" borderId="0" xfId="12" applyFill="1" applyAlignment="1">
      <alignment horizontal="left" wrapText="1" indent="1"/>
    </xf>
    <xf numFmtId="0" fontId="2" fillId="0" borderId="0" xfId="12" applyFont="1" applyFill="1"/>
    <xf numFmtId="0" fontId="3" fillId="0" borderId="0" xfId="12" applyFill="1" applyAlignment="1">
      <alignment wrapText="1"/>
    </xf>
    <xf numFmtId="164" fontId="0" fillId="0" borderId="2" xfId="8" applyNumberFormat="1" applyFont="1" applyFill="1" applyBorder="1"/>
    <xf numFmtId="42" fontId="3" fillId="0" borderId="0" xfId="12" applyNumberFormat="1" applyFill="1" applyBorder="1"/>
    <xf numFmtId="42" fontId="3" fillId="0" borderId="2" xfId="12" applyNumberFormat="1" applyFill="1" applyBorder="1"/>
    <xf numFmtId="0" fontId="3" fillId="0" borderId="0" xfId="12" applyFill="1" applyBorder="1"/>
    <xf numFmtId="15" fontId="3" fillId="0" borderId="0" xfId="12" quotePrefix="1" applyNumberFormat="1"/>
    <xf numFmtId="173" fontId="2" fillId="0" borderId="0" xfId="0" applyNumberFormat="1" applyFont="1" applyFill="1" applyAlignment="1">
      <alignment horizontal="center"/>
    </xf>
    <xf numFmtId="164" fontId="8" fillId="0" borderId="6" xfId="5" applyNumberFormat="1" applyFont="1" applyFill="1" applyBorder="1" applyProtection="1"/>
    <xf numFmtId="0" fontId="2" fillId="0" borderId="0" xfId="17" applyFont="1" applyFill="1" applyBorder="1" applyAlignment="1">
      <alignment horizontal="centerContinuous"/>
    </xf>
    <xf numFmtId="37" fontId="3" fillId="0" borderId="0" xfId="17" applyNumberFormat="1" applyFont="1" applyFill="1" applyBorder="1" applyAlignment="1" applyProtection="1">
      <alignment horizontal="left"/>
    </xf>
    <xf numFmtId="0" fontId="3" fillId="0" borderId="0" xfId="0" applyFont="1" applyFill="1" applyAlignment="1">
      <alignment horizontal="left" indent="1"/>
    </xf>
    <xf numFmtId="0" fontId="7" fillId="0" borderId="0" xfId="0" applyFont="1" applyFill="1"/>
    <xf numFmtId="169" fontId="11" fillId="0" borderId="0" xfId="24" applyFont="1" applyFill="1" applyBorder="1" applyAlignment="1">
      <alignment horizontal="justify" vertical="center" wrapText="1"/>
    </xf>
    <xf numFmtId="0" fontId="0" fillId="0" borderId="0" xfId="0" applyFill="1" applyAlignment="1">
      <alignment horizontal="left" vertical="top" wrapText="1" indent="1"/>
    </xf>
    <xf numFmtId="0" fontId="3" fillId="0" borderId="0" xfId="0" applyFont="1" applyFill="1" applyAlignment="1"/>
    <xf numFmtId="37" fontId="8" fillId="0" borderId="0" xfId="5" applyNumberFormat="1" applyFont="1" applyFill="1" applyBorder="1" applyProtection="1"/>
    <xf numFmtId="172" fontId="8" fillId="0" borderId="2" xfId="0" applyNumberFormat="1" applyFont="1" applyFill="1" applyBorder="1"/>
    <xf numFmtId="0" fontId="3" fillId="0" borderId="0" xfId="0" applyFont="1" applyFill="1" applyAlignment="1">
      <alignment horizontal="left" wrapText="1" indent="1"/>
    </xf>
    <xf numFmtId="164" fontId="3" fillId="0" borderId="0" xfId="19" applyNumberFormat="1" applyFont="1" applyFill="1" applyAlignment="1" applyProtection="1">
      <alignment horizontal="right"/>
    </xf>
    <xf numFmtId="0" fontId="3" fillId="0" borderId="0" xfId="18" applyFont="1" applyFill="1" applyBorder="1"/>
    <xf numFmtId="0" fontId="40" fillId="0" borderId="0" xfId="0" applyFont="1" applyFill="1"/>
    <xf numFmtId="0" fontId="40" fillId="0" borderId="0" xfId="0" applyFont="1" applyFill="1" applyBorder="1"/>
    <xf numFmtId="164" fontId="40" fillId="0" borderId="0" xfId="0" applyNumberFormat="1" applyFont="1" applyFill="1"/>
    <xf numFmtId="0" fontId="3" fillId="0" borderId="0" xfId="0" applyFont="1" applyFill="1" applyAlignment="1">
      <alignment horizontal="left" indent="4"/>
    </xf>
    <xf numFmtId="0" fontId="3" fillId="0" borderId="0" xfId="0" applyFont="1" applyFill="1" applyAlignment="1">
      <alignment horizontal="left" wrapText="1" indent="5"/>
    </xf>
    <xf numFmtId="0" fontId="40" fillId="0" borderId="6" xfId="0" applyFont="1" applyFill="1" applyBorder="1"/>
    <xf numFmtId="0" fontId="3" fillId="0" borderId="0" xfId="0" applyFont="1" applyFill="1" applyAlignment="1">
      <alignment horizontal="left" wrapText="1" indent="2"/>
    </xf>
    <xf numFmtId="170" fontId="8" fillId="0" borderId="5" xfId="24" applyNumberFormat="1" applyFont="1" applyFill="1" applyBorder="1" applyAlignment="1">
      <alignment horizontal="center"/>
    </xf>
    <xf numFmtId="170" fontId="11" fillId="0" borderId="0" xfId="24" applyNumberFormat="1" applyFont="1" applyFill="1" applyAlignment="1">
      <alignment horizontal="centerContinuous"/>
    </xf>
    <xf numFmtId="0" fontId="3" fillId="0" borderId="0" xfId="0" applyFont="1" applyFill="1" applyBorder="1" applyAlignment="1">
      <alignment wrapText="1"/>
    </xf>
    <xf numFmtId="0" fontId="3" fillId="0" borderId="0" xfId="0" applyFont="1" applyFill="1" applyAlignment="1">
      <alignment horizontal="center"/>
    </xf>
    <xf numFmtId="0" fontId="2" fillId="0" borderId="0" xfId="18" applyFont="1" applyFill="1" applyBorder="1" applyAlignment="1">
      <alignment horizontal="center"/>
    </xf>
    <xf numFmtId="0" fontId="3" fillId="0" borderId="0" xfId="12" applyFont="1"/>
    <xf numFmtId="0" fontId="3" fillId="0" borderId="0" xfId="0" applyFont="1" applyFill="1" applyAlignment="1">
      <alignment horizontal="left" wrapText="1"/>
    </xf>
    <xf numFmtId="37" fontId="6" fillId="0" borderId="0" xfId="0" applyNumberFormat="1" applyFont="1" applyAlignment="1">
      <alignment horizontal="center" wrapText="1"/>
    </xf>
    <xf numFmtId="42" fontId="3" fillId="0" borderId="3" xfId="0" applyNumberFormat="1" applyFont="1" applyFill="1" applyBorder="1"/>
    <xf numFmtId="42" fontId="3" fillId="0" borderId="0" xfId="0" applyNumberFormat="1" applyFont="1" applyFill="1"/>
    <xf numFmtId="41" fontId="3" fillId="0" borderId="0" xfId="0" applyNumberFormat="1" applyFont="1" applyFill="1"/>
    <xf numFmtId="41" fontId="3" fillId="0" borderId="0" xfId="0" applyNumberFormat="1" applyFont="1" applyFill="1" applyBorder="1"/>
    <xf numFmtId="41" fontId="3" fillId="0" borderId="6" xfId="0" applyNumberFormat="1" applyFont="1" applyFill="1" applyBorder="1"/>
    <xf numFmtId="42" fontId="3" fillId="0" borderId="2" xfId="0" applyNumberFormat="1" applyFont="1" applyFill="1" applyBorder="1"/>
    <xf numFmtId="42" fontId="3" fillId="0" borderId="0" xfId="0" applyNumberFormat="1" applyFont="1" applyFill="1" applyBorder="1"/>
    <xf numFmtId="41" fontId="3" fillId="0" borderId="0" xfId="0" applyNumberFormat="1" applyFont="1" applyFill="1" applyAlignment="1">
      <alignment horizontal="right"/>
    </xf>
    <xf numFmtId="42" fontId="3" fillId="0" borderId="1" xfId="0" applyNumberFormat="1" applyFont="1" applyFill="1" applyBorder="1"/>
    <xf numFmtId="0" fontId="3" fillId="0" borderId="0" xfId="0" applyFont="1" applyFill="1" applyAlignment="1">
      <alignment horizontal="left" indent="2"/>
    </xf>
    <xf numFmtId="0" fontId="3" fillId="0" borderId="0" xfId="0" applyFont="1" applyFill="1" applyAlignment="1">
      <alignment horizontal="left" indent="3"/>
    </xf>
    <xf numFmtId="0" fontId="3" fillId="0" borderId="0" xfId="0" applyFont="1" applyFill="1" applyBorder="1" applyAlignment="1">
      <alignment horizontal="left" wrapText="1" indent="5"/>
    </xf>
    <xf numFmtId="41" fontId="1" fillId="0" borderId="0" xfId="1" applyNumberFormat="1" applyFill="1" applyBorder="1"/>
    <xf numFmtId="41" fontId="1" fillId="0" borderId="6" xfId="1" applyNumberFormat="1" applyFill="1" applyBorder="1"/>
    <xf numFmtId="0" fontId="2" fillId="0" borderId="0" xfId="0" applyFont="1" applyFill="1" applyBorder="1" applyAlignment="1">
      <alignment wrapText="1"/>
    </xf>
    <xf numFmtId="37" fontId="8" fillId="0" borderId="0" xfId="0" applyNumberFormat="1" applyFont="1" applyFill="1"/>
    <xf numFmtId="0" fontId="3" fillId="0" borderId="0" xfId="0" applyFont="1" applyFill="1" applyBorder="1" applyAlignment="1"/>
    <xf numFmtId="0" fontId="8" fillId="0" borderId="0" xfId="0" applyFont="1" applyFill="1" applyBorder="1" applyAlignment="1">
      <alignment horizontal="centerContinuous"/>
    </xf>
    <xf numFmtId="0" fontId="3" fillId="0" borderId="0" xfId="22" applyFont="1" applyFill="1" applyBorder="1" applyAlignment="1">
      <alignment horizontal="center"/>
    </xf>
    <xf numFmtId="0" fontId="3" fillId="0" borderId="0" xfId="22" applyFont="1" applyFill="1" applyAlignment="1">
      <alignment horizontal="center"/>
    </xf>
    <xf numFmtId="0" fontId="3" fillId="0" borderId="0" xfId="22" quotePrefix="1" applyFont="1" applyFill="1" applyAlignment="1">
      <alignment horizontal="center"/>
    </xf>
    <xf numFmtId="0" fontId="3" fillId="0" borderId="1" xfId="22" applyFont="1" applyFill="1" applyBorder="1" applyAlignment="1">
      <alignment horizontal="center"/>
    </xf>
    <xf numFmtId="0" fontId="3" fillId="0" borderId="0" xfId="22" applyFont="1" applyFill="1"/>
    <xf numFmtId="171" fontId="3" fillId="0" borderId="0" xfId="22" applyNumberFormat="1" applyFont="1" applyFill="1"/>
    <xf numFmtId="5" fontId="3" fillId="0" borderId="0" xfId="22" applyNumberFormat="1" applyFont="1" applyFill="1"/>
    <xf numFmtId="164" fontId="3" fillId="0" borderId="0" xfId="22" applyNumberFormat="1" applyFont="1" applyFill="1"/>
    <xf numFmtId="9" fontId="3" fillId="0" borderId="0" xfId="22" applyNumberFormat="1" applyFont="1" applyFill="1" applyAlignment="1">
      <alignment horizontal="center"/>
    </xf>
    <xf numFmtId="172" fontId="3" fillId="0" borderId="0" xfId="22" applyNumberFormat="1" applyFont="1" applyFill="1"/>
    <xf numFmtId="167" fontId="3" fillId="0" borderId="0" xfId="22" applyNumberFormat="1" applyFont="1" applyFill="1" applyAlignment="1">
      <alignment horizontal="center"/>
    </xf>
    <xf numFmtId="41" fontId="3" fillId="0" borderId="0" xfId="22" applyNumberFormat="1" applyFont="1" applyFill="1"/>
    <xf numFmtId="37" fontId="3" fillId="0" borderId="0" xfId="22" applyNumberFormat="1" applyFont="1" applyFill="1"/>
    <xf numFmtId="0" fontId="25" fillId="0" borderId="0" xfId="22" applyFont="1" applyFill="1" applyAlignment="1">
      <alignment horizontal="centerContinuous"/>
    </xf>
    <xf numFmtId="0" fontId="11" fillId="0" borderId="0" xfId="22" applyFont="1" applyFill="1" applyAlignment="1">
      <alignment horizontal="centerContinuous"/>
    </xf>
    <xf numFmtId="0" fontId="3" fillId="0" borderId="0" xfId="22" applyFont="1" applyFill="1" applyAlignment="1">
      <alignment horizontal="centerContinuous"/>
    </xf>
    <xf numFmtId="0" fontId="28" fillId="0" borderId="0" xfId="22" applyFont="1" applyFill="1" applyAlignment="1">
      <alignment horizontal="centerContinuous"/>
    </xf>
    <xf numFmtId="0" fontId="3" fillId="0" borderId="0" xfId="0" applyFont="1" applyFill="1" applyAlignment="1">
      <alignment horizontal="left"/>
    </xf>
    <xf numFmtId="0" fontId="0" fillId="0" borderId="0" xfId="0" applyAlignment="1">
      <alignment vertical="top"/>
    </xf>
    <xf numFmtId="0" fontId="41" fillId="0" borderId="0" xfId="0" applyFont="1" applyBorder="1" applyAlignment="1">
      <alignment horizontal="left" vertical="center" wrapText="1" readingOrder="1"/>
    </xf>
    <xf numFmtId="166" fontId="11" fillId="0" borderId="0" xfId="1" applyNumberFormat="1" applyFont="1" applyFill="1" applyAlignment="1">
      <alignment horizontal="centerContinuous"/>
    </xf>
    <xf numFmtId="166" fontId="8" fillId="0" borderId="0" xfId="1" applyNumberFormat="1" applyFont="1" applyFill="1" applyAlignment="1">
      <alignment horizontal="centerContinuous"/>
    </xf>
    <xf numFmtId="166" fontId="8" fillId="0" borderId="0" xfId="4" applyNumberFormat="1" applyFont="1" applyFill="1"/>
    <xf numFmtId="0" fontId="8" fillId="0" borderId="0" xfId="0" applyFont="1" applyFill="1" applyAlignment="1">
      <alignment horizontal="center"/>
    </xf>
    <xf numFmtId="166" fontId="8" fillId="0" borderId="0" xfId="1" applyNumberFormat="1" applyFont="1" applyFill="1" applyBorder="1"/>
    <xf numFmtId="166" fontId="8" fillId="0" borderId="0" xfId="4" applyNumberFormat="1" applyFont="1" applyFill="1" applyAlignment="1">
      <alignment horizontal="center"/>
    </xf>
    <xf numFmtId="0" fontId="8" fillId="0" borderId="0" xfId="0" applyFont="1" applyFill="1" applyBorder="1" applyAlignment="1">
      <alignment horizontal="center"/>
    </xf>
    <xf numFmtId="166" fontId="8" fillId="0" borderId="0" xfId="4" applyNumberFormat="1" applyFont="1" applyFill="1" applyAlignment="1">
      <alignment horizontal="left"/>
    </xf>
    <xf numFmtId="166" fontId="8" fillId="0" borderId="5" xfId="4" applyNumberFormat="1" applyFont="1" applyFill="1" applyBorder="1" applyAlignment="1">
      <alignment horizontal="center"/>
    </xf>
    <xf numFmtId="0" fontId="8" fillId="0" borderId="5" xfId="0" applyFont="1" applyFill="1" applyBorder="1" applyAlignment="1">
      <alignment horizontal="center"/>
    </xf>
    <xf numFmtId="166" fontId="8" fillId="0" borderId="0" xfId="1" applyNumberFormat="1" applyFont="1" applyFill="1" applyBorder="1" applyAlignment="1">
      <alignment horizontal="center"/>
    </xf>
    <xf numFmtId="166" fontId="8" fillId="0" borderId="0" xfId="1" applyNumberFormat="1" applyFont="1" applyFill="1" applyBorder="1" applyAlignment="1">
      <alignment horizontal="left"/>
    </xf>
    <xf numFmtId="166" fontId="8" fillId="0" borderId="0" xfId="4" applyNumberFormat="1" applyFont="1" applyFill="1" applyProtection="1"/>
    <xf numFmtId="37" fontId="8" fillId="0" borderId="0" xfId="0" applyNumberFormat="1" applyFont="1" applyFill="1" applyProtection="1"/>
    <xf numFmtId="42" fontId="8" fillId="0" borderId="0" xfId="7" applyFont="1" applyFill="1" applyAlignment="1">
      <alignment horizontal="left"/>
    </xf>
    <xf numFmtId="166" fontId="8" fillId="0" borderId="0" xfId="4" applyNumberFormat="1" applyFont="1" applyFill="1" applyBorder="1" applyProtection="1"/>
    <xf numFmtId="166" fontId="8" fillId="0" borderId="0" xfId="4" applyNumberFormat="1" applyFont="1" applyFill="1" applyBorder="1" applyAlignment="1" applyProtection="1">
      <alignment horizontal="left"/>
    </xf>
    <xf numFmtId="37" fontId="8" fillId="0" borderId="0" xfId="0" applyNumberFormat="1" applyFont="1" applyFill="1" applyBorder="1" applyProtection="1"/>
    <xf numFmtId="166" fontId="8" fillId="0" borderId="1" xfId="4" applyNumberFormat="1" applyFont="1" applyFill="1" applyBorder="1" applyProtection="1"/>
    <xf numFmtId="166" fontId="8" fillId="0" borderId="0" xfId="4" applyNumberFormat="1" applyFont="1" applyFill="1" applyAlignment="1" applyProtection="1">
      <alignment horizontal="left"/>
    </xf>
    <xf numFmtId="42" fontId="8" fillId="0" borderId="0" xfId="6" applyFont="1" applyFill="1" applyBorder="1" applyAlignment="1">
      <alignment horizontal="left"/>
    </xf>
    <xf numFmtId="166" fontId="8" fillId="0" borderId="0" xfId="1" applyNumberFormat="1" applyFont="1" applyFill="1" applyBorder="1" applyAlignment="1" applyProtection="1">
      <alignment horizontal="left"/>
    </xf>
    <xf numFmtId="166" fontId="8" fillId="0" borderId="6" xfId="4" applyNumberFormat="1" applyFont="1" applyFill="1" applyBorder="1" applyProtection="1"/>
    <xf numFmtId="41" fontId="8" fillId="0" borderId="0" xfId="3" applyFont="1" applyFill="1" applyBorder="1" applyProtection="1"/>
    <xf numFmtId="41" fontId="8" fillId="0" borderId="0" xfId="2" applyFont="1" applyFill="1" applyBorder="1" applyProtection="1"/>
    <xf numFmtId="41" fontId="8" fillId="0" borderId="0" xfId="2" applyFont="1" applyFill="1" applyBorder="1"/>
    <xf numFmtId="42" fontId="8" fillId="0" borderId="0" xfId="6" applyFont="1" applyFill="1" applyBorder="1" applyAlignment="1">
      <alignment horizontal="center"/>
    </xf>
    <xf numFmtId="42" fontId="8" fillId="0" borderId="0" xfId="6" applyFont="1" applyFill="1" applyBorder="1"/>
    <xf numFmtId="41" fontId="8" fillId="0" borderId="6" xfId="3" applyFont="1" applyFill="1" applyBorder="1"/>
    <xf numFmtId="41" fontId="8" fillId="0" borderId="16" xfId="3" applyFont="1" applyFill="1" applyBorder="1"/>
    <xf numFmtId="41" fontId="8" fillId="0" borderId="16" xfId="3" applyFont="1" applyFill="1" applyBorder="1" applyProtection="1"/>
    <xf numFmtId="41" fontId="8" fillId="0" borderId="6" xfId="3" applyFont="1" applyFill="1" applyBorder="1" applyProtection="1"/>
    <xf numFmtId="41" fontId="8" fillId="0" borderId="0" xfId="3" applyFont="1" applyFill="1"/>
    <xf numFmtId="164" fontId="8" fillId="0" borderId="1" xfId="9" applyNumberFormat="1" applyFont="1" applyFill="1" applyBorder="1" applyProtection="1"/>
    <xf numFmtId="41" fontId="8" fillId="0" borderId="1" xfId="3" applyFont="1" applyFill="1" applyBorder="1" applyProtection="1"/>
    <xf numFmtId="41" fontId="8" fillId="0" borderId="0" xfId="3" applyFont="1" applyFill="1" applyBorder="1"/>
    <xf numFmtId="166" fontId="8" fillId="0" borderId="1" xfId="4" applyNumberFormat="1" applyFont="1" applyFill="1" applyBorder="1"/>
    <xf numFmtId="41" fontId="8" fillId="0" borderId="1" xfId="3" applyFont="1" applyFill="1" applyBorder="1"/>
    <xf numFmtId="44" fontId="8" fillId="0" borderId="3" xfId="9" applyFont="1" applyFill="1" applyBorder="1"/>
    <xf numFmtId="164" fontId="8" fillId="0" borderId="3" xfId="9" applyNumberFormat="1" applyFont="1" applyFill="1" applyBorder="1"/>
    <xf numFmtId="42" fontId="8" fillId="0" borderId="0" xfId="7" applyFont="1" applyFill="1" applyAlignment="1">
      <alignment horizontal="center"/>
    </xf>
    <xf numFmtId="42" fontId="8" fillId="0" borderId="2" xfId="7" applyFont="1" applyFill="1" applyBorder="1"/>
    <xf numFmtId="0" fontId="0" fillId="0" borderId="0" xfId="0" applyAlignment="1">
      <alignment horizontal="center"/>
    </xf>
    <xf numFmtId="0" fontId="0" fillId="2" borderId="0" xfId="0" applyFill="1"/>
    <xf numFmtId="0" fontId="0" fillId="0" borderId="0" xfId="0" applyAlignment="1">
      <alignment horizontal="left" wrapText="1"/>
    </xf>
    <xf numFmtId="0" fontId="0" fillId="0" borderId="0" xfId="0" applyAlignment="1"/>
    <xf numFmtId="10" fontId="0" fillId="0" borderId="0" xfId="0" applyNumberFormat="1"/>
    <xf numFmtId="174" fontId="0" fillId="0" borderId="0" xfId="0" applyNumberFormat="1"/>
    <xf numFmtId="44" fontId="0" fillId="0" borderId="2" xfId="0" applyNumberFormat="1" applyFill="1" applyBorder="1"/>
    <xf numFmtId="42" fontId="0" fillId="0" borderId="0" xfId="0" applyNumberFormat="1"/>
    <xf numFmtId="42" fontId="0" fillId="2" borderId="0" xfId="0" applyNumberFormat="1" applyFill="1"/>
    <xf numFmtId="42" fontId="0" fillId="0" borderId="2" xfId="0" applyNumberFormat="1" applyBorder="1"/>
    <xf numFmtId="42" fontId="0" fillId="2" borderId="2" xfId="0" applyNumberFormat="1" applyFill="1" applyBorder="1"/>
    <xf numFmtId="0" fontId="3" fillId="0" borderId="0" xfId="0" applyFont="1"/>
    <xf numFmtId="0" fontId="3" fillId="0" borderId="0" xfId="0" applyFont="1" applyAlignment="1">
      <alignment horizontal="left" wrapText="1"/>
    </xf>
    <xf numFmtId="0" fontId="3" fillId="0" borderId="0" xfId="0" applyFont="1" applyAlignment="1">
      <alignment wrapText="1"/>
    </xf>
    <xf numFmtId="0" fontId="25" fillId="0" borderId="0" xfId="0" applyFont="1" applyAlignment="1">
      <alignment horizontal="center"/>
    </xf>
    <xf numFmtId="41" fontId="40" fillId="0" borderId="0" xfId="0" applyNumberFormat="1" applyFont="1" applyFill="1"/>
    <xf numFmtId="166" fontId="3" fillId="0" borderId="6" xfId="0" applyNumberFormat="1" applyFont="1" applyFill="1" applyBorder="1"/>
    <xf numFmtId="0" fontId="3" fillId="0" borderId="0" xfId="0" applyFont="1" applyAlignment="1">
      <alignment horizontal="center"/>
    </xf>
    <xf numFmtId="0" fontId="3" fillId="0" borderId="36" xfId="0" applyFont="1" applyBorder="1" applyAlignment="1">
      <alignment horizontal="center"/>
    </xf>
    <xf numFmtId="0" fontId="3" fillId="0" borderId="17" xfId="0" applyFont="1" applyBorder="1"/>
    <xf numFmtId="0" fontId="3" fillId="0" borderId="17" xfId="0" applyFont="1" applyBorder="1" applyAlignment="1">
      <alignment horizontal="center"/>
    </xf>
    <xf numFmtId="166" fontId="3" fillId="0" borderId="0" xfId="0" applyNumberFormat="1" applyFont="1" applyAlignment="1">
      <alignment horizontal="right"/>
    </xf>
    <xf numFmtId="0" fontId="2" fillId="0" borderId="0" xfId="0" applyNumberFormat="1" applyFont="1"/>
    <xf numFmtId="166" fontId="3" fillId="0" borderId="0" xfId="0" applyNumberFormat="1" applyFont="1"/>
    <xf numFmtId="166" fontId="7" fillId="0" borderId="0" xfId="0" applyNumberFormat="1" applyFont="1"/>
    <xf numFmtId="166" fontId="3" fillId="0" borderId="0" xfId="0" applyNumberFormat="1" applyFont="1" applyAlignment="1">
      <alignment horizontal="center"/>
    </xf>
    <xf numFmtId="166" fontId="3" fillId="0" borderId="0" xfId="0" applyNumberFormat="1" applyFont="1" applyAlignment="1">
      <alignment horizontal="left"/>
    </xf>
    <xf numFmtId="166" fontId="3" fillId="0" borderId="36" xfId="0" applyNumberFormat="1" applyFont="1" applyBorder="1" applyAlignment="1">
      <alignment horizontal="center"/>
    </xf>
    <xf numFmtId="164" fontId="40" fillId="0" borderId="0" xfId="0" applyNumberFormat="1" applyFont="1" applyFill="1" applyBorder="1"/>
    <xf numFmtId="0" fontId="8" fillId="0" borderId="0" xfId="12" applyFont="1" applyFill="1" applyAlignment="1"/>
    <xf numFmtId="37" fontId="3" fillId="0" borderId="0" xfId="12" applyNumberFormat="1" applyFill="1"/>
    <xf numFmtId="166" fontId="3" fillId="0" borderId="0" xfId="12" applyNumberFormat="1" applyFill="1"/>
    <xf numFmtId="43" fontId="3" fillId="0" borderId="0" xfId="12" applyNumberFormat="1" applyFill="1"/>
    <xf numFmtId="41" fontId="8" fillId="0" borderId="0" xfId="16" applyNumberFormat="1" applyFont="1" applyFill="1"/>
    <xf numFmtId="41" fontId="8" fillId="0" borderId="5" xfId="3" applyFont="1" applyFill="1" applyBorder="1" applyProtection="1"/>
    <xf numFmtId="5" fontId="3" fillId="0" borderId="0" xfId="12" applyNumberFormat="1" applyFill="1"/>
    <xf numFmtId="7" fontId="3" fillId="0" borderId="0" xfId="12" applyNumberFormat="1" applyFill="1"/>
    <xf numFmtId="37" fontId="3" fillId="0" borderId="0" xfId="12" applyNumberFormat="1" applyFill="1" applyBorder="1"/>
    <xf numFmtId="2" fontId="0" fillId="0" borderId="0" xfId="0" applyNumberFormat="1" applyFill="1"/>
    <xf numFmtId="166" fontId="0" fillId="0" borderId="1" xfId="1" applyNumberFormat="1" applyFont="1" applyBorder="1" applyAlignment="1"/>
    <xf numFmtId="0" fontId="11" fillId="0" borderId="0" xfId="22" applyFont="1" applyFill="1"/>
    <xf numFmtId="0" fontId="8" fillId="0" borderId="0" xfId="22" applyFont="1" applyFill="1" applyAlignment="1">
      <alignment horizontal="centerContinuous"/>
    </xf>
    <xf numFmtId="0" fontId="8" fillId="0" borderId="0" xfId="22" applyFont="1" applyFill="1"/>
    <xf numFmtId="175" fontId="3" fillId="0" borderId="0" xfId="0" applyNumberFormat="1" applyFont="1"/>
    <xf numFmtId="174" fontId="3" fillId="0" borderId="0" xfId="0" applyNumberFormat="1" applyFont="1"/>
    <xf numFmtId="0" fontId="3" fillId="2" borderId="0" xfId="0" applyFont="1" applyFill="1"/>
    <xf numFmtId="42" fontId="3" fillId="0" borderId="0" xfId="0" applyNumberFormat="1" applyFont="1"/>
    <xf numFmtId="42" fontId="3" fillId="2" borderId="0" xfId="0" applyNumberFormat="1" applyFont="1" applyFill="1"/>
    <xf numFmtId="10" fontId="3" fillId="0" borderId="0" xfId="0" applyNumberFormat="1" applyFont="1"/>
    <xf numFmtId="0" fontId="3" fillId="0" borderId="0" xfId="0" applyFont="1" applyAlignment="1"/>
    <xf numFmtId="41" fontId="3" fillId="0" borderId="0" xfId="0" applyNumberFormat="1" applyFont="1"/>
    <xf numFmtId="41" fontId="3" fillId="2" borderId="0" xfId="0" applyNumberFormat="1" applyFont="1" applyFill="1"/>
    <xf numFmtId="42" fontId="3" fillId="0" borderId="2" xfId="0" applyNumberFormat="1" applyFont="1" applyBorder="1"/>
    <xf numFmtId="44" fontId="3" fillId="0" borderId="2" xfId="0" applyNumberFormat="1" applyFont="1" applyBorder="1"/>
    <xf numFmtId="44" fontId="3" fillId="0" borderId="2" xfId="0" applyNumberFormat="1" applyFont="1" applyFill="1" applyBorder="1"/>
    <xf numFmtId="42" fontId="3" fillId="2" borderId="2" xfId="0" applyNumberFormat="1" applyFont="1" applyFill="1" applyBorder="1"/>
    <xf numFmtId="10" fontId="3" fillId="0" borderId="0" xfId="25" applyNumberFormat="1" applyFont="1"/>
    <xf numFmtId="0" fontId="3" fillId="0" borderId="0" xfId="0" applyNumberFormat="1" applyFont="1"/>
    <xf numFmtId="0" fontId="3" fillId="3" borderId="0" xfId="0" applyFont="1" applyFill="1" applyAlignment="1">
      <alignment wrapText="1"/>
    </xf>
    <xf numFmtId="172" fontId="8" fillId="0" borderId="0" xfId="0" applyNumberFormat="1" applyFont="1" applyFill="1" applyBorder="1"/>
    <xf numFmtId="15" fontId="0" fillId="0" borderId="0" xfId="0" applyNumberFormat="1" applyFill="1"/>
    <xf numFmtId="0" fontId="42" fillId="0" borderId="0" xfId="0" applyFont="1" applyFill="1"/>
    <xf numFmtId="41" fontId="3" fillId="0" borderId="0" xfId="2" applyFont="1" applyFill="1"/>
    <xf numFmtId="166" fontId="0" fillId="0" borderId="6" xfId="0" applyNumberFormat="1" applyFill="1" applyBorder="1" applyAlignment="1"/>
    <xf numFmtId="43" fontId="40" fillId="0" borderId="0" xfId="0" applyNumberFormat="1" applyFont="1" applyFill="1"/>
    <xf numFmtId="0" fontId="0" fillId="0" borderId="0" xfId="0" applyAlignment="1">
      <alignment wrapText="1"/>
    </xf>
    <xf numFmtId="0" fontId="0" fillId="0" borderId="0" xfId="0" applyBorder="1" applyAlignment="1">
      <alignment wrapText="1"/>
    </xf>
    <xf numFmtId="0" fontId="2" fillId="0" borderId="1" xfId="0" applyFont="1" applyBorder="1" applyAlignment="1">
      <alignment horizontal="center"/>
    </xf>
    <xf numFmtId="0" fontId="0" fillId="0" borderId="0" xfId="0" applyAlignment="1">
      <alignment horizontal="left"/>
    </xf>
    <xf numFmtId="3" fontId="0" fillId="0" borderId="0" xfId="0" applyNumberFormat="1" applyBorder="1" applyAlignment="1"/>
    <xf numFmtId="166" fontId="0" fillId="0" borderId="0" xfId="1" applyNumberFormat="1" applyFont="1" applyBorder="1" applyAlignment="1"/>
    <xf numFmtId="166" fontId="3" fillId="0" borderId="0" xfId="1" applyNumberFormat="1" applyFont="1" applyBorder="1" applyAlignment="1"/>
    <xf numFmtId="42" fontId="3" fillId="0" borderId="0" xfId="0" applyNumberFormat="1" applyFont="1" applyAlignment="1">
      <alignment horizontal="right"/>
    </xf>
    <xf numFmtId="0" fontId="0" fillId="0" borderId="0" xfId="0" applyAlignment="1">
      <alignment horizontal="right"/>
    </xf>
    <xf numFmtId="41" fontId="0" fillId="0" borderId="0" xfId="0" applyNumberFormat="1"/>
    <xf numFmtId="41" fontId="0" fillId="2" borderId="0" xfId="0" applyNumberFormat="1" applyFill="1"/>
    <xf numFmtId="10" fontId="3" fillId="0" borderId="0" xfId="0" applyNumberFormat="1" applyFont="1" applyAlignment="1">
      <alignment horizontal="right"/>
    </xf>
    <xf numFmtId="177" fontId="3" fillId="0" borderId="0" xfId="0" applyNumberFormat="1" applyFont="1"/>
    <xf numFmtId="0" fontId="3" fillId="0" borderId="0" xfId="0" applyFont="1" applyBorder="1"/>
    <xf numFmtId="0" fontId="2" fillId="0" borderId="0" xfId="0" applyFont="1" applyFill="1" applyBorder="1" applyAlignment="1">
      <alignment horizontal="left"/>
    </xf>
    <xf numFmtId="10" fontId="0" fillId="0" borderId="0" xfId="0" applyNumberFormat="1" applyFill="1"/>
    <xf numFmtId="166" fontId="2" fillId="0" borderId="0" xfId="0" applyNumberFormat="1" applyFont="1" applyFill="1"/>
    <xf numFmtId="164" fontId="0" fillId="0" borderId="0" xfId="0" applyNumberFormat="1" applyBorder="1" applyAlignment="1"/>
    <xf numFmtId="44" fontId="0" fillId="0" borderId="0" xfId="0" applyNumberFormat="1" applyFill="1"/>
    <xf numFmtId="43" fontId="3" fillId="0" borderId="0" xfId="0" applyNumberFormat="1" applyFont="1" applyFill="1"/>
    <xf numFmtId="0" fontId="0" fillId="0" borderId="0" xfId="0" applyFont="1" applyFill="1"/>
    <xf numFmtId="181" fontId="0" fillId="0" borderId="0" xfId="0" applyNumberFormat="1" applyFill="1"/>
    <xf numFmtId="176" fontId="3" fillId="0" borderId="0" xfId="0" applyNumberFormat="1" applyFont="1" applyFill="1"/>
    <xf numFmtId="164" fontId="0" fillId="0" borderId="0" xfId="0" applyNumberFormat="1" applyFill="1" applyAlignment="1">
      <alignment horizontal="right"/>
    </xf>
    <xf numFmtId="0" fontId="0" fillId="0" borderId="0" xfId="0" quotePrefix="1" applyFill="1"/>
    <xf numFmtId="0" fontId="0" fillId="0" borderId="0" xfId="0" applyFill="1" applyBorder="1" applyAlignment="1">
      <alignment readingOrder="1"/>
    </xf>
    <xf numFmtId="164" fontId="3" fillId="0" borderId="0" xfId="0" applyNumberFormat="1" applyFont="1" applyFill="1"/>
    <xf numFmtId="0" fontId="3" fillId="0" borderId="0" xfId="0" applyFont="1" applyAlignment="1">
      <alignment horizontal="left"/>
    </xf>
    <xf numFmtId="169" fontId="2" fillId="0" borderId="0" xfId="24" applyFont="1" applyFill="1" applyBorder="1" applyAlignment="1">
      <alignment horizontal="justify" vertical="center" wrapText="1"/>
    </xf>
    <xf numFmtId="0" fontId="3" fillId="0" borderId="0" xfId="12" applyFont="1" applyFill="1"/>
    <xf numFmtId="169" fontId="16" fillId="0" borderId="0" xfId="16" applyFont="1" applyFill="1" applyBorder="1" applyAlignment="1">
      <alignment horizontal="left"/>
    </xf>
    <xf numFmtId="0" fontId="0" fillId="0" borderId="0" xfId="0" applyAlignment="1">
      <alignment horizontal="justify" vertical="top" wrapText="1"/>
    </xf>
    <xf numFmtId="0" fontId="10" fillId="0" borderId="0" xfId="0" applyFont="1" applyFill="1"/>
    <xf numFmtId="0" fontId="10" fillId="0" borderId="0" xfId="0" applyFont="1" applyFill="1" applyAlignment="1">
      <alignment horizontal="right"/>
    </xf>
    <xf numFmtId="41" fontId="10" fillId="0" borderId="0" xfId="0" applyNumberFormat="1" applyFont="1" applyFill="1" applyAlignment="1">
      <alignment horizontal="right"/>
    </xf>
    <xf numFmtId="166" fontId="10" fillId="0" borderId="0" xfId="4" applyNumberFormat="1" applyFont="1" applyFill="1"/>
    <xf numFmtId="43" fontId="10" fillId="0" borderId="0" xfId="0" applyNumberFormat="1" applyFont="1" applyFill="1" applyAlignment="1">
      <alignment horizontal="right"/>
    </xf>
    <xf numFmtId="41" fontId="10" fillId="0" borderId="0" xfId="0" applyNumberFormat="1" applyFont="1" applyFill="1" applyBorder="1" applyAlignment="1">
      <alignment horizontal="right"/>
    </xf>
    <xf numFmtId="166" fontId="10" fillId="0" borderId="0" xfId="0" applyNumberFormat="1" applyFont="1" applyFill="1"/>
    <xf numFmtId="0" fontId="0" fillId="0" borderId="0" xfId="0" applyBorder="1" applyAlignment="1">
      <alignment vertical="top" wrapText="1"/>
    </xf>
    <xf numFmtId="0" fontId="2" fillId="0" borderId="0" xfId="0" applyFont="1" applyFill="1" applyAlignment="1">
      <alignment horizontal="left" wrapText="1"/>
    </xf>
    <xf numFmtId="0" fontId="3" fillId="0" borderId="0" xfId="0" applyFont="1" applyAlignment="1">
      <alignment horizontal="left" wrapText="1" indent="1"/>
    </xf>
    <xf numFmtId="1" fontId="0" fillId="0" borderId="0" xfId="0" applyNumberFormat="1" applyFill="1"/>
    <xf numFmtId="42" fontId="40" fillId="0" borderId="0" xfId="0" applyNumberFormat="1" applyFont="1" applyFill="1"/>
    <xf numFmtId="0" fontId="3" fillId="0" borderId="0" xfId="0" applyFont="1" applyFill="1" applyAlignment="1">
      <alignment horizontal="right"/>
    </xf>
    <xf numFmtId="164" fontId="0" fillId="0" borderId="0" xfId="8" applyNumberFormat="1" applyFont="1" applyFill="1"/>
    <xf numFmtId="166" fontId="0" fillId="0" borderId="0" xfId="4" applyNumberFormat="1" applyFont="1" applyFill="1"/>
    <xf numFmtId="166" fontId="3" fillId="0" borderId="0" xfId="4" applyNumberFormat="1" applyFont="1" applyFill="1"/>
    <xf numFmtId="166" fontId="0" fillId="0" borderId="0" xfId="4" applyNumberFormat="1" applyFont="1" applyFill="1" applyBorder="1"/>
    <xf numFmtId="166" fontId="3" fillId="0" borderId="0" xfId="4" applyNumberFormat="1" applyFont="1" applyFill="1" applyBorder="1"/>
    <xf numFmtId="166" fontId="0" fillId="0" borderId="6" xfId="4" applyNumberFormat="1" applyFont="1" applyFill="1" applyBorder="1"/>
    <xf numFmtId="166" fontId="0" fillId="0" borderId="1" xfId="4" applyNumberFormat="1" applyFont="1" applyFill="1" applyBorder="1"/>
    <xf numFmtId="41" fontId="0" fillId="0" borderId="6" xfId="4" applyNumberFormat="1" applyFont="1" applyFill="1" applyBorder="1"/>
    <xf numFmtId="164" fontId="0" fillId="0" borderId="0" xfId="4" applyNumberFormat="1" applyFont="1" applyFill="1" applyBorder="1"/>
    <xf numFmtId="164" fontId="3" fillId="0" borderId="0" xfId="4" applyNumberFormat="1" applyFont="1" applyFill="1" applyBorder="1"/>
    <xf numFmtId="166" fontId="3" fillId="0" borderId="6" xfId="4" applyNumberFormat="1" applyFont="1" applyFill="1" applyBorder="1"/>
    <xf numFmtId="41" fontId="0" fillId="0" borderId="0" xfId="4" applyNumberFormat="1" applyFont="1" applyFill="1"/>
    <xf numFmtId="166" fontId="3" fillId="0" borderId="1" xfId="4" applyNumberFormat="1" applyFont="1" applyFill="1" applyBorder="1"/>
    <xf numFmtId="164" fontId="3" fillId="0" borderId="2" xfId="8" applyNumberFormat="1" applyFont="1" applyFill="1" applyBorder="1"/>
    <xf numFmtId="164" fontId="3" fillId="0" borderId="0" xfId="8" applyNumberFormat="1" applyFont="1" applyFill="1"/>
    <xf numFmtId="43" fontId="0" fillId="0" borderId="0" xfId="0" applyNumberFormat="1" applyFill="1"/>
    <xf numFmtId="166" fontId="0" fillId="0" borderId="1" xfId="8" applyNumberFormat="1" applyFont="1" applyFill="1" applyBorder="1"/>
    <xf numFmtId="166" fontId="0" fillId="0" borderId="0" xfId="8" applyNumberFormat="1" applyFont="1" applyFill="1"/>
    <xf numFmtId="164" fontId="0" fillId="0" borderId="6" xfId="8" applyNumberFormat="1" applyFont="1" applyFill="1" applyBorder="1"/>
    <xf numFmtId="166" fontId="3" fillId="0" borderId="16" xfId="4" applyNumberFormat="1" applyFont="1" applyFill="1" applyBorder="1"/>
    <xf numFmtId="166" fontId="0" fillId="0" borderId="16" xfId="4" applyNumberFormat="1" applyFont="1" applyFill="1" applyBorder="1"/>
    <xf numFmtId="37" fontId="3" fillId="0" borderId="0" xfId="8" applyNumberFormat="1" applyFont="1" applyFill="1"/>
    <xf numFmtId="41" fontId="0" fillId="0" borderId="2" xfId="8" applyNumberFormat="1" applyFont="1" applyFill="1" applyBorder="1"/>
    <xf numFmtId="164" fontId="3" fillId="0" borderId="3" xfId="8" applyNumberFormat="1" applyFont="1" applyFill="1" applyBorder="1"/>
    <xf numFmtId="164" fontId="40" fillId="0" borderId="16" xfId="8" applyNumberFormat="1" applyFont="1" applyFill="1" applyBorder="1"/>
    <xf numFmtId="164" fontId="0" fillId="0" borderId="0" xfId="8" applyNumberFormat="1" applyFont="1" applyFill="1" applyBorder="1"/>
    <xf numFmtId="164" fontId="3" fillId="0" borderId="0" xfId="8" applyNumberFormat="1" applyFont="1" applyFill="1" applyBorder="1"/>
    <xf numFmtId="166" fontId="0" fillId="0" borderId="0" xfId="4" applyNumberFormat="1" applyFont="1" applyFill="1" applyAlignment="1"/>
    <xf numFmtId="164" fontId="0" fillId="0" borderId="3" xfId="8" applyNumberFormat="1" applyFont="1" applyFill="1" applyBorder="1"/>
    <xf numFmtId="43" fontId="0" fillId="0" borderId="0" xfId="4" applyFont="1" applyFill="1"/>
    <xf numFmtId="44" fontId="40" fillId="0" borderId="0" xfId="0" applyNumberFormat="1" applyFont="1" applyFill="1"/>
    <xf numFmtId="41" fontId="3" fillId="0" borderId="0" xfId="4" applyNumberFormat="1" applyFont="1" applyFill="1" applyBorder="1"/>
    <xf numFmtId="0" fontId="3" fillId="0" borderId="0" xfId="0" quotePrefix="1" applyFont="1" applyFill="1"/>
    <xf numFmtId="164" fontId="0" fillId="0" borderId="0" xfId="10" applyNumberFormat="1" applyFont="1"/>
    <xf numFmtId="43" fontId="0" fillId="0" borderId="0" xfId="0" applyNumberFormat="1"/>
    <xf numFmtId="164" fontId="0" fillId="0" borderId="2" xfId="10" applyNumberFormat="1" applyFont="1" applyBorder="1"/>
    <xf numFmtId="182" fontId="0" fillId="0" borderId="0" xfId="0" applyNumberFormat="1"/>
    <xf numFmtId="0" fontId="2" fillId="0" borderId="0" xfId="0" applyFont="1" applyFill="1" applyAlignment="1">
      <alignment horizontal="left"/>
    </xf>
    <xf numFmtId="174" fontId="0" fillId="0" borderId="0" xfId="26" applyNumberFormat="1" applyFont="1"/>
    <xf numFmtId="0" fontId="2" fillId="0" borderId="0" xfId="0" applyFont="1" applyFill="1" applyAlignment="1">
      <alignment horizontal="left" indent="3"/>
    </xf>
    <xf numFmtId="10" fontId="0" fillId="0" borderId="0" xfId="26" applyNumberFormat="1" applyFont="1"/>
    <xf numFmtId="168" fontId="0" fillId="0" borderId="0" xfId="0" applyNumberFormat="1"/>
    <xf numFmtId="169" fontId="3" fillId="0" borderId="0" xfId="16" applyFont="1" applyFill="1" applyAlignment="1">
      <alignment vertical="center"/>
    </xf>
    <xf numFmtId="179" fontId="3" fillId="0" borderId="0" xfId="4" applyNumberFormat="1" applyFont="1" applyFill="1"/>
    <xf numFmtId="168" fontId="0" fillId="0" borderId="0" xfId="0" applyNumberFormat="1" applyFill="1"/>
    <xf numFmtId="179" fontId="0" fillId="0" borderId="0" xfId="0" applyNumberFormat="1" applyFill="1"/>
    <xf numFmtId="166" fontId="8" fillId="0" borderId="6" xfId="1" applyNumberFormat="1" applyFont="1" applyFill="1" applyBorder="1" applyProtection="1"/>
    <xf numFmtId="41" fontId="0" fillId="0" borderId="0" xfId="8" applyNumberFormat="1" applyFont="1" applyFill="1"/>
    <xf numFmtId="178" fontId="0" fillId="0" borderId="0" xfId="0" applyNumberFormat="1" applyFill="1"/>
    <xf numFmtId="166" fontId="3" fillId="0" borderId="10" xfId="0" applyNumberFormat="1" applyFont="1" applyBorder="1"/>
    <xf numFmtId="166" fontId="3" fillId="0" borderId="10" xfId="0" applyNumberFormat="1" applyFont="1" applyBorder="1" applyAlignment="1">
      <alignment horizontal="right"/>
    </xf>
    <xf numFmtId="166" fontId="3" fillId="0" borderId="10" xfId="1" applyNumberFormat="1" applyFont="1" applyFill="1" applyBorder="1"/>
    <xf numFmtId="42" fontId="3" fillId="0" borderId="3" xfId="0" applyNumberFormat="1" applyFont="1" applyBorder="1" applyAlignment="1"/>
    <xf numFmtId="164" fontId="0" fillId="0" borderId="0" xfId="5" applyNumberFormat="1" applyFont="1" applyFill="1"/>
    <xf numFmtId="166" fontId="8" fillId="0" borderId="0" xfId="4" applyNumberFormat="1" applyFont="1" applyFill="1" applyAlignment="1">
      <alignment horizontal="left" indent="1"/>
    </xf>
    <xf numFmtId="166" fontId="33" fillId="0" borderId="0" xfId="4" applyNumberFormat="1" applyFont="1" applyFill="1"/>
    <xf numFmtId="164" fontId="33" fillId="0" borderId="0" xfId="8" applyNumberFormat="1" applyFont="1" applyFill="1" applyBorder="1"/>
    <xf numFmtId="180" fontId="0" fillId="0" borderId="0" xfId="0" applyNumberFormat="1" applyFill="1"/>
    <xf numFmtId="166" fontId="40" fillId="0" borderId="0" xfId="0" applyNumberFormat="1" applyFont="1" applyFill="1"/>
    <xf numFmtId="0" fontId="0" fillId="0" borderId="0" xfId="0" applyFill="1" applyBorder="1" applyAlignment="1">
      <alignment vertical="top"/>
    </xf>
    <xf numFmtId="42" fontId="3" fillId="0" borderId="0" xfId="0" applyNumberFormat="1" applyFont="1" applyFill="1" applyAlignment="1">
      <alignment horizontal="right"/>
    </xf>
    <xf numFmtId="0" fontId="2" fillId="0" borderId="0" xfId="0" applyFont="1"/>
    <xf numFmtId="41" fontId="0" fillId="0" borderId="0" xfId="11" applyNumberFormat="1" applyFont="1"/>
    <xf numFmtId="0" fontId="36" fillId="0" borderId="0" xfId="0" applyFont="1"/>
    <xf numFmtId="41" fontId="0" fillId="0" borderId="0" xfId="11" applyNumberFormat="1" applyFont="1" applyBorder="1"/>
    <xf numFmtId="41" fontId="0" fillId="0" borderId="1" xfId="11" applyNumberFormat="1" applyFont="1" applyBorder="1"/>
    <xf numFmtId="41" fontId="3" fillId="0" borderId="0" xfId="11" applyNumberFormat="1" applyFont="1"/>
    <xf numFmtId="41" fontId="0" fillId="0" borderId="2" xfId="11" applyNumberFormat="1" applyFont="1" applyBorder="1"/>
    <xf numFmtId="10" fontId="0" fillId="0" borderId="0" xfId="27" applyNumberFormat="1" applyFont="1"/>
    <xf numFmtId="3" fontId="0" fillId="0" borderId="0" xfId="0" applyNumberFormat="1"/>
    <xf numFmtId="0" fontId="2" fillId="0" borderId="0" xfId="0" applyFont="1" applyAlignment="1">
      <alignment wrapText="1"/>
    </xf>
    <xf numFmtId="164" fontId="2" fillId="0" borderId="0" xfId="0" applyNumberFormat="1" applyFont="1" applyFill="1"/>
    <xf numFmtId="0" fontId="34" fillId="0" borderId="0" xfId="0" applyFont="1" applyBorder="1"/>
    <xf numFmtId="41" fontId="3" fillId="0" borderId="0" xfId="11" applyNumberFormat="1" applyFont="1" applyBorder="1"/>
    <xf numFmtId="0" fontId="0" fillId="0" borderId="0" xfId="0" applyBorder="1"/>
    <xf numFmtId="10" fontId="0" fillId="0" borderId="0" xfId="27" applyNumberFormat="1" applyFont="1" applyBorder="1"/>
    <xf numFmtId="3" fontId="0" fillId="0" borderId="0" xfId="0" applyNumberFormat="1" applyBorder="1"/>
    <xf numFmtId="0" fontId="2" fillId="0" borderId="0" xfId="0" applyFont="1" applyFill="1" applyBorder="1" applyAlignment="1">
      <alignment vertical="top" wrapText="1"/>
    </xf>
    <xf numFmtId="44" fontId="3" fillId="0" borderId="0" xfId="12" applyNumberFormat="1" applyFill="1"/>
    <xf numFmtId="10" fontId="3" fillId="0" borderId="0" xfId="27" applyNumberFormat="1" applyFont="1" applyBorder="1"/>
    <xf numFmtId="10" fontId="0" fillId="0" borderId="0" xfId="0" applyNumberFormat="1" applyAlignment="1">
      <alignment horizontal="center"/>
    </xf>
    <xf numFmtId="0" fontId="34" fillId="0" borderId="0" xfId="0" applyFont="1" applyAlignment="1">
      <alignment horizontal="center" wrapText="1"/>
    </xf>
    <xf numFmtId="10" fontId="34" fillId="0" borderId="0" xfId="27" applyNumberFormat="1" applyFont="1" applyAlignment="1">
      <alignment horizontal="center"/>
    </xf>
    <xf numFmtId="166" fontId="0" fillId="0" borderId="0" xfId="1" applyNumberFormat="1" applyFont="1" applyFill="1"/>
    <xf numFmtId="1" fontId="40" fillId="0" borderId="0" xfId="0" applyNumberFormat="1" applyFont="1" applyFill="1"/>
    <xf numFmtId="172" fontId="0" fillId="0" borderId="0" xfId="0" applyNumberFormat="1" applyFill="1"/>
    <xf numFmtId="166" fontId="37" fillId="0" borderId="0" xfId="4" applyNumberFormat="1" applyFont="1" applyFill="1"/>
    <xf numFmtId="166" fontId="35" fillId="0" borderId="0" xfId="4" applyNumberFormat="1" applyFont="1" applyFill="1"/>
    <xf numFmtId="175" fontId="3" fillId="0" borderId="0" xfId="0" applyNumberFormat="1" applyFont="1" applyFill="1"/>
    <xf numFmtId="177" fontId="3" fillId="0" borderId="0" xfId="0" applyNumberFormat="1" applyFont="1" applyFill="1"/>
    <xf numFmtId="174" fontId="3" fillId="0" borderId="0" xfId="0" applyNumberFormat="1" applyFont="1" applyFill="1"/>
    <xf numFmtId="10" fontId="3" fillId="0" borderId="0" xfId="25" applyNumberFormat="1" applyFont="1" applyFill="1"/>
    <xf numFmtId="0" fontId="25" fillId="0" borderId="0" xfId="0" applyFont="1" applyAlignment="1"/>
    <xf numFmtId="174" fontId="0" fillId="0" borderId="0" xfId="0" applyNumberFormat="1" applyFill="1"/>
    <xf numFmtId="10" fontId="3" fillId="0" borderId="0" xfId="0" applyNumberFormat="1" applyFont="1" applyFill="1" applyAlignment="1">
      <alignment horizontal="right"/>
    </xf>
    <xf numFmtId="164" fontId="37" fillId="0" borderId="0" xfId="10" applyNumberFormat="1" applyFont="1" applyFill="1"/>
    <xf numFmtId="164" fontId="37" fillId="0" borderId="2" xfId="10" applyNumberFormat="1" applyFont="1" applyFill="1" applyBorder="1"/>
    <xf numFmtId="10" fontId="37" fillId="0" borderId="0" xfId="26" applyNumberFormat="1" applyFont="1" applyFill="1"/>
    <xf numFmtId="41" fontId="37" fillId="0" borderId="0" xfId="11" applyNumberFormat="1" applyFont="1" applyFill="1"/>
    <xf numFmtId="41" fontId="37" fillId="0" borderId="0" xfId="11" applyNumberFormat="1" applyFont="1" applyFill="1" applyBorder="1"/>
    <xf numFmtId="41" fontId="37" fillId="0" borderId="1" xfId="11" applyNumberFormat="1" applyFont="1" applyFill="1" applyBorder="1"/>
    <xf numFmtId="41" fontId="3" fillId="0" borderId="0" xfId="11" applyNumberFormat="1" applyFont="1" applyFill="1"/>
    <xf numFmtId="41" fontId="37" fillId="0" borderId="2" xfId="11" applyNumberFormat="1" applyFont="1" applyFill="1" applyBorder="1"/>
    <xf numFmtId="10" fontId="37" fillId="0" borderId="0" xfId="27" applyNumberFormat="1" applyFont="1" applyFill="1"/>
    <xf numFmtId="10" fontId="0" fillId="0" borderId="0" xfId="0" applyNumberFormat="1" applyFill="1" applyAlignment="1">
      <alignment horizontal="center"/>
    </xf>
    <xf numFmtId="41" fontId="3" fillId="0" borderId="0" xfId="0" applyNumberFormat="1" applyFont="1" applyFill="1" applyAlignment="1"/>
    <xf numFmtId="37" fontId="4" fillId="0" borderId="0" xfId="0" applyNumberFormat="1" applyFont="1" applyFill="1"/>
    <xf numFmtId="0" fontId="34" fillId="0" borderId="0" xfId="0" applyFont="1" applyFill="1" applyAlignment="1">
      <alignment horizontal="center"/>
    </xf>
    <xf numFmtId="0" fontId="34" fillId="0" borderId="0" xfId="0" applyFont="1" applyAlignment="1">
      <alignment horizontal="center"/>
    </xf>
    <xf numFmtId="164" fontId="3" fillId="0" borderId="0" xfId="1" applyNumberFormat="1" applyFont="1" applyFill="1" applyBorder="1" applyProtection="1"/>
    <xf numFmtId="166" fontId="0" fillId="0" borderId="6" xfId="1" applyNumberFormat="1" applyFont="1" applyFill="1" applyBorder="1"/>
    <xf numFmtId="166" fontId="0" fillId="0" borderId="0" xfId="1" applyNumberFormat="1" applyFont="1" applyFill="1" applyBorder="1"/>
    <xf numFmtId="166" fontId="3" fillId="0" borderId="6" xfId="1" applyNumberFormat="1" applyFont="1" applyFill="1" applyBorder="1"/>
    <xf numFmtId="0" fontId="25" fillId="0" borderId="18" xfId="0" applyFont="1" applyBorder="1" applyAlignment="1">
      <alignment vertical="center" wrapText="1"/>
    </xf>
    <xf numFmtId="0" fontId="25" fillId="0" borderId="19" xfId="0" applyFont="1" applyBorder="1" applyAlignment="1">
      <alignment vertical="center" wrapText="1"/>
    </xf>
    <xf numFmtId="0" fontId="25" fillId="0" borderId="0" xfId="0" applyFont="1" applyBorder="1" applyAlignment="1">
      <alignment vertical="center" wrapText="1"/>
    </xf>
    <xf numFmtId="166" fontId="8" fillId="0" borderId="8" xfId="4" applyNumberFormat="1" applyFont="1" applyFill="1" applyBorder="1"/>
    <xf numFmtId="0" fontId="8" fillId="0" borderId="8" xfId="0" applyFont="1" applyBorder="1"/>
    <xf numFmtId="0" fontId="8" fillId="0" borderId="0" xfId="0" applyFont="1"/>
    <xf numFmtId="0" fontId="8" fillId="0" borderId="0" xfId="0" applyFont="1" applyAlignment="1">
      <alignment horizontal="center"/>
    </xf>
    <xf numFmtId="0" fontId="8" fillId="0" borderId="5" xfId="0" applyFont="1" applyBorder="1" applyAlignment="1">
      <alignment horizontal="center"/>
    </xf>
    <xf numFmtId="37" fontId="8" fillId="0" borderId="0" xfId="0" applyNumberFormat="1" applyFont="1"/>
    <xf numFmtId="164" fontId="8" fillId="0" borderId="0" xfId="4" applyNumberFormat="1" applyFont="1" applyFill="1" applyProtection="1"/>
    <xf numFmtId="164" fontId="8" fillId="0" borderId="0" xfId="0" applyNumberFormat="1" applyFont="1"/>
    <xf numFmtId="166" fontId="8" fillId="0" borderId="0" xfId="4" applyNumberFormat="1" applyFont="1" applyFill="1" applyAlignment="1" applyProtection="1">
      <alignment horizontal="right"/>
    </xf>
    <xf numFmtId="166" fontId="8" fillId="0" borderId="5" xfId="4" applyNumberFormat="1" applyFont="1" applyFill="1" applyBorder="1" applyProtection="1"/>
    <xf numFmtId="37" fontId="8" fillId="0" borderId="5" xfId="0" applyNumberFormat="1" applyFont="1" applyBorder="1"/>
    <xf numFmtId="166" fontId="8" fillId="0" borderId="5" xfId="4" applyNumberFormat="1" applyFont="1" applyFill="1" applyBorder="1" applyAlignment="1" applyProtection="1">
      <alignment horizontal="right"/>
    </xf>
    <xf numFmtId="164" fontId="8" fillId="0" borderId="7" xfId="4" applyNumberFormat="1" applyFont="1" applyFill="1" applyBorder="1" applyAlignment="1" applyProtection="1">
      <alignment horizontal="right"/>
    </xf>
    <xf numFmtId="164" fontId="8" fillId="0" borderId="7" xfId="0" applyNumberFormat="1" applyFont="1" applyBorder="1"/>
    <xf numFmtId="43" fontId="8" fillId="0" borderId="0" xfId="4" applyFont="1" applyFill="1" applyBorder="1" applyProtection="1"/>
    <xf numFmtId="37" fontId="8" fillId="0" borderId="1" xfId="0" applyNumberFormat="1" applyFont="1" applyBorder="1"/>
    <xf numFmtId="37" fontId="8" fillId="0" borderId="6" xfId="0" applyNumberFormat="1" applyFont="1" applyBorder="1"/>
    <xf numFmtId="0" fontId="41" fillId="0" borderId="0" xfId="0" applyFont="1" applyBorder="1" applyAlignment="1">
      <alignment vertical="top" wrapText="1"/>
    </xf>
    <xf numFmtId="0" fontId="0" fillId="0" borderId="0" xfId="0" applyBorder="1" applyAlignment="1">
      <alignment horizontal="justify" vertical="top" wrapText="1"/>
    </xf>
    <xf numFmtId="0" fontId="3" fillId="0" borderId="0" xfId="0" applyFont="1" applyFill="1" applyAlignment="1">
      <alignment horizontal="justify"/>
    </xf>
    <xf numFmtId="0" fontId="3" fillId="0" borderId="0" xfId="0" applyFont="1" applyFill="1" applyBorder="1" applyAlignment="1">
      <alignment horizontal="justify"/>
    </xf>
    <xf numFmtId="0" fontId="2" fillId="0" borderId="0" xfId="0" applyFont="1" applyFill="1" applyBorder="1" applyAlignment="1">
      <alignment horizontal="justify" vertical="top" wrapText="1"/>
    </xf>
    <xf numFmtId="0" fontId="0" fillId="0" borderId="0" xfId="0" applyFill="1" applyAlignment="1">
      <alignment horizontal="justify"/>
    </xf>
    <xf numFmtId="0" fontId="41" fillId="0" borderId="0" xfId="0" applyFont="1" applyBorder="1" applyAlignment="1">
      <alignment horizontal="justify" vertical="top" wrapText="1"/>
    </xf>
    <xf numFmtId="0" fontId="3" fillId="0" borderId="0" xfId="0" applyFont="1" applyAlignment="1">
      <alignment horizontal="justify"/>
    </xf>
    <xf numFmtId="0" fontId="3" fillId="0" borderId="0" xfId="0" applyFont="1" applyBorder="1" applyAlignment="1">
      <alignment horizontal="justify" vertical="center" wrapText="1"/>
    </xf>
    <xf numFmtId="169" fontId="3" fillId="0" borderId="20" xfId="24" applyFont="1" applyFill="1" applyBorder="1" applyAlignment="1">
      <alignment horizontal="justify"/>
    </xf>
    <xf numFmtId="169" fontId="3" fillId="0" borderId="0" xfId="24" applyFont="1" applyFill="1" applyBorder="1" applyAlignment="1">
      <alignment horizontal="justify"/>
    </xf>
    <xf numFmtId="37" fontId="3" fillId="0" borderId="0" xfId="24" applyNumberFormat="1" applyFont="1" applyFill="1" applyBorder="1" applyAlignment="1" applyProtection="1">
      <alignment horizontal="justify"/>
    </xf>
    <xf numFmtId="37" fontId="3" fillId="0" borderId="21" xfId="24" applyNumberFormat="1" applyFont="1" applyFill="1" applyBorder="1" applyAlignment="1" applyProtection="1">
      <alignment horizontal="justify"/>
    </xf>
    <xf numFmtId="169" fontId="16" fillId="0" borderId="0" xfId="16" applyFont="1" applyFill="1" applyAlignment="1">
      <alignment horizontal="justify"/>
    </xf>
    <xf numFmtId="0" fontId="0" fillId="3" borderId="0" xfId="0" applyFill="1" applyAlignment="1">
      <alignment horizontal="left" indent="1"/>
    </xf>
    <xf numFmtId="166" fontId="39" fillId="3" borderId="0" xfId="4" applyNumberFormat="1" applyFont="1" applyFill="1"/>
    <xf numFmtId="166" fontId="39" fillId="3" borderId="0" xfId="4" applyNumberFormat="1" applyFont="1" applyFill="1" applyBorder="1"/>
    <xf numFmtId="166" fontId="3" fillId="3" borderId="0" xfId="4" applyNumberFormat="1" applyFont="1" applyFill="1" applyBorder="1"/>
    <xf numFmtId="166" fontId="3" fillId="3" borderId="1" xfId="4" applyNumberFormat="1" applyFont="1" applyFill="1" applyBorder="1"/>
    <xf numFmtId="166" fontId="39" fillId="3" borderId="0" xfId="4" applyNumberFormat="1" applyFont="1" applyFill="1"/>
    <xf numFmtId="164" fontId="3" fillId="3" borderId="0" xfId="8" applyNumberFormat="1" applyFont="1" applyFill="1"/>
    <xf numFmtId="166" fontId="3" fillId="3" borderId="0" xfId="4" applyNumberFormat="1" applyFont="1" applyFill="1"/>
    <xf numFmtId="164" fontId="3" fillId="3" borderId="0" xfId="8" applyNumberFormat="1" applyFont="1" applyFill="1" applyAlignment="1">
      <alignment horizontal="left" wrapText="1" indent="1"/>
    </xf>
    <xf numFmtId="41" fontId="0" fillId="3" borderId="0" xfId="0" applyNumberFormat="1" applyFill="1" applyAlignment="1">
      <alignment horizontal="left" wrapText="1" indent="1"/>
    </xf>
    <xf numFmtId="41" fontId="0" fillId="3" borderId="1" xfId="0" applyNumberFormat="1" applyFill="1" applyBorder="1" applyAlignment="1">
      <alignment horizontal="left" wrapText="1" indent="1"/>
    </xf>
    <xf numFmtId="166" fontId="0" fillId="3" borderId="0" xfId="0" applyNumberFormat="1" applyFill="1" applyBorder="1"/>
    <xf numFmtId="166" fontId="0" fillId="3" borderId="1" xfId="0" applyNumberFormat="1" applyFill="1" applyBorder="1"/>
    <xf numFmtId="0" fontId="0" fillId="3" borderId="0" xfId="0" applyFill="1" applyAlignment="1">
      <alignment horizontal="left" wrapText="1" indent="1"/>
    </xf>
    <xf numFmtId="166" fontId="39" fillId="0" borderId="0" xfId="4" applyNumberFormat="1" applyFont="1" applyFill="1"/>
    <xf numFmtId="166" fontId="39" fillId="0" borderId="0" xfId="4" applyNumberFormat="1" applyFont="1" applyFill="1" applyBorder="1"/>
    <xf numFmtId="166" fontId="39" fillId="0" borderId="1" xfId="4" applyNumberFormat="1" applyFont="1" applyFill="1" applyBorder="1"/>
    <xf numFmtId="166" fontId="39" fillId="3" borderId="0" xfId="4" applyNumberFormat="1" applyFont="1" applyFill="1"/>
    <xf numFmtId="166" fontId="39" fillId="3" borderId="1" xfId="4" applyNumberFormat="1" applyFont="1" applyFill="1" applyBorder="1"/>
    <xf numFmtId="166" fontId="8" fillId="3" borderId="0" xfId="1" applyNumberFormat="1" applyFont="1" applyFill="1" applyProtection="1"/>
    <xf numFmtId="166" fontId="8" fillId="3" borderId="5" xfId="1" applyNumberFormat="1" applyFont="1" applyFill="1" applyBorder="1" applyProtection="1"/>
    <xf numFmtId="0" fontId="8" fillId="3" borderId="0" xfId="0" applyFont="1" applyFill="1" applyAlignment="1">
      <alignment horizontal="left"/>
    </xf>
    <xf numFmtId="166" fontId="3" fillId="3" borderId="0" xfId="1" applyNumberFormat="1" applyFont="1" applyFill="1" applyBorder="1" applyProtection="1"/>
    <xf numFmtId="0" fontId="3" fillId="3" borderId="0" xfId="17" applyFont="1" applyFill="1" applyAlignment="1">
      <alignment horizontal="left"/>
    </xf>
    <xf numFmtId="0" fontId="3" fillId="3" borderId="0" xfId="17" applyFont="1" applyFill="1"/>
    <xf numFmtId="166" fontId="3" fillId="3" borderId="1" xfId="1" applyNumberFormat="1" applyFont="1" applyFill="1" applyBorder="1" applyProtection="1"/>
    <xf numFmtId="166" fontId="39" fillId="3" borderId="0" xfId="4" applyNumberFormat="1" applyFont="1" applyFill="1"/>
    <xf numFmtId="41" fontId="39" fillId="0" borderId="0" xfId="4" applyNumberFormat="1" applyFont="1" applyFill="1"/>
    <xf numFmtId="0" fontId="2" fillId="0" borderId="18" xfId="0" applyFont="1" applyBorder="1" applyAlignment="1">
      <alignment vertical="center" wrapText="1"/>
    </xf>
    <xf numFmtId="0" fontId="2" fillId="0" borderId="19" xfId="0" applyFont="1" applyBorder="1" applyAlignment="1">
      <alignment vertical="center" wrapText="1"/>
    </xf>
    <xf numFmtId="0" fontId="0" fillId="0" borderId="22" xfId="0" applyFill="1" applyBorder="1" applyAlignment="1">
      <alignment wrapText="1"/>
    </xf>
    <xf numFmtId="0" fontId="0" fillId="0" borderId="23" xfId="0" applyFill="1" applyBorder="1" applyAlignment="1">
      <alignment wrapText="1"/>
    </xf>
    <xf numFmtId="0" fontId="0" fillId="0" borderId="10" xfId="0" applyFill="1" applyBorder="1" applyAlignment="1">
      <alignment wrapText="1"/>
    </xf>
    <xf numFmtId="0" fontId="0" fillId="0" borderId="24" xfId="0" applyFill="1" applyBorder="1" applyAlignment="1">
      <alignment wrapText="1"/>
    </xf>
    <xf numFmtId="0" fontId="2" fillId="0" borderId="23" xfId="0" applyFont="1" applyFill="1" applyBorder="1" applyAlignment="1">
      <alignment vertical="top" wrapText="1"/>
    </xf>
    <xf numFmtId="0" fontId="2" fillId="0" borderId="24" xfId="0" applyFont="1" applyFill="1" applyBorder="1" applyAlignment="1">
      <alignment vertical="top" wrapText="1"/>
    </xf>
    <xf numFmtId="0" fontId="0" fillId="0" borderId="0" xfId="0" applyFill="1" applyAlignment="1">
      <alignment horizontal="left" wrapText="1" indent="1"/>
    </xf>
    <xf numFmtId="166" fontId="0" fillId="3" borderId="0" xfId="4" applyNumberFormat="1" applyFont="1" applyFill="1"/>
    <xf numFmtId="0" fontId="3" fillId="0" borderId="0" xfId="0" applyFont="1" applyFill="1" applyAlignment="1">
      <alignment horizontal="left" wrapText="1" indent="4"/>
    </xf>
    <xf numFmtId="166" fontId="0" fillId="3" borderId="0" xfId="4" applyNumberFormat="1" applyFont="1" applyFill="1" applyBorder="1"/>
    <xf numFmtId="0" fontId="0" fillId="3" borderId="0" xfId="0" applyFill="1" applyAlignment="1">
      <alignment horizontal="left" indent="2"/>
    </xf>
    <xf numFmtId="164" fontId="0" fillId="3" borderId="2" xfId="8" applyNumberFormat="1" applyFont="1" applyFill="1" applyBorder="1"/>
    <xf numFmtId="166" fontId="3" fillId="3" borderId="0" xfId="1" applyNumberFormat="1" applyFont="1" applyFill="1" applyProtection="1"/>
    <xf numFmtId="166" fontId="3" fillId="3" borderId="5" xfId="1" applyNumberFormat="1" applyFont="1" applyFill="1" applyBorder="1" applyProtection="1"/>
    <xf numFmtId="166" fontId="3" fillId="3" borderId="5" xfId="1" applyNumberFormat="1" applyFont="1" applyFill="1" applyBorder="1" applyAlignment="1" applyProtection="1">
      <alignment horizontal="right"/>
    </xf>
    <xf numFmtId="166" fontId="0" fillId="3" borderId="1" xfId="4" applyNumberFormat="1" applyFont="1" applyFill="1" applyBorder="1"/>
    <xf numFmtId="41" fontId="0" fillId="3" borderId="1" xfId="0" applyNumberFormat="1" applyFill="1" applyBorder="1"/>
    <xf numFmtId="0" fontId="0" fillId="0" borderId="0" xfId="0" applyFill="1" applyAlignment="1">
      <alignment horizontal="left" wrapText="1"/>
    </xf>
    <xf numFmtId="0" fontId="3" fillId="0" borderId="0" xfId="0" applyFont="1" applyFill="1" applyAlignment="1">
      <alignment wrapText="1"/>
    </xf>
    <xf numFmtId="166" fontId="0" fillId="3" borderId="0" xfId="5" applyNumberFormat="1" applyFont="1" applyFill="1"/>
    <xf numFmtId="0" fontId="3" fillId="3" borderId="0" xfId="0" applyFont="1" applyFill="1" applyAlignment="1">
      <alignment horizontal="left" wrapText="1" indent="2"/>
    </xf>
    <xf numFmtId="164" fontId="3" fillId="3" borderId="2" xfId="8" applyNumberFormat="1" applyFont="1" applyFill="1" applyBorder="1"/>
    <xf numFmtId="164" fontId="3" fillId="3" borderId="3" xfId="8" applyNumberFormat="1" applyFont="1" applyFill="1" applyBorder="1"/>
    <xf numFmtId="164" fontId="0" fillId="3" borderId="3" xfId="8" applyNumberFormat="1" applyFont="1" applyFill="1" applyBorder="1"/>
    <xf numFmtId="41" fontId="3" fillId="3" borderId="0" xfId="0" applyNumberFormat="1" applyFont="1" applyFill="1"/>
    <xf numFmtId="0" fontId="3" fillId="3" borderId="0" xfId="0" applyFont="1" applyFill="1" applyAlignment="1">
      <alignment horizontal="left" wrapText="1" indent="1"/>
    </xf>
    <xf numFmtId="0" fontId="0" fillId="3" borderId="0" xfId="0" applyFill="1" applyAlignment="1">
      <alignment wrapText="1"/>
    </xf>
    <xf numFmtId="166" fontId="8" fillId="3" borderId="5" xfId="1" applyNumberFormat="1" applyFont="1" applyFill="1" applyBorder="1" applyAlignment="1" applyProtection="1">
      <alignment horizontal="right"/>
    </xf>
    <xf numFmtId="166" fontId="8" fillId="0" borderId="0" xfId="1" applyNumberFormat="1" applyFont="1" applyFill="1" applyBorder="1" applyAlignment="1" applyProtection="1">
      <alignment horizontal="right"/>
    </xf>
    <xf numFmtId="0" fontId="0" fillId="3" borderId="0" xfId="0" applyFill="1"/>
    <xf numFmtId="166" fontId="3" fillId="3" borderId="0" xfId="1" applyNumberFormat="1" applyFont="1" applyFill="1"/>
    <xf numFmtId="166" fontId="3" fillId="3" borderId="0" xfId="1" applyNumberFormat="1" applyFont="1" applyFill="1" applyAlignment="1">
      <alignment horizontal="left"/>
    </xf>
    <xf numFmtId="41" fontId="3" fillId="3" borderId="0" xfId="20" applyNumberFormat="1" applyFont="1" applyFill="1" applyBorder="1"/>
    <xf numFmtId="166" fontId="1" fillId="3" borderId="0" xfId="1" applyNumberFormat="1" applyFill="1"/>
    <xf numFmtId="166" fontId="1" fillId="3" borderId="0" xfId="1" applyNumberFormat="1" applyFill="1" applyBorder="1"/>
    <xf numFmtId="164" fontId="0" fillId="3" borderId="0" xfId="5" applyNumberFormat="1" applyFont="1" applyFill="1" applyAlignment="1"/>
    <xf numFmtId="0" fontId="0" fillId="3" borderId="0" xfId="0" applyFill="1" applyAlignment="1"/>
    <xf numFmtId="166" fontId="1" fillId="3" borderId="1" xfId="1" applyNumberFormat="1" applyFill="1" applyBorder="1"/>
    <xf numFmtId="164" fontId="1" fillId="3" borderId="2" xfId="5" applyNumberFormat="1" applyFill="1" applyBorder="1"/>
    <xf numFmtId="41" fontId="0" fillId="3" borderId="0" xfId="0" applyNumberFormat="1" applyFill="1"/>
    <xf numFmtId="41" fontId="3" fillId="3" borderId="1" xfId="0" applyNumberFormat="1" applyFont="1" applyFill="1" applyBorder="1"/>
    <xf numFmtId="41" fontId="0" fillId="3" borderId="0" xfId="0" applyNumberFormat="1" applyFill="1" applyBorder="1"/>
    <xf numFmtId="0" fontId="0" fillId="3" borderId="0" xfId="0" applyFill="1" applyBorder="1" applyAlignment="1"/>
    <xf numFmtId="37" fontId="0" fillId="3" borderId="0" xfId="0" applyNumberFormat="1" applyFill="1" applyBorder="1" applyAlignment="1"/>
    <xf numFmtId="37" fontId="4" fillId="3" borderId="0" xfId="0" applyNumberFormat="1" applyFont="1" applyFill="1"/>
    <xf numFmtId="37" fontId="4" fillId="0" borderId="0" xfId="0" quotePrefix="1" applyNumberFormat="1" applyFont="1" applyFill="1" applyAlignment="1">
      <alignment horizontal="center"/>
    </xf>
    <xf numFmtId="37" fontId="5" fillId="0" borderId="0" xfId="0" applyNumberFormat="1" applyFont="1" applyFill="1" applyAlignment="1">
      <alignment horizontal="center"/>
    </xf>
    <xf numFmtId="0" fontId="3" fillId="0" borderId="0" xfId="17" applyFont="1" applyFill="1" applyAlignment="1">
      <alignment horizontal="left"/>
    </xf>
    <xf numFmtId="166" fontId="3" fillId="0" borderId="2" xfId="8" applyNumberFormat="1" applyFont="1" applyFill="1" applyBorder="1"/>
    <xf numFmtId="166" fontId="33" fillId="3" borderId="0" xfId="4" applyNumberFormat="1" applyFont="1" applyFill="1"/>
    <xf numFmtId="0" fontId="3" fillId="0" borderId="0" xfId="0" applyFont="1" applyFill="1" applyAlignment="1">
      <alignment horizontal="left" wrapText="1" indent="1"/>
    </xf>
    <xf numFmtId="41" fontId="0" fillId="3" borderId="0" xfId="4" applyNumberFormat="1" applyFont="1" applyFill="1"/>
    <xf numFmtId="164" fontId="37" fillId="3" borderId="0" xfId="8" applyNumberFormat="1" applyFont="1" applyFill="1"/>
    <xf numFmtId="0" fontId="0" fillId="0" borderId="0" xfId="0" applyFill="1" applyAlignment="1">
      <alignment horizontal="left" wrapText="1" indent="1"/>
    </xf>
    <xf numFmtId="0" fontId="3" fillId="3" borderId="0" xfId="0" applyFont="1" applyFill="1" applyAlignment="1">
      <alignment horizontal="left" indent="1"/>
    </xf>
    <xf numFmtId="166" fontId="8" fillId="3" borderId="0" xfId="1" applyNumberFormat="1" applyFont="1" applyFill="1" applyBorder="1" applyProtection="1"/>
    <xf numFmtId="164" fontId="8" fillId="3" borderId="0" xfId="5" applyNumberFormat="1" applyFont="1" applyFill="1" applyProtection="1"/>
    <xf numFmtId="0" fontId="3" fillId="0" borderId="0" xfId="0" applyFont="1" applyFill="1" applyAlignment="1">
      <alignment horizontal="left" wrapText="1"/>
    </xf>
    <xf numFmtId="0" fontId="3" fillId="0" borderId="0" xfId="0" applyFont="1" applyFill="1" applyAlignment="1">
      <alignment wrapText="1"/>
    </xf>
    <xf numFmtId="164" fontId="3" fillId="0" borderId="0" xfId="8" applyNumberFormat="1" applyFont="1" applyFill="1" applyAlignment="1">
      <alignment horizontal="left" wrapText="1" indent="1"/>
    </xf>
    <xf numFmtId="41" fontId="0" fillId="3" borderId="0" xfId="0" applyNumberFormat="1" applyFill="1" applyBorder="1" applyAlignment="1">
      <alignment horizontal="left" wrapText="1" indent="1"/>
    </xf>
    <xf numFmtId="166" fontId="0" fillId="3" borderId="1" xfId="8" applyNumberFormat="1" applyFont="1" applyFill="1" applyBorder="1"/>
    <xf numFmtId="164" fontId="39" fillId="0" borderId="0" xfId="8" applyNumberFormat="1" applyFont="1" applyFill="1"/>
    <xf numFmtId="42" fontId="0" fillId="3" borderId="0" xfId="0" applyNumberFormat="1" applyFill="1"/>
    <xf numFmtId="166" fontId="37" fillId="3" borderId="1" xfId="4" applyNumberFormat="1" applyFont="1" applyFill="1" applyBorder="1"/>
    <xf numFmtId="164" fontId="0" fillId="3" borderId="0" xfId="8" applyNumberFormat="1" applyFont="1" applyFill="1"/>
    <xf numFmtId="166" fontId="0" fillId="3" borderId="0" xfId="0" applyNumberFormat="1" applyFill="1"/>
    <xf numFmtId="164" fontId="3" fillId="3" borderId="3" xfId="0" applyNumberFormat="1" applyFont="1" applyFill="1" applyBorder="1"/>
    <xf numFmtId="164" fontId="3" fillId="3" borderId="0" xfId="1" applyNumberFormat="1" applyFont="1" applyFill="1" applyProtection="1"/>
    <xf numFmtId="164" fontId="3" fillId="3" borderId="0" xfId="5" applyNumberFormat="1" applyFont="1" applyFill="1"/>
    <xf numFmtId="37" fontId="8" fillId="3" borderId="0" xfId="24" applyNumberFormat="1" applyFont="1" applyFill="1" applyProtection="1"/>
    <xf numFmtId="164" fontId="8" fillId="3" borderId="0" xfId="16" applyNumberFormat="1" applyFont="1" applyFill="1" applyProtection="1"/>
    <xf numFmtId="37" fontId="8" fillId="3" borderId="0" xfId="16" applyNumberFormat="1" applyFont="1" applyFill="1" applyProtection="1"/>
    <xf numFmtId="164" fontId="1" fillId="3" borderId="0" xfId="5" applyNumberFormat="1" applyFill="1"/>
    <xf numFmtId="0" fontId="3" fillId="3" borderId="0" xfId="0" applyFont="1" applyFill="1" applyAlignment="1">
      <alignment horizontal="left" wrapText="1"/>
    </xf>
    <xf numFmtId="166" fontId="1" fillId="3" borderId="6" xfId="1" applyNumberFormat="1" applyFill="1" applyBorder="1"/>
    <xf numFmtId="0" fontId="0" fillId="3" borderId="0" xfId="0" applyFill="1" applyAlignment="1">
      <alignment horizontal="left" wrapText="1"/>
    </xf>
    <xf numFmtId="166" fontId="1" fillId="3" borderId="0" xfId="1" applyNumberFormat="1" applyFont="1" applyFill="1" applyBorder="1"/>
    <xf numFmtId="166" fontId="3" fillId="3" borderId="0" xfId="1" applyNumberFormat="1" applyFont="1" applyFill="1" applyBorder="1" applyAlignment="1"/>
    <xf numFmtId="164" fontId="1" fillId="3" borderId="0" xfId="5" applyNumberFormat="1" applyFill="1" applyBorder="1"/>
    <xf numFmtId="10" fontId="1" fillId="0" borderId="0" xfId="0" applyNumberFormat="1" applyFont="1" applyFill="1" applyAlignment="1">
      <alignment horizontal="right"/>
    </xf>
    <xf numFmtId="0" fontId="1" fillId="3" borderId="0" xfId="0" applyFont="1" applyFill="1" applyAlignment="1">
      <alignment horizontal="left" indent="2"/>
    </xf>
    <xf numFmtId="0" fontId="2" fillId="0" borderId="0" xfId="0" applyFont="1" applyFill="1" applyAlignment="1">
      <alignment horizontal="center"/>
    </xf>
    <xf numFmtId="15" fontId="2" fillId="0" borderId="0" xfId="0" quotePrefix="1" applyNumberFormat="1" applyFont="1" applyFill="1" applyAlignment="1">
      <alignment horizontal="center"/>
    </xf>
    <xf numFmtId="0" fontId="2" fillId="0" borderId="1" xfId="0" applyFont="1" applyFill="1" applyBorder="1" applyAlignment="1">
      <alignment horizontal="center"/>
    </xf>
    <xf numFmtId="0" fontId="3" fillId="0" borderId="25" xfId="0" applyFont="1" applyFill="1" applyBorder="1" applyAlignment="1">
      <alignment horizontal="justify" wrapText="1"/>
    </xf>
    <xf numFmtId="0" fontId="0" fillId="0" borderId="22" xfId="0" applyFill="1" applyBorder="1" applyAlignment="1">
      <alignment horizontal="justify" wrapText="1"/>
    </xf>
    <xf numFmtId="0" fontId="0" fillId="0" borderId="23" xfId="0" applyFill="1" applyBorder="1" applyAlignment="1">
      <alignment horizontal="justify" wrapText="1"/>
    </xf>
    <xf numFmtId="0" fontId="0" fillId="0" borderId="20" xfId="0" applyFill="1" applyBorder="1" applyAlignment="1">
      <alignment horizontal="justify" wrapText="1"/>
    </xf>
    <xf numFmtId="0" fontId="0" fillId="0" borderId="0" xfId="0" applyFill="1" applyBorder="1" applyAlignment="1">
      <alignment horizontal="justify" wrapText="1"/>
    </xf>
    <xf numFmtId="0" fontId="0" fillId="0" borderId="21" xfId="0" applyFill="1" applyBorder="1" applyAlignment="1">
      <alignment horizontal="justify" wrapText="1"/>
    </xf>
    <xf numFmtId="0" fontId="0" fillId="0" borderId="26" xfId="0" applyFill="1" applyBorder="1" applyAlignment="1">
      <alignment horizontal="justify" wrapText="1"/>
    </xf>
    <xf numFmtId="0" fontId="0" fillId="0" borderId="10" xfId="0" applyFill="1" applyBorder="1" applyAlignment="1">
      <alignment horizontal="justify" wrapText="1"/>
    </xf>
    <xf numFmtId="0" fontId="0" fillId="0" borderId="24" xfId="0" applyFill="1" applyBorder="1" applyAlignment="1">
      <alignment horizontal="justify" wrapText="1"/>
    </xf>
    <xf numFmtId="0" fontId="2" fillId="0" borderId="6" xfId="0" applyFont="1" applyFill="1" applyBorder="1" applyAlignment="1">
      <alignment horizontal="center"/>
    </xf>
    <xf numFmtId="15" fontId="2" fillId="0" borderId="0" xfId="0" applyNumberFormat="1" applyFont="1" applyFill="1" applyAlignment="1">
      <alignment horizontal="center"/>
    </xf>
    <xf numFmtId="0" fontId="3" fillId="0" borderId="0" xfId="0" applyFont="1" applyFill="1" applyAlignment="1">
      <alignment horizontal="left" wrapText="1"/>
    </xf>
    <xf numFmtId="0" fontId="0" fillId="0" borderId="0" xfId="0" applyFill="1" applyAlignment="1">
      <alignment horizontal="left" wrapText="1"/>
    </xf>
    <xf numFmtId="0" fontId="0" fillId="0" borderId="0" xfId="0" applyFill="1" applyAlignment="1">
      <alignment horizontal="left" wrapText="1" indent="1"/>
    </xf>
    <xf numFmtId="0" fontId="0" fillId="0" borderId="0" xfId="0" applyFill="1" applyAlignment="1">
      <alignment horizontal="left" wrapText="1" indent="3"/>
    </xf>
    <xf numFmtId="0" fontId="3" fillId="0" borderId="0" xfId="0" applyFont="1" applyFill="1" applyAlignment="1">
      <alignment horizontal="left" wrapText="1" indent="3"/>
    </xf>
    <xf numFmtId="0" fontId="3" fillId="0" borderId="0" xfId="0" applyFont="1" applyFill="1" applyAlignment="1">
      <alignment vertical="top" wrapText="1"/>
    </xf>
    <xf numFmtId="0" fontId="0" fillId="0" borderId="0" xfId="0" applyFill="1" applyAlignment="1">
      <alignment wrapText="1"/>
    </xf>
    <xf numFmtId="0" fontId="3" fillId="0" borderId="0" xfId="0" applyFont="1" applyFill="1" applyAlignment="1">
      <alignment horizontal="left" wrapText="1" indent="1"/>
    </xf>
    <xf numFmtId="0" fontId="3" fillId="0" borderId="0" xfId="0" applyFont="1" applyFill="1" applyAlignment="1">
      <alignment wrapText="1"/>
    </xf>
    <xf numFmtId="0" fontId="41" fillId="0" borderId="27" xfId="0" applyFont="1" applyBorder="1" applyAlignment="1">
      <alignment horizontal="justify" wrapText="1"/>
    </xf>
    <xf numFmtId="0" fontId="0" fillId="0" borderId="17" xfId="0" applyBorder="1" applyAlignment="1">
      <alignment horizontal="justify" wrapText="1"/>
    </xf>
    <xf numFmtId="0" fontId="0" fillId="0" borderId="28" xfId="0" applyBorder="1" applyAlignment="1">
      <alignment horizontal="justify" wrapText="1"/>
    </xf>
    <xf numFmtId="0" fontId="0" fillId="0" borderId="29" xfId="0" applyBorder="1" applyAlignment="1">
      <alignment horizontal="justify" wrapText="1"/>
    </xf>
    <xf numFmtId="0" fontId="0" fillId="0" borderId="0" xfId="0" applyBorder="1" applyAlignment="1">
      <alignment horizontal="justify" wrapText="1"/>
    </xf>
    <xf numFmtId="0" fontId="0" fillId="0" borderId="30" xfId="0" applyBorder="1" applyAlignment="1">
      <alignment horizontal="justify" wrapText="1"/>
    </xf>
    <xf numFmtId="0" fontId="0" fillId="0" borderId="31" xfId="0" applyBorder="1" applyAlignment="1">
      <alignment horizontal="justify" wrapText="1"/>
    </xf>
    <xf numFmtId="0" fontId="0" fillId="0" borderId="32" xfId="0" applyBorder="1" applyAlignment="1">
      <alignment horizontal="justify" wrapText="1"/>
    </xf>
    <xf numFmtId="0" fontId="0" fillId="0" borderId="33" xfId="0" applyBorder="1" applyAlignment="1">
      <alignment horizontal="justify" wrapText="1"/>
    </xf>
    <xf numFmtId="0" fontId="43" fillId="0" borderId="25" xfId="0" applyFont="1" applyFill="1" applyBorder="1" applyAlignment="1">
      <alignment horizontal="justify" vertical="top" wrapText="1"/>
    </xf>
    <xf numFmtId="0" fontId="43" fillId="0" borderId="22" xfId="0" applyFont="1" applyFill="1" applyBorder="1" applyAlignment="1">
      <alignment horizontal="justify" vertical="top" wrapText="1"/>
    </xf>
    <xf numFmtId="0" fontId="43" fillId="0" borderId="23" xfId="0" applyFont="1" applyFill="1" applyBorder="1" applyAlignment="1">
      <alignment horizontal="justify" vertical="top" wrapText="1"/>
    </xf>
    <xf numFmtId="0" fontId="43" fillId="0" borderId="20" xfId="0" applyFont="1" applyFill="1" applyBorder="1" applyAlignment="1">
      <alignment horizontal="justify" vertical="top" wrapText="1"/>
    </xf>
    <xf numFmtId="0" fontId="43" fillId="0" borderId="0" xfId="0" applyFont="1" applyFill="1" applyBorder="1" applyAlignment="1">
      <alignment horizontal="justify" vertical="top" wrapText="1"/>
    </xf>
    <xf numFmtId="0" fontId="43" fillId="0" borderId="21" xfId="0" applyFont="1" applyFill="1" applyBorder="1" applyAlignment="1">
      <alignment horizontal="justify" vertical="top" wrapText="1"/>
    </xf>
    <xf numFmtId="0" fontId="43" fillId="0" borderId="26" xfId="0" applyFont="1" applyFill="1" applyBorder="1" applyAlignment="1">
      <alignment horizontal="justify" vertical="top" wrapText="1"/>
    </xf>
    <xf numFmtId="0" fontId="43" fillId="0" borderId="10" xfId="0" applyFont="1" applyFill="1" applyBorder="1" applyAlignment="1">
      <alignment horizontal="justify" vertical="top" wrapText="1"/>
    </xf>
    <xf numFmtId="0" fontId="43" fillId="0" borderId="24" xfId="0" applyFont="1" applyFill="1" applyBorder="1" applyAlignment="1">
      <alignment horizontal="justify" vertical="top" wrapText="1"/>
    </xf>
    <xf numFmtId="0" fontId="11" fillId="0" borderId="0" xfId="0" applyFont="1" applyFill="1" applyAlignment="1">
      <alignment horizontal="center"/>
    </xf>
    <xf numFmtId="0" fontId="41" fillId="0" borderId="25" xfId="0" applyFont="1" applyFill="1" applyBorder="1" applyAlignment="1">
      <alignment horizontal="justify" vertical="center" wrapText="1" readingOrder="1"/>
    </xf>
    <xf numFmtId="173" fontId="2" fillId="0" borderId="0" xfId="0" quotePrefix="1" applyNumberFormat="1" applyFont="1" applyFill="1" applyAlignment="1">
      <alignment horizontal="center"/>
    </xf>
    <xf numFmtId="173" fontId="2" fillId="0" borderId="0" xfId="0" applyNumberFormat="1" applyFont="1" applyFill="1" applyAlignment="1">
      <alignment horizontal="center"/>
    </xf>
    <xf numFmtId="0" fontId="41" fillId="0" borderId="25" xfId="0" applyFont="1" applyFill="1" applyBorder="1" applyAlignment="1">
      <alignment horizontal="justify" vertical="justify" wrapText="1" readingOrder="1"/>
    </xf>
    <xf numFmtId="0" fontId="0" fillId="0" borderId="22" xfId="0" applyFill="1" applyBorder="1" applyAlignment="1">
      <alignment horizontal="justify" vertical="justify" wrapText="1" readingOrder="1"/>
    </xf>
    <xf numFmtId="0" fontId="0" fillId="0" borderId="23" xfId="0" applyFill="1" applyBorder="1" applyAlignment="1">
      <alignment horizontal="justify" vertical="justify" wrapText="1" readingOrder="1"/>
    </xf>
    <xf numFmtId="0" fontId="0" fillId="0" borderId="20" xfId="0" applyFill="1" applyBorder="1" applyAlignment="1">
      <alignment horizontal="justify" vertical="justify" wrapText="1" readingOrder="1"/>
    </xf>
    <xf numFmtId="0" fontId="0" fillId="0" borderId="0" xfId="0" applyFill="1" applyBorder="1" applyAlignment="1">
      <alignment horizontal="justify" vertical="justify" wrapText="1" readingOrder="1"/>
    </xf>
    <xf numFmtId="0" fontId="0" fillId="0" borderId="21" xfId="0" applyFill="1" applyBorder="1" applyAlignment="1">
      <alignment horizontal="justify" vertical="justify" wrapText="1" readingOrder="1"/>
    </xf>
    <xf numFmtId="0" fontId="0" fillId="0" borderId="26" xfId="0" applyFill="1" applyBorder="1" applyAlignment="1">
      <alignment horizontal="justify" vertical="justify" wrapText="1"/>
    </xf>
    <xf numFmtId="0" fontId="0" fillId="0" borderId="10" xfId="0" applyFill="1" applyBorder="1" applyAlignment="1">
      <alignment horizontal="justify" vertical="justify" wrapText="1"/>
    </xf>
    <xf numFmtId="0" fontId="0" fillId="0" borderId="24" xfId="0" applyFill="1" applyBorder="1" applyAlignment="1">
      <alignment horizontal="justify" vertical="justify" wrapText="1"/>
    </xf>
    <xf numFmtId="0" fontId="21" fillId="0" borderId="0" xfId="0" applyFont="1" applyFill="1" applyAlignment="1">
      <alignment horizontal="center"/>
    </xf>
    <xf numFmtId="0" fontId="41" fillId="3" borderId="25" xfId="0" applyFont="1" applyFill="1" applyBorder="1" applyAlignment="1">
      <alignment horizontal="justify" vertical="justify" wrapText="1" readingOrder="1"/>
    </xf>
    <xf numFmtId="0" fontId="0" fillId="3" borderId="23" xfId="0" applyFill="1" applyBorder="1" applyAlignment="1">
      <alignment horizontal="justify" vertical="justify" wrapText="1" readingOrder="1"/>
    </xf>
    <xf numFmtId="0" fontId="0" fillId="3" borderId="20" xfId="0" applyFill="1" applyBorder="1" applyAlignment="1">
      <alignment horizontal="justify" vertical="justify" wrapText="1" readingOrder="1"/>
    </xf>
    <xf numFmtId="0" fontId="0" fillId="3" borderId="21" xfId="0" applyFill="1" applyBorder="1" applyAlignment="1">
      <alignment horizontal="justify" vertical="justify" wrapText="1" readingOrder="1"/>
    </xf>
    <xf numFmtId="0" fontId="0" fillId="3" borderId="26" xfId="0" applyFill="1" applyBorder="1" applyAlignment="1">
      <alignment horizontal="justify" vertical="justify" wrapText="1" readingOrder="1"/>
    </xf>
    <xf numFmtId="0" fontId="0" fillId="3" borderId="24" xfId="0" applyFill="1" applyBorder="1" applyAlignment="1">
      <alignment horizontal="justify" vertical="justify" wrapText="1" readingOrder="1"/>
    </xf>
    <xf numFmtId="0" fontId="9" fillId="0" borderId="0" xfId="23" applyFont="1" applyFill="1" applyBorder="1" applyAlignment="1">
      <alignment horizontal="center"/>
    </xf>
    <xf numFmtId="0" fontId="9" fillId="0" borderId="0" xfId="23" quotePrefix="1" applyFont="1" applyFill="1" applyBorder="1" applyAlignment="1">
      <alignment horizontal="center"/>
    </xf>
    <xf numFmtId="0" fontId="3" fillId="0" borderId="25" xfId="0" applyFont="1" applyFill="1" applyBorder="1" applyAlignment="1">
      <alignment wrapText="1"/>
    </xf>
    <xf numFmtId="0" fontId="0" fillId="0" borderId="22" xfId="0" applyBorder="1" applyAlignment="1">
      <alignment wrapText="1"/>
    </xf>
    <xf numFmtId="0" fontId="0" fillId="0" borderId="23" xfId="0" applyBorder="1" applyAlignment="1">
      <alignment wrapText="1"/>
    </xf>
    <xf numFmtId="0" fontId="0" fillId="0" borderId="20" xfId="0" applyBorder="1" applyAlignment="1">
      <alignment wrapText="1"/>
    </xf>
    <xf numFmtId="0" fontId="0" fillId="0" borderId="0" xfId="0" applyBorder="1" applyAlignment="1">
      <alignment wrapText="1"/>
    </xf>
    <xf numFmtId="0" fontId="0" fillId="0" borderId="21" xfId="0" applyBorder="1" applyAlignment="1">
      <alignment wrapText="1"/>
    </xf>
    <xf numFmtId="0" fontId="0" fillId="0" borderId="26" xfId="0" applyBorder="1" applyAlignment="1">
      <alignment wrapText="1"/>
    </xf>
    <xf numFmtId="0" fontId="0" fillId="0" borderId="10" xfId="0" applyBorder="1" applyAlignment="1">
      <alignment wrapText="1"/>
    </xf>
    <xf numFmtId="0" fontId="0" fillId="0" borderId="24" xfId="0" applyBorder="1" applyAlignment="1">
      <alignment wrapText="1"/>
    </xf>
    <xf numFmtId="0" fontId="3" fillId="3" borderId="25" xfId="0" applyFont="1" applyFill="1" applyBorder="1" applyAlignment="1">
      <alignment vertical="top" wrapText="1"/>
    </xf>
    <xf numFmtId="0" fontId="0" fillId="3" borderId="22" xfId="0" applyFill="1" applyBorder="1" applyAlignment="1">
      <alignment vertical="top" wrapText="1"/>
    </xf>
    <xf numFmtId="0" fontId="0" fillId="3" borderId="23" xfId="0" applyFill="1" applyBorder="1" applyAlignment="1">
      <alignment vertical="top" wrapText="1"/>
    </xf>
    <xf numFmtId="0" fontId="0" fillId="3" borderId="20" xfId="0" applyFill="1" applyBorder="1" applyAlignment="1">
      <alignment vertical="top" wrapText="1"/>
    </xf>
    <xf numFmtId="0" fontId="0" fillId="3" borderId="0" xfId="0" applyFill="1" applyBorder="1" applyAlignment="1">
      <alignment vertical="top" wrapText="1"/>
    </xf>
    <xf numFmtId="0" fontId="0" fillId="3" borderId="21" xfId="0" applyFill="1" applyBorder="1" applyAlignment="1">
      <alignment vertical="top" wrapText="1"/>
    </xf>
    <xf numFmtId="0" fontId="0" fillId="3" borderId="26" xfId="0" applyFill="1" applyBorder="1" applyAlignment="1">
      <alignment vertical="top" wrapText="1"/>
    </xf>
    <xf numFmtId="0" fontId="0" fillId="3" borderId="10" xfId="0" applyFill="1" applyBorder="1" applyAlignment="1">
      <alignment vertical="top" wrapText="1"/>
    </xf>
    <xf numFmtId="0" fontId="0" fillId="3" borderId="24" xfId="0" applyFill="1" applyBorder="1" applyAlignment="1">
      <alignment vertical="top" wrapText="1"/>
    </xf>
    <xf numFmtId="0" fontId="2" fillId="0" borderId="25" xfId="0" applyFont="1" applyFill="1" applyBorder="1" applyAlignment="1">
      <alignment horizontal="center" vertical="top" wrapText="1"/>
    </xf>
    <xf numFmtId="0" fontId="2" fillId="0" borderId="22" xfId="0" applyFont="1" applyFill="1" applyBorder="1" applyAlignment="1">
      <alignment horizontal="center" vertical="top" wrapText="1"/>
    </xf>
    <xf numFmtId="0" fontId="2" fillId="0" borderId="23" xfId="0" applyFont="1" applyFill="1" applyBorder="1" applyAlignment="1">
      <alignment horizontal="center" vertical="top" wrapText="1"/>
    </xf>
    <xf numFmtId="0" fontId="2" fillId="0" borderId="26" xfId="0" applyFont="1" applyFill="1" applyBorder="1" applyAlignment="1">
      <alignment horizontal="center" vertical="top" wrapText="1"/>
    </xf>
    <xf numFmtId="0" fontId="2" fillId="0" borderId="10" xfId="0" applyFont="1" applyFill="1" applyBorder="1" applyAlignment="1">
      <alignment horizontal="center" vertical="top" wrapText="1"/>
    </xf>
    <xf numFmtId="0" fontId="2" fillId="0" borderId="24" xfId="0" applyFont="1" applyFill="1" applyBorder="1" applyAlignment="1">
      <alignment horizontal="center" vertical="top" wrapText="1"/>
    </xf>
    <xf numFmtId="0" fontId="2" fillId="0" borderId="34"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5" fillId="0" borderId="0" xfId="0" applyFont="1" applyAlignment="1">
      <alignment horizontal="center"/>
    </xf>
    <xf numFmtId="0" fontId="2" fillId="0" borderId="34" xfId="0" applyFont="1" applyBorder="1" applyAlignment="1">
      <alignment horizontal="center" vertical="top" wrapText="1"/>
    </xf>
    <xf numFmtId="0" fontId="2" fillId="0" borderId="18" xfId="0" applyFont="1" applyBorder="1" applyAlignment="1">
      <alignment horizontal="center" vertical="top" wrapText="1"/>
    </xf>
    <xf numFmtId="0" fontId="2" fillId="0" borderId="19" xfId="0" applyFont="1" applyBorder="1" applyAlignment="1">
      <alignment horizontal="center" vertical="top" wrapText="1"/>
    </xf>
    <xf numFmtId="0" fontId="2" fillId="0" borderId="34" xfId="0" applyFont="1" applyFill="1" applyBorder="1" applyAlignment="1">
      <alignment horizontal="center" vertical="top" wrapText="1"/>
    </xf>
    <xf numFmtId="0" fontId="2" fillId="0" borderId="18" xfId="0" applyFont="1" applyFill="1" applyBorder="1" applyAlignment="1">
      <alignment horizontal="center" vertical="top" wrapText="1"/>
    </xf>
    <xf numFmtId="0" fontId="2" fillId="0" borderId="19" xfId="0" applyFont="1" applyFill="1" applyBorder="1" applyAlignment="1">
      <alignment horizontal="center" vertical="top" wrapText="1"/>
    </xf>
    <xf numFmtId="0" fontId="2" fillId="0" borderId="25" xfId="0" applyFont="1" applyFill="1" applyBorder="1" applyAlignment="1">
      <alignment horizontal="center" wrapText="1"/>
    </xf>
    <xf numFmtId="0" fontId="2" fillId="0" borderId="22" xfId="0" applyFont="1" applyFill="1" applyBorder="1" applyAlignment="1">
      <alignment horizontal="center" wrapText="1"/>
    </xf>
    <xf numFmtId="0" fontId="2" fillId="0" borderId="23" xfId="0" applyFont="1" applyFill="1" applyBorder="1" applyAlignment="1">
      <alignment horizontal="center" wrapText="1"/>
    </xf>
    <xf numFmtId="0" fontId="2" fillId="0" borderId="26" xfId="0" applyFont="1" applyFill="1" applyBorder="1" applyAlignment="1">
      <alignment horizontal="center" wrapText="1"/>
    </xf>
    <xf numFmtId="0" fontId="2" fillId="0" borderId="10" xfId="0" applyFont="1" applyFill="1" applyBorder="1" applyAlignment="1">
      <alignment horizontal="center" wrapText="1"/>
    </xf>
    <xf numFmtId="0" fontId="2" fillId="0" borderId="24" xfId="0" applyFont="1" applyFill="1" applyBorder="1" applyAlignment="1">
      <alignment horizontal="center" wrapText="1"/>
    </xf>
    <xf numFmtId="0" fontId="3" fillId="0" borderId="25" xfId="0" applyFont="1" applyFill="1" applyBorder="1" applyAlignment="1">
      <alignment horizontal="center" wrapText="1"/>
    </xf>
    <xf numFmtId="0" fontId="3" fillId="0" borderId="22" xfId="0" applyFont="1" applyFill="1" applyBorder="1" applyAlignment="1">
      <alignment horizontal="center" wrapText="1"/>
    </xf>
    <xf numFmtId="0" fontId="3" fillId="0" borderId="23" xfId="0" applyFont="1" applyFill="1" applyBorder="1" applyAlignment="1">
      <alignment horizontal="center" wrapText="1"/>
    </xf>
    <xf numFmtId="0" fontId="3" fillId="0" borderId="26" xfId="0" applyFont="1" applyFill="1" applyBorder="1" applyAlignment="1">
      <alignment horizontal="center" wrapText="1"/>
    </xf>
    <xf numFmtId="0" fontId="3" fillId="0" borderId="10" xfId="0" applyFont="1" applyFill="1" applyBorder="1" applyAlignment="1">
      <alignment horizontal="center" wrapText="1"/>
    </xf>
    <xf numFmtId="0" fontId="3" fillId="0" borderId="24" xfId="0" applyFont="1" applyFill="1" applyBorder="1" applyAlignment="1">
      <alignment horizontal="center" wrapText="1"/>
    </xf>
    <xf numFmtId="0" fontId="25" fillId="0" borderId="0" xfId="0" applyFont="1" applyFill="1" applyAlignment="1">
      <alignment horizontal="center"/>
    </xf>
    <xf numFmtId="0" fontId="2" fillId="0" borderId="42" xfId="0" applyFont="1" applyFill="1" applyBorder="1" applyAlignment="1">
      <alignment horizontal="left" wrapText="1"/>
    </xf>
    <xf numFmtId="0" fontId="2" fillId="0" borderId="0" xfId="0" applyFont="1" applyAlignment="1">
      <alignment horizontal="center"/>
    </xf>
    <xf numFmtId="0" fontId="3" fillId="0" borderId="25" xfId="0" applyFont="1" applyFill="1" applyBorder="1" applyAlignment="1">
      <alignment horizontal="justify" vertical="top" wrapText="1"/>
    </xf>
    <xf numFmtId="0" fontId="3" fillId="0" borderId="22" xfId="0" applyFont="1" applyFill="1" applyBorder="1" applyAlignment="1">
      <alignment horizontal="justify" vertical="top" wrapText="1"/>
    </xf>
    <xf numFmtId="0" fontId="0" fillId="0" borderId="23" xfId="0" applyFill="1" applyBorder="1" applyAlignment="1">
      <alignment horizontal="justify" vertical="top" wrapText="1"/>
    </xf>
    <xf numFmtId="0" fontId="0" fillId="0" borderId="20" xfId="0" applyFill="1" applyBorder="1" applyAlignment="1">
      <alignment horizontal="justify" vertical="top" wrapText="1"/>
    </xf>
    <xf numFmtId="0" fontId="0" fillId="0" borderId="0" xfId="0" applyFill="1" applyBorder="1" applyAlignment="1">
      <alignment horizontal="justify" vertical="top" wrapText="1"/>
    </xf>
    <xf numFmtId="0" fontId="0" fillId="0" borderId="21" xfId="0" applyFill="1" applyBorder="1" applyAlignment="1">
      <alignment horizontal="justify" vertical="top" wrapText="1"/>
    </xf>
    <xf numFmtId="0" fontId="0" fillId="0" borderId="26" xfId="0" applyFill="1" applyBorder="1" applyAlignment="1">
      <alignment horizontal="justify" vertical="top" wrapText="1"/>
    </xf>
    <xf numFmtId="0" fontId="0" fillId="0" borderId="10" xfId="0" applyFill="1" applyBorder="1" applyAlignment="1">
      <alignment horizontal="justify" vertical="top" wrapText="1"/>
    </xf>
    <xf numFmtId="0" fontId="0" fillId="0" borderId="24" xfId="0" applyFill="1" applyBorder="1" applyAlignment="1">
      <alignment horizontal="justify" vertical="top" wrapText="1"/>
    </xf>
    <xf numFmtId="0" fontId="44" fillId="0" borderId="0" xfId="0" applyFont="1" applyAlignment="1">
      <alignment wrapText="1"/>
    </xf>
    <xf numFmtId="0" fontId="0" fillId="0" borderId="0" xfId="0" applyAlignment="1">
      <alignment wrapText="1"/>
    </xf>
    <xf numFmtId="0" fontId="3" fillId="0" borderId="23" xfId="0" applyFont="1" applyFill="1" applyBorder="1" applyAlignment="1">
      <alignment horizontal="justify" vertical="top" wrapText="1"/>
    </xf>
    <xf numFmtId="0" fontId="3" fillId="0" borderId="26" xfId="0" applyFont="1" applyFill="1" applyBorder="1" applyAlignment="1">
      <alignment horizontal="justify" vertical="top" wrapText="1"/>
    </xf>
    <xf numFmtId="0" fontId="3" fillId="0" borderId="10" xfId="0" applyFont="1" applyFill="1" applyBorder="1" applyAlignment="1">
      <alignment horizontal="justify" vertical="top" wrapText="1"/>
    </xf>
    <xf numFmtId="0" fontId="3" fillId="0" borderId="24" xfId="0" applyFont="1" applyFill="1" applyBorder="1" applyAlignment="1">
      <alignment horizontal="justify" vertical="top" wrapText="1"/>
    </xf>
    <xf numFmtId="0" fontId="2" fillId="0" borderId="0" xfId="0" applyFont="1" applyFill="1" applyAlignment="1">
      <alignment horizontal="center" wrapText="1"/>
    </xf>
    <xf numFmtId="15" fontId="2" fillId="0" borderId="0" xfId="0" applyNumberFormat="1" applyFont="1" applyAlignment="1">
      <alignment horizontal="center"/>
    </xf>
    <xf numFmtId="0" fontId="3" fillId="0" borderId="0" xfId="0" applyFont="1" applyAlignment="1">
      <alignment horizontal="left" wrapText="1"/>
    </xf>
    <xf numFmtId="0" fontId="3" fillId="0" borderId="0" xfId="17" applyFont="1" applyFill="1" applyAlignment="1">
      <alignment horizontal="left" wrapText="1"/>
    </xf>
    <xf numFmtId="0" fontId="3" fillId="0" borderId="0" xfId="17" applyFont="1" applyFill="1" applyAlignment="1">
      <alignment horizontal="left"/>
    </xf>
    <xf numFmtId="0" fontId="41" fillId="0" borderId="25" xfId="0" applyFont="1" applyBorder="1" applyAlignment="1">
      <alignment horizontal="justify" vertical="center" wrapText="1"/>
    </xf>
    <xf numFmtId="0" fontId="2" fillId="0" borderId="0" xfId="12" applyFont="1" applyFill="1" applyAlignment="1">
      <alignment horizontal="center"/>
    </xf>
    <xf numFmtId="0" fontId="3" fillId="0" borderId="25" xfId="0" applyFont="1" applyBorder="1" applyAlignment="1">
      <alignment horizontal="justify"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0" xfId="0" applyFont="1" applyBorder="1" applyAlignment="1">
      <alignment horizontal="justify" wrapText="1"/>
    </xf>
    <xf numFmtId="0" fontId="3" fillId="0" borderId="0" xfId="0" applyFont="1" applyBorder="1" applyAlignment="1">
      <alignment horizontal="justify" wrapText="1"/>
    </xf>
    <xf numFmtId="0" fontId="3" fillId="0" borderId="21" xfId="0" applyFont="1" applyBorder="1" applyAlignment="1">
      <alignment horizontal="justify" wrapText="1"/>
    </xf>
    <xf numFmtId="0" fontId="3" fillId="0" borderId="26" xfId="0" applyFont="1" applyBorder="1" applyAlignment="1">
      <alignment horizontal="justify" wrapText="1"/>
    </xf>
    <xf numFmtId="0" fontId="3" fillId="0" borderId="10" xfId="0" applyFont="1" applyBorder="1" applyAlignment="1">
      <alignment horizontal="justify" wrapText="1"/>
    </xf>
    <xf numFmtId="0" fontId="3" fillId="0" borderId="24" xfId="0" applyFont="1" applyBorder="1" applyAlignment="1">
      <alignment horizontal="justify" wrapText="1"/>
    </xf>
    <xf numFmtId="0" fontId="41" fillId="0" borderId="25" xfId="0" applyFont="1" applyBorder="1" applyAlignment="1">
      <alignment horizontal="justify" wrapText="1"/>
    </xf>
    <xf numFmtId="166" fontId="8" fillId="0" borderId="0" xfId="4" applyNumberFormat="1" applyFont="1" applyFill="1" applyAlignment="1">
      <alignment horizontal="left" indent="1"/>
    </xf>
    <xf numFmtId="166" fontId="8" fillId="0" borderId="0" xfId="4" applyNumberFormat="1" applyFont="1" applyFill="1" applyAlignment="1">
      <alignment horizontal="left"/>
    </xf>
    <xf numFmtId="0" fontId="3" fillId="0" borderId="0" xfId="0" applyFont="1" applyBorder="1" applyAlignment="1" applyProtection="1">
      <alignment wrapText="1"/>
      <protection locked="0"/>
    </xf>
    <xf numFmtId="0" fontId="41" fillId="0" borderId="34" xfId="0" applyFont="1" applyFill="1" applyBorder="1" applyAlignment="1">
      <alignment horizontal="justify" vertical="top" wrapText="1"/>
    </xf>
    <xf numFmtId="0" fontId="41" fillId="0" borderId="18" xfId="0" applyFont="1" applyFill="1" applyBorder="1" applyAlignment="1">
      <alignment horizontal="justify" vertical="top" wrapText="1"/>
    </xf>
    <xf numFmtId="0" fontId="41" fillId="0" borderId="19" xfId="0" applyFont="1" applyFill="1" applyBorder="1" applyAlignment="1">
      <alignment horizontal="justify" vertical="top" wrapText="1"/>
    </xf>
    <xf numFmtId="169" fontId="11" fillId="0" borderId="34" xfId="0" applyNumberFormat="1" applyFont="1" applyBorder="1" applyAlignment="1">
      <alignment horizontal="justify" vertical="top" wrapText="1"/>
    </xf>
    <xf numFmtId="169" fontId="11" fillId="0" borderId="18" xfId="0" applyNumberFormat="1" applyFont="1" applyBorder="1" applyAlignment="1">
      <alignment horizontal="justify" vertical="top" wrapText="1"/>
    </xf>
    <xf numFmtId="169" fontId="11" fillId="0" borderId="19" xfId="0" applyNumberFormat="1" applyFont="1" applyBorder="1" applyAlignment="1">
      <alignment horizontal="justify" vertical="top" wrapText="1"/>
    </xf>
    <xf numFmtId="0" fontId="41" fillId="0" borderId="25" xfId="0" applyFont="1" applyFill="1" applyBorder="1" applyAlignment="1">
      <alignment horizontal="justify" vertical="top" wrapText="1"/>
    </xf>
    <xf numFmtId="0" fontId="41" fillId="0" borderId="22" xfId="0" applyFont="1" applyFill="1" applyBorder="1" applyAlignment="1">
      <alignment horizontal="justify" vertical="top" wrapText="1"/>
    </xf>
    <xf numFmtId="0" fontId="41" fillId="0" borderId="23" xfId="0" applyFont="1" applyFill="1" applyBorder="1" applyAlignment="1">
      <alignment horizontal="justify" vertical="top" wrapText="1"/>
    </xf>
    <xf numFmtId="0" fontId="41" fillId="0" borderId="26" xfId="0" applyFont="1" applyFill="1" applyBorder="1" applyAlignment="1">
      <alignment horizontal="justify" vertical="top" wrapText="1"/>
    </xf>
    <xf numFmtId="0" fontId="41" fillId="0" borderId="10" xfId="0" applyFont="1" applyFill="1" applyBorder="1" applyAlignment="1">
      <alignment horizontal="justify" vertical="top" wrapText="1"/>
    </xf>
    <xf numFmtId="0" fontId="41" fillId="0" borderId="24" xfId="0" applyFont="1" applyFill="1" applyBorder="1" applyAlignment="1">
      <alignment horizontal="justify" vertical="top" wrapText="1"/>
    </xf>
    <xf numFmtId="0" fontId="41" fillId="0" borderId="34" xfId="0" applyFont="1" applyBorder="1" applyAlignment="1">
      <alignment horizontal="justify" vertical="center" wrapText="1"/>
    </xf>
    <xf numFmtId="0" fontId="41" fillId="0" borderId="18" xfId="0" applyFont="1" applyBorder="1" applyAlignment="1">
      <alignment horizontal="justify" vertical="center" wrapText="1"/>
    </xf>
    <xf numFmtId="0" fontId="41" fillId="0" borderId="19" xfId="0" applyFont="1" applyBorder="1" applyAlignment="1">
      <alignment horizontal="justify" vertical="center" wrapText="1"/>
    </xf>
    <xf numFmtId="166" fontId="11" fillId="0" borderId="0" xfId="4" applyNumberFormat="1" applyFont="1" applyFill="1" applyAlignment="1">
      <alignment horizontal="center"/>
    </xf>
    <xf numFmtId="0" fontId="41" fillId="0" borderId="25" xfId="0" applyFont="1" applyFill="1" applyBorder="1" applyAlignment="1">
      <alignment horizontal="justify" wrapText="1"/>
    </xf>
    <xf numFmtId="0" fontId="0" fillId="0" borderId="22" xfId="0" applyFill="1" applyBorder="1" applyAlignment="1">
      <alignment vertical="top" wrapText="1"/>
    </xf>
    <xf numFmtId="0" fontId="0" fillId="0" borderId="23" xfId="0" applyFill="1" applyBorder="1" applyAlignment="1">
      <alignment vertical="top" wrapText="1"/>
    </xf>
    <xf numFmtId="0" fontId="0" fillId="0" borderId="20" xfId="0" applyFill="1" applyBorder="1" applyAlignment="1">
      <alignment vertical="top" wrapText="1"/>
    </xf>
    <xf numFmtId="0" fontId="0" fillId="0" borderId="0" xfId="0" applyFill="1" applyBorder="1" applyAlignment="1">
      <alignment vertical="top" wrapText="1"/>
    </xf>
    <xf numFmtId="0" fontId="0" fillId="0" borderId="21" xfId="0" applyFill="1" applyBorder="1" applyAlignment="1">
      <alignment vertical="top" wrapText="1"/>
    </xf>
    <xf numFmtId="0" fontId="0" fillId="0" borderId="26" xfId="0" applyFill="1" applyBorder="1" applyAlignment="1">
      <alignment vertical="top" wrapText="1"/>
    </xf>
    <xf numFmtId="0" fontId="0" fillId="0" borderId="10" xfId="0" applyFill="1" applyBorder="1" applyAlignment="1">
      <alignment vertical="top" wrapText="1"/>
    </xf>
    <xf numFmtId="0" fontId="0" fillId="0" borderId="24" xfId="0" applyFill="1" applyBorder="1" applyAlignment="1">
      <alignment vertical="top" wrapText="1"/>
    </xf>
    <xf numFmtId="0" fontId="3" fillId="0" borderId="25" xfId="15" applyFont="1" applyFill="1" applyBorder="1" applyAlignment="1">
      <alignment horizontal="justify" vertical="top" wrapText="1"/>
    </xf>
    <xf numFmtId="0" fontId="3" fillId="0" borderId="22" xfId="15" applyFont="1" applyFill="1" applyBorder="1" applyAlignment="1">
      <alignment horizontal="justify" vertical="top" wrapText="1"/>
    </xf>
    <xf numFmtId="0" fontId="3" fillId="0" borderId="23" xfId="15" applyFont="1" applyFill="1" applyBorder="1" applyAlignment="1">
      <alignment horizontal="justify" vertical="top" wrapText="1"/>
    </xf>
    <xf numFmtId="0" fontId="3" fillId="0" borderId="20" xfId="15" applyFont="1" applyFill="1" applyBorder="1" applyAlignment="1">
      <alignment horizontal="justify" vertical="top" wrapText="1"/>
    </xf>
    <xf numFmtId="0" fontId="3" fillId="0" borderId="0" xfId="15" applyFont="1" applyFill="1" applyBorder="1" applyAlignment="1">
      <alignment horizontal="justify" vertical="top" wrapText="1"/>
    </xf>
    <xf numFmtId="0" fontId="3" fillId="0" borderId="21" xfId="15" applyFont="1" applyFill="1" applyBorder="1" applyAlignment="1">
      <alignment horizontal="justify" vertical="top" wrapText="1"/>
    </xf>
    <xf numFmtId="0" fontId="3" fillId="0" borderId="26" xfId="15" applyFont="1" applyFill="1" applyBorder="1" applyAlignment="1">
      <alignment horizontal="justify" vertical="top" wrapText="1"/>
    </xf>
    <xf numFmtId="0" fontId="3" fillId="0" borderId="10" xfId="15" applyFont="1" applyFill="1" applyBorder="1" applyAlignment="1">
      <alignment horizontal="justify" vertical="top" wrapText="1"/>
    </xf>
    <xf numFmtId="0" fontId="3" fillId="0" borderId="24" xfId="15" applyFont="1" applyFill="1" applyBorder="1" applyAlignment="1">
      <alignment horizontal="justify" vertical="top" wrapText="1"/>
    </xf>
    <xf numFmtId="41" fontId="3" fillId="0" borderId="0" xfId="20" applyNumberFormat="1" applyFont="1" applyFill="1" applyBorder="1" applyAlignment="1">
      <alignment horizontal="left"/>
    </xf>
    <xf numFmtId="41" fontId="2" fillId="0" borderId="0" xfId="20" applyNumberFormat="1" applyFont="1" applyFill="1" applyAlignment="1">
      <alignment horizontal="center"/>
    </xf>
    <xf numFmtId="169" fontId="2" fillId="0" borderId="0" xfId="16" applyFont="1" applyFill="1" applyAlignment="1">
      <alignment horizontal="center"/>
    </xf>
    <xf numFmtId="0" fontId="45" fillId="0" borderId="25" xfId="0" applyFont="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xf numFmtId="0" fontId="0" fillId="0" borderId="20" xfId="0" applyBorder="1" applyAlignment="1">
      <alignment horizontal="justify" vertical="center" wrapText="1"/>
    </xf>
    <xf numFmtId="0" fontId="0" fillId="0" borderId="0" xfId="0" applyBorder="1" applyAlignment="1">
      <alignment horizontal="justify" vertical="center" wrapText="1"/>
    </xf>
    <xf numFmtId="0" fontId="0" fillId="0" borderId="21" xfId="0" applyBorder="1" applyAlignment="1">
      <alignment horizontal="justify" vertical="center" wrapText="1"/>
    </xf>
    <xf numFmtId="0" fontId="0" fillId="0" borderId="26" xfId="0" applyBorder="1" applyAlignment="1">
      <alignment horizontal="justify" vertical="center" wrapText="1"/>
    </xf>
    <xf numFmtId="0" fontId="0" fillId="0" borderId="10" xfId="0" applyBorder="1" applyAlignment="1">
      <alignment horizontal="justify" vertical="center" wrapText="1"/>
    </xf>
    <xf numFmtId="0" fontId="0" fillId="0" borderId="24" xfId="0" applyBorder="1" applyAlignment="1">
      <alignment horizontal="justify" vertical="center" wrapText="1"/>
    </xf>
    <xf numFmtId="0" fontId="41" fillId="0" borderId="25" xfId="12" applyFont="1" applyFill="1" applyBorder="1" applyAlignment="1">
      <alignment horizontal="justify" wrapText="1"/>
    </xf>
    <xf numFmtId="0" fontId="3" fillId="0" borderId="22" xfId="12" applyFont="1" applyFill="1" applyBorder="1" applyAlignment="1">
      <alignment horizontal="justify" wrapText="1"/>
    </xf>
    <xf numFmtId="0" fontId="3" fillId="0" borderId="23" xfId="12" applyFont="1" applyFill="1" applyBorder="1" applyAlignment="1">
      <alignment horizontal="justify" wrapText="1"/>
    </xf>
    <xf numFmtId="0" fontId="3" fillId="0" borderId="20" xfId="12" applyFont="1" applyFill="1" applyBorder="1" applyAlignment="1">
      <alignment horizontal="justify" wrapText="1"/>
    </xf>
    <xf numFmtId="0" fontId="3" fillId="0" borderId="0" xfId="12" applyFont="1" applyFill="1" applyBorder="1" applyAlignment="1">
      <alignment horizontal="justify" wrapText="1"/>
    </xf>
    <xf numFmtId="0" fontId="3" fillId="0" borderId="21" xfId="12" applyFont="1" applyFill="1" applyBorder="1" applyAlignment="1">
      <alignment horizontal="justify" wrapText="1"/>
    </xf>
    <xf numFmtId="0" fontId="43" fillId="0" borderId="20" xfId="12" applyFont="1" applyFill="1" applyBorder="1" applyAlignment="1">
      <alignment horizontal="justify" vertical="top" wrapText="1"/>
    </xf>
    <xf numFmtId="0" fontId="3" fillId="0" borderId="0" xfId="12" applyFill="1" applyBorder="1" applyAlignment="1">
      <alignment horizontal="justify" vertical="top" wrapText="1"/>
    </xf>
    <xf numFmtId="0" fontId="3" fillId="0" borderId="21" xfId="12" applyFill="1" applyBorder="1" applyAlignment="1">
      <alignment horizontal="justify" vertical="top" wrapText="1"/>
    </xf>
    <xf numFmtId="0" fontId="3" fillId="0" borderId="20" xfId="12" applyFill="1" applyBorder="1" applyAlignment="1">
      <alignment horizontal="justify" vertical="top" wrapText="1"/>
    </xf>
    <xf numFmtId="169" fontId="8" fillId="0" borderId="0" xfId="24" applyFont="1" applyFill="1" applyAlignment="1">
      <alignment horizontal="left" wrapText="1"/>
    </xf>
    <xf numFmtId="0" fontId="43" fillId="0" borderId="20" xfId="12" applyFont="1" applyBorder="1" applyAlignment="1">
      <alignment horizontal="justify" vertical="center" wrapText="1"/>
    </xf>
    <xf numFmtId="0" fontId="3" fillId="0" borderId="0" xfId="12" applyFont="1" applyBorder="1" applyAlignment="1">
      <alignment horizontal="justify" vertical="center" wrapText="1"/>
    </xf>
    <xf numFmtId="0" fontId="3" fillId="0" borderId="21" xfId="12" applyFont="1" applyBorder="1" applyAlignment="1">
      <alignment horizontal="justify" vertical="center" wrapText="1"/>
    </xf>
    <xf numFmtId="0" fontId="3" fillId="0" borderId="20" xfId="12" applyFont="1" applyBorder="1" applyAlignment="1">
      <alignment horizontal="justify" vertical="center" wrapText="1"/>
    </xf>
    <xf numFmtId="0" fontId="3" fillId="0" borderId="26" xfId="12" applyFont="1" applyBorder="1" applyAlignment="1">
      <alignment horizontal="justify" vertical="center" wrapText="1"/>
    </xf>
    <xf numFmtId="0" fontId="3" fillId="0" borderId="10" xfId="12" applyFont="1" applyBorder="1" applyAlignment="1">
      <alignment horizontal="justify" vertical="center" wrapText="1"/>
    </xf>
    <xf numFmtId="0" fontId="3" fillId="0" borderId="24" xfId="12" applyFont="1" applyBorder="1" applyAlignment="1">
      <alignment horizontal="justify" vertical="center" wrapText="1"/>
    </xf>
    <xf numFmtId="169" fontId="2" fillId="0" borderId="25" xfId="24" applyFont="1" applyFill="1" applyBorder="1" applyAlignment="1">
      <alignment horizontal="justify" vertical="top" wrapText="1"/>
    </xf>
    <xf numFmtId="0" fontId="0" fillId="0" borderId="22" xfId="0" applyBorder="1" applyAlignment="1">
      <alignment horizontal="justify" vertical="top" wrapText="1"/>
    </xf>
    <xf numFmtId="0" fontId="0" fillId="0" borderId="23" xfId="0" applyBorder="1" applyAlignment="1">
      <alignment horizontal="justify" vertical="top" wrapText="1"/>
    </xf>
    <xf numFmtId="0" fontId="0" fillId="0" borderId="20" xfId="0" applyBorder="1" applyAlignment="1">
      <alignment horizontal="justify" vertical="top" wrapText="1"/>
    </xf>
    <xf numFmtId="0" fontId="0" fillId="0" borderId="0" xfId="0" applyBorder="1" applyAlignment="1">
      <alignment horizontal="justify" vertical="top" wrapText="1"/>
    </xf>
    <xf numFmtId="0" fontId="0" fillId="0" borderId="21" xfId="0" applyBorder="1" applyAlignment="1">
      <alignment horizontal="justify" vertical="top" wrapText="1"/>
    </xf>
    <xf numFmtId="0" fontId="0" fillId="0" borderId="26" xfId="0" applyBorder="1" applyAlignment="1">
      <alignment horizontal="justify" vertical="top" wrapText="1"/>
    </xf>
    <xf numFmtId="0" fontId="0" fillId="0" borderId="10" xfId="0" applyBorder="1" applyAlignment="1">
      <alignment horizontal="justify" vertical="top" wrapText="1"/>
    </xf>
    <xf numFmtId="0" fontId="0" fillId="0" borderId="24" xfId="0" applyBorder="1" applyAlignment="1">
      <alignment horizontal="justify" vertical="top" wrapText="1"/>
    </xf>
    <xf numFmtId="169" fontId="11" fillId="0" borderId="0" xfId="16" applyFont="1" applyFill="1" applyAlignment="1">
      <alignment horizontal="center"/>
    </xf>
    <xf numFmtId="173" fontId="11" fillId="0" borderId="0" xfId="16" applyNumberFormat="1" applyFont="1" applyFill="1" applyAlignment="1">
      <alignment horizontal="center"/>
    </xf>
    <xf numFmtId="169" fontId="8" fillId="0" borderId="35" xfId="16" applyFont="1" applyFill="1" applyBorder="1" applyAlignment="1">
      <alignment horizontal="center"/>
    </xf>
    <xf numFmtId="169" fontId="3" fillId="0" borderId="25" xfId="16" applyFont="1" applyFill="1" applyBorder="1" applyAlignment="1">
      <alignment horizontal="justify" vertical="top" wrapText="1"/>
    </xf>
    <xf numFmtId="169" fontId="8" fillId="0" borderId="0" xfId="16" applyFont="1" applyFill="1" applyAlignment="1">
      <alignment horizontal="left" vertical="top" wrapText="1"/>
    </xf>
    <xf numFmtId="0" fontId="0" fillId="0" borderId="0" xfId="0" applyAlignment="1">
      <alignment vertical="top" wrapText="1"/>
    </xf>
    <xf numFmtId="169" fontId="8" fillId="0" borderId="1" xfId="16" applyFont="1" applyFill="1" applyBorder="1" applyAlignment="1">
      <alignment horizontal="center"/>
    </xf>
    <xf numFmtId="0" fontId="26" fillId="0" borderId="25" xfId="12" applyFont="1" applyFill="1" applyBorder="1" applyAlignment="1">
      <alignment horizontal="justify" vertical="center" wrapText="1"/>
    </xf>
    <xf numFmtId="0" fontId="3" fillId="0" borderId="22" xfId="12" applyFont="1" applyFill="1" applyBorder="1" applyAlignment="1">
      <alignment horizontal="justify" vertical="center" wrapText="1"/>
    </xf>
    <xf numFmtId="0" fontId="3" fillId="0" borderId="23" xfId="12" applyFont="1" applyFill="1" applyBorder="1" applyAlignment="1">
      <alignment horizontal="justify" vertical="center" wrapText="1"/>
    </xf>
    <xf numFmtId="0" fontId="3" fillId="0" borderId="20" xfId="12" applyFont="1" applyFill="1" applyBorder="1" applyAlignment="1">
      <alignment horizontal="justify" vertical="center" wrapText="1"/>
    </xf>
    <xf numFmtId="0" fontId="3" fillId="0" borderId="0" xfId="12" applyFont="1" applyFill="1" applyBorder="1" applyAlignment="1">
      <alignment horizontal="justify" vertical="center" wrapText="1"/>
    </xf>
    <xf numFmtId="0" fontId="3" fillId="0" borderId="21" xfId="12" applyFont="1" applyFill="1" applyBorder="1" applyAlignment="1">
      <alignment horizontal="justify" vertical="center" wrapText="1"/>
    </xf>
    <xf numFmtId="0" fontId="3" fillId="0" borderId="26" xfId="12" applyFont="1" applyFill="1" applyBorder="1" applyAlignment="1">
      <alignment horizontal="justify" vertical="center" wrapText="1"/>
    </xf>
    <xf numFmtId="0" fontId="3" fillId="0" borderId="10" xfId="12" applyFont="1" applyFill="1" applyBorder="1" applyAlignment="1">
      <alignment horizontal="justify" vertical="center" wrapText="1"/>
    </xf>
    <xf numFmtId="0" fontId="3" fillId="0" borderId="24" xfId="12" applyFont="1" applyFill="1" applyBorder="1" applyAlignment="1">
      <alignment horizontal="justify" vertical="center" wrapText="1"/>
    </xf>
    <xf numFmtId="0" fontId="41" fillId="0" borderId="25" xfId="12" applyFont="1" applyBorder="1" applyAlignment="1">
      <alignment horizontal="justify" vertical="center" wrapText="1"/>
    </xf>
    <xf numFmtId="0" fontId="3" fillId="0" borderId="22" xfId="12" applyFont="1" applyBorder="1" applyAlignment="1">
      <alignment horizontal="justify" vertical="center" wrapText="1"/>
    </xf>
    <xf numFmtId="0" fontId="3" fillId="0" borderId="23" xfId="12" applyFont="1" applyBorder="1" applyAlignment="1">
      <alignment horizontal="justify" vertical="center" wrapText="1"/>
    </xf>
    <xf numFmtId="0" fontId="41" fillId="0" borderId="25" xfId="0" applyFont="1" applyFill="1" applyBorder="1" applyAlignment="1">
      <alignment horizontal="justify" vertical="top" wrapText="1" readingOrder="1"/>
    </xf>
    <xf numFmtId="0" fontId="3" fillId="0" borderId="22" xfId="0" applyFont="1" applyFill="1" applyBorder="1" applyAlignment="1">
      <alignment horizontal="justify" vertical="top" wrapText="1" readingOrder="1"/>
    </xf>
    <xf numFmtId="0" fontId="3" fillId="0" borderId="23" xfId="0" applyFont="1" applyFill="1" applyBorder="1" applyAlignment="1">
      <alignment horizontal="justify" vertical="top" wrapText="1" readingOrder="1"/>
    </xf>
    <xf numFmtId="0" fontId="3" fillId="0" borderId="20" xfId="0" applyFont="1" applyFill="1" applyBorder="1" applyAlignment="1">
      <alignment horizontal="justify" vertical="top" wrapText="1" readingOrder="1"/>
    </xf>
    <xf numFmtId="0" fontId="3" fillId="0" borderId="0" xfId="0" applyFont="1" applyFill="1" applyBorder="1" applyAlignment="1">
      <alignment horizontal="justify" vertical="top" wrapText="1" readingOrder="1"/>
    </xf>
    <xf numFmtId="0" fontId="3" fillId="0" borderId="21" xfId="0" applyFont="1" applyFill="1" applyBorder="1" applyAlignment="1">
      <alignment horizontal="justify" vertical="top" wrapText="1" readingOrder="1"/>
    </xf>
    <xf numFmtId="0" fontId="3" fillId="0" borderId="26" xfId="0" applyFont="1" applyFill="1" applyBorder="1" applyAlignment="1">
      <alignment horizontal="justify" vertical="top" wrapText="1" readingOrder="1"/>
    </xf>
    <xf numFmtId="0" fontId="3" fillId="0" borderId="10" xfId="0" applyFont="1" applyFill="1" applyBorder="1" applyAlignment="1">
      <alignment horizontal="justify" vertical="top" wrapText="1" readingOrder="1"/>
    </xf>
    <xf numFmtId="0" fontId="3" fillId="0" borderId="24" xfId="0" applyFont="1" applyFill="1" applyBorder="1" applyAlignment="1">
      <alignment horizontal="justify" vertical="top" wrapText="1" readingOrder="1"/>
    </xf>
    <xf numFmtId="0" fontId="41" fillId="0" borderId="25" xfId="0" applyFont="1" applyBorder="1" applyAlignment="1">
      <alignment horizontal="justify" vertical="center" wrapText="1" readingOrder="1"/>
    </xf>
    <xf numFmtId="0" fontId="41" fillId="0" borderId="22" xfId="0" applyFont="1" applyBorder="1" applyAlignment="1">
      <alignment horizontal="justify" vertical="center" wrapText="1" readingOrder="1"/>
    </xf>
    <xf numFmtId="0" fontId="41" fillId="0" borderId="37" xfId="0" applyFont="1" applyBorder="1" applyAlignment="1">
      <alignment horizontal="justify" vertical="center" wrapText="1" readingOrder="1"/>
    </xf>
    <xf numFmtId="0" fontId="41" fillId="0" borderId="20" xfId="0" applyFont="1" applyBorder="1" applyAlignment="1">
      <alignment horizontal="justify" vertical="center" wrapText="1" readingOrder="1"/>
    </xf>
    <xf numFmtId="0" fontId="41" fillId="0" borderId="0" xfId="0" applyFont="1" applyBorder="1" applyAlignment="1">
      <alignment horizontal="justify" vertical="center" wrapText="1" readingOrder="1"/>
    </xf>
    <xf numFmtId="0" fontId="41" fillId="0" borderId="38" xfId="0" applyFont="1" applyBorder="1" applyAlignment="1">
      <alignment horizontal="justify" vertical="center" wrapText="1" readingOrder="1"/>
    </xf>
    <xf numFmtId="0" fontId="41" fillId="0" borderId="39" xfId="0" applyFont="1" applyBorder="1" applyAlignment="1">
      <alignment horizontal="justify" vertical="center" wrapText="1" readingOrder="1"/>
    </xf>
    <xf numFmtId="0" fontId="41" fillId="0" borderId="40" xfId="0" applyFont="1" applyBorder="1" applyAlignment="1">
      <alignment horizontal="justify" vertical="center" wrapText="1" readingOrder="1"/>
    </xf>
    <xf numFmtId="0" fontId="41" fillId="0" borderId="41" xfId="0" applyFont="1" applyBorder="1" applyAlignment="1">
      <alignment horizontal="justify" vertical="center" wrapText="1" readingOrder="1"/>
    </xf>
    <xf numFmtId="0" fontId="0" fillId="0" borderId="22" xfId="0" applyBorder="1" applyAlignment="1">
      <alignment horizontal="justify" wrapText="1"/>
    </xf>
    <xf numFmtId="0" fontId="0" fillId="0" borderId="23" xfId="0" applyBorder="1" applyAlignment="1">
      <alignment horizontal="justify" wrapText="1"/>
    </xf>
    <xf numFmtId="0" fontId="0" fillId="0" borderId="20" xfId="0" applyBorder="1" applyAlignment="1">
      <alignment horizontal="justify" wrapText="1"/>
    </xf>
    <xf numFmtId="0" fontId="0" fillId="0" borderId="21" xfId="0" applyBorder="1" applyAlignment="1">
      <alignment horizontal="justify" wrapText="1"/>
    </xf>
    <xf numFmtId="0" fontId="0" fillId="0" borderId="26" xfId="0" applyBorder="1" applyAlignment="1">
      <alignment horizontal="justify" wrapText="1"/>
    </xf>
    <xf numFmtId="0" fontId="0" fillId="0" borderId="10" xfId="0" applyBorder="1" applyAlignment="1">
      <alignment horizontal="justify" wrapText="1"/>
    </xf>
    <xf numFmtId="0" fontId="0" fillId="0" borderId="24" xfId="0" applyBorder="1" applyAlignment="1">
      <alignment horizontal="justify" wrapText="1"/>
    </xf>
    <xf numFmtId="37" fontId="4" fillId="0" borderId="1" xfId="0" quotePrefix="1" applyNumberFormat="1" applyFont="1" applyBorder="1" applyAlignment="1">
      <alignment horizontal="center"/>
    </xf>
    <xf numFmtId="37" fontId="4" fillId="0" borderId="1" xfId="0" applyNumberFormat="1" applyFont="1" applyBorder="1" applyAlignment="1">
      <alignment horizontal="center"/>
    </xf>
  </cellXfs>
  <cellStyles count="28">
    <cellStyle name="Comma" xfId="1" builtinId="3"/>
    <cellStyle name="Comma [0]" xfId="2" builtinId="6"/>
    <cellStyle name="Comma [0] 2" xfId="3" xr:uid="{00000000-0005-0000-0000-000002000000}"/>
    <cellStyle name="Comma 3" xfId="4" xr:uid="{00000000-0005-0000-0000-000003000000}"/>
    <cellStyle name="Currency" xfId="5" builtinId="4"/>
    <cellStyle name="Currency [0]" xfId="6" builtinId="7"/>
    <cellStyle name="Currency [0] 2" xfId="7" xr:uid="{00000000-0005-0000-0000-000006000000}"/>
    <cellStyle name="Currency 2" xfId="8" xr:uid="{00000000-0005-0000-0000-000007000000}"/>
    <cellStyle name="Currency 3" xfId="9" xr:uid="{00000000-0005-0000-0000-000008000000}"/>
    <cellStyle name="Currency 4" xfId="10" xr:uid="{00000000-0005-0000-0000-000009000000}"/>
    <cellStyle name="Currency 5" xfId="11" xr:uid="{00000000-0005-0000-0000-00000A000000}"/>
    <cellStyle name="Normal" xfId="0" builtinId="0"/>
    <cellStyle name="Normal 2" xfId="12" xr:uid="{00000000-0005-0000-0000-00000C000000}"/>
    <cellStyle name="Normal 3" xfId="13" xr:uid="{00000000-0005-0000-0000-00000D000000}"/>
    <cellStyle name="Normal_35-B-68" xfId="14" xr:uid="{00000000-0005-0000-0000-00000E000000}"/>
    <cellStyle name="Normal_35C75" xfId="15" xr:uid="{00000000-0005-0000-0000-00000F000000}"/>
    <cellStyle name="Normal_A" xfId="16" xr:uid="{00000000-0005-0000-0000-000010000000}"/>
    <cellStyle name="Normal_Budget to Actual IS's" xfId="17" xr:uid="{00000000-0005-0000-0000-000011000000}"/>
    <cellStyle name="Normal_Budget to Actual IS's 2" xfId="18" xr:uid="{00000000-0005-0000-0000-000012000000}"/>
    <cellStyle name="Normal_CPBUDGET" xfId="19" xr:uid="{00000000-0005-0000-0000-000013000000}"/>
    <cellStyle name="Normal_EFCP" xfId="20" xr:uid="{00000000-0005-0000-0000-000014000000}"/>
    <cellStyle name="Normal_EFWSIS" xfId="21" xr:uid="{00000000-0005-0000-0000-000015000000}"/>
    <cellStyle name="Normal_Sheet2" xfId="22" xr:uid="{00000000-0005-0000-0000-000016000000}"/>
    <cellStyle name="Normal_Sheet3" xfId="23" xr:uid="{00000000-0005-0000-0000-000017000000}"/>
    <cellStyle name="Normal_TAXREC" xfId="24" xr:uid="{00000000-0005-0000-0000-000018000000}"/>
    <cellStyle name="Percent" xfId="25" builtinId="5"/>
    <cellStyle name="Percent 2" xfId="26" xr:uid="{00000000-0005-0000-0000-00001A000000}"/>
    <cellStyle name="Percent 3" xfId="27" xr:uid="{00000000-0005-0000-0000-00001B00000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sharedStrings" Target="sharedStrings.xml"/><Relationship Id="rId45"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keLorentz\Desktop\Dogwood\2%20Dogwood%20WIP\2023%20Marked%20Up%20Files\FY23%20City%20of%20Dogwood%20Governmental%20Activities%20Conversion%20Worksheet%20with%20JWL%20chang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nctreasurer.com/Nayak%20Preeta/Illustratives%202017/2017%20Test%20LGERS%20JEs/Joe%202017%20LGERS%20JE%20Template%20Dogwood%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Conversion Worksheet"/>
      <sheetName val="A. Revenue by function"/>
      <sheetName val="B.  Property Taxes"/>
      <sheetName val="C. Other Revenues"/>
      <sheetName val="D. Depreciation"/>
      <sheetName val="E. Capital Outlay"/>
      <sheetName val="F.  Other Cap Asset Entries"/>
      <sheetName val="G. Debt Service"/>
      <sheetName val="H. Debt Issues"/>
      <sheetName val="I.  Other Asset Entries"/>
      <sheetName val="J. Other Liability &amp; Expenses"/>
      <sheetName val="K.1  Int. Service Fd Allocation"/>
      <sheetName val="K.2  Int. Service Fd Alloca"/>
      <sheetName val="K.3 Int. Service Fd Alloca"/>
      <sheetName val="L. Eliminations-Consolidations"/>
      <sheetName val="M. Net Position Calculation"/>
      <sheetName val="N.1a LGERS Data CY"/>
      <sheetName val="N.1b LGERS Data PY"/>
      <sheetName val="N.1a 2019 summary"/>
      <sheetName val="N.1a 2018 summary"/>
      <sheetName val="N.1 GASB 68 LGERS"/>
      <sheetName val="N.1b 2017 summary"/>
      <sheetName val="N.1c LGERS Contributions FY2018"/>
      <sheetName val="N.1c LGERS Contributions FY2017"/>
      <sheetName val="N.2 GASB 68 FRSWPF"/>
      <sheetName val="O. GASB 73 LEO Entries"/>
      <sheetName val="P. GASB 75 OPEB 1 Entries"/>
      <sheetName val="P. GASB 75 OPEB 2 Entries "/>
      <sheetName val="P. GASB 75 3 OPEB Entries "/>
      <sheetName val="Q. GASB 87 Lease Entries"/>
      <sheetName val="R. GASB 96 Subscription Entries"/>
    </sheetNames>
    <sheetDataSet>
      <sheetData sheetId="0"/>
      <sheetData sheetId="1">
        <row r="8">
          <cell r="AZ8">
            <v>631843</v>
          </cell>
        </row>
        <row r="9">
          <cell r="AZ9">
            <v>57996</v>
          </cell>
        </row>
        <row r="11">
          <cell r="AZ11">
            <v>63235</v>
          </cell>
        </row>
        <row r="13">
          <cell r="AZ13">
            <v>12949</v>
          </cell>
        </row>
        <row r="17">
          <cell r="AZ17">
            <v>9959</v>
          </cell>
        </row>
        <row r="20">
          <cell r="AZ20">
            <v>127</v>
          </cell>
        </row>
        <row r="22">
          <cell r="AZ22">
            <v>3000</v>
          </cell>
        </row>
        <row r="26">
          <cell r="AZ26">
            <v>97300</v>
          </cell>
        </row>
        <row r="27">
          <cell r="AZ27">
            <v>3700</v>
          </cell>
        </row>
        <row r="28">
          <cell r="AZ28">
            <v>100</v>
          </cell>
        </row>
        <row r="30">
          <cell r="AZ30">
            <v>3945</v>
          </cell>
        </row>
        <row r="33">
          <cell r="AZ33">
            <v>27000</v>
          </cell>
        </row>
        <row r="37">
          <cell r="AZ37">
            <v>95797</v>
          </cell>
        </row>
        <row r="38">
          <cell r="BA38">
            <v>37089</v>
          </cell>
        </row>
        <row r="39">
          <cell r="AZ39">
            <v>72338</v>
          </cell>
        </row>
        <row r="40">
          <cell r="BA40">
            <v>21535</v>
          </cell>
        </row>
        <row r="41">
          <cell r="AZ41">
            <v>176770</v>
          </cell>
        </row>
        <row r="45">
          <cell r="AZ45">
            <v>693000</v>
          </cell>
        </row>
        <row r="47">
          <cell r="AZ47">
            <v>2598581</v>
          </cell>
          <cell r="BA47" t="str">
            <v xml:space="preserve"> </v>
          </cell>
        </row>
        <row r="50">
          <cell r="AZ50" t="str">
            <v xml:space="preserve"> </v>
          </cell>
          <cell r="BA50">
            <v>1104497</v>
          </cell>
        </row>
        <row r="51">
          <cell r="AZ51">
            <v>599494</v>
          </cell>
          <cell r="BA51" t="str">
            <v xml:space="preserve"> </v>
          </cell>
        </row>
        <row r="54">
          <cell r="AZ54" t="str">
            <v xml:space="preserve"> </v>
          </cell>
          <cell r="BA54">
            <v>436461</v>
          </cell>
        </row>
        <row r="55">
          <cell r="AZ55">
            <v>823666</v>
          </cell>
          <cell r="BA55" t="str">
            <v xml:space="preserve"> </v>
          </cell>
        </row>
        <row r="58">
          <cell r="AZ58" t="str">
            <v xml:space="preserve"> </v>
          </cell>
          <cell r="BA58">
            <v>539137</v>
          </cell>
        </row>
        <row r="59">
          <cell r="AZ59">
            <v>432551</v>
          </cell>
          <cell r="BA59" t="str">
            <v xml:space="preserve"> </v>
          </cell>
        </row>
        <row r="62">
          <cell r="AZ62" t="str">
            <v xml:space="preserve"> </v>
          </cell>
          <cell r="BA62">
            <v>300370</v>
          </cell>
        </row>
        <row r="63">
          <cell r="AZ63">
            <v>2457863</v>
          </cell>
          <cell r="BA63" t="str">
            <v xml:space="preserve"> </v>
          </cell>
        </row>
        <row r="66">
          <cell r="AZ66" t="str">
            <v xml:space="preserve"> </v>
          </cell>
          <cell r="BA66">
            <v>1055904</v>
          </cell>
        </row>
        <row r="67">
          <cell r="AZ67">
            <v>5000</v>
          </cell>
          <cell r="BA67" t="str">
            <v xml:space="preserve"> </v>
          </cell>
        </row>
        <row r="70">
          <cell r="AZ70" t="str">
            <v xml:space="preserve"> </v>
          </cell>
          <cell r="BA70">
            <v>245</v>
          </cell>
        </row>
        <row r="71">
          <cell r="AZ71">
            <v>30969</v>
          </cell>
          <cell r="BA71" t="str">
            <v xml:space="preserve"> </v>
          </cell>
        </row>
        <row r="72">
          <cell r="BA72">
            <v>27200</v>
          </cell>
        </row>
        <row r="73">
          <cell r="AZ73" t="str">
            <v xml:space="preserve"> </v>
          </cell>
          <cell r="BA73">
            <v>0</v>
          </cell>
        </row>
        <row r="97">
          <cell r="BA97">
            <v>128910</v>
          </cell>
        </row>
        <row r="103">
          <cell r="BA103">
            <v>6625</v>
          </cell>
        </row>
        <row r="115">
          <cell r="BA115">
            <v>2489</v>
          </cell>
        </row>
        <row r="160">
          <cell r="BA160">
            <v>3382563</v>
          </cell>
        </row>
        <row r="174">
          <cell r="BA174">
            <v>4084</v>
          </cell>
        </row>
        <row r="175">
          <cell r="BA175">
            <v>5415</v>
          </cell>
        </row>
        <row r="176">
          <cell r="BA176">
            <v>53912</v>
          </cell>
        </row>
        <row r="177">
          <cell r="BA177">
            <v>25056</v>
          </cell>
        </row>
        <row r="178">
          <cell r="BA178">
            <v>133379</v>
          </cell>
        </row>
        <row r="179">
          <cell r="BA179">
            <v>4295</v>
          </cell>
        </row>
        <row r="202">
          <cell r="AY202">
            <v>33727</v>
          </cell>
        </row>
        <row r="203">
          <cell r="AY203">
            <v>0</v>
          </cell>
        </row>
        <row r="204">
          <cell r="AY204">
            <v>0</v>
          </cell>
        </row>
        <row r="207">
          <cell r="AY207">
            <v>16125</v>
          </cell>
        </row>
        <row r="208">
          <cell r="AY208">
            <v>918786</v>
          </cell>
        </row>
        <row r="210">
          <cell r="AY210">
            <v>0</v>
          </cell>
        </row>
        <row r="213">
          <cell r="AY213">
            <v>0</v>
          </cell>
        </row>
        <row r="214">
          <cell r="AY214">
            <v>132457</v>
          </cell>
        </row>
        <row r="215">
          <cell r="AY215">
            <v>0</v>
          </cell>
        </row>
        <row r="218">
          <cell r="AY218">
            <v>0</v>
          </cell>
        </row>
        <row r="219">
          <cell r="AY219">
            <v>88402</v>
          </cell>
        </row>
        <row r="220">
          <cell r="AY220">
            <v>26598</v>
          </cell>
        </row>
        <row r="223">
          <cell r="AY223">
            <v>0</v>
          </cell>
        </row>
        <row r="224">
          <cell r="AY224">
            <v>3000</v>
          </cell>
        </row>
        <row r="225">
          <cell r="AY225">
            <v>0</v>
          </cell>
        </row>
        <row r="228">
          <cell r="AY228">
            <v>26843</v>
          </cell>
        </row>
        <row r="229">
          <cell r="AY229">
            <v>412</v>
          </cell>
        </row>
        <row r="230">
          <cell r="AY230">
            <v>205000</v>
          </cell>
        </row>
        <row r="244">
          <cell r="AX244">
            <v>658660</v>
          </cell>
        </row>
        <row r="254">
          <cell r="AX254">
            <v>1368258</v>
          </cell>
        </row>
        <row r="264">
          <cell r="AX264">
            <v>515880</v>
          </cell>
        </row>
        <row r="272">
          <cell r="AX272">
            <v>117218</v>
          </cell>
        </row>
        <row r="280">
          <cell r="AX280">
            <v>280111</v>
          </cell>
        </row>
        <row r="288">
          <cell r="AX288">
            <v>78989</v>
          </cell>
        </row>
        <row r="317">
          <cell r="AX317">
            <v>8818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GWNetPos"/>
      <sheetName val="2-GWStmtAct"/>
      <sheetName val="3-GASB34GovtFundsBS"/>
      <sheetName val="4-GASB34GovtFundsIS"/>
      <sheetName val="4-Recon Change Net Pos"/>
      <sheetName val="5-GASB34GovtFundsBudget"/>
      <sheetName val="6-Net Pos-Prop"/>
      <sheetName val="7-Rev, exp-Prop"/>
      <sheetName val="8-Cash Flow-Prop"/>
    </sheetNames>
    <sheetDataSet>
      <sheetData sheetId="0">
        <row r="30">
          <cell r="A30" t="str">
            <v>Pension deferrals</v>
          </cell>
        </row>
      </sheetData>
      <sheetData sheetId="1"/>
      <sheetData sheetId="2"/>
      <sheetData sheetId="3"/>
      <sheetData sheetId="4"/>
      <sheetData sheetId="5"/>
      <sheetData sheetId="6">
        <row r="12">
          <cell r="D12">
            <v>239245</v>
          </cell>
        </row>
        <row r="16">
          <cell r="D16">
            <v>7195</v>
          </cell>
        </row>
      </sheetData>
      <sheetData sheetId="7">
        <row r="2">
          <cell r="A2" t="str">
            <v>City of Dogwood</v>
          </cell>
          <cell r="B2"/>
          <cell r="C2"/>
          <cell r="D2"/>
          <cell r="E2"/>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89"/>
  <sheetViews>
    <sheetView tabSelected="1" topLeftCell="A50" workbookViewId="0">
      <selection activeCell="C74" sqref="C74"/>
    </sheetView>
  </sheetViews>
  <sheetFormatPr defaultColWidth="9.109375" defaultRowHeight="13.2" x14ac:dyDescent="0.25"/>
  <cols>
    <col min="1" max="1" width="9.109375" style="17"/>
    <col min="2" max="2" width="37" style="17" customWidth="1"/>
    <col min="3" max="6" width="15.6640625" style="17" customWidth="1"/>
    <col min="7" max="7" width="9.109375" style="17"/>
    <col min="8" max="9" width="12.44140625" style="17" bestFit="1" customWidth="1"/>
    <col min="10" max="10" width="11.33203125" style="17" customWidth="1"/>
    <col min="11" max="11" width="10.44140625" style="17" bestFit="1" customWidth="1"/>
    <col min="12" max="12" width="10.88671875" style="17" customWidth="1"/>
    <col min="13" max="16384" width="9.109375" style="17"/>
  </cols>
  <sheetData>
    <row r="2" spans="2:9" x14ac:dyDescent="0.25">
      <c r="B2" s="132"/>
      <c r="C2" s="132"/>
      <c r="D2" s="132"/>
      <c r="E2" s="132"/>
      <c r="F2" s="82" t="s">
        <v>457</v>
      </c>
    </row>
    <row r="3" spans="2:9" x14ac:dyDescent="0.25">
      <c r="B3" s="896" t="s">
        <v>142</v>
      </c>
      <c r="C3" s="896"/>
      <c r="D3" s="896"/>
      <c r="E3" s="896"/>
      <c r="F3" s="896"/>
    </row>
    <row r="4" spans="2:9" s="41" customFormat="1" x14ac:dyDescent="0.25">
      <c r="B4" s="896" t="s">
        <v>630</v>
      </c>
      <c r="C4" s="896"/>
      <c r="D4" s="896"/>
      <c r="E4" s="896"/>
      <c r="F4" s="896"/>
    </row>
    <row r="5" spans="2:9" s="41" customFormat="1" x14ac:dyDescent="0.25">
      <c r="B5" s="897" t="s">
        <v>857</v>
      </c>
      <c r="C5" s="896"/>
      <c r="D5" s="896"/>
      <c r="E5" s="896"/>
      <c r="F5" s="896"/>
    </row>
    <row r="6" spans="2:9" x14ac:dyDescent="0.25">
      <c r="B6" s="132"/>
      <c r="C6" s="708"/>
      <c r="D6" s="132"/>
      <c r="E6" s="132"/>
      <c r="F6" s="132"/>
    </row>
    <row r="7" spans="2:9" x14ac:dyDescent="0.25">
      <c r="B7" s="132"/>
      <c r="C7" s="898" t="s">
        <v>439</v>
      </c>
      <c r="D7" s="898"/>
      <c r="E7" s="898"/>
      <c r="F7" s="132"/>
    </row>
    <row r="8" spans="2:9" ht="26.4" x14ac:dyDescent="0.25">
      <c r="B8" s="132"/>
      <c r="C8" s="336" t="s">
        <v>444</v>
      </c>
      <c r="D8" s="336" t="s">
        <v>445</v>
      </c>
      <c r="E8" s="336" t="s">
        <v>1</v>
      </c>
      <c r="F8" s="81" t="s">
        <v>536</v>
      </c>
    </row>
    <row r="9" spans="2:9" x14ac:dyDescent="0.25">
      <c r="B9" s="132" t="s">
        <v>2</v>
      </c>
      <c r="C9" s="132"/>
      <c r="D9" s="132"/>
      <c r="E9" s="132"/>
      <c r="F9" s="132"/>
    </row>
    <row r="10" spans="2:9" x14ac:dyDescent="0.25">
      <c r="B10" s="41" t="s">
        <v>44</v>
      </c>
      <c r="C10" s="132"/>
      <c r="D10" s="132"/>
      <c r="E10" s="132"/>
      <c r="F10" s="132"/>
    </row>
    <row r="11" spans="2:9" x14ac:dyDescent="0.25">
      <c r="B11" s="58" t="s">
        <v>3</v>
      </c>
      <c r="C11" s="866">
        <f>'[1]Conversion Worksheet'!$AZ$8</f>
        <v>631843</v>
      </c>
      <c r="D11" s="866">
        <f>'6-Net Pos-Prop'!D11</f>
        <v>178164.25</v>
      </c>
      <c r="E11" s="637">
        <f>SUM(C11:D11)</f>
        <v>810007.25</v>
      </c>
      <c r="F11" s="637">
        <f>80838-F36</f>
        <v>77038</v>
      </c>
      <c r="H11" s="313"/>
    </row>
    <row r="12" spans="2:9" x14ac:dyDescent="0.25">
      <c r="B12" s="58" t="s">
        <v>472</v>
      </c>
      <c r="C12" s="638">
        <f>'[1]Conversion Worksheet'!$AZ$11</f>
        <v>63235</v>
      </c>
      <c r="D12" s="55">
        <v>0</v>
      </c>
      <c r="E12" s="638">
        <f t="shared" ref="E12:E22" si="0">SUM(C12:D12)</f>
        <v>63235</v>
      </c>
      <c r="F12" s="638">
        <v>0</v>
      </c>
      <c r="I12" s="313"/>
    </row>
    <row r="13" spans="2:9" x14ac:dyDescent="0.25">
      <c r="B13" s="58" t="s">
        <v>474</v>
      </c>
      <c r="C13" s="638">
        <f>'[1]Conversion Worksheet'!$AZ$13</f>
        <v>12949</v>
      </c>
      <c r="D13" s="638">
        <v>0</v>
      </c>
      <c r="E13" s="638">
        <f t="shared" si="0"/>
        <v>12949</v>
      </c>
      <c r="F13" s="638">
        <v>0</v>
      </c>
      <c r="H13" s="638"/>
    </row>
    <row r="14" spans="2:9" x14ac:dyDescent="0.25">
      <c r="B14" s="58" t="s">
        <v>853</v>
      </c>
      <c r="C14" s="638">
        <f>'[1]Conversion Worksheet'!$AZ$20</f>
        <v>127</v>
      </c>
      <c r="D14" s="821">
        <f>'6-Net Pos-Prop'!D15</f>
        <v>868</v>
      </c>
      <c r="E14" s="638">
        <f>SUM(C14:D14)</f>
        <v>995</v>
      </c>
      <c r="F14" s="638">
        <v>0</v>
      </c>
      <c r="H14" s="638"/>
    </row>
    <row r="15" spans="2:9" x14ac:dyDescent="0.25">
      <c r="B15" s="58" t="s">
        <v>473</v>
      </c>
      <c r="C15" s="638">
        <f>'[1]Conversion Worksheet'!$AZ$17</f>
        <v>9959</v>
      </c>
      <c r="D15" s="638">
        <f>'6-Net Pos-Prop'!D12+'6-Net Pos-Prop'!D13</f>
        <v>314979</v>
      </c>
      <c r="E15" s="638">
        <f t="shared" si="0"/>
        <v>324938</v>
      </c>
      <c r="F15" s="638">
        <v>0</v>
      </c>
      <c r="H15" s="313"/>
    </row>
    <row r="16" spans="2:9" x14ac:dyDescent="0.25">
      <c r="B16" s="58" t="s">
        <v>888</v>
      </c>
      <c r="C16" s="798">
        <v>10552</v>
      </c>
      <c r="D16" s="810">
        <f>'6-Net Pos-Prop'!D14</f>
        <v>13463</v>
      </c>
      <c r="E16" s="798">
        <f t="shared" si="0"/>
        <v>24015</v>
      </c>
      <c r="F16" s="798">
        <v>0</v>
      </c>
      <c r="H16" s="313"/>
    </row>
    <row r="17" spans="2:11" x14ac:dyDescent="0.25">
      <c r="B17" s="58" t="s">
        <v>170</v>
      </c>
      <c r="C17" s="639">
        <f>'[1]Conversion Worksheet'!$AZ$26</f>
        <v>97300</v>
      </c>
      <c r="D17" s="638">
        <v>0</v>
      </c>
      <c r="E17" s="638">
        <f t="shared" si="0"/>
        <v>97300</v>
      </c>
      <c r="F17" s="638">
        <v>0</v>
      </c>
      <c r="K17" s="313"/>
    </row>
    <row r="18" spans="2:11" x14ac:dyDescent="0.25">
      <c r="B18" s="58" t="s">
        <v>469</v>
      </c>
      <c r="C18" s="638">
        <f>'[1]Conversion Worksheet'!$AZ$27</f>
        <v>3700</v>
      </c>
      <c r="D18" s="638">
        <v>0</v>
      </c>
      <c r="E18" s="638">
        <f t="shared" si="0"/>
        <v>3700</v>
      </c>
      <c r="F18" s="638">
        <v>0</v>
      </c>
    </row>
    <row r="19" spans="2:11" x14ac:dyDescent="0.25">
      <c r="B19" s="58" t="s">
        <v>458</v>
      </c>
      <c r="C19" s="639">
        <f>'[1]Conversion Worksheet'!$AZ$22+'[1]Conversion Worksheet'!$AZ$28+'[1]Conversion Worksheet'!$AZ$33</f>
        <v>30100</v>
      </c>
      <c r="D19" s="639">
        <f>-'6-Net Pos-Prop'!D42-'6-Net Pos-Prop'!D54+'6-Net Pos-Prop'!D76</f>
        <v>-30100</v>
      </c>
      <c r="E19" s="638">
        <f t="shared" si="0"/>
        <v>0</v>
      </c>
      <c r="F19" s="638">
        <v>0</v>
      </c>
      <c r="K19" s="313"/>
    </row>
    <row r="20" spans="2:11" x14ac:dyDescent="0.25">
      <c r="B20" s="58" t="s">
        <v>4</v>
      </c>
      <c r="C20" s="638">
        <f>'[1]Conversion Worksheet'!$AZ$30</f>
        <v>3945</v>
      </c>
      <c r="D20" s="639">
        <f>'6-Net Pos-Prop'!D17</f>
        <v>205659</v>
      </c>
      <c r="E20" s="638">
        <f t="shared" si="0"/>
        <v>209604</v>
      </c>
      <c r="F20" s="638">
        <v>89692</v>
      </c>
      <c r="H20" s="313"/>
    </row>
    <row r="21" spans="2:11" x14ac:dyDescent="0.25">
      <c r="B21" s="58" t="s">
        <v>115</v>
      </c>
      <c r="C21" s="640">
        <v>0</v>
      </c>
      <c r="D21" s="640">
        <f>+'[2]6-Net Pos-Prop'!D16</f>
        <v>7195</v>
      </c>
      <c r="E21" s="640">
        <f t="shared" si="0"/>
        <v>7195</v>
      </c>
      <c r="F21" s="640">
        <v>3361</v>
      </c>
    </row>
    <row r="22" spans="2:11" x14ac:dyDescent="0.25">
      <c r="B22" s="58" t="s">
        <v>577</v>
      </c>
      <c r="C22" s="641">
        <f>'[1]Conversion Worksheet'!$AZ$9</f>
        <v>57996</v>
      </c>
      <c r="D22" s="640">
        <f>1658125+73035</f>
        <v>1731160</v>
      </c>
      <c r="E22" s="640">
        <f t="shared" si="0"/>
        <v>1789156</v>
      </c>
      <c r="F22" s="640">
        <v>0</v>
      </c>
      <c r="H22" s="313"/>
      <c r="I22" s="56"/>
    </row>
    <row r="23" spans="2:11" x14ac:dyDescent="0.25">
      <c r="B23" s="23" t="s">
        <v>45</v>
      </c>
      <c r="C23" s="642">
        <f>SUM(C11:C22)</f>
        <v>921706</v>
      </c>
      <c r="D23" s="642">
        <f>SUM(D11:D22)</f>
        <v>2421388.25</v>
      </c>
      <c r="E23" s="642">
        <f>SUM(E11:E22)</f>
        <v>3343094.25</v>
      </c>
      <c r="F23" s="642">
        <f>SUM(F11:F22)</f>
        <v>170091</v>
      </c>
    </row>
    <row r="24" spans="2:11" x14ac:dyDescent="0.25">
      <c r="C24" s="638"/>
      <c r="D24" s="638"/>
      <c r="E24" s="638"/>
      <c r="F24" s="638"/>
    </row>
    <row r="25" spans="2:11" x14ac:dyDescent="0.25">
      <c r="B25" s="21" t="s">
        <v>549</v>
      </c>
      <c r="C25" s="640"/>
      <c r="D25" s="640"/>
      <c r="E25" s="640"/>
      <c r="F25" s="638"/>
      <c r="I25" s="41"/>
    </row>
    <row r="26" spans="2:11" x14ac:dyDescent="0.25">
      <c r="B26" s="58" t="s">
        <v>889</v>
      </c>
      <c r="C26" s="799">
        <f>53063.29-10552.41</f>
        <v>42510.880000000005</v>
      </c>
      <c r="D26" s="786">
        <f>'6-Net Pos-Prop'!D23</f>
        <v>44269</v>
      </c>
      <c r="E26" s="798">
        <f>SUM(C26:D26)</f>
        <v>86779.88</v>
      </c>
      <c r="F26" s="798">
        <v>0</v>
      </c>
      <c r="I26" s="41"/>
    </row>
    <row r="27" spans="2:11" x14ac:dyDescent="0.25">
      <c r="B27" s="58" t="s">
        <v>558</v>
      </c>
      <c r="C27" s="638"/>
      <c r="D27" s="638"/>
      <c r="E27" s="638"/>
      <c r="F27" s="638"/>
    </row>
    <row r="28" spans="2:11" x14ac:dyDescent="0.25">
      <c r="B28" s="18" t="s">
        <v>573</v>
      </c>
      <c r="C28" s="638">
        <f>'[1]Conversion Worksheet'!$AZ$41+'[1]Conversion Worksheet'!$AZ$45</f>
        <v>869770</v>
      </c>
      <c r="D28" s="638">
        <f>'6-Net Pos-Prop'!D25</f>
        <v>3067949</v>
      </c>
      <c r="E28" s="638">
        <f>SUM(C28:D28)</f>
        <v>3937719</v>
      </c>
      <c r="F28" s="638">
        <v>0</v>
      </c>
    </row>
    <row r="29" spans="2:11" ht="13.2" customHeight="1" x14ac:dyDescent="0.25">
      <c r="B29" s="18" t="s">
        <v>459</v>
      </c>
      <c r="C29" s="786">
        <f>SUM('[1]Conversion Worksheet'!$AZ$47:$AZ$74)-SUM('[1]Conversion Worksheet'!$BA$47:$BA$74)</f>
        <v>3484310</v>
      </c>
      <c r="D29" s="640">
        <f>'6-Net Pos-Prop'!D26</f>
        <v>10489728</v>
      </c>
      <c r="E29" s="638">
        <f>SUM(C29:D29)</f>
        <v>13974038</v>
      </c>
      <c r="F29" s="638">
        <v>87375</v>
      </c>
    </row>
    <row r="30" spans="2:11" ht="13.2" customHeight="1" x14ac:dyDescent="0.25">
      <c r="B30" s="840" t="s">
        <v>886</v>
      </c>
      <c r="C30" s="802">
        <f>'[1]Conversion Worksheet'!$AZ$37-'[1]Conversion Worksheet'!$BA$38+'[1]Conversion Worksheet'!$AZ$39-'[1]Conversion Worksheet'!$BA$40</f>
        <v>109511</v>
      </c>
      <c r="D30" s="802">
        <v>28291</v>
      </c>
      <c r="E30" s="643">
        <f>SUM(C30:D30)</f>
        <v>137802</v>
      </c>
      <c r="F30" s="643">
        <v>0</v>
      </c>
      <c r="K30" s="634"/>
    </row>
    <row r="31" spans="2:11" x14ac:dyDescent="0.25">
      <c r="B31" s="57" t="s">
        <v>460</v>
      </c>
      <c r="C31" s="643">
        <f>SUM(C28:C30)</f>
        <v>4463591</v>
      </c>
      <c r="D31" s="643">
        <f>SUM(D28:D30)</f>
        <v>13585968</v>
      </c>
      <c r="E31" s="643">
        <f>SUM(C31:D31)</f>
        <v>18049559</v>
      </c>
      <c r="F31" s="643">
        <f>SUM(F28:F30)</f>
        <v>87375</v>
      </c>
      <c r="K31" s="634"/>
    </row>
    <row r="32" spans="2:11" x14ac:dyDescent="0.25">
      <c r="B32" s="57" t="s">
        <v>840</v>
      </c>
      <c r="C32" s="800">
        <f>C26+C31</f>
        <v>4506101.88</v>
      </c>
      <c r="D32" s="800">
        <f>D26+D31</f>
        <v>13630237</v>
      </c>
      <c r="E32" s="800">
        <f>E26+E31</f>
        <v>18136338.879999999</v>
      </c>
      <c r="F32" s="800">
        <f>F26+F31</f>
        <v>87375</v>
      </c>
      <c r="K32" s="634"/>
    </row>
    <row r="33" spans="2:11" x14ac:dyDescent="0.25">
      <c r="B33" s="318" t="s">
        <v>5</v>
      </c>
      <c r="C33" s="644">
        <f>C32+C23</f>
        <v>5427807.8799999999</v>
      </c>
      <c r="D33" s="644">
        <f>D32+D23</f>
        <v>16051625.25</v>
      </c>
      <c r="E33" s="644">
        <f>E32+E23</f>
        <v>21479433.129999999</v>
      </c>
      <c r="F33" s="644">
        <f>F32+F23</f>
        <v>257466</v>
      </c>
      <c r="H33" s="56"/>
      <c r="K33" s="634"/>
    </row>
    <row r="34" spans="2:11" ht="7.35" customHeight="1" x14ac:dyDescent="0.25">
      <c r="B34" s="318"/>
      <c r="C34" s="645"/>
      <c r="D34" s="645"/>
      <c r="E34" s="645"/>
      <c r="F34" s="645"/>
    </row>
    <row r="35" spans="2:11" s="432" customFormat="1" x14ac:dyDescent="0.25">
      <c r="B35" s="132" t="s">
        <v>650</v>
      </c>
      <c r="C35" s="646"/>
      <c r="D35" s="646"/>
      <c r="E35" s="646"/>
      <c r="F35" s="646"/>
    </row>
    <row r="36" spans="2:11" s="432" customFormat="1" x14ac:dyDescent="0.25">
      <c r="B36" s="429" t="s">
        <v>681</v>
      </c>
      <c r="C36" s="641">
        <f>0.605*121450+0.605*(-121450+2874+2313-847+328974-65795+128000-263179-1104)+(-3758-124242-27238-58985-847+13134+386974+47878-2702-77395-9851+83602+125000)*0.605+(3250+7800+100)+0.605*(9547+11501-222756-848+120000-125000)+(-3250+9565-7800-100+8000+125)+(0.605*(155000+81037+5678+124223+50106-120000))-1+(17024+8028+4119-9565-16031)</f>
        <v>366896.87</v>
      </c>
      <c r="D36" s="641">
        <f>121450*0.395+0.395*(-121450+2874+2313-847+328974-65795+128000-263179-1104)+0.395*(-3758-124242-27238-58985-847+13134+386974+47878-2702-77395-9851+83602+125000)+0.395*(9547+11501-222756-848+120000-125000)+(0.395*(155000+81037+5678+124223+50106-120000))</f>
        <v>225661.13</v>
      </c>
      <c r="E36" s="641">
        <f>SUM(C36:D36)</f>
        <v>592558</v>
      </c>
      <c r="F36" s="668">
        <f>3450+(208-3658+1149+12739-2548+3800-1149-10191)</f>
        <v>3800</v>
      </c>
      <c r="H36" s="434"/>
      <c r="I36" s="667"/>
    </row>
    <row r="37" spans="2:11" s="432" customFormat="1" x14ac:dyDescent="0.25">
      <c r="B37" s="429" t="s">
        <v>772</v>
      </c>
      <c r="C37" s="641">
        <f>(19588+45000+50)*0.605+1</f>
        <v>39106.99</v>
      </c>
      <c r="D37" s="641">
        <f>25515+3</f>
        <v>25518</v>
      </c>
      <c r="E37" s="641">
        <f>SUM(C37:D37)</f>
        <v>64624.99</v>
      </c>
      <c r="F37" s="641">
        <v>0</v>
      </c>
      <c r="H37" s="434"/>
      <c r="I37" s="667"/>
    </row>
    <row r="38" spans="2:11" s="432" customFormat="1" x14ac:dyDescent="0.25">
      <c r="B38" s="422" t="s">
        <v>661</v>
      </c>
      <c r="C38" s="641">
        <v>0</v>
      </c>
      <c r="D38" s="641">
        <v>157614</v>
      </c>
      <c r="E38" s="641">
        <f>SUM(C38:D38)</f>
        <v>157614</v>
      </c>
      <c r="F38" s="641">
        <v>0</v>
      </c>
      <c r="H38" s="434"/>
    </row>
    <row r="39" spans="2:11" s="432" customFormat="1" x14ac:dyDescent="0.25">
      <c r="B39" s="435" t="s">
        <v>649</v>
      </c>
      <c r="C39" s="647">
        <f>SUM(C36:C38)</f>
        <v>406003.86</v>
      </c>
      <c r="D39" s="647">
        <f>SUM(D36:D38)</f>
        <v>408793.13</v>
      </c>
      <c r="E39" s="647">
        <f>SUM(C39:D39)</f>
        <v>814796.99</v>
      </c>
      <c r="F39" s="647">
        <f>SUM(F36:F38)</f>
        <v>3800</v>
      </c>
      <c r="H39" s="41"/>
      <c r="I39" s="41"/>
    </row>
    <row r="40" spans="2:11" ht="7.35" customHeight="1" x14ac:dyDescent="0.25">
      <c r="B40" s="435"/>
    </row>
    <row r="41" spans="2:11" x14ac:dyDescent="0.25">
      <c r="B41" s="132" t="s">
        <v>6</v>
      </c>
      <c r="I41" s="56"/>
      <c r="J41" s="56"/>
    </row>
    <row r="42" spans="2:11" x14ac:dyDescent="0.25">
      <c r="B42" s="41" t="s">
        <v>48</v>
      </c>
      <c r="H42" s="55"/>
      <c r="I42" s="55"/>
      <c r="J42" s="55"/>
    </row>
    <row r="43" spans="2:11" x14ac:dyDescent="0.25">
      <c r="B43" s="22" t="s">
        <v>19</v>
      </c>
      <c r="C43" s="865">
        <f>'[1]Conversion Worksheet'!$BA$97</f>
        <v>128910</v>
      </c>
      <c r="D43" s="648">
        <f>'6-Net Pos-Prop'!D40</f>
        <v>264967</v>
      </c>
      <c r="E43" s="648">
        <f t="shared" ref="E43:E48" si="1">SUM(C43:D43)</f>
        <v>393877</v>
      </c>
      <c r="F43" s="648">
        <v>42720</v>
      </c>
      <c r="I43" s="56"/>
      <c r="J43" s="56"/>
      <c r="K43" s="56"/>
    </row>
    <row r="44" spans="2:11" x14ac:dyDescent="0.25">
      <c r="B44" s="58" t="s">
        <v>475</v>
      </c>
      <c r="C44" s="810">
        <f>'[1]Conversion Worksheet'!$BA$115</f>
        <v>2489</v>
      </c>
      <c r="D44" s="821">
        <v>528</v>
      </c>
      <c r="E44" s="638">
        <f t="shared" si="1"/>
        <v>3017</v>
      </c>
      <c r="F44" s="638">
        <v>0</v>
      </c>
    </row>
    <row r="45" spans="2:11" x14ac:dyDescent="0.25">
      <c r="B45" s="868" t="s">
        <v>118</v>
      </c>
      <c r="C45" s="798">
        <v>0</v>
      </c>
      <c r="D45" s="821">
        <v>675000</v>
      </c>
      <c r="E45" s="638">
        <f t="shared" si="1"/>
        <v>675000</v>
      </c>
      <c r="F45" s="638"/>
    </row>
    <row r="46" spans="2:11" x14ac:dyDescent="0.25">
      <c r="B46" s="58" t="s">
        <v>477</v>
      </c>
      <c r="C46" s="638">
        <v>0</v>
      </c>
      <c r="D46" s="638">
        <v>0</v>
      </c>
      <c r="E46" s="638">
        <f t="shared" si="1"/>
        <v>0</v>
      </c>
      <c r="F46" s="638">
        <v>3700</v>
      </c>
    </row>
    <row r="47" spans="2:11" x14ac:dyDescent="0.25">
      <c r="B47" s="58" t="s">
        <v>478</v>
      </c>
      <c r="C47" s="638">
        <f>'[1]Conversion Worksheet'!$BA$103</f>
        <v>6625</v>
      </c>
      <c r="D47" s="638">
        <v>0</v>
      </c>
      <c r="E47" s="638">
        <f t="shared" si="1"/>
        <v>6625</v>
      </c>
      <c r="F47" s="638">
        <v>18251</v>
      </c>
      <c r="J47" s="55"/>
    </row>
    <row r="48" spans="2:11" x14ac:dyDescent="0.25">
      <c r="B48" s="58" t="s">
        <v>548</v>
      </c>
      <c r="C48" s="785">
        <f>10000+5000+8380+37750+5000+6168+21367</f>
        <v>93665</v>
      </c>
      <c r="D48" s="791">
        <f>SUM('6-Net Pos-Prop'!D44:D47)</f>
        <v>513784</v>
      </c>
      <c r="E48" s="798">
        <f t="shared" si="1"/>
        <v>607449</v>
      </c>
      <c r="F48" s="638">
        <v>4560</v>
      </c>
    </row>
    <row r="49" spans="2:10" x14ac:dyDescent="0.25">
      <c r="B49" s="58" t="s">
        <v>470</v>
      </c>
      <c r="C49" s="643">
        <v>0</v>
      </c>
      <c r="D49" s="643">
        <f>'6-Net Pos-Prop'!D49+'6-Net Pos-Prop'!D50</f>
        <v>188592</v>
      </c>
      <c r="E49" s="643">
        <f>+C49+D49</f>
        <v>188592</v>
      </c>
      <c r="F49" s="643">
        <v>0</v>
      </c>
    </row>
    <row r="50" spans="2:10" x14ac:dyDescent="0.25">
      <c r="B50" s="23" t="s">
        <v>50</v>
      </c>
      <c r="C50" s="638">
        <f>SUM(C43:C49)</f>
        <v>231689</v>
      </c>
      <c r="D50" s="638">
        <f>SUM(D43:D49)</f>
        <v>1642871</v>
      </c>
      <c r="E50" s="638">
        <f>SUM(E43:E49)</f>
        <v>1874560</v>
      </c>
      <c r="F50" s="638">
        <f>SUM(F43:F49)</f>
        <v>69231</v>
      </c>
      <c r="H50" s="638"/>
      <c r="I50" s="638"/>
      <c r="J50" s="55"/>
    </row>
    <row r="51" spans="2:10" ht="7.35" customHeight="1" x14ac:dyDescent="0.25">
      <c r="B51" s="26"/>
      <c r="C51" s="638"/>
      <c r="D51" s="638"/>
      <c r="E51" s="638"/>
      <c r="F51" s="638"/>
    </row>
    <row r="52" spans="2:10" ht="15" customHeight="1" x14ac:dyDescent="0.25">
      <c r="B52" s="17" t="s">
        <v>496</v>
      </c>
      <c r="C52" s="638"/>
      <c r="D52" s="638"/>
      <c r="E52" s="638"/>
      <c r="F52" s="638"/>
    </row>
    <row r="53" spans="2:10" hidden="1" x14ac:dyDescent="0.25">
      <c r="B53" s="58" t="s">
        <v>719</v>
      </c>
      <c r="C53" s="639">
        <f>130959*0.605+44719+0.605*(-124242-13554+16661+13134+386974+47878+97395+1)-44719+0.605*(-208410)+(0.605*307973)-3</f>
        <v>396132.245</v>
      </c>
      <c r="D53" s="639">
        <f>130959*0.395+0.395*(-124242-13554+16661+13134+386974+47878+97395+1)+0.395*(-208410)+(0.395*307973)</f>
        <v>258633.755</v>
      </c>
      <c r="E53" s="639">
        <f>SUM(C53:D53)</f>
        <v>654766</v>
      </c>
      <c r="F53" s="639">
        <f>5071</f>
        <v>5071</v>
      </c>
      <c r="H53" s="695"/>
    </row>
    <row r="54" spans="2:10" hidden="1" x14ac:dyDescent="0.25">
      <c r="B54" s="58" t="s">
        <v>739</v>
      </c>
      <c r="C54" s="639">
        <f>44719+198653-44719+(-198653+215657)+(219382-215657)</f>
        <v>219382</v>
      </c>
      <c r="D54" s="639">
        <v>0</v>
      </c>
      <c r="E54" s="639">
        <f>SUM(C54:D54)</f>
        <v>219382</v>
      </c>
      <c r="F54" s="639">
        <v>0</v>
      </c>
      <c r="H54" s="55"/>
      <c r="I54" s="682"/>
    </row>
    <row r="55" spans="2:10" hidden="1" x14ac:dyDescent="0.25">
      <c r="B55" s="58" t="s">
        <v>771</v>
      </c>
      <c r="C55" s="639">
        <f>1197321*0.605</f>
        <v>724379.20499999996</v>
      </c>
      <c r="D55" s="639">
        <f>C55/0.605*0.395-0.31</f>
        <v>472941.48500000004</v>
      </c>
      <c r="E55" s="639">
        <f>SUM(C55:D55)</f>
        <v>1197320.69</v>
      </c>
      <c r="F55" s="639"/>
      <c r="H55" s="55"/>
      <c r="J55" s="55"/>
    </row>
    <row r="56" spans="2:10" ht="18" hidden="1" customHeight="1" x14ac:dyDescent="0.25">
      <c r="B56" s="422" t="s">
        <v>461</v>
      </c>
      <c r="C56" s="787">
        <f>200000+60000+61906+50633+169623-10000-10000-37750-14548-21367</f>
        <v>448497</v>
      </c>
      <c r="D56" s="641">
        <f>'6-Net Pos-Prop'!D55+'6-Net Pos-Prop'!D56+'6-Net Pos-Prop'!D59+'6-Net Pos-Prop'!D60</f>
        <v>3469692</v>
      </c>
      <c r="E56" s="787">
        <f>SUM(C56:D56)</f>
        <v>3918189</v>
      </c>
      <c r="F56" s="641">
        <v>0</v>
      </c>
      <c r="J56" s="56"/>
    </row>
    <row r="57" spans="2:10" x14ac:dyDescent="0.25">
      <c r="B57" s="422" t="s">
        <v>461</v>
      </c>
      <c r="C57" s="788">
        <f>SUM(C53:C56)</f>
        <v>1788390.45</v>
      </c>
      <c r="D57" s="788">
        <f>SUM(D53:D56)</f>
        <v>4201267.24</v>
      </c>
      <c r="E57" s="649">
        <f>SUM(E53:E56)</f>
        <v>5989657.6899999995</v>
      </c>
      <c r="F57" s="649">
        <f>SUM(F53:F56)</f>
        <v>5071</v>
      </c>
      <c r="H57" s="55"/>
      <c r="J57" s="56"/>
    </row>
    <row r="58" spans="2:10" x14ac:dyDescent="0.25">
      <c r="B58" s="23" t="s">
        <v>7</v>
      </c>
      <c r="C58" s="642">
        <f>C50+C57</f>
        <v>2020079.45</v>
      </c>
      <c r="D58" s="642">
        <f>D50+D57</f>
        <v>5844138.2400000002</v>
      </c>
      <c r="E58" s="642">
        <f>E50+E57</f>
        <v>7864217.6899999995</v>
      </c>
      <c r="F58" s="642">
        <f>F50+F57</f>
        <v>74302</v>
      </c>
      <c r="H58" s="640"/>
    </row>
    <row r="59" spans="2:10" ht="7.35" customHeight="1" x14ac:dyDescent="0.25">
      <c r="B59" s="23"/>
      <c r="C59" s="640"/>
      <c r="D59" s="640"/>
      <c r="E59" s="640"/>
      <c r="F59" s="640"/>
    </row>
    <row r="60" spans="2:10" s="432" customFormat="1" x14ac:dyDescent="0.25">
      <c r="B60" s="132" t="s">
        <v>632</v>
      </c>
      <c r="C60" s="641"/>
      <c r="D60" s="641"/>
      <c r="E60" s="641"/>
      <c r="F60" s="641"/>
    </row>
    <row r="61" spans="2:10" s="432" customFormat="1" x14ac:dyDescent="0.25">
      <c r="B61" s="429" t="s">
        <v>643</v>
      </c>
      <c r="C61" s="641">
        <v>15502</v>
      </c>
      <c r="D61" s="641">
        <v>0</v>
      </c>
      <c r="E61" s="641">
        <f>SUM(C61:D61)</f>
        <v>15502</v>
      </c>
      <c r="F61" s="641">
        <v>0</v>
      </c>
      <c r="I61" s="591"/>
    </row>
    <row r="62" spans="2:10" s="432" customFormat="1" x14ac:dyDescent="0.25">
      <c r="B62" s="429" t="s">
        <v>847</v>
      </c>
      <c r="C62" s="641">
        <v>53002</v>
      </c>
      <c r="D62" s="787">
        <f>'6-Net Pos-Prop'!D67</f>
        <v>51321</v>
      </c>
      <c r="E62" s="641">
        <f>SUM(C62:D62)</f>
        <v>104323</v>
      </c>
      <c r="F62" s="641">
        <v>0</v>
      </c>
      <c r="I62" s="591"/>
    </row>
    <row r="63" spans="2:10" s="588" customFormat="1" x14ac:dyDescent="0.25">
      <c r="B63" s="429" t="s">
        <v>681</v>
      </c>
      <c r="C63" s="641">
        <f>0.605*(-119478+119478-5080+1018+9884-1981+23355+497339-4680-99468)+0.605*(129+2746-4713-100154-963+1104+21061-4370-1104-263179)+0.605*(-1458-31097-1728+7045-4225-89789-963-3917+13554-16661-810+83601)+(1006)+0.605*(-9638+9976)+(-1006+5420)-(0.605*(6427+4699))+2+(4160-5420)</f>
        <v>12455.339999999993</v>
      </c>
      <c r="D63" s="641">
        <f>420388*0.395+(129+2746-4713-100154-963+1104+21061-4370-1104-263179)*0.395+0.395*(-1458-31097-1728+7045-4225-89789-963-3917+13554-16661-810+83601)+(0.395*(-9638+9976))+(0.395*(-6427-4699))</f>
        <v>5415.0549999999948</v>
      </c>
      <c r="E63" s="641">
        <f>SUM(C63:D63)</f>
        <v>17870.39499999999</v>
      </c>
      <c r="F63" s="641">
        <f>698-140-603+121+846+18020-170-3604+(51+1097-182-3878-19+441+955-51+816-169-1149-10191)</f>
        <v>2889</v>
      </c>
      <c r="H63" s="695"/>
      <c r="I63" s="591"/>
    </row>
    <row r="64" spans="2:10" s="588" customFormat="1" x14ac:dyDescent="0.25">
      <c r="B64" s="429" t="s">
        <v>772</v>
      </c>
      <c r="C64" s="641">
        <f>+(6063)*0.605</f>
        <v>3668.1149999999998</v>
      </c>
      <c r="D64" s="641">
        <f>C64/0.605*0.395</f>
        <v>2394.8850000000002</v>
      </c>
      <c r="E64" s="641">
        <f>SUM(C64:D64)</f>
        <v>6063</v>
      </c>
      <c r="F64" s="641">
        <v>0</v>
      </c>
      <c r="H64" s="695"/>
      <c r="I64" s="591"/>
    </row>
    <row r="65" spans="2:12" s="432" customFormat="1" x14ac:dyDescent="0.25">
      <c r="B65" s="456" t="s">
        <v>633</v>
      </c>
      <c r="C65" s="647">
        <f>SUM(C61:C64)</f>
        <v>84627.455000000002</v>
      </c>
      <c r="D65" s="647">
        <f>SUM(D61:D64)</f>
        <v>59130.939999999995</v>
      </c>
      <c r="E65" s="647">
        <f>SUM(E61:E64)</f>
        <v>143758.39499999999</v>
      </c>
      <c r="F65" s="647">
        <f>SUM(F61:F63)</f>
        <v>2889</v>
      </c>
    </row>
    <row r="66" spans="2:12" ht="7.35" customHeight="1" x14ac:dyDescent="0.25"/>
    <row r="67" spans="2:12" s="432" customFormat="1" x14ac:dyDescent="0.25">
      <c r="B67" s="132" t="s">
        <v>634</v>
      </c>
      <c r="C67" s="41"/>
      <c r="D67" s="41"/>
      <c r="E67" s="41"/>
      <c r="F67" s="41"/>
      <c r="H67" s="17"/>
      <c r="I67" s="591"/>
    </row>
    <row r="68" spans="2:12" x14ac:dyDescent="0.25">
      <c r="B68" s="310" t="s">
        <v>648</v>
      </c>
      <c r="C68" s="791">
        <v>4091052</v>
      </c>
      <c r="D68" s="791">
        <f>'6-Net Pos-Prop'!D71</f>
        <v>10674717</v>
      </c>
      <c r="E68" s="639">
        <f>SUM(C68:D68)</f>
        <v>14765769</v>
      </c>
      <c r="F68" s="639">
        <v>87375</v>
      </c>
      <c r="I68" s="313"/>
      <c r="J68" s="313"/>
    </row>
    <row r="69" spans="2:12" x14ac:dyDescent="0.25">
      <c r="B69" s="41" t="s">
        <v>462</v>
      </c>
      <c r="C69" s="639"/>
      <c r="D69" s="639"/>
      <c r="E69" s="639"/>
      <c r="F69" s="639"/>
      <c r="I69" s="313"/>
      <c r="J69" s="313"/>
    </row>
    <row r="70" spans="2:12" x14ac:dyDescent="0.25">
      <c r="B70" s="422" t="s">
        <v>627</v>
      </c>
      <c r="C70" s="639">
        <f>'[1]Conversion Worksheet'!$BA$177</f>
        <v>25056</v>
      </c>
      <c r="D70" s="639">
        <v>0</v>
      </c>
      <c r="E70" s="639">
        <f t="shared" ref="E70:E75" si="2">SUM(C70:D70)</f>
        <v>25056</v>
      </c>
      <c r="F70" s="639">
        <v>0</v>
      </c>
      <c r="H70" s="685"/>
      <c r="I70" s="313"/>
    </row>
    <row r="71" spans="2:12" x14ac:dyDescent="0.25">
      <c r="B71" s="422" t="s">
        <v>609</v>
      </c>
      <c r="C71" s="639">
        <f>'[1]Conversion Worksheet'!$BA$178</f>
        <v>133379</v>
      </c>
      <c r="D71" s="639">
        <v>0</v>
      </c>
      <c r="E71" s="639">
        <f t="shared" si="2"/>
        <v>133379</v>
      </c>
      <c r="F71" s="639">
        <v>0</v>
      </c>
      <c r="H71" s="313"/>
      <c r="J71" s="313"/>
      <c r="L71" s="313"/>
    </row>
    <row r="72" spans="2:12" x14ac:dyDescent="0.25">
      <c r="B72" s="422" t="s">
        <v>600</v>
      </c>
      <c r="C72" s="639">
        <f>'[1]Conversion Worksheet'!$BA$176</f>
        <v>53912</v>
      </c>
      <c r="D72" s="639">
        <v>0</v>
      </c>
      <c r="E72" s="639">
        <f t="shared" si="2"/>
        <v>53912</v>
      </c>
      <c r="F72" s="639">
        <v>0</v>
      </c>
      <c r="H72" s="41"/>
    </row>
    <row r="73" spans="2:12" x14ac:dyDescent="0.25">
      <c r="B73" s="422" t="s">
        <v>605</v>
      </c>
      <c r="C73" s="639">
        <f>'[1]Conversion Worksheet'!$BA$174+'[1]Conversion Worksheet'!$BA$175+'[1]Conversion Worksheet'!$BA$179</f>
        <v>13794</v>
      </c>
      <c r="D73" s="639">
        <v>0</v>
      </c>
      <c r="E73" s="639">
        <f t="shared" si="2"/>
        <v>13794</v>
      </c>
      <c r="F73" s="639">
        <f>F33+F39-F58-F65-F68</f>
        <v>96700</v>
      </c>
      <c r="H73" s="613"/>
      <c r="I73" s="56"/>
      <c r="K73" s="55"/>
    </row>
    <row r="74" spans="2:12" x14ac:dyDescent="0.25">
      <c r="B74" s="422" t="s">
        <v>727</v>
      </c>
      <c r="C74" s="639">
        <v>0</v>
      </c>
      <c r="D74" s="639">
        <v>109725</v>
      </c>
      <c r="E74" s="639">
        <f t="shared" si="2"/>
        <v>109725</v>
      </c>
      <c r="F74" s="639">
        <v>0</v>
      </c>
      <c r="H74" s="613"/>
      <c r="I74" s="56"/>
      <c r="K74" s="55"/>
    </row>
    <row r="75" spans="2:12" x14ac:dyDescent="0.25">
      <c r="B75" s="41" t="s">
        <v>53</v>
      </c>
      <c r="C75" s="788">
        <f>C33+C39-C58-C65-SUM(C68:C73)</f>
        <v>-588088.16500000004</v>
      </c>
      <c r="D75" s="788">
        <f>+D33-D58-D68-SUM(D70:D74)+D39-D65</f>
        <v>-227292.80000000022</v>
      </c>
      <c r="E75" s="649">
        <f t="shared" si="2"/>
        <v>-815380.96500000032</v>
      </c>
      <c r="F75" s="649">
        <v>0</v>
      </c>
      <c r="H75" s="613"/>
      <c r="I75" s="55"/>
      <c r="K75" s="55"/>
    </row>
    <row r="76" spans="2:12" s="432" customFormat="1" ht="13.8" thickBot="1" x14ac:dyDescent="0.3">
      <c r="B76" s="41" t="s">
        <v>635</v>
      </c>
      <c r="C76" s="650">
        <f>SUM(C68:C75)</f>
        <v>3729104.835</v>
      </c>
      <c r="D76" s="862">
        <f>SUM(D68:D75)</f>
        <v>10557149.199999999</v>
      </c>
      <c r="E76" s="650">
        <f>SUM(E68:E75)</f>
        <v>14286254.035</v>
      </c>
      <c r="F76" s="650">
        <f>SUM(F68:F75)</f>
        <v>184075</v>
      </c>
      <c r="G76" s="618"/>
      <c r="H76" s="434"/>
      <c r="I76" s="542"/>
    </row>
    <row r="77" spans="2:12" ht="14.4" thickTop="1" thickBot="1" x14ac:dyDescent="0.3">
      <c r="B77" s="41"/>
      <c r="C77" s="41"/>
      <c r="D77" s="41"/>
      <c r="E77" s="41"/>
      <c r="F77" s="41"/>
    </row>
    <row r="78" spans="2:12" ht="12.75" customHeight="1" x14ac:dyDescent="0.25">
      <c r="B78" s="899" t="s">
        <v>710</v>
      </c>
      <c r="C78" s="900"/>
      <c r="D78" s="900"/>
      <c r="E78" s="900"/>
      <c r="F78" s="901"/>
    </row>
    <row r="79" spans="2:12" ht="12.75" customHeight="1" x14ac:dyDescent="0.25">
      <c r="B79" s="902"/>
      <c r="C79" s="903"/>
      <c r="D79" s="903"/>
      <c r="E79" s="903"/>
      <c r="F79" s="904"/>
    </row>
    <row r="80" spans="2:12" ht="12.75" customHeight="1" thickBot="1" x14ac:dyDescent="0.3">
      <c r="B80" s="905"/>
      <c r="C80" s="906"/>
      <c r="D80" s="906"/>
      <c r="E80" s="906"/>
      <c r="F80" s="907"/>
    </row>
    <row r="81" spans="2:6" ht="12.75" customHeight="1" x14ac:dyDescent="0.25">
      <c r="B81" s="311"/>
      <c r="C81" s="311"/>
      <c r="D81" s="311"/>
      <c r="E81" s="311"/>
      <c r="F81" s="311"/>
    </row>
    <row r="82" spans="2:6" ht="12.75" customHeight="1" x14ac:dyDescent="0.25">
      <c r="B82" s="17" t="s">
        <v>8</v>
      </c>
    </row>
    <row r="83" spans="2:6" ht="12.75" customHeight="1" x14ac:dyDescent="0.25"/>
    <row r="84" spans="2:6" x14ac:dyDescent="0.25">
      <c r="C84" s="313">
        <f>C33+C39-C58-C65</f>
        <v>3729104.835</v>
      </c>
      <c r="D84" s="313">
        <f>D33+D39-D58-D65</f>
        <v>10557149.200000001</v>
      </c>
    </row>
    <row r="85" spans="2:6" x14ac:dyDescent="0.25">
      <c r="C85" s="313"/>
    </row>
    <row r="86" spans="2:6" x14ac:dyDescent="0.25">
      <c r="C86" s="55"/>
      <c r="D86" s="55"/>
      <c r="E86" s="55"/>
      <c r="F86" s="55"/>
    </row>
    <row r="87" spans="2:6" x14ac:dyDescent="0.25">
      <c r="C87" s="313"/>
      <c r="D87" s="313"/>
      <c r="E87" s="313"/>
      <c r="F87" s="313"/>
    </row>
    <row r="88" spans="2:6" x14ac:dyDescent="0.25">
      <c r="C88" s="313"/>
    </row>
    <row r="89" spans="2:6" x14ac:dyDescent="0.25">
      <c r="C89" s="610"/>
    </row>
  </sheetData>
  <mergeCells count="5">
    <mergeCell ref="B3:F3"/>
    <mergeCell ref="B4:F4"/>
    <mergeCell ref="B5:F5"/>
    <mergeCell ref="C7:E7"/>
    <mergeCell ref="B78:F80"/>
  </mergeCells>
  <printOptions horizontalCentered="1"/>
  <pageMargins left="0.7" right="0.7" top="0.75" bottom="0.75" header="0.3" footer="0.3"/>
  <pageSetup scale="71" fitToWidth="0" orientation="portrait" r:id="rId1"/>
  <rowBreaks count="1" manualBreakCount="1">
    <brk id="82" max="16383" man="1"/>
  </rowBreaks>
  <ignoredErrors>
    <ignoredError sqref="E39 E31"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56"/>
  <sheetViews>
    <sheetView workbookViewId="0"/>
  </sheetViews>
  <sheetFormatPr defaultColWidth="9.109375" defaultRowHeight="13.2" x14ac:dyDescent="0.25"/>
  <cols>
    <col min="1" max="1" width="13.6640625" style="17" customWidth="1"/>
    <col min="2" max="2" width="1.88671875" style="17" customWidth="1"/>
    <col min="3" max="3" width="8.33203125" style="17" customWidth="1"/>
    <col min="4" max="4" width="2" style="17" customWidth="1"/>
    <col min="5" max="5" width="15.6640625" style="17" bestFit="1" customWidth="1"/>
    <col min="6" max="6" width="2.44140625" style="17" customWidth="1"/>
    <col min="7" max="7" width="14.5546875" style="17" bestFit="1" customWidth="1"/>
    <col min="8" max="8" width="3.109375" style="17" customWidth="1"/>
    <col min="9" max="9" width="10" style="17" customWidth="1"/>
    <col min="10" max="10" width="2" style="17" customWidth="1"/>
    <col min="11" max="11" width="9.109375" style="17" customWidth="1"/>
    <col min="12" max="12" width="1.44140625" style="17" customWidth="1"/>
    <col min="13" max="13" width="12.109375" style="17" bestFit="1" customWidth="1"/>
    <col min="14" max="16384" width="9.109375" style="17"/>
  </cols>
  <sheetData>
    <row r="1" spans="1:14" s="41" customFormat="1" ht="13.8" x14ac:dyDescent="0.25">
      <c r="A1" s="478" t="s">
        <v>142</v>
      </c>
      <c r="B1" s="478"/>
      <c r="C1" s="478"/>
      <c r="D1" s="478"/>
      <c r="E1" s="478"/>
      <c r="F1" s="478"/>
      <c r="G1" s="478"/>
      <c r="H1" s="478"/>
      <c r="I1" s="478"/>
      <c r="J1" s="478"/>
      <c r="K1" s="479"/>
      <c r="L1" s="479"/>
      <c r="M1" s="479"/>
      <c r="N1" s="567"/>
    </row>
    <row r="2" spans="1:14" s="132" customFormat="1" ht="13.8" x14ac:dyDescent="0.25">
      <c r="A2" s="478" t="s">
        <v>143</v>
      </c>
      <c r="B2" s="481"/>
      <c r="C2" s="481"/>
      <c r="D2" s="481"/>
      <c r="E2" s="481"/>
      <c r="F2" s="481"/>
      <c r="G2" s="481"/>
      <c r="H2" s="481"/>
      <c r="I2" s="481"/>
      <c r="J2" s="481"/>
      <c r="K2" s="568"/>
      <c r="L2" s="568"/>
      <c r="M2" s="568"/>
      <c r="N2" s="569"/>
    </row>
    <row r="3" spans="1:14" s="41" customFormat="1" ht="13.8" x14ac:dyDescent="0.25">
      <c r="A3" s="478" t="s">
        <v>144</v>
      </c>
      <c r="B3" s="481"/>
      <c r="C3" s="481"/>
      <c r="D3" s="481"/>
      <c r="E3" s="481"/>
      <c r="F3" s="481"/>
      <c r="G3" s="481"/>
      <c r="H3" s="481"/>
      <c r="I3" s="481"/>
      <c r="J3" s="481"/>
      <c r="K3" s="568"/>
      <c r="L3" s="568"/>
      <c r="M3" s="568"/>
      <c r="N3" s="569"/>
    </row>
    <row r="4" spans="1:14" s="41" customFormat="1" x14ac:dyDescent="0.25">
      <c r="A4" s="479"/>
      <c r="B4" s="568"/>
      <c r="C4" s="568"/>
      <c r="D4" s="568"/>
      <c r="E4" s="568"/>
      <c r="F4" s="568"/>
      <c r="G4" s="568"/>
      <c r="H4" s="568"/>
      <c r="I4" s="568"/>
      <c r="J4" s="568"/>
      <c r="K4" s="568"/>
      <c r="L4" s="568"/>
      <c r="M4" s="568"/>
      <c r="N4" s="569"/>
    </row>
    <row r="5" spans="1:14" s="41" customFormat="1" ht="13.8" x14ac:dyDescent="0.25">
      <c r="A5" s="478" t="s">
        <v>145</v>
      </c>
      <c r="B5" s="568"/>
      <c r="C5" s="568"/>
      <c r="D5" s="568"/>
      <c r="E5" s="568"/>
      <c r="F5" s="568"/>
      <c r="G5" s="480"/>
      <c r="H5" s="480"/>
      <c r="I5" s="480"/>
      <c r="J5" s="480"/>
      <c r="K5" s="568"/>
      <c r="L5" s="568"/>
      <c r="M5" s="568"/>
      <c r="N5" s="569"/>
    </row>
    <row r="6" spans="1:14" ht="13.8" thickBot="1" x14ac:dyDescent="0.3">
      <c r="A6" s="304"/>
      <c r="B6" s="305"/>
      <c r="C6" s="305"/>
      <c r="D6" s="305"/>
      <c r="E6" s="305"/>
      <c r="F6" s="305"/>
      <c r="G6" s="305"/>
      <c r="H6" s="305"/>
      <c r="I6" s="305"/>
      <c r="J6" s="305"/>
      <c r="K6" s="305"/>
      <c r="L6" s="305"/>
      <c r="M6" s="305"/>
      <c r="N6" s="303"/>
    </row>
    <row r="7" spans="1:14" x14ac:dyDescent="0.25">
      <c r="A7" s="306"/>
      <c r="B7" s="303"/>
      <c r="C7" s="303"/>
      <c r="D7" s="303"/>
      <c r="E7" s="303"/>
      <c r="F7" s="303"/>
      <c r="G7" s="303"/>
      <c r="H7" s="303"/>
      <c r="I7" s="303"/>
      <c r="J7" s="303"/>
      <c r="K7" s="303"/>
      <c r="L7" s="303"/>
      <c r="M7" s="303"/>
      <c r="N7" s="303"/>
    </row>
    <row r="8" spans="1:14" x14ac:dyDescent="0.25">
      <c r="A8" s="465"/>
      <c r="B8" s="466"/>
      <c r="C8" s="466"/>
      <c r="D8" s="466"/>
      <c r="E8" s="466" t="s">
        <v>146</v>
      </c>
      <c r="F8" s="466"/>
      <c r="G8" s="466"/>
      <c r="H8" s="466"/>
      <c r="I8" s="466"/>
      <c r="J8" s="466"/>
      <c r="K8" s="466"/>
      <c r="L8" s="466"/>
      <c r="M8" s="466"/>
      <c r="N8" s="307"/>
    </row>
    <row r="9" spans="1:14" x14ac:dyDescent="0.25">
      <c r="A9" s="465"/>
      <c r="B9" s="466"/>
      <c r="C9" s="466" t="s">
        <v>147</v>
      </c>
      <c r="D9" s="466"/>
      <c r="E9" s="466" t="s">
        <v>148</v>
      </c>
      <c r="F9" s="466"/>
      <c r="G9" s="466" t="s">
        <v>149</v>
      </c>
      <c r="H9" s="466"/>
      <c r="I9" s="466"/>
      <c r="J9" s="466"/>
      <c r="K9" s="466"/>
      <c r="L9" s="466"/>
      <c r="M9" s="466" t="s">
        <v>150</v>
      </c>
      <c r="N9" s="307"/>
    </row>
    <row r="10" spans="1:14" x14ac:dyDescent="0.25">
      <c r="A10" s="466" t="s">
        <v>147</v>
      </c>
      <c r="B10" s="466"/>
      <c r="C10" s="466" t="s">
        <v>151</v>
      </c>
      <c r="D10" s="466"/>
      <c r="E10" s="467" t="s">
        <v>152</v>
      </c>
      <c r="F10" s="466"/>
      <c r="G10" s="466" t="s">
        <v>153</v>
      </c>
      <c r="H10" s="466"/>
      <c r="I10" s="466" t="s">
        <v>154</v>
      </c>
      <c r="J10" s="466"/>
      <c r="K10" s="466" t="s">
        <v>155</v>
      </c>
      <c r="L10" s="466"/>
      <c r="M10" s="466" t="s">
        <v>156</v>
      </c>
      <c r="N10" s="307"/>
    </row>
    <row r="11" spans="1:14" x14ac:dyDescent="0.25">
      <c r="A11" s="466" t="s">
        <v>157</v>
      </c>
      <c r="B11" s="466"/>
      <c r="C11" s="466" t="s">
        <v>64</v>
      </c>
      <c r="D11" s="466"/>
      <c r="E11" s="466" t="s">
        <v>158</v>
      </c>
      <c r="F11" s="466"/>
      <c r="G11" s="466" t="s">
        <v>159</v>
      </c>
      <c r="H11" s="466"/>
      <c r="I11" s="466" t="s">
        <v>160</v>
      </c>
      <c r="J11" s="466"/>
      <c r="K11" s="466" t="s">
        <v>161</v>
      </c>
      <c r="L11" s="466"/>
      <c r="M11" s="466" t="s">
        <v>161</v>
      </c>
      <c r="N11" s="307"/>
    </row>
    <row r="12" spans="1:14" x14ac:dyDescent="0.25">
      <c r="A12" s="468" t="s">
        <v>162</v>
      </c>
      <c r="B12" s="466"/>
      <c r="C12" s="468" t="s">
        <v>163</v>
      </c>
      <c r="D12" s="466"/>
      <c r="E12" s="468" t="s">
        <v>164</v>
      </c>
      <c r="F12" s="466"/>
      <c r="G12" s="468" t="s">
        <v>165</v>
      </c>
      <c r="H12" s="466"/>
      <c r="I12" s="468" t="s">
        <v>166</v>
      </c>
      <c r="J12" s="466"/>
      <c r="K12" s="468" t="s">
        <v>167</v>
      </c>
      <c r="L12" s="466"/>
      <c r="M12" s="468" t="s">
        <v>168</v>
      </c>
      <c r="N12" s="307"/>
    </row>
    <row r="13" spans="1:14" x14ac:dyDescent="0.25">
      <c r="A13" s="469"/>
      <c r="B13" s="469"/>
      <c r="C13" s="469"/>
      <c r="D13" s="469"/>
      <c r="E13" s="469"/>
      <c r="F13" s="469"/>
      <c r="G13" s="469"/>
      <c r="H13" s="469"/>
      <c r="I13" s="469"/>
      <c r="J13" s="469"/>
      <c r="K13" s="469"/>
      <c r="L13" s="469"/>
      <c r="M13" s="469"/>
      <c r="N13" s="303"/>
    </row>
    <row r="14" spans="1:14" s="41" customFormat="1" x14ac:dyDescent="0.25">
      <c r="A14" s="470">
        <v>40543</v>
      </c>
      <c r="B14" s="469"/>
      <c r="C14" s="121">
        <v>0</v>
      </c>
      <c r="D14" s="469"/>
      <c r="E14" s="471">
        <v>26457</v>
      </c>
      <c r="F14" s="472"/>
      <c r="G14" s="472">
        <v>26457</v>
      </c>
      <c r="H14" s="469"/>
      <c r="I14" s="473">
        <v>0</v>
      </c>
      <c r="J14" s="469"/>
      <c r="K14" s="474">
        <v>110452</v>
      </c>
      <c r="L14" s="469"/>
      <c r="M14" s="475">
        <v>0.24</v>
      </c>
      <c r="N14" s="303"/>
    </row>
    <row r="15" spans="1:14" s="41" customFormat="1" x14ac:dyDescent="0.25">
      <c r="A15" s="470">
        <v>40908</v>
      </c>
      <c r="B15" s="469"/>
      <c r="C15" s="121">
        <v>0</v>
      </c>
      <c r="D15" s="476"/>
      <c r="E15" s="477">
        <v>29938</v>
      </c>
      <c r="F15" s="476"/>
      <c r="G15" s="476">
        <v>29938</v>
      </c>
      <c r="H15" s="469"/>
      <c r="I15" s="473">
        <v>0</v>
      </c>
      <c r="J15" s="469"/>
      <c r="K15" s="477">
        <v>113746</v>
      </c>
      <c r="L15" s="469"/>
      <c r="M15" s="475">
        <v>0.26320046419214743</v>
      </c>
      <c r="N15" s="303"/>
    </row>
    <row r="16" spans="1:14" s="41" customFormat="1" x14ac:dyDescent="0.25">
      <c r="A16" s="470">
        <v>41274</v>
      </c>
      <c r="B16" s="469"/>
      <c r="C16" s="121">
        <v>0</v>
      </c>
      <c r="D16" s="476"/>
      <c r="E16" s="476">
        <v>36960</v>
      </c>
      <c r="F16" s="476"/>
      <c r="G16" s="476">
        <v>36960</v>
      </c>
      <c r="H16" s="469"/>
      <c r="I16" s="473">
        <v>0</v>
      </c>
      <c r="J16" s="469"/>
      <c r="K16" s="476">
        <v>126034</v>
      </c>
      <c r="L16" s="469"/>
      <c r="M16" s="475">
        <v>0.29325420124728246</v>
      </c>
      <c r="N16" s="303"/>
    </row>
    <row r="17" spans="1:14" s="41" customFormat="1" x14ac:dyDescent="0.25">
      <c r="A17" s="470">
        <v>41639</v>
      </c>
      <c r="B17" s="469"/>
      <c r="C17" s="121">
        <v>0</v>
      </c>
      <c r="D17" s="469"/>
      <c r="E17" s="476">
        <v>41067</v>
      </c>
      <c r="F17" s="469"/>
      <c r="G17" s="476">
        <v>41067</v>
      </c>
      <c r="H17" s="469"/>
      <c r="I17" s="473">
        <v>0</v>
      </c>
      <c r="J17" s="469"/>
      <c r="K17" s="476">
        <v>132668</v>
      </c>
      <c r="L17" s="469"/>
      <c r="M17" s="475">
        <v>0.30954714022974644</v>
      </c>
      <c r="N17" s="303"/>
    </row>
    <row r="18" spans="1:14" s="41" customFormat="1" x14ac:dyDescent="0.25">
      <c r="A18" s="470">
        <v>42004</v>
      </c>
      <c r="B18" s="469"/>
      <c r="C18" s="121">
        <v>0</v>
      </c>
      <c r="D18" s="469"/>
      <c r="E18" s="476">
        <v>45630</v>
      </c>
      <c r="F18" s="469"/>
      <c r="G18" s="476">
        <v>45630</v>
      </c>
      <c r="H18" s="469"/>
      <c r="I18" s="473">
        <v>0</v>
      </c>
      <c r="J18" s="469"/>
      <c r="K18" s="476">
        <v>139650</v>
      </c>
      <c r="L18" s="469"/>
      <c r="M18" s="475">
        <v>0.3267454350161117</v>
      </c>
      <c r="N18" s="303"/>
    </row>
    <row r="19" spans="1:14" s="41" customFormat="1" x14ac:dyDescent="0.25">
      <c r="A19" s="470">
        <v>42369</v>
      </c>
      <c r="B19" s="469"/>
      <c r="C19" s="121">
        <v>0</v>
      </c>
      <c r="D19" s="469"/>
      <c r="E19" s="476">
        <v>50700</v>
      </c>
      <c r="F19" s="469"/>
      <c r="G19" s="476">
        <v>50700</v>
      </c>
      <c r="H19" s="469"/>
      <c r="I19" s="473">
        <v>0</v>
      </c>
      <c r="J19" s="469"/>
      <c r="K19" s="476">
        <v>147000</v>
      </c>
      <c r="L19" s="469"/>
      <c r="M19" s="475">
        <v>0.3448979591836735</v>
      </c>
      <c r="N19" s="303"/>
    </row>
    <row r="20" spans="1:14" x14ac:dyDescent="0.25">
      <c r="A20" s="469"/>
      <c r="B20" s="469"/>
      <c r="C20" s="469"/>
      <c r="D20" s="469"/>
      <c r="E20" s="469"/>
      <c r="F20" s="469"/>
      <c r="G20" s="469"/>
      <c r="H20" s="469"/>
      <c r="I20" s="469"/>
      <c r="J20" s="469"/>
      <c r="K20" s="469"/>
      <c r="L20" s="469"/>
      <c r="M20" s="469"/>
      <c r="N20" s="303"/>
    </row>
    <row r="21" spans="1:14" ht="13.8" thickBot="1" x14ac:dyDescent="0.3">
      <c r="A21" s="303"/>
      <c r="B21" s="303"/>
      <c r="C21" s="303"/>
      <c r="D21" s="303"/>
      <c r="E21" s="303"/>
      <c r="F21" s="303"/>
      <c r="G21" s="303"/>
      <c r="H21" s="303"/>
      <c r="I21" s="303"/>
      <c r="J21" s="303"/>
      <c r="K21" s="303"/>
      <c r="L21" s="303"/>
      <c r="M21" s="303"/>
      <c r="N21" s="303"/>
    </row>
    <row r="22" spans="1:14" x14ac:dyDescent="0.25">
      <c r="A22" s="968" t="s">
        <v>735</v>
      </c>
      <c r="B22" s="969"/>
      <c r="C22" s="969"/>
      <c r="D22" s="969"/>
      <c r="E22" s="969"/>
      <c r="F22" s="969"/>
      <c r="G22" s="969"/>
      <c r="H22" s="969"/>
      <c r="I22" s="969"/>
      <c r="J22" s="969"/>
      <c r="K22" s="969"/>
      <c r="L22" s="969"/>
      <c r="M22" s="970"/>
    </row>
    <row r="23" spans="1:14" x14ac:dyDescent="0.25">
      <c r="A23" s="971"/>
      <c r="B23" s="972"/>
      <c r="C23" s="972"/>
      <c r="D23" s="972"/>
      <c r="E23" s="972"/>
      <c r="F23" s="972"/>
      <c r="G23" s="972"/>
      <c r="H23" s="972"/>
      <c r="I23" s="972"/>
      <c r="J23" s="972"/>
      <c r="K23" s="972"/>
      <c r="L23" s="972"/>
      <c r="M23" s="973"/>
    </row>
    <row r="24" spans="1:14" ht="13.8" thickBot="1" x14ac:dyDescent="0.3">
      <c r="A24" s="974"/>
      <c r="B24" s="975"/>
      <c r="C24" s="975"/>
      <c r="D24" s="975"/>
      <c r="E24" s="975"/>
      <c r="F24" s="975"/>
      <c r="G24" s="975"/>
      <c r="H24" s="975"/>
      <c r="I24" s="975"/>
      <c r="J24" s="975"/>
      <c r="K24" s="975"/>
      <c r="L24" s="975"/>
      <c r="M24" s="976"/>
      <c r="N24" s="161"/>
    </row>
    <row r="25" spans="1:14" x14ac:dyDescent="0.25">
      <c r="B25" s="295"/>
      <c r="C25" s="294"/>
      <c r="D25" s="295"/>
      <c r="E25" s="295"/>
      <c r="F25" s="295"/>
      <c r="G25" s="295"/>
      <c r="H25" s="295"/>
      <c r="I25" s="295"/>
      <c r="J25" s="295"/>
      <c r="K25" s="296"/>
      <c r="L25" s="296"/>
    </row>
    <row r="26" spans="1:14" ht="13.8" thickBot="1" x14ac:dyDescent="0.3">
      <c r="B26" s="347"/>
      <c r="C26" s="360"/>
      <c r="D26" s="360"/>
      <c r="E26" s="360"/>
      <c r="F26" s="360"/>
      <c r="G26" s="360"/>
      <c r="H26" s="360"/>
      <c r="I26" s="360"/>
      <c r="J26" s="295"/>
      <c r="K26" s="296"/>
      <c r="L26" s="296"/>
    </row>
    <row r="27" spans="1:14" x14ac:dyDescent="0.25">
      <c r="A27" s="959" t="s">
        <v>736</v>
      </c>
      <c r="B27" s="960"/>
      <c r="C27" s="960"/>
      <c r="D27" s="960"/>
      <c r="E27" s="960"/>
      <c r="F27" s="960"/>
      <c r="G27" s="960"/>
      <c r="H27" s="960"/>
      <c r="I27" s="960"/>
      <c r="J27" s="960"/>
      <c r="K27" s="960"/>
      <c r="L27" s="960"/>
      <c r="M27" s="961"/>
    </row>
    <row r="28" spans="1:14" x14ac:dyDescent="0.25">
      <c r="A28" s="962"/>
      <c r="B28" s="963"/>
      <c r="C28" s="963"/>
      <c r="D28" s="963"/>
      <c r="E28" s="963"/>
      <c r="F28" s="963"/>
      <c r="G28" s="963"/>
      <c r="H28" s="963"/>
      <c r="I28" s="963"/>
      <c r="J28" s="963"/>
      <c r="K28" s="963"/>
      <c r="L28" s="963"/>
      <c r="M28" s="964"/>
    </row>
    <row r="29" spans="1:14" ht="13.8" thickBot="1" x14ac:dyDescent="0.3">
      <c r="A29" s="965"/>
      <c r="B29" s="966"/>
      <c r="C29" s="966"/>
      <c r="D29" s="966"/>
      <c r="E29" s="966"/>
      <c r="F29" s="966"/>
      <c r="G29" s="966"/>
      <c r="H29" s="966"/>
      <c r="I29" s="966"/>
      <c r="J29" s="966"/>
      <c r="K29" s="966"/>
      <c r="L29" s="966"/>
      <c r="M29" s="967"/>
    </row>
    <row r="30" spans="1:14" x14ac:dyDescent="0.25">
      <c r="J30" s="298"/>
      <c r="K30" s="296"/>
      <c r="L30" s="296"/>
    </row>
    <row r="31" spans="1:14" x14ac:dyDescent="0.25">
      <c r="J31" s="298"/>
      <c r="K31" s="296"/>
      <c r="L31" s="296"/>
    </row>
    <row r="32" spans="1:14" x14ac:dyDescent="0.25">
      <c r="J32" s="298"/>
      <c r="K32" s="296"/>
      <c r="L32" s="296"/>
    </row>
    <row r="33" spans="2:12" x14ac:dyDescent="0.25">
      <c r="J33" s="298"/>
      <c r="K33" s="296"/>
      <c r="L33" s="296"/>
    </row>
    <row r="34" spans="2:12" x14ac:dyDescent="0.25">
      <c r="B34" s="295"/>
      <c r="C34" s="295"/>
      <c r="D34" s="295"/>
      <c r="E34" s="295"/>
      <c r="F34" s="295"/>
      <c r="G34" s="295"/>
      <c r="H34" s="295"/>
      <c r="I34" s="295"/>
      <c r="J34" s="298"/>
      <c r="K34" s="296"/>
      <c r="L34" s="296"/>
    </row>
    <row r="35" spans="2:12" x14ac:dyDescent="0.25">
      <c r="B35" s="295"/>
      <c r="C35" s="295"/>
      <c r="D35" s="295"/>
      <c r="E35" s="295"/>
      <c r="F35" s="295"/>
      <c r="G35" s="295"/>
      <c r="H35" s="295"/>
      <c r="I35" s="295"/>
      <c r="J35" s="298"/>
      <c r="K35" s="296"/>
      <c r="L35" s="296"/>
    </row>
    <row r="36" spans="2:12" x14ac:dyDescent="0.25">
      <c r="B36" s="295"/>
      <c r="C36" s="295"/>
      <c r="D36" s="295"/>
      <c r="E36" s="295"/>
      <c r="F36" s="295" t="s">
        <v>181</v>
      </c>
      <c r="G36" s="295"/>
      <c r="H36" s="295"/>
      <c r="I36" s="295"/>
      <c r="J36" s="298"/>
      <c r="K36" s="296"/>
      <c r="L36" s="296"/>
    </row>
    <row r="37" spans="2:12" x14ac:dyDescent="0.25">
      <c r="B37" s="295"/>
      <c r="C37" s="295"/>
      <c r="D37" s="295"/>
      <c r="E37" s="295"/>
      <c r="F37" s="295"/>
      <c r="G37" s="295"/>
      <c r="H37" s="295"/>
      <c r="I37" s="295"/>
      <c r="J37" s="298"/>
      <c r="K37" s="296"/>
      <c r="L37" s="296"/>
    </row>
    <row r="38" spans="2:12" x14ac:dyDescent="0.25">
      <c r="B38" s="295"/>
      <c r="C38" s="295"/>
      <c r="D38" s="295"/>
      <c r="E38" s="295"/>
      <c r="F38" s="295"/>
      <c r="G38" s="295"/>
      <c r="H38" s="295"/>
      <c r="I38" s="295"/>
      <c r="J38" s="298"/>
      <c r="K38" s="296"/>
      <c r="L38" s="296"/>
    </row>
    <row r="39" spans="2:12" x14ac:dyDescent="0.25">
      <c r="B39" s="295"/>
      <c r="C39" s="295"/>
      <c r="D39" s="295"/>
      <c r="E39" s="295"/>
      <c r="F39" s="295"/>
      <c r="G39" s="295"/>
      <c r="H39" s="295"/>
      <c r="I39" s="295"/>
      <c r="J39" s="298"/>
      <c r="K39" s="296"/>
      <c r="L39" s="296"/>
    </row>
    <row r="40" spans="2:12" x14ac:dyDescent="0.25">
      <c r="B40" s="295"/>
      <c r="C40" s="295"/>
      <c r="D40" s="295"/>
      <c r="E40" s="295"/>
      <c r="F40" s="295"/>
      <c r="G40" s="295"/>
      <c r="H40" s="295"/>
      <c r="I40" s="295"/>
      <c r="J40" s="298"/>
      <c r="K40" s="296"/>
      <c r="L40" s="296"/>
    </row>
    <row r="41" spans="2:12" x14ac:dyDescent="0.25">
      <c r="B41" s="295"/>
      <c r="C41" s="295"/>
      <c r="D41" s="295"/>
      <c r="E41" s="295"/>
      <c r="F41" s="295"/>
      <c r="G41" s="295"/>
      <c r="H41" s="295"/>
      <c r="I41" s="295"/>
      <c r="J41" s="298"/>
      <c r="K41" s="296"/>
      <c r="L41" s="296"/>
    </row>
    <row r="42" spans="2:12" x14ac:dyDescent="0.25">
      <c r="B42" s="295"/>
      <c r="C42" s="295"/>
      <c r="D42" s="295"/>
      <c r="E42" s="295"/>
      <c r="F42" s="299"/>
      <c r="G42" s="295"/>
      <c r="H42" s="295"/>
      <c r="I42" s="300"/>
      <c r="J42" s="298"/>
      <c r="K42" s="296"/>
      <c r="L42" s="296"/>
    </row>
    <row r="43" spans="2:12" x14ac:dyDescent="0.25">
      <c r="B43" s="295"/>
      <c r="C43" s="295"/>
      <c r="D43" s="295"/>
      <c r="E43" s="295"/>
      <c r="F43" s="295"/>
      <c r="G43" s="295"/>
      <c r="H43" s="295"/>
      <c r="I43" s="301"/>
      <c r="J43" s="295"/>
      <c r="K43" s="296"/>
      <c r="L43" s="296"/>
    </row>
    <row r="44" spans="2:12" x14ac:dyDescent="0.25">
      <c r="B44" s="295"/>
      <c r="C44" s="295"/>
      <c r="L44" s="296"/>
    </row>
    <row r="45" spans="2:12" x14ac:dyDescent="0.25">
      <c r="B45" s="295"/>
      <c r="C45" s="295"/>
      <c r="L45" s="296"/>
    </row>
    <row r="46" spans="2:12" x14ac:dyDescent="0.25">
      <c r="B46" s="295"/>
      <c r="C46" s="295"/>
      <c r="L46" s="296"/>
    </row>
    <row r="47" spans="2:12" x14ac:dyDescent="0.25">
      <c r="B47" s="295"/>
      <c r="C47" s="295"/>
      <c r="L47" s="296"/>
    </row>
    <row r="48" spans="2:12" x14ac:dyDescent="0.25">
      <c r="B48" s="295"/>
      <c r="C48" s="297"/>
      <c r="D48" s="297"/>
      <c r="E48" s="297"/>
      <c r="F48" s="359"/>
      <c r="G48" s="297"/>
      <c r="H48" s="297"/>
      <c r="I48" s="297"/>
      <c r="J48" s="297"/>
      <c r="K48" s="357"/>
      <c r="L48" s="357"/>
    </row>
    <row r="49" spans="2:12" x14ac:dyDescent="0.25">
      <c r="B49" s="297"/>
      <c r="C49" s="297"/>
      <c r="L49" s="358"/>
    </row>
    <row r="50" spans="2:12" x14ac:dyDescent="0.25">
      <c r="B50" s="297"/>
      <c r="C50" s="297"/>
      <c r="L50" s="358"/>
    </row>
    <row r="51" spans="2:12" x14ac:dyDescent="0.25">
      <c r="B51" s="297"/>
      <c r="C51" s="297"/>
      <c r="L51" s="357"/>
    </row>
    <row r="52" spans="2:12" x14ac:dyDescent="0.25">
      <c r="B52" s="297"/>
      <c r="C52" s="297"/>
      <c r="L52" s="357"/>
    </row>
    <row r="53" spans="2:12" x14ac:dyDescent="0.25">
      <c r="B53" s="957"/>
      <c r="C53" s="958"/>
      <c r="D53" s="958"/>
      <c r="E53" s="958"/>
      <c r="F53" s="958"/>
      <c r="G53" s="958"/>
      <c r="H53" s="958"/>
      <c r="I53" s="958"/>
      <c r="J53" s="958"/>
      <c r="K53" s="357"/>
      <c r="L53" s="357"/>
    </row>
    <row r="54" spans="2:12" x14ac:dyDescent="0.25">
      <c r="B54" s="295"/>
      <c r="C54" s="295"/>
      <c r="D54" s="295"/>
      <c r="E54" s="295"/>
      <c r="F54" s="295"/>
      <c r="G54" s="295"/>
      <c r="H54" s="295"/>
      <c r="I54" s="295"/>
      <c r="J54" s="295"/>
      <c r="K54" s="302"/>
      <c r="L54" s="302"/>
    </row>
    <row r="55" spans="2:12" x14ac:dyDescent="0.25">
      <c r="B55" s="295"/>
      <c r="C55" s="295"/>
      <c r="D55" s="295"/>
      <c r="E55" s="295"/>
      <c r="F55" s="295"/>
      <c r="G55" s="295"/>
      <c r="H55" s="295"/>
      <c r="I55" s="295"/>
      <c r="J55" s="295"/>
      <c r="K55" s="302"/>
      <c r="L55" s="302"/>
    </row>
    <row r="56" spans="2:12" x14ac:dyDescent="0.25">
      <c r="B56" s="295"/>
      <c r="C56" s="295"/>
      <c r="D56" s="295"/>
      <c r="E56" s="295"/>
      <c r="F56" s="295"/>
      <c r="G56" s="295"/>
      <c r="H56" s="295"/>
      <c r="I56" s="295"/>
      <c r="J56" s="295"/>
      <c r="K56" s="302"/>
      <c r="L56" s="302"/>
    </row>
  </sheetData>
  <customSheetViews>
    <customSheetView guid="{AB48C5D7-99F4-4378-A0F9-05018B348977}">
      <selection activeCell="J22" sqref="J22"/>
      <pageMargins left="0.75" right="0.75" top="1" bottom="1" header="0.5" footer="0.5"/>
      <pageSetup scale="79" firstPageNumber="89" orientation="portrait" useFirstPageNumber="1" r:id="rId1"/>
      <headerFooter alignWithMargins="0"/>
    </customSheetView>
  </customSheetViews>
  <mergeCells count="3">
    <mergeCell ref="B53:J53"/>
    <mergeCell ref="A27:M29"/>
    <mergeCell ref="A22:M24"/>
  </mergeCells>
  <phoneticPr fontId="0" type="noConversion"/>
  <pageMargins left="0.75" right="0.75" top="1" bottom="1" header="0.5" footer="0.5"/>
  <pageSetup scale="79" firstPageNumber="89" orientation="portrait" useFirstPageNumber="1"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FF00"/>
    <pageSetUpPr fitToPage="1"/>
  </sheetPr>
  <dimension ref="B2:AJ32"/>
  <sheetViews>
    <sheetView workbookViewId="0"/>
  </sheetViews>
  <sheetFormatPr defaultColWidth="8.88671875" defaultRowHeight="13.2" x14ac:dyDescent="0.25"/>
  <cols>
    <col min="1" max="1" width="8.88671875" style="538"/>
    <col min="2" max="2" width="31.6640625" style="538" customWidth="1"/>
    <col min="3" max="3" width="11.88671875" style="538" customWidth="1"/>
    <col min="4" max="4" width="1.5546875" style="538" customWidth="1"/>
    <col min="5" max="5" width="11.88671875" style="538" bestFit="1" customWidth="1"/>
    <col min="6" max="6" width="1.33203125" style="538" customWidth="1"/>
    <col min="7" max="7" width="11.88671875" style="538" bestFit="1" customWidth="1"/>
    <col min="8" max="8" width="1.33203125" style="538" customWidth="1"/>
    <col min="9" max="9" width="11.88671875" style="538" bestFit="1" customWidth="1"/>
    <col min="10" max="10" width="1.33203125" style="538" customWidth="1"/>
    <col min="11" max="11" width="11.88671875" style="538" bestFit="1" customWidth="1"/>
    <col min="12" max="12" width="1.33203125" style="538" customWidth="1"/>
    <col min="13" max="13" width="11.88671875" style="538" bestFit="1" customWidth="1"/>
    <col min="14" max="14" width="1.33203125" style="538" customWidth="1"/>
    <col min="15" max="15" width="11.88671875" style="538" bestFit="1" customWidth="1"/>
    <col min="16" max="16" width="1.33203125" style="538" customWidth="1"/>
    <col min="17" max="17" width="11.88671875" style="538" bestFit="1" customWidth="1"/>
    <col min="18" max="18" width="1.33203125" style="41" customWidth="1"/>
    <col min="19" max="19" width="12.109375" style="538" hidden="1" customWidth="1"/>
    <col min="20" max="20" width="1.33203125" style="41" hidden="1" customWidth="1"/>
    <col min="21" max="21" width="5" style="538" hidden="1" customWidth="1"/>
    <col min="22" max="22" width="1.33203125" style="41" hidden="1" customWidth="1"/>
    <col min="23" max="23" width="5" style="538" hidden="1" customWidth="1"/>
    <col min="24" max="24" width="1.33203125" style="41" hidden="1" customWidth="1"/>
    <col min="25" max="25" width="5" style="538" hidden="1" customWidth="1"/>
    <col min="26" max="26" width="1.33203125" style="41" hidden="1" customWidth="1"/>
    <col min="27" max="27" width="5" style="538" hidden="1" customWidth="1"/>
    <col min="28" max="28" width="1.33203125" style="41" hidden="1" customWidth="1"/>
    <col min="29" max="29" width="5" style="538" hidden="1" customWidth="1"/>
    <col min="30" max="30" width="1.33203125" style="41" hidden="1" customWidth="1"/>
    <col min="31" max="31" width="5" style="538" hidden="1" customWidth="1"/>
    <col min="32" max="32" width="1.33203125" style="41" hidden="1" customWidth="1"/>
    <col min="33" max="33" width="5" style="538" hidden="1" customWidth="1"/>
    <col min="34" max="34" width="1.44140625" style="538" hidden="1" customWidth="1"/>
    <col min="35" max="35" width="5" style="538" hidden="1" customWidth="1"/>
    <col min="36" max="36" width="11.44140625" style="538" customWidth="1"/>
    <col min="37" max="16384" width="8.88671875" style="538"/>
  </cols>
  <sheetData>
    <row r="2" spans="2:36" ht="13.8" x14ac:dyDescent="0.25">
      <c r="B2" s="986" t="s">
        <v>142</v>
      </c>
      <c r="C2" s="986"/>
      <c r="D2" s="986"/>
      <c r="E2" s="986"/>
      <c r="F2" s="986"/>
      <c r="G2" s="986"/>
      <c r="H2" s="986"/>
      <c r="I2" s="986"/>
      <c r="J2" s="986"/>
      <c r="K2" s="986"/>
      <c r="L2" s="986"/>
      <c r="M2" s="986"/>
      <c r="N2" s="986"/>
      <c r="O2" s="986"/>
      <c r="P2" s="986"/>
      <c r="Q2" s="986"/>
      <c r="R2" s="986"/>
      <c r="S2" s="729"/>
      <c r="T2" s="729"/>
      <c r="U2" s="729"/>
      <c r="V2" s="729"/>
      <c r="W2" s="729"/>
      <c r="X2" s="729"/>
      <c r="Y2" s="729"/>
      <c r="Z2" s="729"/>
      <c r="AA2" s="729"/>
      <c r="AB2" s="729"/>
      <c r="AC2" s="729"/>
      <c r="AD2" s="729"/>
      <c r="AE2" s="729"/>
      <c r="AF2" s="729"/>
      <c r="AG2" s="729"/>
    </row>
    <row r="3" spans="2:36" ht="13.8" x14ac:dyDescent="0.25">
      <c r="B3" s="986" t="s">
        <v>676</v>
      </c>
      <c r="C3" s="986"/>
      <c r="D3" s="986"/>
      <c r="E3" s="986"/>
      <c r="F3" s="986"/>
      <c r="G3" s="986"/>
      <c r="H3" s="986"/>
      <c r="I3" s="986"/>
      <c r="J3" s="986"/>
      <c r="K3" s="986"/>
      <c r="L3" s="986"/>
      <c r="M3" s="986"/>
      <c r="N3" s="986"/>
      <c r="O3" s="986"/>
      <c r="P3" s="986"/>
      <c r="Q3" s="986"/>
      <c r="R3" s="986"/>
      <c r="S3" s="986"/>
      <c r="T3" s="986"/>
      <c r="U3" s="986"/>
      <c r="V3" s="986"/>
      <c r="W3" s="986"/>
      <c r="X3" s="986"/>
      <c r="Y3" s="986"/>
      <c r="Z3" s="986"/>
      <c r="AA3" s="986"/>
      <c r="AB3" s="986"/>
      <c r="AC3" s="986"/>
      <c r="AD3" s="986"/>
      <c r="AE3" s="986"/>
      <c r="AF3" s="986"/>
      <c r="AG3" s="986"/>
    </row>
    <row r="4" spans="2:36" ht="13.8" x14ac:dyDescent="0.25">
      <c r="B4" s="986" t="s">
        <v>144</v>
      </c>
      <c r="C4" s="986"/>
      <c r="D4" s="986"/>
      <c r="E4" s="986"/>
      <c r="F4" s="986"/>
      <c r="G4" s="986"/>
      <c r="H4" s="986"/>
      <c r="I4" s="986"/>
      <c r="J4" s="986"/>
      <c r="K4" s="986"/>
      <c r="L4" s="986"/>
      <c r="M4" s="986"/>
      <c r="N4" s="986"/>
      <c r="O4" s="986"/>
      <c r="P4" s="986"/>
      <c r="Q4" s="986"/>
      <c r="R4" s="986"/>
      <c r="S4" s="986"/>
      <c r="T4" s="986"/>
      <c r="U4" s="986"/>
      <c r="V4" s="986"/>
      <c r="W4" s="986"/>
      <c r="X4" s="986"/>
      <c r="Y4" s="986"/>
      <c r="Z4" s="986"/>
      <c r="AA4" s="986"/>
      <c r="AB4" s="986"/>
      <c r="AC4" s="986"/>
      <c r="AD4" s="986"/>
      <c r="AE4" s="986"/>
      <c r="AF4" s="986"/>
      <c r="AG4" s="986"/>
    </row>
    <row r="5" spans="2:36" ht="13.8" x14ac:dyDescent="0.25">
      <c r="B5" s="986" t="s">
        <v>865</v>
      </c>
      <c r="C5" s="986"/>
      <c r="D5" s="986"/>
      <c r="E5" s="986"/>
      <c r="F5" s="986"/>
      <c r="G5" s="986"/>
      <c r="H5" s="986"/>
      <c r="I5" s="986"/>
      <c r="J5" s="986"/>
      <c r="K5" s="986"/>
      <c r="L5" s="986"/>
      <c r="M5" s="986"/>
      <c r="N5" s="986"/>
      <c r="O5" s="986"/>
      <c r="P5" s="986"/>
      <c r="Q5" s="986"/>
      <c r="R5" s="986"/>
      <c r="S5" s="986"/>
      <c r="T5" s="986"/>
      <c r="U5" s="986"/>
      <c r="V5" s="986"/>
      <c r="W5" s="986"/>
      <c r="X5" s="986"/>
      <c r="Y5" s="986"/>
      <c r="Z5" s="986"/>
      <c r="AA5" s="986"/>
      <c r="AB5" s="986"/>
      <c r="AC5" s="986"/>
      <c r="AD5" s="986"/>
      <c r="AE5" s="986"/>
      <c r="AF5" s="986"/>
      <c r="AG5" s="986"/>
    </row>
    <row r="6" spans="2:36" ht="13.8" x14ac:dyDescent="0.25">
      <c r="B6" s="541"/>
      <c r="C6" s="541"/>
      <c r="D6" s="541"/>
      <c r="E6" s="541"/>
      <c r="F6" s="541"/>
      <c r="G6" s="541"/>
      <c r="H6" s="541"/>
      <c r="I6" s="541"/>
      <c r="J6" s="541"/>
      <c r="K6" s="541"/>
      <c r="L6" s="541"/>
      <c r="M6" s="541"/>
      <c r="N6" s="541"/>
      <c r="O6" s="541"/>
      <c r="P6" s="541"/>
      <c r="Q6" s="541"/>
      <c r="R6" s="541"/>
      <c r="S6" s="541"/>
      <c r="T6" s="541"/>
      <c r="U6" s="541"/>
      <c r="V6" s="541"/>
      <c r="W6" s="541"/>
      <c r="X6" s="541"/>
      <c r="Y6" s="541"/>
      <c r="Z6" s="541"/>
      <c r="AA6" s="541"/>
      <c r="AB6" s="541"/>
      <c r="AC6" s="541"/>
      <c r="AD6" s="541"/>
      <c r="AE6" s="541"/>
      <c r="AF6" s="541"/>
      <c r="AG6" s="541"/>
    </row>
    <row r="7" spans="2:36" ht="13.8" x14ac:dyDescent="0.25">
      <c r="B7" s="986" t="s">
        <v>685</v>
      </c>
      <c r="C7" s="986"/>
      <c r="D7" s="986"/>
      <c r="E7" s="986"/>
      <c r="F7" s="986"/>
      <c r="G7" s="986"/>
      <c r="H7" s="986"/>
      <c r="I7" s="986"/>
      <c r="J7" s="986"/>
      <c r="K7" s="986"/>
      <c r="L7" s="986"/>
      <c r="M7" s="986"/>
      <c r="N7" s="986"/>
      <c r="O7" s="986"/>
      <c r="P7" s="986"/>
      <c r="Q7" s="986"/>
      <c r="R7" s="986"/>
      <c r="S7" s="729"/>
      <c r="T7" s="729"/>
      <c r="U7" s="729"/>
      <c r="V7" s="729"/>
      <c r="W7" s="729"/>
      <c r="X7" s="729"/>
      <c r="Y7" s="729"/>
      <c r="Z7" s="729"/>
      <c r="AA7" s="729"/>
      <c r="AB7" s="729"/>
      <c r="AC7" s="729"/>
      <c r="AD7" s="729"/>
      <c r="AE7" s="729"/>
      <c r="AF7" s="729"/>
      <c r="AG7" s="729"/>
    </row>
    <row r="9" spans="2:36" x14ac:dyDescent="0.25">
      <c r="C9" s="83">
        <v>2023</v>
      </c>
      <c r="E9" s="83">
        <v>2022</v>
      </c>
      <c r="G9" s="594">
        <v>2021</v>
      </c>
      <c r="I9" s="594">
        <v>2020</v>
      </c>
      <c r="K9" s="594">
        <v>2019</v>
      </c>
      <c r="M9" s="594">
        <v>2018</v>
      </c>
      <c r="O9" s="594">
        <v>2017</v>
      </c>
      <c r="P9" s="544"/>
      <c r="Q9" s="594">
        <v>2016</v>
      </c>
      <c r="R9" s="544"/>
      <c r="S9" s="594">
        <v>2015</v>
      </c>
      <c r="T9" s="442"/>
      <c r="U9" s="544">
        <v>2012</v>
      </c>
      <c r="V9" s="442"/>
      <c r="W9" s="544">
        <v>2011</v>
      </c>
      <c r="X9" s="442"/>
      <c r="Y9" s="544">
        <v>2010</v>
      </c>
      <c r="Z9" s="442"/>
      <c r="AA9" s="544">
        <v>2009</v>
      </c>
      <c r="AB9" s="442"/>
      <c r="AC9" s="544">
        <v>2008</v>
      </c>
      <c r="AD9" s="442"/>
      <c r="AE9" s="544">
        <v>2007</v>
      </c>
      <c r="AF9" s="442"/>
      <c r="AG9" s="544">
        <v>2006</v>
      </c>
      <c r="AJ9" s="594">
        <v>2015</v>
      </c>
    </row>
    <row r="10" spans="2:36" x14ac:dyDescent="0.25">
      <c r="B10" s="538" t="s">
        <v>678</v>
      </c>
      <c r="C10" s="448">
        <v>155000</v>
      </c>
      <c r="E10" s="573">
        <v>120000</v>
      </c>
      <c r="G10" s="573">
        <v>125000</v>
      </c>
      <c r="I10" s="573">
        <v>128000</v>
      </c>
      <c r="K10" s="573">
        <v>127000</v>
      </c>
      <c r="M10" s="573">
        <v>125000</v>
      </c>
      <c r="N10" s="571"/>
      <c r="O10" s="448">
        <v>119478</v>
      </c>
      <c r="Q10" s="448">
        <v>118546</v>
      </c>
      <c r="R10" s="538"/>
      <c r="S10" s="448">
        <v>118546</v>
      </c>
      <c r="U10" s="574"/>
      <c r="W10" s="574"/>
      <c r="Y10" s="574"/>
      <c r="AA10" s="574"/>
      <c r="AC10" s="574"/>
      <c r="AE10" s="574"/>
      <c r="AG10" s="574"/>
      <c r="AJ10" s="448">
        <v>115000</v>
      </c>
    </row>
    <row r="11" spans="2:36" x14ac:dyDescent="0.25">
      <c r="C11" s="727"/>
      <c r="E11" s="571"/>
      <c r="G11" s="571"/>
      <c r="I11" s="571"/>
      <c r="K11" s="571"/>
      <c r="M11" s="571"/>
      <c r="N11" s="571"/>
      <c r="O11" s="41"/>
      <c r="Q11" s="41"/>
      <c r="R11" s="538"/>
      <c r="S11" s="41"/>
      <c r="U11" s="572"/>
      <c r="W11" s="572"/>
      <c r="Y11" s="572"/>
      <c r="AA11" s="572"/>
      <c r="AC11" s="572"/>
      <c r="AE11" s="572"/>
      <c r="AG11" s="572"/>
      <c r="AJ11" s="41"/>
    </row>
    <row r="12" spans="2:36" ht="26.4" x14ac:dyDescent="0.25">
      <c r="B12" s="540" t="s">
        <v>679</v>
      </c>
      <c r="C12" s="449">
        <v>155000</v>
      </c>
      <c r="D12" s="540"/>
      <c r="E12" s="577">
        <v>120000</v>
      </c>
      <c r="F12" s="540"/>
      <c r="G12" s="577">
        <v>125000</v>
      </c>
      <c r="H12" s="540"/>
      <c r="I12" s="577">
        <f>I10</f>
        <v>128000</v>
      </c>
      <c r="J12" s="540"/>
      <c r="K12" s="577">
        <f>K10</f>
        <v>127000</v>
      </c>
      <c r="L12" s="540"/>
      <c r="M12" s="577">
        <v>125000</v>
      </c>
      <c r="O12" s="449">
        <v>119478</v>
      </c>
      <c r="Q12" s="449">
        <v>118546</v>
      </c>
      <c r="R12" s="538"/>
      <c r="S12" s="449">
        <v>118546</v>
      </c>
      <c r="U12" s="578"/>
      <c r="W12" s="578"/>
      <c r="Y12" s="578"/>
      <c r="AA12" s="578"/>
      <c r="AC12" s="578"/>
      <c r="AE12" s="578"/>
      <c r="AG12" s="578"/>
      <c r="AJ12" s="449">
        <v>115000</v>
      </c>
    </row>
    <row r="13" spans="2:36" ht="7.2" customHeight="1" x14ac:dyDescent="0.25">
      <c r="C13" s="41"/>
      <c r="O13" s="41"/>
      <c r="Q13" s="41"/>
      <c r="R13" s="538"/>
      <c r="S13" s="41"/>
      <c r="U13" s="572"/>
      <c r="W13" s="572"/>
      <c r="Y13" s="572"/>
      <c r="AA13" s="572"/>
      <c r="AC13" s="572"/>
      <c r="AE13" s="572"/>
      <c r="AG13" s="572"/>
      <c r="AJ13" s="41"/>
    </row>
    <row r="14" spans="2:36" ht="13.8" thickBot="1" x14ac:dyDescent="0.3">
      <c r="B14" s="539" t="s">
        <v>680</v>
      </c>
      <c r="C14" s="452">
        <f>C10-C12</f>
        <v>0</v>
      </c>
      <c r="D14" s="539"/>
      <c r="E14" s="579">
        <f>E10-E12</f>
        <v>0</v>
      </c>
      <c r="F14" s="539"/>
      <c r="G14" s="579">
        <f>G10-G12</f>
        <v>0</v>
      </c>
      <c r="H14" s="539"/>
      <c r="I14" s="579">
        <f>I10-I12</f>
        <v>0</v>
      </c>
      <c r="J14" s="539"/>
      <c r="K14" s="579">
        <f>K10-K12</f>
        <v>0</v>
      </c>
      <c r="L14" s="539"/>
      <c r="M14" s="579">
        <f>M10-M12</f>
        <v>0</v>
      </c>
      <c r="N14" s="580"/>
      <c r="O14" s="452">
        <v>0</v>
      </c>
      <c r="Q14" s="452">
        <v>0</v>
      </c>
      <c r="R14" s="538"/>
      <c r="S14" s="452">
        <v>0</v>
      </c>
      <c r="T14" s="581"/>
      <c r="U14" s="582">
        <f>U10-U12</f>
        <v>0</v>
      </c>
      <c r="V14" s="581"/>
      <c r="W14" s="582">
        <f>W10-W12</f>
        <v>0</v>
      </c>
      <c r="X14" s="581"/>
      <c r="Y14" s="582">
        <f>Y10-Y12</f>
        <v>0</v>
      </c>
      <c r="Z14" s="581"/>
      <c r="AA14" s="582">
        <f>AA10-AA12</f>
        <v>0</v>
      </c>
      <c r="AB14" s="581"/>
      <c r="AC14" s="582">
        <f>AC10-AC12</f>
        <v>0</v>
      </c>
      <c r="AD14" s="581"/>
      <c r="AE14" s="582">
        <f>AE10-AE12</f>
        <v>0</v>
      </c>
      <c r="AF14" s="581"/>
      <c r="AG14" s="582">
        <f>AG10-AG12</f>
        <v>0</v>
      </c>
      <c r="AJ14" s="452">
        <v>0</v>
      </c>
    </row>
    <row r="15" spans="2:36" ht="13.8" thickTop="1" x14ac:dyDescent="0.25">
      <c r="C15" s="41"/>
      <c r="O15" s="41"/>
      <c r="Q15" s="41"/>
      <c r="R15" s="538"/>
      <c r="S15" s="41"/>
      <c r="U15" s="572"/>
      <c r="W15" s="572"/>
      <c r="Y15" s="572"/>
      <c r="AA15" s="572"/>
      <c r="AC15" s="572"/>
      <c r="AE15" s="572"/>
      <c r="AG15" s="572"/>
      <c r="AJ15" s="41"/>
    </row>
    <row r="16" spans="2:36" x14ac:dyDescent="0.25">
      <c r="B16" s="538" t="s">
        <v>732</v>
      </c>
      <c r="C16" s="448">
        <f>C10/C18</f>
        <v>1923076.923076923</v>
      </c>
      <c r="E16" s="448">
        <f>E10/E18</f>
        <v>1534526.8542199486</v>
      </c>
      <c r="G16" s="448">
        <v>1850442</v>
      </c>
      <c r="I16" s="448">
        <v>1698336</v>
      </c>
      <c r="K16" s="448">
        <v>1689436</v>
      </c>
      <c r="M16" s="448">
        <v>1757029.05</v>
      </c>
      <c r="O16" s="448">
        <v>1673361</v>
      </c>
      <c r="Q16" s="448">
        <v>1593542</v>
      </c>
      <c r="R16" s="538"/>
      <c r="S16" s="448">
        <v>1593542</v>
      </c>
      <c r="U16" s="574"/>
      <c r="W16" s="574"/>
      <c r="Y16" s="574"/>
      <c r="AA16" s="574"/>
      <c r="AC16" s="574"/>
      <c r="AE16" s="574"/>
      <c r="AG16" s="574"/>
      <c r="AJ16" s="448">
        <v>1559342</v>
      </c>
    </row>
    <row r="17" spans="2:36" x14ac:dyDescent="0.25">
      <c r="C17" s="41"/>
      <c r="O17" s="41"/>
      <c r="Q17" s="41"/>
      <c r="R17" s="538"/>
      <c r="S17" s="41"/>
      <c r="U17" s="572"/>
      <c r="W17" s="572"/>
      <c r="Y17" s="572"/>
      <c r="AA17" s="572"/>
      <c r="AC17" s="572"/>
      <c r="AE17" s="572"/>
      <c r="AG17" s="572"/>
      <c r="AJ17" s="41"/>
    </row>
    <row r="18" spans="2:36" ht="26.4" x14ac:dyDescent="0.25">
      <c r="B18" s="539" t="s">
        <v>741</v>
      </c>
      <c r="C18" s="728">
        <v>8.0600000000000005E-2</v>
      </c>
      <c r="D18" s="539"/>
      <c r="E18" s="583">
        <v>7.8200000000000006E-2</v>
      </c>
      <c r="F18" s="539"/>
      <c r="G18" s="583">
        <f>IF(G16=0," ",G12/G16)</f>
        <v>6.7551428253357845E-2</v>
      </c>
      <c r="H18" s="539"/>
      <c r="I18" s="583">
        <f>IF(I16=0," ",I12/I16)</f>
        <v>7.5367889510673983E-2</v>
      </c>
      <c r="J18" s="539"/>
      <c r="K18" s="583">
        <f>IF(K16=0," ",K12/K16)</f>
        <v>7.5173016320239414E-2</v>
      </c>
      <c r="L18" s="539"/>
      <c r="M18" s="583">
        <f>IF(M16=0," ",M12/M16)</f>
        <v>7.1142819181048825E-2</v>
      </c>
      <c r="N18" s="575"/>
      <c r="O18" s="583">
        <v>7.1400014700952155E-2</v>
      </c>
      <c r="Q18" s="583">
        <f>IF(Q16=0," ",Q12/Q16)</f>
        <v>7.4391512743310184E-2</v>
      </c>
      <c r="R18" s="538"/>
      <c r="S18" s="583">
        <f>IF(S16=0," ",S12/S16)</f>
        <v>7.4391512743310184E-2</v>
      </c>
      <c r="U18" s="549" t="str">
        <f>IF(U16=0," ",U12/U16)</f>
        <v xml:space="preserve"> </v>
      </c>
      <c r="W18" s="549" t="str">
        <f>IF(W16=0," ",W12/W16)</f>
        <v xml:space="preserve"> </v>
      </c>
      <c r="Y18" s="549" t="str">
        <f>IF(Y16=0," ",Y12/Y16)</f>
        <v xml:space="preserve"> </v>
      </c>
      <c r="AA18" s="549" t="str">
        <f>IF(AA16=0," ",AA12/AA16)</f>
        <v xml:space="preserve"> </v>
      </c>
      <c r="AC18" s="549" t="str">
        <f>IF(AC16=0," ",AC12/AC16)</f>
        <v xml:space="preserve"> </v>
      </c>
      <c r="AE18" s="549" t="str">
        <f>IF(AE16=0," ",AE12/AE16)</f>
        <v xml:space="preserve"> </v>
      </c>
      <c r="AG18" s="549" t="str">
        <f>IF(AG16=0," ",AG12/AG16)</f>
        <v xml:space="preserve"> </v>
      </c>
      <c r="AH18" s="584"/>
      <c r="AJ18" s="583">
        <f>IF(AJ16=0," ",AJ12/AJ16)</f>
        <v>7.374905569143908E-2</v>
      </c>
    </row>
    <row r="19" spans="2:36" x14ac:dyDescent="0.25">
      <c r="E19" s="575"/>
      <c r="G19" s="575"/>
      <c r="I19" s="575"/>
      <c r="K19" s="575"/>
      <c r="M19" s="575"/>
      <c r="O19" s="575"/>
      <c r="Q19" s="575"/>
      <c r="S19" s="575"/>
    </row>
    <row r="20" spans="2:36" ht="13.8" thickBot="1" x14ac:dyDescent="0.3"/>
    <row r="21" spans="2:36" ht="12.75" customHeight="1" x14ac:dyDescent="0.25">
      <c r="B21" s="977" t="s">
        <v>712</v>
      </c>
      <c r="C21" s="978"/>
      <c r="D21" s="978"/>
      <c r="E21" s="978"/>
      <c r="F21" s="978"/>
      <c r="G21" s="978"/>
      <c r="H21" s="978"/>
      <c r="I21" s="978"/>
      <c r="J21" s="978"/>
      <c r="K21" s="978"/>
      <c r="L21" s="978"/>
      <c r="M21" s="978"/>
      <c r="N21" s="978"/>
      <c r="O21" s="978"/>
      <c r="P21" s="978"/>
      <c r="Q21" s="978"/>
      <c r="R21" s="979"/>
      <c r="S21" s="818"/>
      <c r="T21" s="310"/>
      <c r="U21" s="585"/>
      <c r="V21" s="585"/>
      <c r="W21" s="585"/>
      <c r="X21" s="585"/>
      <c r="Y21" s="585"/>
      <c r="Z21" s="585"/>
      <c r="AA21" s="585"/>
      <c r="AB21" s="585"/>
      <c r="AC21" s="585"/>
      <c r="AD21" s="585"/>
      <c r="AE21" s="585"/>
      <c r="AF21" s="585"/>
    </row>
    <row r="22" spans="2:36" ht="13.8" thickBot="1" x14ac:dyDescent="0.3">
      <c r="B22" s="980"/>
      <c r="C22" s="981"/>
      <c r="D22" s="981"/>
      <c r="E22" s="981"/>
      <c r="F22" s="981"/>
      <c r="G22" s="981"/>
      <c r="H22" s="981"/>
      <c r="I22" s="981"/>
      <c r="J22" s="981"/>
      <c r="K22" s="981"/>
      <c r="L22" s="981"/>
      <c r="M22" s="981"/>
      <c r="N22" s="981"/>
      <c r="O22" s="981"/>
      <c r="P22" s="981"/>
      <c r="Q22" s="981"/>
      <c r="R22" s="982"/>
      <c r="S22" s="819"/>
      <c r="T22" s="310"/>
      <c r="U22" s="585"/>
      <c r="V22" s="585"/>
      <c r="W22" s="585"/>
      <c r="X22" s="585"/>
      <c r="Y22" s="585"/>
      <c r="Z22" s="585"/>
      <c r="AA22" s="585"/>
      <c r="AB22" s="585"/>
      <c r="AC22" s="585"/>
      <c r="AD22" s="585"/>
      <c r="AE22" s="585"/>
      <c r="AF22" s="585"/>
    </row>
    <row r="23" spans="2:36" ht="13.8" thickBot="1" x14ac:dyDescent="0.3">
      <c r="B23" s="773"/>
      <c r="C23" s="773"/>
      <c r="D23" s="773"/>
      <c r="E23" s="773"/>
      <c r="F23" s="773"/>
      <c r="G23" s="773"/>
      <c r="H23" s="773"/>
      <c r="I23" s="773"/>
      <c r="J23" s="773"/>
      <c r="K23" s="773"/>
      <c r="L23" s="773"/>
      <c r="M23" s="773"/>
      <c r="N23" s="773"/>
      <c r="O23" s="773"/>
      <c r="P23" s="773"/>
      <c r="Q23" s="773"/>
      <c r="R23" s="426"/>
      <c r="S23" s="576"/>
      <c r="T23" s="426"/>
      <c r="U23" s="576"/>
      <c r="V23" s="426"/>
      <c r="W23" s="576"/>
      <c r="X23" s="426"/>
      <c r="Y23" s="576"/>
      <c r="Z23" s="426"/>
      <c r="AA23" s="576"/>
      <c r="AB23" s="426"/>
      <c r="AC23" s="576"/>
      <c r="AD23" s="426"/>
      <c r="AE23" s="576"/>
      <c r="AF23" s="426"/>
      <c r="AG23" s="576"/>
    </row>
    <row r="24" spans="2:36" ht="87.6" customHeight="1" thickBot="1" x14ac:dyDescent="0.3">
      <c r="B24" s="983" t="s">
        <v>864</v>
      </c>
      <c r="C24" s="984"/>
      <c r="D24" s="984"/>
      <c r="E24" s="984"/>
      <c r="F24" s="984"/>
      <c r="G24" s="984"/>
      <c r="H24" s="984"/>
      <c r="I24" s="984"/>
      <c r="J24" s="984"/>
      <c r="K24" s="984"/>
      <c r="L24" s="984"/>
      <c r="M24" s="984"/>
      <c r="N24" s="984"/>
      <c r="O24" s="984"/>
      <c r="P24" s="984"/>
      <c r="Q24" s="984"/>
      <c r="R24" s="985"/>
      <c r="S24" s="813"/>
      <c r="T24" s="752"/>
      <c r="U24" s="752"/>
      <c r="V24" s="752"/>
      <c r="W24" s="752"/>
      <c r="X24" s="752"/>
      <c r="Y24" s="752"/>
      <c r="Z24" s="752"/>
      <c r="AA24" s="752"/>
      <c r="AB24" s="752"/>
      <c r="AC24" s="752"/>
      <c r="AD24" s="752"/>
      <c r="AE24" s="752"/>
      <c r="AF24" s="752"/>
      <c r="AG24" s="752"/>
      <c r="AH24" s="752"/>
    </row>
    <row r="25" spans="2:36" x14ac:dyDescent="0.25">
      <c r="B25" s="463"/>
      <c r="C25" s="463"/>
      <c r="D25" s="463"/>
      <c r="E25" s="463"/>
      <c r="F25" s="463"/>
      <c r="G25" s="463"/>
      <c r="H25" s="463"/>
      <c r="I25" s="463"/>
      <c r="J25" s="463"/>
      <c r="K25" s="361"/>
      <c r="L25" s="463"/>
      <c r="M25" s="361"/>
      <c r="N25" s="361"/>
      <c r="O25" s="361"/>
      <c r="P25" s="361"/>
      <c r="Q25" s="361"/>
    </row>
    <row r="26" spans="2:36" x14ac:dyDescent="0.25">
      <c r="B26" s="361"/>
      <c r="C26" s="361"/>
      <c r="D26" s="361"/>
      <c r="E26" s="361"/>
      <c r="F26" s="361"/>
      <c r="G26" s="361"/>
      <c r="H26" s="361"/>
      <c r="I26" s="361"/>
      <c r="J26" s="361"/>
      <c r="K26" s="361"/>
      <c r="L26" s="361"/>
      <c r="M26" s="361"/>
      <c r="N26" s="361"/>
      <c r="O26" s="361"/>
      <c r="P26" s="361"/>
      <c r="Q26" s="361"/>
    </row>
    <row r="27" spans="2:36" x14ac:dyDescent="0.25">
      <c r="B27" s="361"/>
      <c r="C27" s="361"/>
      <c r="D27" s="361"/>
      <c r="E27" s="361"/>
      <c r="F27" s="361"/>
      <c r="G27" s="361"/>
      <c r="H27" s="361"/>
      <c r="I27" s="361"/>
      <c r="J27" s="361"/>
      <c r="K27" s="361"/>
      <c r="L27" s="361"/>
      <c r="M27" s="361"/>
      <c r="N27" s="361"/>
      <c r="O27" s="361"/>
      <c r="P27" s="361"/>
      <c r="Q27" s="361"/>
    </row>
    <row r="28" spans="2:36" x14ac:dyDescent="0.25">
      <c r="B28" s="361"/>
      <c r="C28" s="361"/>
      <c r="D28" s="361"/>
      <c r="E28" s="361"/>
      <c r="F28" s="361"/>
      <c r="G28" s="361"/>
      <c r="H28" s="361"/>
      <c r="I28" s="361"/>
      <c r="J28" s="361"/>
      <c r="K28" s="361"/>
      <c r="L28" s="361"/>
      <c r="M28" s="361"/>
      <c r="N28" s="361"/>
      <c r="O28" s="361"/>
      <c r="P28" s="361"/>
      <c r="Q28" s="361"/>
    </row>
    <row r="29" spans="2:36" x14ac:dyDescent="0.25">
      <c r="B29" s="361"/>
      <c r="C29" s="361"/>
      <c r="D29" s="361"/>
      <c r="E29" s="361"/>
      <c r="F29" s="361"/>
      <c r="G29" s="361"/>
      <c r="H29" s="361"/>
      <c r="I29" s="361"/>
      <c r="J29" s="361"/>
      <c r="K29" s="361"/>
      <c r="L29" s="361"/>
      <c r="M29" s="361"/>
      <c r="N29" s="361"/>
      <c r="O29" s="361"/>
      <c r="P29" s="361"/>
      <c r="Q29" s="361"/>
    </row>
    <row r="30" spans="2:36" x14ac:dyDescent="0.25">
      <c r="B30" s="361"/>
      <c r="C30" s="361"/>
      <c r="D30" s="361"/>
      <c r="E30" s="361"/>
      <c r="F30" s="361"/>
      <c r="G30" s="361"/>
      <c r="H30" s="361"/>
      <c r="I30" s="361"/>
      <c r="J30" s="361"/>
      <c r="K30" s="361"/>
      <c r="L30" s="361"/>
      <c r="M30" s="361"/>
      <c r="N30" s="361"/>
      <c r="O30" s="361"/>
      <c r="P30" s="361"/>
      <c r="Q30" s="361"/>
    </row>
    <row r="31" spans="2:36" x14ac:dyDescent="0.25">
      <c r="B31" s="361"/>
      <c r="C31" s="361"/>
      <c r="D31" s="361"/>
      <c r="E31" s="361"/>
      <c r="F31" s="361"/>
      <c r="G31" s="361"/>
      <c r="H31" s="361"/>
      <c r="I31" s="361"/>
      <c r="J31" s="361"/>
      <c r="K31" s="361"/>
      <c r="L31" s="361"/>
      <c r="M31" s="361"/>
      <c r="N31" s="361"/>
      <c r="O31" s="361"/>
      <c r="P31" s="361"/>
      <c r="Q31" s="361"/>
    </row>
    <row r="32" spans="2:36" x14ac:dyDescent="0.25">
      <c r="B32" s="361"/>
      <c r="C32" s="361"/>
      <c r="D32" s="361"/>
      <c r="E32" s="361"/>
      <c r="F32" s="361"/>
      <c r="G32" s="361"/>
      <c r="H32" s="361"/>
      <c r="I32" s="361"/>
      <c r="J32" s="361"/>
      <c r="K32" s="361"/>
      <c r="L32" s="361"/>
      <c r="M32" s="361"/>
      <c r="N32" s="361"/>
      <c r="O32" s="361"/>
      <c r="P32" s="361"/>
      <c r="Q32" s="361"/>
    </row>
  </sheetData>
  <mergeCells count="10">
    <mergeCell ref="S3:AG3"/>
    <mergeCell ref="B4:R4"/>
    <mergeCell ref="S4:AG4"/>
    <mergeCell ref="B5:R5"/>
    <mergeCell ref="S5:AG5"/>
    <mergeCell ref="B21:R22"/>
    <mergeCell ref="B24:R24"/>
    <mergeCell ref="B7:R7"/>
    <mergeCell ref="B2:R2"/>
    <mergeCell ref="B3:R3"/>
  </mergeCells>
  <printOptions horizontalCentered="1"/>
  <pageMargins left="0.7" right="0.7" top="0.75" bottom="0.75" header="0.3" footer="0.3"/>
  <pageSetup scale="65" fitToHeight="0" orientation="portrait" r:id="rId1"/>
  <colBreaks count="1" manualBreakCount="1">
    <brk id="17" min="1" max="2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FF00"/>
    <pageSetUpPr fitToPage="1"/>
  </sheetPr>
  <dimension ref="B2:AE33"/>
  <sheetViews>
    <sheetView topLeftCell="C1" workbookViewId="0">
      <selection activeCell="H23" sqref="H23"/>
    </sheetView>
  </sheetViews>
  <sheetFormatPr defaultRowHeight="13.2" x14ac:dyDescent="0.25"/>
  <cols>
    <col min="2" max="2" width="49.109375" customWidth="1"/>
    <col min="3" max="3" width="11" customWidth="1"/>
    <col min="4" max="9" width="10.109375" bestFit="1" customWidth="1"/>
    <col min="10" max="10" width="10.88671875" customWidth="1"/>
    <col min="11" max="11" width="0" hidden="1" customWidth="1"/>
    <col min="12" max="12" width="1.33203125" style="17" hidden="1" customWidth="1"/>
    <col min="13" max="13" width="0" hidden="1" customWidth="1"/>
    <col min="14" max="14" width="1.33203125" style="17" hidden="1" customWidth="1"/>
    <col min="15" max="15" width="0" hidden="1" customWidth="1"/>
    <col min="16" max="16" width="1.33203125" style="17" hidden="1" customWidth="1"/>
    <col min="17" max="17" width="0" hidden="1" customWidth="1"/>
    <col min="18" max="18" width="1.33203125" style="17" hidden="1" customWidth="1"/>
    <col min="19" max="19" width="0" hidden="1" customWidth="1"/>
    <col min="20" max="20" width="1.33203125" style="17" hidden="1" customWidth="1"/>
    <col min="21" max="21" width="0" hidden="1" customWidth="1"/>
    <col min="22" max="22" width="1.33203125" style="17" hidden="1" customWidth="1"/>
    <col min="23" max="23" width="0" hidden="1" customWidth="1"/>
    <col min="24" max="24" width="1.33203125" style="17" hidden="1" customWidth="1"/>
    <col min="25" max="25" width="0" hidden="1" customWidth="1"/>
    <col min="26" max="26" width="1.33203125" style="17" hidden="1" customWidth="1"/>
    <col min="27" max="27" width="0" hidden="1" customWidth="1"/>
    <col min="28" max="28" width="8.6640625" hidden="1" customWidth="1"/>
  </cols>
  <sheetData>
    <row r="2" spans="2:28" ht="13.8" x14ac:dyDescent="0.25">
      <c r="B2" s="986" t="s">
        <v>142</v>
      </c>
      <c r="C2" s="986"/>
      <c r="D2" s="986"/>
      <c r="E2" s="986"/>
      <c r="F2" s="986"/>
      <c r="G2" s="986"/>
      <c r="H2" s="986"/>
      <c r="I2" s="986"/>
      <c r="J2" s="729"/>
      <c r="K2" s="729"/>
      <c r="L2" s="729"/>
      <c r="M2" s="729"/>
      <c r="N2" s="729"/>
      <c r="O2" s="729"/>
      <c r="P2" s="729"/>
      <c r="Q2" s="729"/>
      <c r="R2" s="729"/>
      <c r="S2" s="729"/>
      <c r="T2" s="729"/>
      <c r="U2" s="729"/>
      <c r="V2" s="729"/>
      <c r="W2" s="729"/>
      <c r="X2" s="729"/>
      <c r="Y2" s="729"/>
      <c r="Z2" s="729"/>
      <c r="AA2" s="729"/>
    </row>
    <row r="3" spans="2:28" ht="13.8" x14ac:dyDescent="0.25">
      <c r="B3" s="986" t="s">
        <v>677</v>
      </c>
      <c r="C3" s="986"/>
      <c r="D3" s="986"/>
      <c r="E3" s="986"/>
      <c r="F3" s="986"/>
      <c r="G3" s="986"/>
      <c r="H3" s="986"/>
      <c r="I3" s="986"/>
      <c r="J3" s="729"/>
      <c r="K3" s="729"/>
      <c r="L3" s="729"/>
      <c r="M3" s="729"/>
      <c r="N3" s="729"/>
      <c r="O3" s="729"/>
      <c r="P3" s="729"/>
      <c r="Q3" s="729"/>
      <c r="R3" s="729"/>
      <c r="S3" s="729"/>
      <c r="T3" s="729"/>
      <c r="U3" s="729"/>
      <c r="V3" s="729"/>
      <c r="W3" s="729"/>
      <c r="X3" s="729"/>
      <c r="Y3" s="729"/>
      <c r="Z3" s="729"/>
      <c r="AA3" s="729"/>
    </row>
    <row r="4" spans="2:28" ht="13.8" x14ac:dyDescent="0.25">
      <c r="B4" s="986" t="s">
        <v>144</v>
      </c>
      <c r="C4" s="986"/>
      <c r="D4" s="986"/>
      <c r="E4" s="986"/>
      <c r="F4" s="986"/>
      <c r="G4" s="986"/>
      <c r="H4" s="986"/>
      <c r="I4" s="986"/>
      <c r="J4" s="729"/>
      <c r="K4" s="729"/>
      <c r="L4" s="729"/>
      <c r="M4" s="729"/>
      <c r="N4" s="729"/>
      <c r="O4" s="729"/>
      <c r="P4" s="729"/>
      <c r="Q4" s="729"/>
      <c r="R4" s="729"/>
      <c r="S4" s="729"/>
      <c r="T4" s="729"/>
      <c r="U4" s="729"/>
      <c r="V4" s="729"/>
      <c r="W4" s="729"/>
      <c r="X4" s="729"/>
      <c r="Y4" s="729"/>
      <c r="Z4" s="729"/>
      <c r="AA4" s="729"/>
    </row>
    <row r="5" spans="2:28" ht="13.8" x14ac:dyDescent="0.25">
      <c r="B5" s="986" t="s">
        <v>809</v>
      </c>
      <c r="C5" s="986"/>
      <c r="D5" s="986"/>
      <c r="E5" s="986"/>
      <c r="F5" s="986"/>
      <c r="G5" s="986"/>
      <c r="H5" s="986"/>
      <c r="I5" s="986"/>
      <c r="J5" s="729"/>
      <c r="K5" s="729"/>
      <c r="L5" s="729"/>
      <c r="M5" s="729"/>
      <c r="N5" s="729"/>
      <c r="O5" s="729"/>
      <c r="P5" s="729"/>
      <c r="Q5" s="729"/>
      <c r="R5" s="729"/>
      <c r="S5" s="729"/>
      <c r="T5" s="729"/>
      <c r="U5" s="729"/>
      <c r="V5" s="729"/>
      <c r="W5" s="729"/>
      <c r="X5" s="729"/>
      <c r="Y5" s="729"/>
      <c r="Z5" s="729"/>
      <c r="AA5" s="729"/>
    </row>
    <row r="7" spans="2:28" ht="13.8" x14ac:dyDescent="0.25">
      <c r="B7" s="986" t="s">
        <v>686</v>
      </c>
      <c r="C7" s="986"/>
      <c r="D7" s="986"/>
      <c r="E7" s="986"/>
      <c r="F7" s="986"/>
      <c r="G7" s="986"/>
      <c r="H7" s="986"/>
      <c r="I7" s="986"/>
      <c r="J7" s="729"/>
      <c r="K7" s="729"/>
      <c r="L7" s="729"/>
      <c r="M7" s="729"/>
      <c r="N7" s="729"/>
      <c r="O7" s="729"/>
      <c r="P7" s="729"/>
      <c r="Q7" s="729"/>
      <c r="R7" s="729"/>
      <c r="S7" s="729"/>
      <c r="T7" s="729"/>
      <c r="U7" s="729"/>
      <c r="V7" s="729"/>
      <c r="W7" s="729"/>
      <c r="X7" s="729"/>
      <c r="Y7" s="729"/>
      <c r="Z7" s="729"/>
      <c r="AA7" s="729"/>
    </row>
    <row r="9" spans="2:28" x14ac:dyDescent="0.25">
      <c r="C9" s="83">
        <v>2023</v>
      </c>
      <c r="D9" s="83">
        <v>2022</v>
      </c>
      <c r="E9" s="594">
        <v>2021</v>
      </c>
      <c r="F9" s="594">
        <v>2020</v>
      </c>
      <c r="G9" s="594">
        <v>2019</v>
      </c>
      <c r="H9" s="594">
        <v>2018</v>
      </c>
      <c r="I9" s="594">
        <v>2017</v>
      </c>
      <c r="J9" s="594">
        <v>2016</v>
      </c>
      <c r="K9" s="527">
        <v>2014</v>
      </c>
      <c r="L9" s="290"/>
      <c r="M9" s="527">
        <v>2013</v>
      </c>
      <c r="N9" s="290"/>
      <c r="O9" s="527">
        <v>2012</v>
      </c>
      <c r="P9" s="290"/>
      <c r="Q9" s="527">
        <v>2011</v>
      </c>
      <c r="R9" s="290"/>
      <c r="S9" s="527">
        <v>2010</v>
      </c>
      <c r="T9" s="290"/>
      <c r="U9" s="527">
        <v>2009</v>
      </c>
      <c r="V9" s="290"/>
      <c r="W9" s="527">
        <v>2008</v>
      </c>
      <c r="X9" s="290"/>
      <c r="Y9" s="527">
        <v>2007</v>
      </c>
      <c r="Z9" s="290"/>
      <c r="AA9" s="527">
        <v>2006</v>
      </c>
    </row>
    <row r="10" spans="2:28" ht="26.4" x14ac:dyDescent="0.25">
      <c r="B10" s="540" t="s">
        <v>687</v>
      </c>
      <c r="C10" s="730">
        <v>0</v>
      </c>
      <c r="D10" s="532">
        <v>0</v>
      </c>
      <c r="E10" s="532">
        <v>0</v>
      </c>
      <c r="F10" s="532">
        <v>0</v>
      </c>
      <c r="G10" s="532">
        <v>0</v>
      </c>
      <c r="H10" s="532">
        <v>0</v>
      </c>
      <c r="I10" s="532">
        <v>0</v>
      </c>
      <c r="J10" s="532">
        <v>0</v>
      </c>
      <c r="K10" s="528"/>
      <c r="M10" s="528"/>
      <c r="O10" s="528"/>
      <c r="Q10" s="528"/>
      <c r="S10" s="528"/>
      <c r="U10" s="528"/>
      <c r="W10" s="528"/>
      <c r="Y10" s="528"/>
      <c r="AA10" s="528"/>
    </row>
    <row r="11" spans="2:28" x14ac:dyDescent="0.25">
      <c r="C11" s="730"/>
      <c r="D11" s="532"/>
      <c r="E11" s="532"/>
      <c r="F11" s="532"/>
      <c r="G11" s="532"/>
      <c r="H11" s="532"/>
      <c r="I11" s="532"/>
      <c r="J11" s="532"/>
      <c r="K11" s="528"/>
      <c r="M11" s="528"/>
      <c r="O11" s="528"/>
      <c r="Q11" s="528"/>
      <c r="S11" s="528"/>
      <c r="U11" s="528"/>
      <c r="W11" s="528"/>
      <c r="Y11" s="528"/>
      <c r="AA11" s="528"/>
    </row>
    <row r="12" spans="2:28" ht="26.4" x14ac:dyDescent="0.25">
      <c r="B12" s="540" t="s">
        <v>688</v>
      </c>
      <c r="C12" s="87">
        <v>0</v>
      </c>
      <c r="D12" s="87">
        <v>0</v>
      </c>
      <c r="E12" s="534">
        <v>0</v>
      </c>
      <c r="F12" s="534">
        <v>0</v>
      </c>
      <c r="G12" s="534">
        <v>0</v>
      </c>
      <c r="H12" s="534">
        <v>0</v>
      </c>
      <c r="I12" s="534">
        <v>0</v>
      </c>
      <c r="J12" s="534">
        <v>0</v>
      </c>
      <c r="K12" s="535"/>
      <c r="M12" s="535"/>
      <c r="O12" s="535"/>
      <c r="Q12" s="535"/>
      <c r="S12" s="535"/>
      <c r="U12" s="535"/>
      <c r="W12" s="535"/>
      <c r="Y12" s="535"/>
      <c r="AA12" s="535"/>
    </row>
    <row r="13" spans="2:28" ht="7.2" customHeight="1" x14ac:dyDescent="0.25">
      <c r="C13" s="17"/>
      <c r="D13" s="17"/>
      <c r="K13" s="528"/>
      <c r="M13" s="528"/>
      <c r="O13" s="528"/>
      <c r="Q13" s="528"/>
      <c r="S13" s="528"/>
      <c r="U13" s="528"/>
      <c r="W13" s="528"/>
      <c r="Y13" s="528"/>
      <c r="AA13" s="528"/>
    </row>
    <row r="14" spans="2:28" ht="26.4" x14ac:dyDescent="0.25">
      <c r="B14" s="539" t="s">
        <v>717</v>
      </c>
      <c r="C14" s="56">
        <v>10228</v>
      </c>
      <c r="D14" s="56">
        <v>9144</v>
      </c>
      <c r="E14" s="601">
        <v>6953</v>
      </c>
      <c r="F14" s="601">
        <f>842.93*8</f>
        <v>6743.44</v>
      </c>
      <c r="G14" s="601">
        <v>5192</v>
      </c>
      <c r="H14" s="601">
        <v>5096</v>
      </c>
      <c r="I14" s="601">
        <v>5348</v>
      </c>
      <c r="J14" s="601">
        <v>5165</v>
      </c>
      <c r="K14" s="602"/>
      <c r="L14" s="56"/>
      <c r="M14" s="602"/>
      <c r="N14" s="56"/>
      <c r="O14" s="602"/>
      <c r="P14" s="56"/>
      <c r="Q14" s="602"/>
      <c r="R14" s="56"/>
      <c r="S14" s="602"/>
      <c r="T14" s="56"/>
      <c r="U14" s="602"/>
      <c r="V14" s="56"/>
      <c r="W14" s="602"/>
      <c r="X14" s="56"/>
      <c r="Y14" s="602"/>
      <c r="Z14" s="56"/>
      <c r="AA14" s="602"/>
      <c r="AB14" s="601"/>
    </row>
    <row r="15" spans="2:28" ht="6.6" customHeight="1" x14ac:dyDescent="0.25">
      <c r="C15" s="17"/>
      <c r="D15" s="17"/>
      <c r="K15" s="528"/>
      <c r="M15" s="528"/>
      <c r="O15" s="528"/>
      <c r="Q15" s="528"/>
      <c r="S15" s="528"/>
      <c r="U15" s="528"/>
      <c r="W15" s="528"/>
      <c r="Y15" s="528"/>
      <c r="AA15" s="528"/>
    </row>
    <row r="16" spans="2:28" ht="13.8" thickBot="1" x14ac:dyDescent="0.3">
      <c r="B16" t="s">
        <v>1</v>
      </c>
      <c r="C16" s="90">
        <f t="shared" ref="C16:H16" si="0">C14+C12</f>
        <v>10228</v>
      </c>
      <c r="D16" s="90">
        <f t="shared" si="0"/>
        <v>9144</v>
      </c>
      <c r="E16" s="536">
        <f t="shared" si="0"/>
        <v>6953</v>
      </c>
      <c r="F16" s="536">
        <f t="shared" si="0"/>
        <v>6743.44</v>
      </c>
      <c r="G16" s="536">
        <f t="shared" si="0"/>
        <v>5192</v>
      </c>
      <c r="H16" s="536">
        <f t="shared" si="0"/>
        <v>5096</v>
      </c>
      <c r="I16" s="536">
        <f>I14+I12</f>
        <v>5348</v>
      </c>
      <c r="J16" s="536">
        <f>J14+J12</f>
        <v>5165</v>
      </c>
      <c r="K16" s="537">
        <f t="shared" ref="K16:AA16" si="1">K14+K12</f>
        <v>0</v>
      </c>
      <c r="L16" s="533"/>
      <c r="M16" s="537">
        <f t="shared" si="1"/>
        <v>0</v>
      </c>
      <c r="N16" s="533"/>
      <c r="O16" s="537">
        <f t="shared" si="1"/>
        <v>0</v>
      </c>
      <c r="P16" s="533"/>
      <c r="Q16" s="537">
        <f t="shared" si="1"/>
        <v>0</v>
      </c>
      <c r="R16" s="533"/>
      <c r="S16" s="537">
        <f t="shared" si="1"/>
        <v>0</v>
      </c>
      <c r="T16" s="533"/>
      <c r="U16" s="537">
        <f t="shared" si="1"/>
        <v>0</v>
      </c>
      <c r="V16" s="533"/>
      <c r="W16" s="537">
        <f t="shared" si="1"/>
        <v>0</v>
      </c>
      <c r="X16" s="533"/>
      <c r="Y16" s="537">
        <f t="shared" si="1"/>
        <v>0</v>
      </c>
      <c r="Z16" s="533"/>
      <c r="AA16" s="537">
        <f t="shared" si="1"/>
        <v>0</v>
      </c>
    </row>
    <row r="17" spans="2:31" ht="13.8" thickTop="1" x14ac:dyDescent="0.25">
      <c r="C17" s="17"/>
      <c r="D17" s="17"/>
      <c r="K17" s="528"/>
      <c r="M17" s="528"/>
      <c r="O17" s="528"/>
      <c r="Q17" s="528"/>
      <c r="S17" s="528"/>
      <c r="U17" s="528"/>
      <c r="W17" s="528"/>
      <c r="Y17" s="528"/>
      <c r="AA17" s="528"/>
    </row>
    <row r="18" spans="2:31" x14ac:dyDescent="0.25">
      <c r="B18" t="s">
        <v>732</v>
      </c>
      <c r="C18" s="697">
        <v>140512</v>
      </c>
      <c r="D18" s="697">
        <v>138992</v>
      </c>
      <c r="E18" s="599">
        <v>137772</v>
      </c>
      <c r="F18" s="599">
        <v>135678</v>
      </c>
      <c r="G18" s="599">
        <v>130000</v>
      </c>
      <c r="H18" s="599">
        <v>128652</v>
      </c>
      <c r="I18" s="599">
        <v>129654</v>
      </c>
      <c r="J18" s="599">
        <v>127997</v>
      </c>
      <c r="K18" s="535"/>
      <c r="M18" s="535"/>
      <c r="O18" s="535"/>
      <c r="Q18" s="535"/>
      <c r="S18" s="535"/>
      <c r="U18" s="535"/>
      <c r="W18" s="535"/>
      <c r="Y18" s="535"/>
      <c r="AA18" s="535"/>
    </row>
    <row r="19" spans="2:31" x14ac:dyDescent="0.25">
      <c r="C19" s="17"/>
      <c r="E19" s="600"/>
      <c r="F19" s="600"/>
      <c r="G19" s="600"/>
      <c r="H19" s="600"/>
      <c r="I19" s="600"/>
      <c r="J19" s="600"/>
      <c r="K19" s="528"/>
      <c r="M19" s="528"/>
      <c r="O19" s="528"/>
      <c r="Q19" s="528"/>
      <c r="S19" s="528"/>
      <c r="U19" s="528"/>
      <c r="W19" s="528"/>
      <c r="Y19" s="528"/>
      <c r="AA19" s="528"/>
    </row>
    <row r="20" spans="2:31" ht="26.4" x14ac:dyDescent="0.25">
      <c r="B20" s="539" t="s">
        <v>811</v>
      </c>
      <c r="C20" s="731">
        <f t="shared" ref="C20:H20" si="2">C16/C18</f>
        <v>7.2790936005465726E-2</v>
      </c>
      <c r="D20" s="603">
        <f t="shared" si="2"/>
        <v>6.5787959019224129E-2</v>
      </c>
      <c r="E20" s="603">
        <f t="shared" si="2"/>
        <v>5.0467438957117555E-2</v>
      </c>
      <c r="F20" s="603">
        <f t="shared" si="2"/>
        <v>4.9701793953330679E-2</v>
      </c>
      <c r="G20" s="603">
        <f t="shared" si="2"/>
        <v>3.9938461538461541E-2</v>
      </c>
      <c r="H20" s="603">
        <f t="shared" si="2"/>
        <v>3.9610732829648977E-2</v>
      </c>
      <c r="I20" s="603">
        <f>I16/I18</f>
        <v>4.1248245329877982E-2</v>
      </c>
      <c r="J20" s="603">
        <f>J16/J18</f>
        <v>4.035250826191239E-2</v>
      </c>
      <c r="K20" s="528"/>
      <c r="M20" s="528"/>
      <c r="O20" s="528"/>
      <c r="Q20" s="528"/>
      <c r="S20" s="528"/>
      <c r="U20" s="528"/>
      <c r="W20" s="528"/>
      <c r="Y20" s="528"/>
      <c r="AA20" s="528"/>
    </row>
    <row r="21" spans="2:31" x14ac:dyDescent="0.25">
      <c r="B21" s="529"/>
      <c r="C21" s="338"/>
      <c r="D21" s="529"/>
      <c r="K21" s="528"/>
      <c r="M21" s="528"/>
      <c r="O21" s="528"/>
      <c r="Q21" s="528"/>
      <c r="S21" s="528"/>
      <c r="U21" s="528"/>
      <c r="W21" s="528"/>
      <c r="Y21" s="528"/>
      <c r="AA21" s="528"/>
    </row>
    <row r="22" spans="2:31" ht="26.4" x14ac:dyDescent="0.25">
      <c r="B22" s="529" t="s">
        <v>675</v>
      </c>
      <c r="C22" s="607">
        <v>0.89690000000000003</v>
      </c>
      <c r="D22" s="531">
        <v>0.89349999999999996</v>
      </c>
      <c r="E22" s="531">
        <v>0.84940000000000004</v>
      </c>
      <c r="F22" s="531">
        <v>0.91400000000000003</v>
      </c>
      <c r="G22" s="531">
        <v>0.93420000000000003</v>
      </c>
      <c r="H22" s="531">
        <v>0.92759999999999998</v>
      </c>
      <c r="I22" s="531">
        <v>0.91449999999999998</v>
      </c>
      <c r="J22" s="531">
        <v>0.91449999999999998</v>
      </c>
      <c r="K22" s="528"/>
      <c r="M22" s="528"/>
      <c r="O22" s="528"/>
      <c r="Q22" s="528"/>
      <c r="S22" s="528"/>
      <c r="U22" s="528"/>
      <c r="W22" s="528"/>
      <c r="Y22" s="528"/>
      <c r="AA22" s="528"/>
    </row>
    <row r="24" spans="2:31" x14ac:dyDescent="0.25">
      <c r="B24" s="619" t="s">
        <v>720</v>
      </c>
      <c r="C24" s="619"/>
      <c r="D24" s="619"/>
      <c r="E24" s="619"/>
      <c r="F24" s="619"/>
      <c r="G24" s="595"/>
    </row>
    <row r="25" spans="2:31" ht="13.8" thickBot="1" x14ac:dyDescent="0.3">
      <c r="B25" s="17"/>
      <c r="C25" s="17"/>
      <c r="D25" s="17"/>
      <c r="E25" s="17"/>
      <c r="F25" s="17"/>
      <c r="G25" s="17"/>
      <c r="H25" s="17"/>
      <c r="I25" s="17"/>
      <c r="J25" s="17"/>
      <c r="K25" s="17"/>
      <c r="M25" s="17"/>
      <c r="O25" s="17"/>
      <c r="Q25" s="17"/>
      <c r="S25" s="17"/>
      <c r="U25" s="17"/>
      <c r="W25" s="17"/>
      <c r="Y25" s="17"/>
      <c r="AA25" s="17"/>
      <c r="AB25" s="17"/>
      <c r="AC25" s="17"/>
      <c r="AD25" s="17"/>
      <c r="AE25" s="17"/>
    </row>
    <row r="26" spans="2:31" ht="30" customHeight="1" thickBot="1" x14ac:dyDescent="0.3">
      <c r="B26" s="990" t="s">
        <v>712</v>
      </c>
      <c r="C26" s="991"/>
      <c r="D26" s="991"/>
      <c r="E26" s="991"/>
      <c r="F26" s="991"/>
      <c r="G26" s="991"/>
      <c r="H26" s="991"/>
      <c r="I26" s="991"/>
      <c r="J26" s="992"/>
      <c r="K26" s="361"/>
      <c r="L26" s="361"/>
      <c r="M26" s="361"/>
      <c r="N26" s="361"/>
      <c r="O26" s="361"/>
      <c r="P26" s="361"/>
      <c r="Q26" s="361"/>
      <c r="R26" s="361"/>
      <c r="S26" s="361"/>
      <c r="T26" s="361"/>
      <c r="U26" s="361"/>
      <c r="V26" s="361"/>
      <c r="W26" s="361"/>
      <c r="X26" s="361"/>
      <c r="Y26" s="361"/>
      <c r="Z26" s="361"/>
      <c r="AA26" s="361"/>
      <c r="AB26" s="361"/>
      <c r="AC26" s="361"/>
      <c r="AD26" s="361"/>
      <c r="AE26" s="361"/>
    </row>
    <row r="27" spans="2:31" ht="6.75" customHeight="1" thickBot="1" x14ac:dyDescent="0.3">
      <c r="B27" s="774"/>
      <c r="C27" s="774"/>
      <c r="D27" s="774"/>
      <c r="E27" s="774"/>
      <c r="F27" s="774"/>
      <c r="G27" s="774"/>
      <c r="H27" s="774"/>
      <c r="I27" s="774"/>
      <c r="J27" s="714"/>
      <c r="K27" s="361"/>
      <c r="L27" s="361"/>
      <c r="M27" s="361"/>
      <c r="N27" s="361"/>
      <c r="O27" s="361"/>
      <c r="P27" s="361"/>
      <c r="Q27" s="361"/>
      <c r="R27" s="361"/>
      <c r="S27" s="361"/>
      <c r="T27" s="361"/>
      <c r="U27" s="361"/>
      <c r="V27" s="361"/>
      <c r="W27" s="361"/>
      <c r="X27" s="361"/>
      <c r="Y27" s="361"/>
      <c r="Z27" s="361"/>
      <c r="AA27" s="361"/>
      <c r="AB27" s="361"/>
      <c r="AC27" s="361"/>
      <c r="AD27" s="361"/>
      <c r="AE27" s="361"/>
    </row>
    <row r="28" spans="2:31" ht="83.25" customHeight="1" thickBot="1" x14ac:dyDescent="0.3">
      <c r="B28" s="987" t="s">
        <v>866</v>
      </c>
      <c r="C28" s="988"/>
      <c r="D28" s="988"/>
      <c r="E28" s="988"/>
      <c r="F28" s="988"/>
      <c r="G28" s="988"/>
      <c r="H28" s="988"/>
      <c r="I28" s="988"/>
      <c r="J28" s="989"/>
      <c r="K28" s="750"/>
      <c r="L28" s="750"/>
      <c r="M28" s="750"/>
      <c r="N28" s="750"/>
      <c r="O28" s="750"/>
      <c r="P28" s="750"/>
      <c r="Q28" s="751"/>
      <c r="R28" s="26"/>
      <c r="S28" s="26"/>
      <c r="T28" s="26"/>
      <c r="U28" s="26"/>
      <c r="V28" s="26"/>
      <c r="W28" s="26"/>
      <c r="X28" s="26"/>
      <c r="Y28" s="26"/>
      <c r="Z28" s="26"/>
      <c r="AA28" s="26"/>
      <c r="AB28" s="17"/>
      <c r="AC28" s="17"/>
      <c r="AD28" s="17"/>
      <c r="AE28" s="17"/>
    </row>
    <row r="29" spans="2:31" x14ac:dyDescent="0.25">
      <c r="B29" s="463"/>
      <c r="C29" s="463"/>
      <c r="D29" s="463"/>
      <c r="E29" s="463"/>
      <c r="F29" s="463"/>
      <c r="G29" s="463"/>
      <c r="H29" s="361"/>
      <c r="I29" s="361"/>
      <c r="J29" s="361"/>
      <c r="K29" s="361"/>
      <c r="L29" s="361"/>
      <c r="M29" s="361"/>
      <c r="N29" s="361"/>
      <c r="O29" s="361"/>
      <c r="P29" s="361"/>
      <c r="Q29" s="361"/>
      <c r="R29" s="361"/>
      <c r="S29" s="361"/>
      <c r="T29" s="361"/>
      <c r="U29" s="361"/>
      <c r="V29" s="361"/>
      <c r="W29" s="361"/>
      <c r="X29" s="361"/>
      <c r="Y29" s="361"/>
      <c r="Z29" s="361"/>
      <c r="AA29" s="361"/>
      <c r="AB29" s="361"/>
      <c r="AC29" s="361"/>
      <c r="AD29" s="361"/>
      <c r="AE29" s="361"/>
    </row>
    <row r="30" spans="2:31" x14ac:dyDescent="0.25">
      <c r="B30" s="361"/>
      <c r="C30" s="361"/>
      <c r="D30" s="361"/>
      <c r="E30" s="361"/>
      <c r="F30" s="361"/>
      <c r="G30" s="361"/>
      <c r="H30" s="361"/>
      <c r="I30" s="361"/>
      <c r="J30" s="361"/>
      <c r="K30" s="361"/>
      <c r="L30" s="361"/>
      <c r="M30" s="361"/>
      <c r="N30" s="361"/>
      <c r="O30" s="361"/>
      <c r="P30" s="361"/>
      <c r="Q30" s="361"/>
      <c r="R30" s="361"/>
      <c r="S30" s="361"/>
      <c r="T30" s="361"/>
      <c r="U30" s="361"/>
      <c r="V30" s="361"/>
      <c r="W30" s="361"/>
      <c r="X30" s="361"/>
      <c r="Y30" s="361"/>
      <c r="Z30" s="361"/>
      <c r="AA30" s="361"/>
      <c r="AB30" s="361"/>
      <c r="AC30" s="361"/>
      <c r="AD30" s="361"/>
      <c r="AE30" s="361"/>
    </row>
    <row r="31" spans="2:31" x14ac:dyDescent="0.25">
      <c r="B31" s="361"/>
      <c r="C31" s="361"/>
      <c r="D31" s="361"/>
      <c r="E31" s="361"/>
      <c r="F31" s="361"/>
      <c r="G31" s="361"/>
      <c r="H31" s="361"/>
      <c r="I31" s="361"/>
      <c r="J31" s="361"/>
      <c r="K31" s="361"/>
      <c r="L31" s="361"/>
      <c r="M31" s="361"/>
      <c r="N31" s="361"/>
      <c r="O31" s="361"/>
      <c r="P31" s="361"/>
      <c r="Q31" s="361"/>
      <c r="R31" s="361"/>
      <c r="S31" s="361"/>
      <c r="T31" s="361"/>
      <c r="U31" s="361"/>
      <c r="V31" s="361"/>
      <c r="W31" s="361"/>
      <c r="X31" s="361"/>
      <c r="Y31" s="361"/>
      <c r="Z31" s="361"/>
      <c r="AA31" s="361"/>
      <c r="AB31" s="361"/>
      <c r="AC31" s="361"/>
      <c r="AD31" s="361"/>
      <c r="AE31" s="361"/>
    </row>
    <row r="32" spans="2:31" x14ac:dyDescent="0.25">
      <c r="B32" s="361"/>
      <c r="C32" s="361"/>
      <c r="D32" s="361"/>
      <c r="E32" s="361"/>
      <c r="F32" s="361"/>
      <c r="G32" s="361"/>
      <c r="H32" s="361"/>
      <c r="I32" s="361"/>
      <c r="J32" s="361"/>
      <c r="K32" s="361"/>
      <c r="L32" s="361"/>
      <c r="M32" s="361"/>
      <c r="N32" s="361"/>
      <c r="O32" s="361"/>
      <c r="P32" s="361"/>
      <c r="Q32" s="361"/>
      <c r="R32" s="361"/>
      <c r="S32" s="361"/>
      <c r="T32" s="361"/>
      <c r="U32" s="361"/>
      <c r="V32" s="361"/>
      <c r="W32" s="361"/>
      <c r="X32" s="361"/>
      <c r="Y32" s="361"/>
      <c r="Z32" s="361"/>
      <c r="AA32" s="361"/>
      <c r="AB32" s="361"/>
      <c r="AC32" s="361"/>
      <c r="AD32" s="361"/>
      <c r="AE32" s="361"/>
    </row>
    <row r="33" spans="2:31" x14ac:dyDescent="0.25">
      <c r="B33" s="361"/>
      <c r="C33" s="361"/>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361"/>
      <c r="AD33" s="361"/>
      <c r="AE33" s="361"/>
    </row>
  </sheetData>
  <mergeCells count="7">
    <mergeCell ref="B28:J28"/>
    <mergeCell ref="B7:I7"/>
    <mergeCell ref="B2:I2"/>
    <mergeCell ref="B3:I3"/>
    <mergeCell ref="B4:I4"/>
    <mergeCell ref="B5:I5"/>
    <mergeCell ref="B26:J26"/>
  </mergeCells>
  <printOptions horizontalCentered="1"/>
  <pageMargins left="0.7" right="0.7" top="0.75" bottom="0.75" header="0.3" footer="0.3"/>
  <pageSetup scale="7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FF00"/>
    <pageSetUpPr fitToPage="1"/>
  </sheetPr>
  <dimension ref="B2:AK42"/>
  <sheetViews>
    <sheetView topLeftCell="A18" workbookViewId="0">
      <selection activeCell="B24" sqref="B24:R27"/>
    </sheetView>
  </sheetViews>
  <sheetFormatPr defaultColWidth="8.88671875" defaultRowHeight="13.2" x14ac:dyDescent="0.25"/>
  <cols>
    <col min="1" max="1" width="8.88671875" style="538"/>
    <col min="2" max="2" width="49" style="538" customWidth="1"/>
    <col min="3" max="3" width="12.33203125" style="538" customWidth="1"/>
    <col min="4" max="4" width="1.6640625" style="538" customWidth="1"/>
    <col min="5" max="5" width="11.88671875" style="538" bestFit="1" customWidth="1"/>
    <col min="6" max="6" width="1.33203125" style="538" customWidth="1"/>
    <col min="7" max="7" width="11.88671875" style="538" bestFit="1" customWidth="1"/>
    <col min="8" max="8" width="1.33203125" style="538" customWidth="1"/>
    <col min="9" max="9" width="11.88671875" style="538" bestFit="1" customWidth="1"/>
    <col min="10" max="10" width="1.33203125" style="538" customWidth="1"/>
    <col min="11" max="11" width="11.88671875" style="538" bestFit="1" customWidth="1"/>
    <col min="12" max="12" width="1.33203125" style="538" customWidth="1"/>
    <col min="13" max="13" width="11.88671875" style="538" bestFit="1" customWidth="1"/>
    <col min="14" max="14" width="1.33203125" style="538" customWidth="1"/>
    <col min="15" max="15" width="11.88671875" style="538" bestFit="1" customWidth="1"/>
    <col min="16" max="16" width="1.33203125" style="538" customWidth="1"/>
    <col min="17" max="17" width="11.88671875" style="538" bestFit="1" customWidth="1"/>
    <col min="18" max="18" width="1.33203125" style="41" customWidth="1"/>
    <col min="19" max="19" width="11.33203125" style="538" hidden="1" customWidth="1"/>
    <col min="20" max="20" width="1.33203125" style="41" hidden="1" customWidth="1"/>
    <col min="21" max="21" width="8.88671875" style="538" hidden="1" customWidth="1"/>
    <col min="22" max="22" width="1.33203125" style="41" hidden="1" customWidth="1"/>
    <col min="23" max="23" width="8.88671875" style="538" hidden="1" customWidth="1"/>
    <col min="24" max="24" width="1.33203125" style="41" hidden="1" customWidth="1"/>
    <col min="25" max="25" width="8.88671875" style="538" hidden="1" customWidth="1"/>
    <col min="26" max="26" width="1.33203125" style="41" hidden="1" customWidth="1"/>
    <col min="27" max="27" width="8.88671875" style="538" hidden="1" customWidth="1"/>
    <col min="28" max="28" width="1.33203125" style="41" hidden="1" customWidth="1"/>
    <col min="29" max="29" width="8.88671875" style="538" hidden="1" customWidth="1"/>
    <col min="30" max="30" width="1.33203125" style="41" hidden="1" customWidth="1"/>
    <col min="31" max="31" width="8.88671875" style="538" hidden="1" customWidth="1"/>
    <col min="32" max="32" width="1.33203125" style="41" hidden="1" customWidth="1"/>
    <col min="33" max="33" width="0.44140625" style="538" hidden="1" customWidth="1"/>
    <col min="34" max="35" width="0" style="538" hidden="1" customWidth="1"/>
    <col min="36" max="36" width="12.109375" style="538" customWidth="1"/>
    <col min="37" max="16384" width="8.88671875" style="538"/>
  </cols>
  <sheetData>
    <row r="2" spans="2:36" ht="13.8" x14ac:dyDescent="0.25">
      <c r="B2" s="986" t="s">
        <v>142</v>
      </c>
      <c r="C2" s="986"/>
      <c r="D2" s="986"/>
      <c r="E2" s="986"/>
      <c r="F2" s="986"/>
      <c r="G2" s="986"/>
      <c r="H2" s="986"/>
      <c r="I2" s="986"/>
      <c r="J2" s="986"/>
      <c r="K2" s="986"/>
      <c r="L2" s="986"/>
      <c r="M2" s="986"/>
      <c r="N2" s="986"/>
      <c r="O2" s="986"/>
      <c r="P2" s="986"/>
      <c r="Q2" s="986"/>
      <c r="R2" s="986"/>
      <c r="S2" s="986"/>
      <c r="T2" s="986"/>
      <c r="U2" s="986"/>
      <c r="V2" s="986"/>
      <c r="W2" s="986"/>
      <c r="X2" s="986"/>
      <c r="Y2" s="986"/>
      <c r="Z2" s="986"/>
      <c r="AA2" s="986"/>
      <c r="AB2" s="986"/>
      <c r="AC2" s="986"/>
      <c r="AD2" s="986"/>
      <c r="AE2" s="986"/>
      <c r="AF2" s="986"/>
      <c r="AG2" s="986"/>
    </row>
    <row r="3" spans="2:36" s="41" customFormat="1" ht="13.8" x14ac:dyDescent="0.25">
      <c r="B3" s="1005" t="s">
        <v>716</v>
      </c>
      <c r="C3" s="1005"/>
      <c r="D3" s="1005"/>
      <c r="E3" s="1005"/>
      <c r="F3" s="1005"/>
      <c r="G3" s="1005"/>
      <c r="H3" s="1005"/>
      <c r="I3" s="1005"/>
      <c r="J3" s="1005"/>
      <c r="K3" s="1005"/>
      <c r="L3" s="1005"/>
      <c r="M3" s="1005"/>
      <c r="N3" s="1005"/>
      <c r="O3" s="1005"/>
      <c r="P3" s="1005"/>
      <c r="Q3" s="1005"/>
      <c r="R3" s="1005"/>
      <c r="S3" s="1005"/>
      <c r="T3" s="1005"/>
      <c r="U3" s="1005"/>
      <c r="V3" s="1005"/>
      <c r="W3" s="1005"/>
      <c r="X3" s="1005"/>
      <c r="Y3" s="1005"/>
      <c r="Z3" s="1005"/>
      <c r="AA3" s="1005"/>
      <c r="AB3" s="1005"/>
      <c r="AC3" s="1005"/>
      <c r="AD3" s="1005"/>
      <c r="AE3" s="1005"/>
      <c r="AF3" s="1005"/>
      <c r="AG3" s="1005"/>
    </row>
    <row r="4" spans="2:36" ht="13.8" x14ac:dyDescent="0.25">
      <c r="B4" s="986" t="s">
        <v>144</v>
      </c>
      <c r="C4" s="986"/>
      <c r="D4" s="986"/>
      <c r="E4" s="986"/>
      <c r="F4" s="986"/>
      <c r="G4" s="986"/>
      <c r="H4" s="986"/>
      <c r="I4" s="986"/>
      <c r="J4" s="986"/>
      <c r="K4" s="986"/>
      <c r="L4" s="986"/>
      <c r="M4" s="986"/>
      <c r="N4" s="986"/>
      <c r="O4" s="986"/>
      <c r="P4" s="986"/>
      <c r="Q4" s="986"/>
      <c r="R4" s="986"/>
      <c r="S4" s="986"/>
      <c r="T4" s="986"/>
      <c r="U4" s="986"/>
      <c r="V4" s="986"/>
      <c r="W4" s="986"/>
      <c r="X4" s="986"/>
      <c r="Y4" s="986"/>
      <c r="Z4" s="986"/>
      <c r="AA4" s="986"/>
      <c r="AB4" s="986"/>
      <c r="AC4" s="986"/>
      <c r="AD4" s="986"/>
      <c r="AE4" s="986"/>
      <c r="AF4" s="986"/>
      <c r="AG4" s="986"/>
    </row>
    <row r="5" spans="2:36" ht="13.8" x14ac:dyDescent="0.25">
      <c r="B5" s="986" t="s">
        <v>867</v>
      </c>
      <c r="C5" s="986"/>
      <c r="D5" s="986"/>
      <c r="E5" s="986"/>
      <c r="F5" s="986"/>
      <c r="G5" s="986"/>
      <c r="H5" s="986"/>
      <c r="I5" s="986"/>
      <c r="J5" s="986"/>
      <c r="K5" s="986"/>
      <c r="L5" s="986"/>
      <c r="M5" s="986"/>
      <c r="N5" s="986"/>
      <c r="O5" s="986"/>
      <c r="P5" s="986"/>
      <c r="Q5" s="986"/>
      <c r="R5" s="986"/>
      <c r="S5" s="986"/>
      <c r="T5" s="986"/>
      <c r="U5" s="986"/>
      <c r="V5" s="986"/>
      <c r="W5" s="986"/>
      <c r="X5" s="986"/>
      <c r="Y5" s="986"/>
      <c r="Z5" s="986"/>
      <c r="AA5" s="986"/>
      <c r="AB5" s="986"/>
      <c r="AC5" s="986"/>
      <c r="AD5" s="986"/>
      <c r="AE5" s="986"/>
      <c r="AF5" s="986"/>
      <c r="AG5" s="986"/>
    </row>
    <row r="7" spans="2:36" ht="13.8" x14ac:dyDescent="0.25">
      <c r="B7" s="986"/>
      <c r="C7" s="986"/>
      <c r="D7" s="986"/>
      <c r="E7" s="986"/>
      <c r="F7" s="986"/>
      <c r="G7" s="986"/>
      <c r="H7" s="986"/>
      <c r="I7" s="986"/>
      <c r="J7" s="986"/>
      <c r="K7" s="986"/>
      <c r="L7" s="986"/>
      <c r="M7" s="986"/>
      <c r="N7" s="986"/>
      <c r="O7" s="986"/>
      <c r="P7" s="986"/>
      <c r="Q7" s="986"/>
      <c r="R7" s="986"/>
      <c r="S7" s="986"/>
      <c r="T7" s="986"/>
      <c r="U7" s="986"/>
      <c r="V7" s="986"/>
      <c r="W7" s="986"/>
      <c r="X7" s="986"/>
      <c r="Y7" s="986"/>
      <c r="Z7" s="986"/>
      <c r="AA7" s="986"/>
      <c r="AB7" s="986"/>
      <c r="AC7" s="986"/>
      <c r="AD7" s="986"/>
      <c r="AE7" s="986"/>
      <c r="AF7" s="986"/>
      <c r="AG7" s="986"/>
    </row>
    <row r="9" spans="2:36" x14ac:dyDescent="0.25">
      <c r="C9" s="83">
        <v>2023</v>
      </c>
      <c r="E9" s="83">
        <v>2022</v>
      </c>
      <c r="G9" s="594">
        <v>2021</v>
      </c>
      <c r="I9" s="594">
        <v>2020</v>
      </c>
      <c r="K9" s="594">
        <v>2019</v>
      </c>
      <c r="M9" s="594">
        <v>2018</v>
      </c>
      <c r="O9" s="594">
        <v>2017</v>
      </c>
      <c r="P9" s="544"/>
      <c r="Q9" s="594">
        <v>2016</v>
      </c>
      <c r="R9" s="442"/>
      <c r="S9" s="544">
        <v>2013</v>
      </c>
      <c r="T9" s="544">
        <v>2012</v>
      </c>
      <c r="U9" s="442">
        <v>2012</v>
      </c>
      <c r="V9" s="544">
        <v>2011</v>
      </c>
      <c r="W9" s="544">
        <v>2011</v>
      </c>
      <c r="X9" s="442"/>
      <c r="Y9" s="544">
        <v>2010</v>
      </c>
      <c r="Z9" s="442"/>
      <c r="AA9" s="544">
        <v>2009</v>
      </c>
      <c r="AB9" s="442"/>
      <c r="AC9" s="544">
        <v>2008</v>
      </c>
      <c r="AD9" s="442"/>
      <c r="AE9" s="544">
        <v>2007</v>
      </c>
      <c r="AF9" s="442"/>
      <c r="AG9" s="544">
        <v>2006</v>
      </c>
      <c r="AJ9" s="594">
        <v>2015</v>
      </c>
    </row>
    <row r="10" spans="2:36" ht="26.4" x14ac:dyDescent="0.25">
      <c r="B10" s="540" t="s">
        <v>698</v>
      </c>
      <c r="C10" s="725">
        <v>2.7599999999999999E-4</v>
      </c>
      <c r="D10" s="540"/>
      <c r="E10" s="570">
        <v>2.2699999999999999E-4</v>
      </c>
      <c r="F10" s="540"/>
      <c r="G10" s="570">
        <v>2.6160000000000002E-4</v>
      </c>
      <c r="H10" s="540"/>
      <c r="I10" s="570">
        <v>2.9179999999999999E-4</v>
      </c>
      <c r="J10" s="540"/>
      <c r="K10" s="570">
        <v>2.8959999999999999E-4</v>
      </c>
      <c r="L10" s="540"/>
      <c r="M10" s="570">
        <v>2.898E-4</v>
      </c>
      <c r="N10" s="571"/>
      <c r="O10" s="570">
        <v>2.9798999999999998E-4</v>
      </c>
      <c r="Q10" s="570">
        <v>2.8910000000000002E-2</v>
      </c>
      <c r="S10" s="570"/>
      <c r="U10" s="570"/>
      <c r="W10" s="570"/>
      <c r="Y10" s="570"/>
      <c r="AA10" s="570"/>
      <c r="AC10" s="570"/>
      <c r="AE10" s="570"/>
      <c r="AG10" s="570"/>
      <c r="AJ10" s="570">
        <v>2.8910000000000002E-2</v>
      </c>
    </row>
    <row r="11" spans="2:36" x14ac:dyDescent="0.25">
      <c r="C11" s="41"/>
      <c r="M11" s="571"/>
      <c r="N11" s="571"/>
      <c r="O11" s="41"/>
      <c r="Q11" s="41"/>
      <c r="S11" s="572"/>
      <c r="U11" s="572"/>
      <c r="W11" s="572"/>
      <c r="Y11" s="572"/>
      <c r="AA11" s="572"/>
      <c r="AC11" s="572"/>
      <c r="AE11" s="572"/>
      <c r="AG11" s="572"/>
      <c r="AJ11" s="41"/>
    </row>
    <row r="12" spans="2:36" ht="26.4" x14ac:dyDescent="0.25">
      <c r="B12" s="540" t="s">
        <v>697</v>
      </c>
      <c r="C12" s="448">
        <v>654766</v>
      </c>
      <c r="D12" s="540"/>
      <c r="E12" s="573">
        <v>346796</v>
      </c>
      <c r="F12" s="540"/>
      <c r="G12" s="573">
        <v>555206</v>
      </c>
      <c r="H12" s="540"/>
      <c r="I12" s="573">
        <v>130958</v>
      </c>
      <c r="J12" s="540"/>
      <c r="K12" s="573">
        <v>127938</v>
      </c>
      <c r="L12" s="540"/>
      <c r="M12" s="573">
        <v>-170909</v>
      </c>
      <c r="O12" s="448">
        <v>350204</v>
      </c>
      <c r="Q12" s="448">
        <v>284254</v>
      </c>
      <c r="S12" s="574"/>
      <c r="U12" s="574"/>
      <c r="W12" s="574"/>
      <c r="Y12" s="574"/>
      <c r="AA12" s="574"/>
      <c r="AC12" s="574"/>
      <c r="AE12" s="574"/>
      <c r="AG12" s="574"/>
      <c r="AJ12" s="448">
        <v>258442</v>
      </c>
    </row>
    <row r="13" spans="2:36" ht="7.2" customHeight="1" x14ac:dyDescent="0.25">
      <c r="C13" s="41"/>
      <c r="O13" s="41"/>
      <c r="Q13" s="41"/>
      <c r="S13" s="572"/>
      <c r="U13" s="572"/>
      <c r="W13" s="572"/>
      <c r="Y13" s="572"/>
      <c r="AA13" s="572"/>
      <c r="AC13" s="572"/>
      <c r="AE13" s="572"/>
      <c r="AG13" s="572"/>
      <c r="AJ13" s="41"/>
    </row>
    <row r="14" spans="2:36" x14ac:dyDescent="0.25">
      <c r="B14" s="538" t="s">
        <v>732</v>
      </c>
      <c r="C14" s="448">
        <f>'RSI - LGERS2'!E16</f>
        <v>1534526.8542199486</v>
      </c>
      <c r="E14" s="573">
        <f>'RSI - LGERS2'!G16</f>
        <v>1850442</v>
      </c>
      <c r="G14" s="573">
        <f>'RSI - LGERS2'!I16</f>
        <v>1698336</v>
      </c>
      <c r="I14" s="573">
        <f>'RSI - LGERS2'!K16</f>
        <v>1689436</v>
      </c>
      <c r="K14" s="573">
        <f>'RSI - LGERS2'!M16</f>
        <v>1757029.05</v>
      </c>
      <c r="M14" s="573">
        <f>'RSI - LGERS2'!O16</f>
        <v>1673361</v>
      </c>
      <c r="O14" s="573">
        <v>1593542</v>
      </c>
      <c r="Q14" s="573">
        <v>1548652</v>
      </c>
      <c r="S14" s="574"/>
      <c r="U14" s="574"/>
      <c r="W14" s="574"/>
      <c r="Y14" s="574"/>
      <c r="AA14" s="574"/>
      <c r="AC14" s="574"/>
      <c r="AE14" s="574"/>
      <c r="AG14" s="574"/>
      <c r="AJ14" s="573">
        <v>1458562</v>
      </c>
    </row>
    <row r="15" spans="2:36" x14ac:dyDescent="0.25">
      <c r="C15" s="41"/>
      <c r="O15" s="41"/>
      <c r="Q15" s="41"/>
      <c r="S15" s="572"/>
      <c r="U15" s="572"/>
      <c r="W15" s="572"/>
      <c r="Y15" s="572"/>
      <c r="AA15" s="572"/>
      <c r="AC15" s="572"/>
      <c r="AE15" s="572"/>
      <c r="AG15" s="572"/>
      <c r="AJ15" s="41"/>
    </row>
    <row r="16" spans="2:36" ht="26.4" x14ac:dyDescent="0.25">
      <c r="B16" s="539" t="s">
        <v>810</v>
      </c>
      <c r="C16" s="726">
        <f>C12/C14</f>
        <v>0.42668917666666673</v>
      </c>
      <c r="D16" s="539"/>
      <c r="E16" s="604">
        <f>E12/E14</f>
        <v>0.18741252090041191</v>
      </c>
      <c r="F16" s="539"/>
      <c r="G16" s="604">
        <f>G12/G14</f>
        <v>0.32691175362236918</v>
      </c>
      <c r="H16" s="539"/>
      <c r="I16" s="604">
        <f>I12/I14</f>
        <v>7.7515810009967823E-2</v>
      </c>
      <c r="J16" s="539"/>
      <c r="K16" s="604">
        <f>K12/K14</f>
        <v>7.2814960003080201E-2</v>
      </c>
      <c r="L16" s="539"/>
      <c r="M16" s="604">
        <f>M12/M14</f>
        <v>-0.10213516390067655</v>
      </c>
      <c r="N16" s="575"/>
      <c r="O16" s="604">
        <f>O12/O14</f>
        <v>0.21976452456226445</v>
      </c>
      <c r="Q16" s="604">
        <f>Q12/Q14</f>
        <v>0.18354930610621367</v>
      </c>
      <c r="S16" s="572"/>
      <c r="U16" s="572"/>
      <c r="W16" s="572"/>
      <c r="Y16" s="572"/>
      <c r="AA16" s="572"/>
      <c r="AC16" s="572"/>
      <c r="AE16" s="572"/>
      <c r="AG16" s="572"/>
      <c r="AJ16" s="604">
        <f>AJ12/AJ14</f>
        <v>0.17718958810115717</v>
      </c>
    </row>
    <row r="17" spans="2:37" x14ac:dyDescent="0.25">
      <c r="B17" s="539"/>
      <c r="C17" s="445"/>
      <c r="D17" s="539"/>
      <c r="E17" s="539"/>
      <c r="F17" s="539"/>
      <c r="G17" s="539"/>
      <c r="H17" s="539"/>
      <c r="I17" s="539"/>
      <c r="J17" s="539"/>
      <c r="K17" s="539"/>
      <c r="L17" s="539"/>
      <c r="O17" s="41"/>
      <c r="Q17" s="41"/>
      <c r="S17" s="572"/>
      <c r="U17" s="572"/>
      <c r="W17" s="572"/>
      <c r="Y17" s="572"/>
      <c r="AA17" s="572"/>
      <c r="AC17" s="572"/>
      <c r="AE17" s="572"/>
      <c r="AG17" s="572"/>
      <c r="AJ17" s="41"/>
    </row>
    <row r="18" spans="2:37" ht="26.4" x14ac:dyDescent="0.25">
      <c r="B18" s="539" t="s">
        <v>706</v>
      </c>
      <c r="C18" s="894" t="s">
        <v>897</v>
      </c>
      <c r="D18" s="539"/>
      <c r="E18" s="894" t="s">
        <v>897</v>
      </c>
      <c r="F18" s="539"/>
      <c r="G18" s="894" t="s">
        <v>897</v>
      </c>
      <c r="H18" s="539"/>
      <c r="I18" s="894" t="s">
        <v>897</v>
      </c>
      <c r="J18" s="539"/>
      <c r="K18" s="894" t="s">
        <v>897</v>
      </c>
      <c r="L18" s="539"/>
      <c r="M18" s="894" t="s">
        <v>897</v>
      </c>
      <c r="N18" s="575"/>
      <c r="O18" s="894" t="s">
        <v>897</v>
      </c>
      <c r="Q18" s="894" t="s">
        <v>897</v>
      </c>
      <c r="S18" s="572"/>
      <c r="U18" s="572"/>
      <c r="W18" s="572"/>
      <c r="Y18" s="572"/>
      <c r="AA18" s="572"/>
      <c r="AC18" s="572"/>
      <c r="AE18" s="572"/>
      <c r="AG18" s="572"/>
      <c r="AJ18" s="894" t="s">
        <v>897</v>
      </c>
    </row>
    <row r="20" spans="2:37" x14ac:dyDescent="0.25">
      <c r="B20" s="538" t="s">
        <v>708</v>
      </c>
    </row>
    <row r="22" spans="2:37" x14ac:dyDescent="0.25">
      <c r="B22" s="538" t="s">
        <v>707</v>
      </c>
    </row>
    <row r="23" spans="2:37" x14ac:dyDescent="0.25">
      <c r="R23" s="538"/>
    </row>
    <row r="24" spans="2:37" x14ac:dyDescent="0.25">
      <c r="B24" s="1006" t="s">
        <v>898</v>
      </c>
      <c r="C24" s="1006"/>
      <c r="D24" s="1006"/>
      <c r="E24" s="1006"/>
      <c r="F24" s="1006"/>
      <c r="G24" s="1006"/>
      <c r="H24" s="1006"/>
      <c r="I24" s="1006"/>
      <c r="J24" s="1006"/>
      <c r="K24" s="1006"/>
      <c r="L24" s="1006"/>
      <c r="M24" s="1006"/>
      <c r="N24" s="1006"/>
      <c r="O24" s="1006"/>
      <c r="P24" s="1006"/>
      <c r="Q24" s="1006"/>
      <c r="R24" s="1006"/>
    </row>
    <row r="25" spans="2:37" x14ac:dyDescent="0.25">
      <c r="B25" s="1006"/>
      <c r="C25" s="1006"/>
      <c r="D25" s="1006"/>
      <c r="E25" s="1006"/>
      <c r="F25" s="1006"/>
      <c r="G25" s="1006"/>
      <c r="H25" s="1006"/>
      <c r="I25" s="1006"/>
      <c r="J25" s="1006"/>
      <c r="K25" s="1006"/>
      <c r="L25" s="1006"/>
      <c r="M25" s="1006"/>
      <c r="N25" s="1006"/>
      <c r="O25" s="1006"/>
      <c r="P25" s="1006"/>
      <c r="Q25" s="1006"/>
      <c r="R25" s="1006"/>
    </row>
    <row r="26" spans="2:37" ht="13.2" customHeight="1" x14ac:dyDescent="0.25">
      <c r="B26" s="1006"/>
      <c r="C26" s="1006"/>
      <c r="D26" s="1006"/>
      <c r="E26" s="1006"/>
      <c r="F26" s="1006"/>
      <c r="G26" s="1006"/>
      <c r="H26" s="1006"/>
      <c r="I26" s="1006"/>
      <c r="J26" s="1006"/>
      <c r="K26" s="1006"/>
      <c r="L26" s="1006"/>
      <c r="M26" s="1006"/>
      <c r="N26" s="1006"/>
      <c r="O26" s="1006"/>
      <c r="P26" s="1006"/>
      <c r="Q26" s="1006"/>
      <c r="R26" s="1006"/>
    </row>
    <row r="27" spans="2:37" x14ac:dyDescent="0.25">
      <c r="B27" s="1006"/>
      <c r="C27" s="1006"/>
      <c r="D27" s="1006"/>
      <c r="E27" s="1006"/>
      <c r="F27" s="1006"/>
      <c r="G27" s="1006"/>
      <c r="H27" s="1006"/>
      <c r="I27" s="1006"/>
      <c r="J27" s="1006"/>
      <c r="K27" s="1006"/>
      <c r="L27" s="1006"/>
      <c r="M27" s="1006"/>
      <c r="N27" s="1006"/>
      <c r="O27" s="1006"/>
      <c r="P27" s="1006"/>
      <c r="Q27" s="1006"/>
      <c r="R27" s="1006"/>
    </row>
    <row r="28" spans="2:37" ht="13.8" thickBot="1" x14ac:dyDescent="0.3">
      <c r="B28" s="41"/>
      <c r="C28" s="41"/>
      <c r="D28" s="41"/>
      <c r="E28" s="41"/>
      <c r="F28" s="41"/>
      <c r="G28" s="41"/>
      <c r="H28" s="41"/>
      <c r="I28" s="41"/>
      <c r="J28" s="41"/>
      <c r="K28" s="41"/>
      <c r="L28" s="41"/>
      <c r="M28" s="41"/>
      <c r="N28" s="41"/>
      <c r="O28" s="41"/>
      <c r="P28" s="41"/>
      <c r="Q28" s="41"/>
      <c r="S28" s="41"/>
      <c r="U28" s="41"/>
      <c r="W28" s="41"/>
      <c r="Y28" s="41"/>
      <c r="AA28" s="41"/>
      <c r="AC28" s="41"/>
      <c r="AE28" s="41"/>
      <c r="AG28" s="41"/>
      <c r="AH28" s="41"/>
    </row>
    <row r="29" spans="2:37" ht="13.2" customHeight="1" x14ac:dyDescent="0.25">
      <c r="B29" s="993" t="s">
        <v>712</v>
      </c>
      <c r="C29" s="994"/>
      <c r="D29" s="994"/>
      <c r="E29" s="994"/>
      <c r="F29" s="994"/>
      <c r="G29" s="994"/>
      <c r="H29" s="994"/>
      <c r="I29" s="994"/>
      <c r="J29" s="994"/>
      <c r="K29" s="994"/>
      <c r="L29" s="994"/>
      <c r="M29" s="994"/>
      <c r="N29" s="994"/>
      <c r="O29" s="994"/>
      <c r="P29" s="994"/>
      <c r="Q29" s="994"/>
      <c r="R29" s="995"/>
      <c r="S29" s="814"/>
      <c r="T29" s="814"/>
      <c r="U29" s="814"/>
      <c r="V29" s="814"/>
      <c r="W29" s="814"/>
      <c r="X29" s="814"/>
      <c r="Y29" s="814"/>
      <c r="Z29" s="814"/>
      <c r="AA29" s="814"/>
      <c r="AB29" s="814"/>
      <c r="AC29" s="814"/>
      <c r="AD29" s="814"/>
      <c r="AE29" s="814"/>
      <c r="AF29" s="814"/>
      <c r="AG29" s="814"/>
      <c r="AH29" s="815"/>
    </row>
    <row r="30" spans="2:37" ht="13.8" thickBot="1" x14ac:dyDescent="0.3">
      <c r="B30" s="996"/>
      <c r="C30" s="997"/>
      <c r="D30" s="997"/>
      <c r="E30" s="997"/>
      <c r="F30" s="997"/>
      <c r="G30" s="997"/>
      <c r="H30" s="997"/>
      <c r="I30" s="997"/>
      <c r="J30" s="997"/>
      <c r="K30" s="997"/>
      <c r="L30" s="997"/>
      <c r="M30" s="997"/>
      <c r="N30" s="997"/>
      <c r="O30" s="997"/>
      <c r="P30" s="997"/>
      <c r="Q30" s="997"/>
      <c r="R30" s="998"/>
      <c r="S30" s="816"/>
      <c r="T30" s="816"/>
      <c r="U30" s="816"/>
      <c r="V30" s="816"/>
      <c r="W30" s="816"/>
      <c r="X30" s="816"/>
      <c r="Y30" s="816"/>
      <c r="Z30" s="816"/>
      <c r="AA30" s="816"/>
      <c r="AB30" s="816"/>
      <c r="AC30" s="816"/>
      <c r="AD30" s="816"/>
      <c r="AE30" s="816"/>
      <c r="AF30" s="816"/>
      <c r="AG30" s="816"/>
      <c r="AH30" s="817"/>
    </row>
    <row r="31" spans="2:37" ht="13.8" thickBot="1" x14ac:dyDescent="0.3">
      <c r="B31" s="772"/>
      <c r="C31" s="772"/>
      <c r="D31" s="772"/>
      <c r="E31" s="772"/>
      <c r="F31" s="772"/>
      <c r="G31" s="772"/>
      <c r="H31" s="772"/>
      <c r="I31" s="772"/>
      <c r="J31" s="772"/>
      <c r="K31" s="772"/>
      <c r="L31" s="772"/>
      <c r="M31" s="772"/>
      <c r="N31" s="772"/>
      <c r="O31" s="772"/>
      <c r="P31" s="772"/>
      <c r="Q31" s="772"/>
      <c r="R31" s="772"/>
      <c r="S31" s="772"/>
      <c r="T31" s="772"/>
      <c r="U31" s="772"/>
      <c r="V31" s="772"/>
      <c r="W31" s="772"/>
      <c r="X31" s="772"/>
      <c r="Y31" s="772"/>
      <c r="Z31" s="772"/>
      <c r="AA31" s="772"/>
      <c r="AB31" s="772"/>
      <c r="AC31" s="772"/>
      <c r="AD31" s="772"/>
      <c r="AE31" s="772"/>
      <c r="AF31" s="772"/>
      <c r="AG31" s="772"/>
      <c r="AH31" s="772"/>
    </row>
    <row r="32" spans="2:37" ht="13.2" customHeight="1" x14ac:dyDescent="0.25">
      <c r="B32" s="999" t="s">
        <v>713</v>
      </c>
      <c r="C32" s="1000"/>
      <c r="D32" s="1000"/>
      <c r="E32" s="1000"/>
      <c r="F32" s="1000"/>
      <c r="G32" s="1000"/>
      <c r="H32" s="1000"/>
      <c r="I32" s="1000"/>
      <c r="J32" s="1000"/>
      <c r="K32" s="1000"/>
      <c r="L32" s="1000"/>
      <c r="M32" s="1000"/>
      <c r="N32" s="1000"/>
      <c r="O32" s="1000"/>
      <c r="P32" s="1000"/>
      <c r="Q32" s="1000"/>
      <c r="R32" s="1001"/>
      <c r="S32" s="814"/>
      <c r="T32" s="814"/>
      <c r="U32" s="814"/>
      <c r="V32" s="814"/>
      <c r="W32" s="814"/>
      <c r="X32" s="814"/>
      <c r="Y32" s="814"/>
      <c r="Z32" s="814"/>
      <c r="AA32" s="814"/>
      <c r="AB32" s="814"/>
      <c r="AC32" s="814"/>
      <c r="AD32" s="814"/>
      <c r="AE32" s="814"/>
      <c r="AF32" s="814"/>
      <c r="AG32" s="814"/>
      <c r="AH32" s="815"/>
      <c r="AI32" s="592"/>
      <c r="AJ32" s="592"/>
      <c r="AK32" s="592"/>
    </row>
    <row r="33" spans="2:37" ht="13.8" thickBot="1" x14ac:dyDescent="0.3">
      <c r="B33" s="1002"/>
      <c r="C33" s="1003"/>
      <c r="D33" s="1003"/>
      <c r="E33" s="1003"/>
      <c r="F33" s="1003"/>
      <c r="G33" s="1003"/>
      <c r="H33" s="1003"/>
      <c r="I33" s="1003"/>
      <c r="J33" s="1003"/>
      <c r="K33" s="1003"/>
      <c r="L33" s="1003"/>
      <c r="M33" s="1003"/>
      <c r="N33" s="1003"/>
      <c r="O33" s="1003"/>
      <c r="P33" s="1003"/>
      <c r="Q33" s="1003"/>
      <c r="R33" s="1004"/>
      <c r="S33" s="816"/>
      <c r="T33" s="816"/>
      <c r="U33" s="816"/>
      <c r="V33" s="816"/>
      <c r="W33" s="816"/>
      <c r="X33" s="816"/>
      <c r="Y33" s="816"/>
      <c r="Z33" s="816"/>
      <c r="AA33" s="816"/>
      <c r="AB33" s="816"/>
      <c r="AC33" s="816"/>
      <c r="AD33" s="816"/>
      <c r="AE33" s="816"/>
      <c r="AF33" s="816"/>
      <c r="AG33" s="816"/>
      <c r="AH33" s="817"/>
      <c r="AI33" s="592"/>
      <c r="AJ33" s="592"/>
      <c r="AK33" s="592"/>
    </row>
    <row r="34" spans="2:37" ht="13.8" thickBot="1" x14ac:dyDescent="0.3">
      <c r="B34" s="772"/>
      <c r="C34" s="772"/>
      <c r="D34" s="772"/>
      <c r="E34" s="772"/>
      <c r="F34" s="772"/>
      <c r="G34" s="772"/>
      <c r="H34" s="772"/>
      <c r="I34" s="772"/>
      <c r="J34" s="772"/>
      <c r="K34" s="772"/>
      <c r="L34" s="772"/>
      <c r="M34" s="772"/>
      <c r="N34" s="772"/>
      <c r="O34" s="772"/>
      <c r="P34" s="772"/>
      <c r="Q34" s="772"/>
      <c r="R34" s="772"/>
      <c r="S34" s="772"/>
      <c r="T34" s="772"/>
      <c r="U34" s="772"/>
      <c r="V34" s="772"/>
      <c r="W34" s="772"/>
      <c r="X34" s="772"/>
      <c r="Y34" s="772"/>
      <c r="Z34" s="772"/>
      <c r="AA34" s="772"/>
      <c r="AB34" s="772"/>
      <c r="AC34" s="772"/>
      <c r="AD34" s="772"/>
      <c r="AE34" s="772"/>
      <c r="AF34" s="772"/>
      <c r="AG34" s="772"/>
      <c r="AH34" s="772"/>
    </row>
    <row r="35" spans="2:37" ht="76.95" customHeight="1" thickBot="1" x14ac:dyDescent="0.3">
      <c r="B35" s="983" t="s">
        <v>868</v>
      </c>
      <c r="C35" s="984"/>
      <c r="D35" s="984"/>
      <c r="E35" s="984"/>
      <c r="F35" s="984"/>
      <c r="G35" s="984"/>
      <c r="H35" s="984"/>
      <c r="I35" s="984"/>
      <c r="J35" s="984"/>
      <c r="K35" s="984"/>
      <c r="L35" s="984"/>
      <c r="M35" s="984"/>
      <c r="N35" s="984"/>
      <c r="O35" s="984"/>
      <c r="P35" s="984"/>
      <c r="Q35" s="984"/>
      <c r="R35" s="985"/>
      <c r="S35" s="812"/>
      <c r="T35" s="812"/>
      <c r="U35" s="812"/>
      <c r="V35" s="812"/>
      <c r="W35" s="812"/>
      <c r="X35" s="812"/>
      <c r="Y35" s="812"/>
      <c r="Z35" s="812"/>
      <c r="AA35" s="812"/>
      <c r="AB35" s="812"/>
      <c r="AC35" s="812"/>
      <c r="AD35" s="812"/>
      <c r="AE35" s="812"/>
      <c r="AF35" s="812"/>
      <c r="AG35" s="812"/>
      <c r="AH35" s="813"/>
    </row>
    <row r="36" spans="2:37" x14ac:dyDescent="0.25">
      <c r="B36" s="361"/>
      <c r="C36" s="361"/>
      <c r="D36" s="361"/>
      <c r="E36" s="361"/>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row>
    <row r="37" spans="2:37" x14ac:dyDescent="0.25">
      <c r="B37" s="361"/>
      <c r="C37" s="361"/>
      <c r="D37" s="361"/>
      <c r="E37" s="361"/>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row>
    <row r="38" spans="2:37" x14ac:dyDescent="0.25">
      <c r="B38" s="361"/>
      <c r="C38" s="361"/>
      <c r="D38" s="361"/>
      <c r="E38" s="361"/>
      <c r="F38" s="361"/>
      <c r="G38" s="361"/>
      <c r="H38" s="361"/>
      <c r="I38" s="361"/>
      <c r="J38" s="361"/>
      <c r="K38" s="361"/>
      <c r="L38" s="361"/>
      <c r="M38" s="361"/>
      <c r="N38" s="361"/>
      <c r="O38" s="361"/>
      <c r="P38" s="361"/>
      <c r="Q38" s="361"/>
      <c r="R38" s="361"/>
      <c r="S38" s="361"/>
      <c r="T38" s="361"/>
      <c r="U38" s="361"/>
      <c r="V38" s="361"/>
      <c r="W38" s="361"/>
      <c r="X38" s="361"/>
      <c r="Y38" s="361"/>
      <c r="Z38" s="361"/>
      <c r="AA38" s="361"/>
      <c r="AB38" s="361"/>
      <c r="AC38" s="361"/>
      <c r="AD38" s="361"/>
      <c r="AE38" s="361"/>
      <c r="AF38" s="361"/>
      <c r="AG38" s="361"/>
      <c r="AH38" s="361"/>
    </row>
    <row r="39" spans="2:37" x14ac:dyDescent="0.25">
      <c r="B39" s="361"/>
      <c r="C39" s="361"/>
      <c r="D39" s="361"/>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row>
    <row r="40" spans="2:37" x14ac:dyDescent="0.25">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row>
    <row r="41" spans="2:37" x14ac:dyDescent="0.25">
      <c r="B41" s="530"/>
      <c r="C41" s="530"/>
      <c r="D41" s="530"/>
      <c r="E41" s="530"/>
      <c r="F41" s="530"/>
      <c r="G41" s="530"/>
      <c r="H41" s="530"/>
      <c r="I41" s="530"/>
      <c r="J41" s="530"/>
      <c r="K41" s="530"/>
      <c r="L41" s="530"/>
      <c r="M41" s="530"/>
      <c r="N41" s="530"/>
      <c r="O41" s="530"/>
      <c r="P41" s="530"/>
      <c r="Q41" s="530"/>
      <c r="R41" s="530"/>
      <c r="S41" s="530"/>
      <c r="T41" s="530"/>
      <c r="U41" s="530"/>
      <c r="V41" s="530"/>
      <c r="W41" s="530"/>
      <c r="X41" s="530"/>
      <c r="Y41" s="530"/>
      <c r="Z41" s="530"/>
      <c r="AA41" s="530"/>
      <c r="AB41" s="530"/>
      <c r="AC41" s="530"/>
      <c r="AD41" s="530"/>
      <c r="AE41" s="530"/>
      <c r="AF41" s="530"/>
      <c r="AG41" s="530"/>
      <c r="AH41" s="530"/>
    </row>
    <row r="42" spans="2:37" x14ac:dyDescent="0.25">
      <c r="B42" s="606"/>
      <c r="C42" s="606"/>
      <c r="D42" s="606"/>
      <c r="E42" s="606"/>
      <c r="F42" s="606"/>
      <c r="G42" s="606"/>
      <c r="H42" s="606"/>
      <c r="I42" s="606"/>
      <c r="J42" s="606"/>
      <c r="K42" s="606"/>
      <c r="L42" s="606"/>
      <c r="M42" s="606"/>
      <c r="N42" s="606"/>
      <c r="O42" s="606"/>
      <c r="P42" s="606"/>
      <c r="Q42" s="606"/>
      <c r="R42" s="48"/>
      <c r="S42" s="605"/>
      <c r="T42" s="48"/>
      <c r="U42" s="605"/>
      <c r="V42" s="48"/>
      <c r="W42" s="605"/>
      <c r="X42" s="48"/>
      <c r="Y42" s="605"/>
      <c r="Z42" s="48"/>
      <c r="AA42" s="605"/>
      <c r="AB42" s="48"/>
      <c r="AC42" s="605"/>
      <c r="AD42" s="48"/>
      <c r="AE42" s="605"/>
      <c r="AF42" s="48"/>
      <c r="AG42" s="605"/>
      <c r="AH42" s="605"/>
    </row>
  </sheetData>
  <mergeCells count="9">
    <mergeCell ref="B29:R30"/>
    <mergeCell ref="B32:R33"/>
    <mergeCell ref="B35:R35"/>
    <mergeCell ref="B2:AG2"/>
    <mergeCell ref="B3:AG3"/>
    <mergeCell ref="B4:AG4"/>
    <mergeCell ref="B5:AG5"/>
    <mergeCell ref="B7:AG7"/>
    <mergeCell ref="B24:R27"/>
  </mergeCells>
  <printOptions horizontalCentered="1"/>
  <pageMargins left="0.7" right="0.7" top="0.75" bottom="0.75" header="0.3" footer="0.3"/>
  <pageSetup scale="5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FF00"/>
    <pageSetUpPr fitToPage="1"/>
  </sheetPr>
  <dimension ref="B2:J29"/>
  <sheetViews>
    <sheetView workbookViewId="0">
      <selection activeCell="B26" sqref="B26"/>
    </sheetView>
  </sheetViews>
  <sheetFormatPr defaultRowHeight="13.2" x14ac:dyDescent="0.25"/>
  <cols>
    <col min="2" max="2" width="60.88671875" customWidth="1"/>
    <col min="3" max="3" width="12.44140625" customWidth="1"/>
    <col min="4" max="7" width="14.44140625" style="601" bestFit="1" customWidth="1"/>
    <col min="8" max="8" width="10" bestFit="1" customWidth="1"/>
    <col min="9" max="9" width="11.33203125" bestFit="1" customWidth="1"/>
  </cols>
  <sheetData>
    <row r="2" spans="2:10" x14ac:dyDescent="0.25">
      <c r="B2" s="896" t="s">
        <v>142</v>
      </c>
      <c r="C2" s="896"/>
      <c r="D2" s="896"/>
      <c r="E2" s="896"/>
      <c r="F2" s="896"/>
      <c r="G2" s="896"/>
    </row>
    <row r="3" spans="2:10" x14ac:dyDescent="0.25">
      <c r="B3" s="896" t="s">
        <v>742</v>
      </c>
      <c r="C3" s="896"/>
      <c r="D3" s="896"/>
      <c r="E3" s="896"/>
      <c r="F3" s="896"/>
      <c r="G3" s="896"/>
    </row>
    <row r="4" spans="2:10" x14ac:dyDescent="0.25">
      <c r="B4" s="896" t="s">
        <v>743</v>
      </c>
      <c r="C4" s="896"/>
      <c r="D4" s="896"/>
      <c r="E4" s="896"/>
      <c r="F4" s="896"/>
      <c r="G4" s="896"/>
    </row>
    <row r="5" spans="2:10" ht="13.8" x14ac:dyDescent="0.25">
      <c r="B5" s="1007" t="s">
        <v>766</v>
      </c>
      <c r="C5" s="1007"/>
      <c r="D5" s="1007"/>
      <c r="E5" s="1007"/>
      <c r="F5" s="1007"/>
      <c r="G5" s="1007"/>
      <c r="H5" s="729"/>
      <c r="I5" s="729"/>
      <c r="J5" s="729"/>
    </row>
    <row r="6" spans="2:10" x14ac:dyDescent="0.25">
      <c r="C6" s="83">
        <v>2023</v>
      </c>
      <c r="D6" s="83">
        <v>2022</v>
      </c>
      <c r="E6" s="594">
        <v>2021</v>
      </c>
      <c r="F6" s="594">
        <v>2020</v>
      </c>
      <c r="G6" s="594">
        <v>2019</v>
      </c>
    </row>
    <row r="7" spans="2:10" x14ac:dyDescent="0.25">
      <c r="B7" s="482" t="s">
        <v>744</v>
      </c>
      <c r="C7" s="732">
        <f>D15</f>
        <v>215657.29400000002</v>
      </c>
      <c r="D7" s="670">
        <f>E15</f>
        <v>198653.23400000003</v>
      </c>
      <c r="E7" s="670">
        <f>197411-7095+7200</f>
        <v>197516</v>
      </c>
      <c r="F7" s="670">
        <v>194716</v>
      </c>
      <c r="G7" s="670">
        <v>191458</v>
      </c>
      <c r="I7" s="671"/>
    </row>
    <row r="8" spans="2:10" x14ac:dyDescent="0.25">
      <c r="B8" s="482" t="s">
        <v>745</v>
      </c>
      <c r="C8" s="56">
        <f>7090461*0.001</f>
        <v>7090.4610000000002</v>
      </c>
      <c r="D8" s="601">
        <f>5778581*0.001</f>
        <v>5778.5810000000001</v>
      </c>
      <c r="E8" s="601">
        <f>6112176*0.001-210</f>
        <v>5902.1760000000004</v>
      </c>
      <c r="F8" s="601">
        <v>5586</v>
      </c>
      <c r="G8" s="601">
        <f>5639+34</f>
        <v>5673</v>
      </c>
      <c r="I8" s="671"/>
    </row>
    <row r="9" spans="2:10" x14ac:dyDescent="0.25">
      <c r="B9" s="482" t="s">
        <v>746</v>
      </c>
      <c r="C9" s="56">
        <f>6721102*0.001</f>
        <v>6721.1019999999999</v>
      </c>
      <c r="D9" s="601">
        <f>5328296*0.001</f>
        <v>5328.2960000000003</v>
      </c>
      <c r="E9" s="601">
        <f>7313608*0.001</f>
        <v>7313.6080000000002</v>
      </c>
      <c r="F9" s="601">
        <v>6479</v>
      </c>
      <c r="G9" s="601">
        <v>6225</v>
      </c>
      <c r="I9" s="671"/>
    </row>
    <row r="10" spans="2:10" x14ac:dyDescent="0.25">
      <c r="B10" s="426" t="s">
        <v>747</v>
      </c>
      <c r="C10" s="56">
        <f>0</f>
        <v>0</v>
      </c>
      <c r="D10" s="601">
        <f>18621115*0.001</f>
        <v>18621.115000000002</v>
      </c>
      <c r="E10" s="601">
        <v>0</v>
      </c>
      <c r="F10" s="601">
        <v>0</v>
      </c>
      <c r="G10" s="577" t="s">
        <v>813</v>
      </c>
      <c r="I10" s="671"/>
    </row>
    <row r="11" spans="2:10" ht="26.4" x14ac:dyDescent="0.25">
      <c r="B11" s="310" t="s">
        <v>770</v>
      </c>
      <c r="C11" s="56">
        <f>893502*0.001</f>
        <v>893.50200000000007</v>
      </c>
      <c r="D11" s="601">
        <f>8581482*0.001</f>
        <v>8581.482</v>
      </c>
      <c r="E11" s="601">
        <f>3926991*0.001</f>
        <v>3926.991</v>
      </c>
      <c r="F11" s="601">
        <v>6521</v>
      </c>
      <c r="G11" s="601">
        <v>7453</v>
      </c>
      <c r="I11" s="671"/>
    </row>
    <row r="12" spans="2:10" x14ac:dyDescent="0.25">
      <c r="B12" s="426" t="s">
        <v>748</v>
      </c>
      <c r="C12" s="56">
        <f>5051096*0.001</f>
        <v>5051.0960000000005</v>
      </c>
      <c r="D12" s="601">
        <f>-5674582*0.001</f>
        <v>-5674.5820000000003</v>
      </c>
      <c r="E12" s="601">
        <f>-1215541*0.001+210</f>
        <v>-1005.5409999999999</v>
      </c>
      <c r="F12" s="601">
        <f>-1215541*0.001+210</f>
        <v>-1005.5409999999999</v>
      </c>
      <c r="G12" s="601">
        <v>-2541</v>
      </c>
      <c r="I12" s="671"/>
    </row>
    <row r="13" spans="2:10" x14ac:dyDescent="0.25">
      <c r="B13" s="426" t="s">
        <v>749</v>
      </c>
      <c r="C13" s="56">
        <f>-16031418*0.001</f>
        <v>-16031.418</v>
      </c>
      <c r="D13" s="601">
        <f>-15630832*0.001</f>
        <v>-15630.832</v>
      </c>
      <c r="E13" s="601">
        <f>-7800-7200</f>
        <v>-15000</v>
      </c>
      <c r="F13" s="601">
        <v>-14780</v>
      </c>
      <c r="G13" s="601">
        <v>-13552</v>
      </c>
      <c r="I13" s="671"/>
    </row>
    <row r="14" spans="2:10" x14ac:dyDescent="0.25">
      <c r="B14" s="426" t="s">
        <v>750</v>
      </c>
      <c r="C14" s="56">
        <v>0</v>
      </c>
      <c r="D14" s="601">
        <v>0</v>
      </c>
      <c r="E14" s="601">
        <v>0</v>
      </c>
      <c r="F14" s="601">
        <v>0</v>
      </c>
      <c r="G14" s="601">
        <v>0</v>
      </c>
      <c r="I14" s="671"/>
    </row>
    <row r="15" spans="2:10" ht="13.8" thickBot="1" x14ac:dyDescent="0.3">
      <c r="B15" s="426" t="s">
        <v>751</v>
      </c>
      <c r="C15" s="733">
        <f>SUM(C7:C14)</f>
        <v>219382.03700000004</v>
      </c>
      <c r="D15" s="672">
        <f>SUM(D7:D14)</f>
        <v>215657.29400000002</v>
      </c>
      <c r="E15" s="672">
        <f>SUM(E7:E14)</f>
        <v>198653.23400000003</v>
      </c>
      <c r="F15" s="672">
        <f>SUM(F7:F14)</f>
        <v>197516.459</v>
      </c>
      <c r="G15" s="672">
        <f>SUM(G7:G14)</f>
        <v>194716</v>
      </c>
      <c r="I15" s="671"/>
    </row>
    <row r="16" spans="2:10" ht="13.8" thickTop="1" x14ac:dyDescent="0.25">
      <c r="B16" s="293"/>
      <c r="C16" s="293"/>
      <c r="H16" s="673"/>
      <c r="I16" s="671"/>
    </row>
    <row r="17" spans="2:7" ht="13.5" customHeight="1" x14ac:dyDescent="0.25">
      <c r="B17" s="1017" t="s">
        <v>814</v>
      </c>
      <c r="C17" s="1017"/>
      <c r="D17" s="1017"/>
      <c r="E17" s="1017"/>
      <c r="F17" s="1017"/>
      <c r="G17" s="1018"/>
    </row>
    <row r="18" spans="2:7" x14ac:dyDescent="0.25">
      <c r="B18" s="293"/>
      <c r="C18" s="293"/>
    </row>
    <row r="19" spans="2:7" ht="13.8" thickBot="1" x14ac:dyDescent="0.3">
      <c r="B19" s="674"/>
      <c r="C19" s="674"/>
      <c r="D19" s="675"/>
      <c r="E19" s="675"/>
      <c r="F19" s="675"/>
      <c r="G19" s="675"/>
    </row>
    <row r="20" spans="2:7" x14ac:dyDescent="0.25">
      <c r="B20" s="1008" t="s">
        <v>812</v>
      </c>
      <c r="C20" s="1009"/>
      <c r="D20" s="1009"/>
      <c r="E20" s="1009"/>
      <c r="F20" s="1009"/>
      <c r="G20" s="1010"/>
    </row>
    <row r="21" spans="2:7" x14ac:dyDescent="0.25">
      <c r="B21" s="1011"/>
      <c r="C21" s="1012"/>
      <c r="D21" s="1012"/>
      <c r="E21" s="1012"/>
      <c r="F21" s="1012"/>
      <c r="G21" s="1013"/>
    </row>
    <row r="22" spans="2:7" ht="13.8" thickBot="1" x14ac:dyDescent="0.3">
      <c r="B22" s="1014"/>
      <c r="C22" s="1015"/>
      <c r="D22" s="1015"/>
      <c r="E22" s="1015"/>
      <c r="F22" s="1015"/>
      <c r="G22" s="1016"/>
    </row>
    <row r="23" spans="2:7" x14ac:dyDescent="0.25">
      <c r="B23" s="674"/>
      <c r="C23" s="674"/>
    </row>
    <row r="24" spans="2:7" x14ac:dyDescent="0.25">
      <c r="B24" s="293"/>
      <c r="C24" s="293"/>
    </row>
    <row r="25" spans="2:7" x14ac:dyDescent="0.25">
      <c r="B25" s="293"/>
      <c r="C25" s="293"/>
    </row>
    <row r="26" spans="2:7" x14ac:dyDescent="0.25">
      <c r="B26" s="676"/>
      <c r="C26" s="676"/>
    </row>
    <row r="28" spans="2:7" x14ac:dyDescent="0.25">
      <c r="B28" s="632"/>
      <c r="C28" s="632"/>
    </row>
    <row r="29" spans="2:7" x14ac:dyDescent="0.25">
      <c r="B29" s="592"/>
      <c r="C29" s="592"/>
    </row>
  </sheetData>
  <mergeCells count="6">
    <mergeCell ref="B2:G2"/>
    <mergeCell ref="B3:G3"/>
    <mergeCell ref="B4:G4"/>
    <mergeCell ref="B5:G5"/>
    <mergeCell ref="B20:G22"/>
    <mergeCell ref="B17:G17"/>
  </mergeCells>
  <printOptions horizontalCentered="1"/>
  <pageMargins left="0.7" right="0.7" top="0.75" bottom="0.75" header="0.3" footer="0.3"/>
  <pageSetup scale="7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FF00"/>
    <pageSetUpPr fitToPage="1"/>
  </sheetPr>
  <dimension ref="B2:I20"/>
  <sheetViews>
    <sheetView workbookViewId="0"/>
  </sheetViews>
  <sheetFormatPr defaultRowHeight="13.2" x14ac:dyDescent="0.25"/>
  <cols>
    <col min="2" max="2" width="65.33203125" customWidth="1"/>
    <col min="3" max="3" width="11.6640625" customWidth="1"/>
    <col min="4" max="7" width="14.44140625" bestFit="1" customWidth="1"/>
  </cols>
  <sheetData>
    <row r="2" spans="2:9" x14ac:dyDescent="0.25">
      <c r="B2" s="896" t="s">
        <v>142</v>
      </c>
      <c r="C2" s="896"/>
      <c r="D2" s="896"/>
      <c r="E2" s="896"/>
      <c r="F2" s="896"/>
      <c r="G2" s="896"/>
    </row>
    <row r="3" spans="2:9" ht="13.5" customHeight="1" x14ac:dyDescent="0.25">
      <c r="B3" s="1023" t="s">
        <v>752</v>
      </c>
      <c r="C3" s="1023"/>
      <c r="D3" s="1023"/>
      <c r="E3" s="1023"/>
      <c r="F3" s="1023"/>
      <c r="G3" s="1023"/>
    </row>
    <row r="4" spans="2:9" x14ac:dyDescent="0.25">
      <c r="B4" s="896" t="s">
        <v>143</v>
      </c>
      <c r="C4" s="896"/>
      <c r="D4" s="896"/>
      <c r="E4" s="896"/>
      <c r="F4" s="896"/>
      <c r="G4" s="896"/>
    </row>
    <row r="5" spans="2:9" x14ac:dyDescent="0.25">
      <c r="B5" s="1007" t="s">
        <v>776</v>
      </c>
      <c r="C5" s="1007"/>
      <c r="D5" s="1007"/>
      <c r="E5" s="1007"/>
      <c r="F5" s="1007"/>
      <c r="G5" s="1007"/>
    </row>
    <row r="6" spans="2:9" x14ac:dyDescent="0.25">
      <c r="C6" s="83">
        <v>2023</v>
      </c>
      <c r="D6" s="83">
        <v>2022</v>
      </c>
      <c r="E6" s="594">
        <v>2021</v>
      </c>
      <c r="F6" s="594">
        <v>2020</v>
      </c>
      <c r="G6" s="594">
        <v>2019</v>
      </c>
    </row>
    <row r="7" spans="2:9" x14ac:dyDescent="0.25">
      <c r="C7" s="17"/>
      <c r="D7" s="17"/>
    </row>
    <row r="8" spans="2:9" x14ac:dyDescent="0.25">
      <c r="B8" s="538" t="s">
        <v>739</v>
      </c>
      <c r="C8" s="732">
        <f>'RSI - LEO 1'!C15</f>
        <v>219382.03700000004</v>
      </c>
      <c r="D8" s="670">
        <f>'RSI - LEO 1'!D15</f>
        <v>215657.29400000002</v>
      </c>
      <c r="E8" s="670">
        <f>'RSI - LEO 1'!E15</f>
        <v>198653.23400000003</v>
      </c>
      <c r="F8" s="670">
        <f>'RSI - LEO 1'!F15</f>
        <v>197516.459</v>
      </c>
      <c r="G8" s="670">
        <f>'RSI - LEO 1'!G15</f>
        <v>194716</v>
      </c>
    </row>
    <row r="9" spans="2:9" x14ac:dyDescent="0.25">
      <c r="B9" s="538" t="s">
        <v>753</v>
      </c>
      <c r="C9" s="56">
        <f>D9*1.0375</f>
        <v>439835.73984375008</v>
      </c>
      <c r="D9" s="601">
        <f>E9*1.0375</f>
        <v>423938.06250000006</v>
      </c>
      <c r="E9" s="601">
        <v>408615</v>
      </c>
      <c r="F9" s="601">
        <v>393846</v>
      </c>
      <c r="G9" s="601">
        <v>384005</v>
      </c>
      <c r="I9" s="678"/>
    </row>
    <row r="10" spans="2:9" x14ac:dyDescent="0.25">
      <c r="B10" s="538" t="s">
        <v>754</v>
      </c>
      <c r="C10" s="734">
        <f>C8/C9</f>
        <v>0.49878174310694862</v>
      </c>
      <c r="D10" s="677">
        <f>D8/D9</f>
        <v>0.50870000378887892</v>
      </c>
      <c r="E10" s="677">
        <f>E8/E9</f>
        <v>0.48616236310463401</v>
      </c>
      <c r="F10" s="677">
        <f>F8/F9</f>
        <v>0.501506830080793</v>
      </c>
      <c r="G10" s="677">
        <f>G8/G9</f>
        <v>0.50706631424070003</v>
      </c>
    </row>
    <row r="12" spans="2:9" x14ac:dyDescent="0.25">
      <c r="B12" t="s">
        <v>755</v>
      </c>
    </row>
    <row r="14" spans="2:9" ht="26.4" x14ac:dyDescent="0.25">
      <c r="B14" s="592" t="s">
        <v>756</v>
      </c>
      <c r="C14" s="592"/>
      <c r="D14" s="592"/>
      <c r="E14" s="592"/>
      <c r="F14" s="592"/>
      <c r="G14" s="592"/>
    </row>
    <row r="15" spans="2:9" ht="13.8" thickBot="1" x14ac:dyDescent="0.3">
      <c r="B15" s="161"/>
      <c r="C15" s="161"/>
      <c r="D15" s="161"/>
      <c r="E15" s="161"/>
      <c r="F15" s="161"/>
      <c r="G15" s="161"/>
      <c r="H15" s="161"/>
    </row>
    <row r="16" spans="2:9" ht="12.75" customHeight="1" x14ac:dyDescent="0.25">
      <c r="B16" s="1008" t="s">
        <v>812</v>
      </c>
      <c r="C16" s="1009"/>
      <c r="D16" s="1009"/>
      <c r="E16" s="1009"/>
      <c r="F16" s="1009"/>
      <c r="G16" s="1019"/>
      <c r="H16" s="161"/>
    </row>
    <row r="17" spans="2:8" ht="16.2" customHeight="1" thickBot="1" x14ac:dyDescent="0.3">
      <c r="B17" s="1020"/>
      <c r="C17" s="1021"/>
      <c r="D17" s="1021"/>
      <c r="E17" s="1021"/>
      <c r="F17" s="1021"/>
      <c r="G17" s="1022"/>
      <c r="H17" s="161"/>
    </row>
    <row r="18" spans="2:8" x14ac:dyDescent="0.25">
      <c r="B18" s="696"/>
      <c r="C18" s="696"/>
      <c r="D18" s="696"/>
      <c r="E18" s="696"/>
      <c r="F18" s="696"/>
      <c r="G18" s="696"/>
      <c r="H18" s="161"/>
    </row>
    <row r="19" spans="2:8" x14ac:dyDescent="0.25">
      <c r="B19" s="161"/>
      <c r="C19" s="161"/>
      <c r="D19" s="161"/>
      <c r="E19" s="161"/>
      <c r="F19" s="161"/>
      <c r="G19" s="161"/>
      <c r="H19" s="161"/>
    </row>
    <row r="20" spans="2:8" x14ac:dyDescent="0.25">
      <c r="B20" s="161"/>
      <c r="C20" s="161"/>
      <c r="D20" s="161"/>
      <c r="E20" s="161"/>
      <c r="F20" s="161"/>
      <c r="G20" s="161"/>
      <c r="H20" s="161"/>
    </row>
  </sheetData>
  <mergeCells count="5">
    <mergeCell ref="B16:G17"/>
    <mergeCell ref="B2:G2"/>
    <mergeCell ref="B3:G3"/>
    <mergeCell ref="B4:G4"/>
    <mergeCell ref="B5:G5"/>
  </mergeCells>
  <printOptions horizontalCentered="1"/>
  <pageMargins left="0.7" right="0.7" top="0.75" bottom="0.75" header="0.3" footer="0.3"/>
  <pageSetup scale="67"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FF00"/>
    <pageSetUpPr fitToPage="1"/>
  </sheetPr>
  <dimension ref="B2:I35"/>
  <sheetViews>
    <sheetView workbookViewId="0"/>
  </sheetViews>
  <sheetFormatPr defaultRowHeight="13.2" x14ac:dyDescent="0.25"/>
  <cols>
    <col min="2" max="2" width="62.5546875" bestFit="1" customWidth="1"/>
    <col min="3" max="3" width="14.6640625" customWidth="1"/>
    <col min="4" max="4" width="1.109375" customWidth="1"/>
    <col min="5" max="5" width="13.44140625" bestFit="1" customWidth="1"/>
    <col min="6" max="6" width="1.109375" style="711" customWidth="1"/>
    <col min="7" max="7" width="13.44140625" bestFit="1" customWidth="1"/>
    <col min="8" max="8" width="1.109375" style="711" customWidth="1"/>
    <col min="9" max="9" width="13.44140625" bestFit="1" customWidth="1"/>
  </cols>
  <sheetData>
    <row r="2" spans="2:9" x14ac:dyDescent="0.25">
      <c r="B2" s="1007" t="s">
        <v>0</v>
      </c>
      <c r="C2" s="1007"/>
      <c r="D2" s="1007"/>
      <c r="E2" s="1007"/>
      <c r="F2" s="1007"/>
      <c r="G2" s="1007"/>
      <c r="H2" s="1007"/>
      <c r="I2" s="1007"/>
    </row>
    <row r="3" spans="2:9" x14ac:dyDescent="0.25">
      <c r="B3" s="1007" t="s">
        <v>793</v>
      </c>
      <c r="C3" s="1007"/>
      <c r="D3" s="1007"/>
      <c r="E3" s="1007"/>
      <c r="F3" s="1007"/>
      <c r="G3" s="1007"/>
      <c r="H3" s="1007"/>
      <c r="I3" s="1007"/>
    </row>
    <row r="4" spans="2:9" x14ac:dyDescent="0.25">
      <c r="B4" s="1024" t="s">
        <v>815</v>
      </c>
      <c r="C4" s="1024"/>
      <c r="D4" s="1024"/>
      <c r="E4" s="1024"/>
      <c r="F4" s="1024"/>
      <c r="G4" s="1024"/>
      <c r="H4" s="1007"/>
      <c r="I4" s="1007"/>
    </row>
    <row r="7" spans="2:9" x14ac:dyDescent="0.25">
      <c r="C7" s="744">
        <v>2023</v>
      </c>
      <c r="E7" s="744">
        <v>2022</v>
      </c>
      <c r="F7" s="709"/>
      <c r="G7" s="745">
        <v>2021</v>
      </c>
      <c r="H7" s="709"/>
      <c r="I7" s="745">
        <v>2020</v>
      </c>
    </row>
    <row r="8" spans="2:9" x14ac:dyDescent="0.25">
      <c r="B8" s="698" t="s">
        <v>777</v>
      </c>
      <c r="C8" s="698"/>
      <c r="D8" s="698"/>
      <c r="E8" s="735"/>
      <c r="F8" s="701"/>
      <c r="G8" s="699"/>
      <c r="H8" s="701"/>
      <c r="I8" s="699"/>
    </row>
    <row r="9" spans="2:9" ht="6.75" customHeight="1" x14ac:dyDescent="0.25">
      <c r="B9" s="700"/>
      <c r="C9" s="700"/>
      <c r="D9" s="700"/>
      <c r="E9" s="735"/>
      <c r="F9" s="701"/>
      <c r="G9" s="699"/>
      <c r="H9" s="701"/>
      <c r="I9" s="699"/>
    </row>
    <row r="10" spans="2:9" x14ac:dyDescent="0.25">
      <c r="B10" s="538" t="s">
        <v>778</v>
      </c>
      <c r="C10" s="735">
        <v>12037</v>
      </c>
      <c r="D10" s="701"/>
      <c r="E10" s="699">
        <v>13012</v>
      </c>
      <c r="F10" s="701"/>
      <c r="G10" s="699">
        <v>12568</v>
      </c>
      <c r="I10" s="699">
        <v>12162</v>
      </c>
    </row>
    <row r="11" spans="2:9" x14ac:dyDescent="0.25">
      <c r="B11" s="538" t="s">
        <v>523</v>
      </c>
      <c r="C11" s="735">
        <v>24101</v>
      </c>
      <c r="D11" s="701"/>
      <c r="E11" s="699">
        <v>30306</v>
      </c>
      <c r="F11" s="701"/>
      <c r="G11" s="699">
        <v>27056</v>
      </c>
      <c r="I11" s="699">
        <v>26554</v>
      </c>
    </row>
    <row r="12" spans="2:9" x14ac:dyDescent="0.25">
      <c r="B12" s="538" t="s">
        <v>747</v>
      </c>
      <c r="C12" s="735">
        <v>0</v>
      </c>
      <c r="D12" s="701"/>
      <c r="E12" s="699">
        <v>0</v>
      </c>
      <c r="F12" s="701"/>
      <c r="G12" s="699">
        <v>0</v>
      </c>
      <c r="I12" s="699">
        <v>0</v>
      </c>
    </row>
    <row r="13" spans="2:9" x14ac:dyDescent="0.25">
      <c r="B13" s="538" t="s">
        <v>779</v>
      </c>
      <c r="C13" s="735">
        <v>23680</v>
      </c>
      <c r="D13" s="701"/>
      <c r="E13" s="699">
        <v>15024</v>
      </c>
      <c r="F13" s="701"/>
      <c r="G13" s="699">
        <v>17926</v>
      </c>
      <c r="I13" s="699">
        <v>17852</v>
      </c>
    </row>
    <row r="14" spans="2:9" x14ac:dyDescent="0.25">
      <c r="B14" s="538" t="s">
        <v>780</v>
      </c>
      <c r="C14" s="736">
        <v>-7330</v>
      </c>
      <c r="D14" s="701"/>
      <c r="E14" s="701">
        <v>-6292</v>
      </c>
      <c r="F14" s="701"/>
      <c r="G14" s="701">
        <v>-6387</v>
      </c>
      <c r="I14" s="701">
        <v>-6488</v>
      </c>
    </row>
    <row r="15" spans="2:9" x14ac:dyDescent="0.25">
      <c r="B15" s="538" t="s">
        <v>749</v>
      </c>
      <c r="C15" s="737">
        <v>-45000</v>
      </c>
      <c r="D15" s="701"/>
      <c r="E15" s="702">
        <v>-42000</v>
      </c>
      <c r="F15" s="701"/>
      <c r="G15" s="702">
        <v>-42750</v>
      </c>
      <c r="I15" s="702">
        <v>-41585</v>
      </c>
    </row>
    <row r="16" spans="2:9" x14ac:dyDescent="0.25">
      <c r="B16" s="698" t="s">
        <v>781</v>
      </c>
      <c r="C16" s="738">
        <f>SUM(C10:C15)</f>
        <v>7488</v>
      </c>
      <c r="D16" s="710"/>
      <c r="E16" s="703">
        <f>SUM(E10:E15)</f>
        <v>10050</v>
      </c>
      <c r="F16" s="710"/>
      <c r="G16" s="703">
        <f>SUM(G10:G15)</f>
        <v>8413</v>
      </c>
      <c r="I16" s="703">
        <f>SUM(I10:I15)</f>
        <v>8495</v>
      </c>
    </row>
    <row r="17" spans="2:9" x14ac:dyDescent="0.25">
      <c r="B17" s="698" t="s">
        <v>782</v>
      </c>
      <c r="C17" s="735">
        <v>1189833</v>
      </c>
      <c r="D17" s="701"/>
      <c r="E17" s="699">
        <v>1179783</v>
      </c>
      <c r="F17" s="701"/>
      <c r="G17" s="699">
        <v>1171370</v>
      </c>
      <c r="I17" s="699">
        <v>1162875</v>
      </c>
    </row>
    <row r="18" spans="2:9" ht="13.8" thickBot="1" x14ac:dyDescent="0.3">
      <c r="B18" s="698" t="s">
        <v>783</v>
      </c>
      <c r="C18" s="739">
        <f>C17+C16</f>
        <v>1197321</v>
      </c>
      <c r="D18" s="701"/>
      <c r="E18" s="704">
        <f>E17+E16</f>
        <v>1189833</v>
      </c>
      <c r="F18" s="701"/>
      <c r="G18" s="704">
        <f>G17+G16</f>
        <v>1179783</v>
      </c>
      <c r="I18" s="704">
        <f>I17+I16</f>
        <v>1171370</v>
      </c>
    </row>
    <row r="19" spans="2:9" ht="13.8" thickTop="1" x14ac:dyDescent="0.25">
      <c r="C19" s="735"/>
      <c r="D19" s="701"/>
      <c r="E19" s="699"/>
      <c r="F19" s="701"/>
      <c r="G19" s="699"/>
      <c r="I19" s="699"/>
    </row>
    <row r="20" spans="2:9" x14ac:dyDescent="0.25">
      <c r="B20" s="698" t="s">
        <v>753</v>
      </c>
      <c r="C20" s="145">
        <v>14918115.942028984</v>
      </c>
      <c r="D20" s="713"/>
      <c r="E20" s="706">
        <v>14378907</v>
      </c>
      <c r="F20" s="713"/>
      <c r="G20" s="706">
        <v>14378907</v>
      </c>
      <c r="I20" s="706">
        <v>14466206</v>
      </c>
    </row>
    <row r="21" spans="2:9" x14ac:dyDescent="0.25">
      <c r="B21" s="707" t="s">
        <v>789</v>
      </c>
      <c r="C21" s="740">
        <f>C18/C20</f>
        <v>8.0259531743333182E-2</v>
      </c>
      <c r="D21" s="712"/>
      <c r="E21" s="705">
        <f>E18/E20</f>
        <v>8.2748500981333281E-2</v>
      </c>
      <c r="F21" s="712"/>
      <c r="G21" s="705">
        <f>G18/G20</f>
        <v>8.2049560512492362E-2</v>
      </c>
      <c r="I21" s="705">
        <f>I18/I20</f>
        <v>8.0972854942062897E-2</v>
      </c>
    </row>
    <row r="22" spans="2:9" x14ac:dyDescent="0.25">
      <c r="B22" s="707"/>
      <c r="C22" s="707"/>
      <c r="D22" s="707"/>
      <c r="E22" s="705"/>
      <c r="F22" s="712"/>
      <c r="G22" s="705"/>
      <c r="H22" s="712"/>
      <c r="I22" s="705"/>
    </row>
    <row r="23" spans="2:9" x14ac:dyDescent="0.25">
      <c r="B23" s="707" t="s">
        <v>792</v>
      </c>
      <c r="C23" s="707"/>
      <c r="D23" s="707"/>
      <c r="E23" s="705"/>
      <c r="F23" s="712"/>
      <c r="G23" s="705"/>
      <c r="H23" s="712"/>
      <c r="I23" s="705"/>
    </row>
    <row r="24" spans="2:9" x14ac:dyDescent="0.25">
      <c r="B24" s="707"/>
      <c r="C24" s="707"/>
      <c r="D24" s="707"/>
      <c r="E24" s="705"/>
      <c r="F24" s="712"/>
      <c r="G24" s="705"/>
      <c r="H24" s="712"/>
      <c r="I24" s="705"/>
    </row>
    <row r="25" spans="2:9" ht="38.25" customHeight="1" x14ac:dyDescent="0.25">
      <c r="B25" s="1025" t="s">
        <v>794</v>
      </c>
      <c r="C25" s="1025"/>
      <c r="D25" s="1025"/>
      <c r="E25" s="1025"/>
      <c r="F25" s="1025"/>
      <c r="G25" s="1025"/>
      <c r="H25" s="1025"/>
      <c r="I25" s="1025"/>
    </row>
    <row r="26" spans="2:9" x14ac:dyDescent="0.25">
      <c r="B26" s="707"/>
      <c r="C26" s="707"/>
      <c r="D26" s="707"/>
      <c r="E26" s="705"/>
      <c r="F26" s="712"/>
      <c r="G26" s="705"/>
      <c r="H26" s="712"/>
      <c r="I26" s="705"/>
    </row>
    <row r="27" spans="2:9" x14ac:dyDescent="0.25">
      <c r="B27" s="718" t="s">
        <v>795</v>
      </c>
      <c r="C27" s="718"/>
      <c r="D27" s="718"/>
      <c r="E27" s="719"/>
      <c r="F27" s="716"/>
      <c r="G27" s="719" t="s">
        <v>388</v>
      </c>
      <c r="H27" s="716"/>
      <c r="I27" s="719"/>
    </row>
    <row r="28" spans="2:9" x14ac:dyDescent="0.25">
      <c r="B28" s="527">
        <v>2023</v>
      </c>
      <c r="C28" s="290"/>
      <c r="D28" s="290"/>
      <c r="E28" s="741"/>
      <c r="F28" s="161"/>
      <c r="G28" s="741">
        <v>3.1800000000000002E-2</v>
      </c>
      <c r="H28" s="161"/>
      <c r="I28" s="741"/>
    </row>
    <row r="29" spans="2:9" x14ac:dyDescent="0.25">
      <c r="B29" s="290">
        <v>2022</v>
      </c>
      <c r="C29" s="527"/>
      <c r="D29" s="527"/>
      <c r="G29" s="717">
        <v>3.09E-2</v>
      </c>
      <c r="I29" s="717"/>
    </row>
    <row r="30" spans="2:9" x14ac:dyDescent="0.25">
      <c r="B30" s="527">
        <v>2021</v>
      </c>
      <c r="C30" s="527"/>
      <c r="D30" s="527"/>
      <c r="G30" s="717">
        <v>3.0700000000000002E-2</v>
      </c>
      <c r="I30" s="717"/>
    </row>
    <row r="31" spans="2:9" x14ac:dyDescent="0.25">
      <c r="B31" s="527">
        <v>2020</v>
      </c>
      <c r="C31" s="527"/>
      <c r="D31" s="527"/>
      <c r="G31" s="717">
        <v>3.1199999999999999E-2</v>
      </c>
      <c r="I31" s="717"/>
    </row>
    <row r="32" spans="2:9" ht="13.8" thickBot="1" x14ac:dyDescent="0.3">
      <c r="B32" t="s">
        <v>869</v>
      </c>
      <c r="E32" s="531"/>
      <c r="G32" s="531"/>
      <c r="I32" s="531"/>
    </row>
    <row r="33" spans="2:9" x14ac:dyDescent="0.25">
      <c r="B33" s="1008" t="s">
        <v>812</v>
      </c>
      <c r="C33" s="1009"/>
      <c r="D33" s="1009"/>
      <c r="E33" s="1009"/>
      <c r="F33" s="1009"/>
      <c r="G33" s="1009"/>
      <c r="H33" s="1009"/>
      <c r="I33" s="1010"/>
    </row>
    <row r="34" spans="2:9" x14ac:dyDescent="0.25">
      <c r="B34" s="1011"/>
      <c r="C34" s="1012"/>
      <c r="D34" s="1012"/>
      <c r="E34" s="1012"/>
      <c r="F34" s="1012"/>
      <c r="G34" s="1012"/>
      <c r="H34" s="1012"/>
      <c r="I34" s="1013"/>
    </row>
    <row r="35" spans="2:9" ht="5.25" customHeight="1" thickBot="1" x14ac:dyDescent="0.3">
      <c r="B35" s="1014"/>
      <c r="C35" s="1015"/>
      <c r="D35" s="1015"/>
      <c r="E35" s="1015"/>
      <c r="F35" s="1015"/>
      <c r="G35" s="1015"/>
      <c r="H35" s="1015"/>
      <c r="I35" s="1016"/>
    </row>
  </sheetData>
  <mergeCells count="5">
    <mergeCell ref="B2:I2"/>
    <mergeCell ref="B3:I3"/>
    <mergeCell ref="B4:I4"/>
    <mergeCell ref="B33:I35"/>
    <mergeCell ref="B25:I25"/>
  </mergeCells>
  <printOptions horizontalCentered="1"/>
  <pageMargins left="0.7" right="0.7" top="0.75" bottom="0.75" header="0.3" footer="0.3"/>
  <pageSetup scale="7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FF00"/>
  </sheetPr>
  <dimension ref="B2:O226"/>
  <sheetViews>
    <sheetView topLeftCell="A60" workbookViewId="0">
      <selection activeCell="G82" sqref="G82"/>
    </sheetView>
  </sheetViews>
  <sheetFormatPr defaultColWidth="9.109375" defaultRowHeight="13.2" x14ac:dyDescent="0.25"/>
  <cols>
    <col min="1" max="1" width="9.109375" style="17"/>
    <col min="2" max="4" width="2.44140625" style="17" customWidth="1"/>
    <col min="5" max="5" width="31.33203125" style="17" customWidth="1"/>
    <col min="6" max="6" width="1.6640625" style="17" customWidth="1"/>
    <col min="7" max="7" width="13.33203125" style="17" customWidth="1"/>
    <col min="8" max="8" width="1.88671875" style="161" customWidth="1"/>
    <col min="9" max="9" width="13.88671875" style="17" customWidth="1"/>
    <col min="10" max="10" width="1.88671875" style="161" customWidth="1"/>
    <col min="11" max="11" width="13.33203125" style="17" customWidth="1"/>
    <col min="12" max="12" width="9.88671875" style="17" bestFit="1" customWidth="1"/>
    <col min="13" max="16384" width="9.109375" style="17"/>
  </cols>
  <sheetData>
    <row r="2" spans="2:14" s="132" customFormat="1" x14ac:dyDescent="0.25">
      <c r="B2" s="141" t="s">
        <v>142</v>
      </c>
      <c r="C2" s="141"/>
      <c r="D2" s="141"/>
      <c r="E2" s="141"/>
      <c r="F2" s="141"/>
      <c r="G2" s="141"/>
      <c r="H2" s="420"/>
      <c r="I2" s="141"/>
      <c r="J2" s="420"/>
      <c r="K2" s="141"/>
    </row>
    <row r="3" spans="2:14" s="132" customFormat="1" x14ac:dyDescent="0.25">
      <c r="B3" s="141" t="s">
        <v>28</v>
      </c>
      <c r="C3" s="141"/>
      <c r="D3" s="141"/>
      <c r="E3" s="141"/>
      <c r="F3" s="141"/>
      <c r="G3" s="141"/>
      <c r="H3" s="420"/>
      <c r="I3" s="141"/>
      <c r="J3" s="420"/>
      <c r="K3" s="141"/>
    </row>
    <row r="4" spans="2:14" s="132" customFormat="1" x14ac:dyDescent="0.25">
      <c r="B4" s="141" t="s">
        <v>488</v>
      </c>
      <c r="C4" s="141"/>
      <c r="D4" s="141"/>
      <c r="E4" s="141"/>
      <c r="F4" s="141"/>
      <c r="G4" s="141"/>
      <c r="H4" s="420"/>
      <c r="I4" s="141"/>
      <c r="J4" s="420"/>
      <c r="K4" s="141"/>
    </row>
    <row r="5" spans="2:14" s="132" customFormat="1" x14ac:dyDescent="0.25">
      <c r="B5" s="141" t="s">
        <v>173</v>
      </c>
      <c r="C5" s="141"/>
      <c r="D5" s="141"/>
      <c r="E5" s="141"/>
      <c r="F5" s="141"/>
      <c r="G5" s="141"/>
      <c r="H5" s="420"/>
      <c r="I5" s="141"/>
      <c r="J5" s="420"/>
      <c r="K5" s="141"/>
    </row>
    <row r="6" spans="2:14" s="132" customFormat="1" x14ac:dyDescent="0.25">
      <c r="B6" s="141" t="str">
        <f>'5-GASB34GovtFundsBudget'!E5</f>
        <v>For the Year Ended June 30, 2023</v>
      </c>
      <c r="C6" s="141"/>
      <c r="D6" s="141"/>
      <c r="E6" s="141"/>
      <c r="F6" s="141"/>
      <c r="G6" s="141"/>
      <c r="H6" s="420"/>
      <c r="I6" s="141"/>
      <c r="J6" s="420"/>
      <c r="K6" s="141"/>
    </row>
    <row r="7" spans="2:14" ht="13.8" thickBot="1" x14ac:dyDescent="0.3">
      <c r="B7" s="139"/>
      <c r="C7" s="139"/>
      <c r="D7" s="139"/>
      <c r="E7" s="139"/>
      <c r="F7" s="139"/>
      <c r="G7" s="139"/>
      <c r="H7" s="139"/>
      <c r="I7" s="139"/>
      <c r="J7" s="139"/>
      <c r="K7" s="139"/>
    </row>
    <row r="8" spans="2:14" x14ac:dyDescent="0.25">
      <c r="B8" s="30"/>
      <c r="C8" s="30"/>
      <c r="D8" s="30"/>
      <c r="E8" s="30"/>
      <c r="F8" s="30"/>
      <c r="G8" s="30"/>
      <c r="H8" s="92"/>
      <c r="I8" s="30"/>
      <c r="J8" s="92"/>
      <c r="K8" s="27" t="s">
        <v>176</v>
      </c>
    </row>
    <row r="9" spans="2:14" x14ac:dyDescent="0.25">
      <c r="B9" s="30"/>
      <c r="C9" s="30"/>
      <c r="D9" s="30"/>
      <c r="E9" s="30"/>
      <c r="F9" s="30"/>
      <c r="G9" s="30"/>
      <c r="H9" s="92"/>
      <c r="I9" s="30"/>
      <c r="J9" s="92"/>
      <c r="K9" s="27" t="s">
        <v>500</v>
      </c>
    </row>
    <row r="10" spans="2:14" x14ac:dyDescent="0.25">
      <c r="B10" s="30"/>
      <c r="C10" s="30"/>
      <c r="D10" s="30"/>
      <c r="E10" s="30"/>
      <c r="F10" s="30"/>
      <c r="G10" s="28" t="s">
        <v>874</v>
      </c>
      <c r="H10" s="92"/>
      <c r="I10" s="28" t="s">
        <v>175</v>
      </c>
      <c r="J10" s="92"/>
      <c r="K10" s="28" t="s">
        <v>501</v>
      </c>
    </row>
    <row r="11" spans="2:14" x14ac:dyDescent="0.25">
      <c r="B11" s="140" t="s">
        <v>133</v>
      </c>
      <c r="C11" s="30"/>
      <c r="D11" s="30"/>
      <c r="E11" s="30"/>
      <c r="F11" s="30"/>
      <c r="G11" s="30"/>
      <c r="H11" s="92"/>
      <c r="I11" s="134"/>
      <c r="J11" s="92"/>
      <c r="K11" s="134"/>
    </row>
    <row r="12" spans="2:14" x14ac:dyDescent="0.25">
      <c r="B12" s="29" t="s">
        <v>195</v>
      </c>
      <c r="C12" s="30"/>
      <c r="D12" s="30"/>
      <c r="E12" s="30"/>
      <c r="F12" s="30"/>
      <c r="G12" s="134"/>
      <c r="H12" s="143"/>
      <c r="I12" s="134"/>
      <c r="J12" s="143"/>
      <c r="K12" s="134"/>
    </row>
    <row r="13" spans="2:14" x14ac:dyDescent="0.25">
      <c r="B13" s="30"/>
      <c r="C13" s="29" t="s">
        <v>65</v>
      </c>
      <c r="D13" s="30"/>
      <c r="E13" s="30"/>
      <c r="F13" s="30" t="s">
        <v>169</v>
      </c>
      <c r="G13" s="117"/>
      <c r="H13" s="421" t="s">
        <v>169</v>
      </c>
      <c r="I13" s="826">
        <f>969504-1097</f>
        <v>968407</v>
      </c>
      <c r="J13" s="421" t="s">
        <v>169</v>
      </c>
      <c r="K13" s="117"/>
    </row>
    <row r="14" spans="2:14" x14ac:dyDescent="0.25">
      <c r="B14" s="30"/>
      <c r="C14" s="29" t="s">
        <v>523</v>
      </c>
      <c r="D14" s="30"/>
      <c r="E14" s="30"/>
      <c r="F14" s="30"/>
      <c r="G14" s="115"/>
      <c r="H14" s="143"/>
      <c r="I14" s="94">
        <f>3607-2000-510</f>
        <v>1097</v>
      </c>
      <c r="J14" s="143"/>
      <c r="K14" s="115"/>
    </row>
    <row r="15" spans="2:14" x14ac:dyDescent="0.25">
      <c r="B15" s="30"/>
      <c r="C15" s="30"/>
      <c r="D15" s="29" t="s">
        <v>196</v>
      </c>
      <c r="E15" s="30"/>
      <c r="F15" s="30"/>
      <c r="G15" s="827">
        <v>970385</v>
      </c>
      <c r="H15" s="143"/>
      <c r="I15" s="827">
        <f>SUM(I13:I14)</f>
        <v>969504</v>
      </c>
      <c r="J15" s="143"/>
      <c r="K15" s="135">
        <f>+I15-G15</f>
        <v>-881</v>
      </c>
    </row>
    <row r="16" spans="2:14" x14ac:dyDescent="0.25">
      <c r="B16" s="30"/>
      <c r="C16" s="30"/>
      <c r="D16" s="30"/>
      <c r="E16" s="30"/>
      <c r="F16" s="30"/>
      <c r="G16" s="102"/>
      <c r="H16" s="143"/>
      <c r="I16" s="102"/>
      <c r="J16" s="143"/>
      <c r="K16" s="102"/>
      <c r="N16" s="142"/>
    </row>
    <row r="17" spans="2:13" x14ac:dyDescent="0.25">
      <c r="B17" s="29" t="s">
        <v>197</v>
      </c>
      <c r="C17" s="30"/>
      <c r="D17" s="30"/>
      <c r="E17" s="30"/>
      <c r="F17" s="30"/>
      <c r="G17" s="102"/>
      <c r="H17" s="143"/>
      <c r="I17" s="50"/>
      <c r="J17" s="143"/>
      <c r="K17" s="102"/>
    </row>
    <row r="18" spans="2:13" ht="24.9" customHeight="1" x14ac:dyDescent="0.25">
      <c r="B18" s="30"/>
      <c r="C18" s="1026" t="s">
        <v>199</v>
      </c>
      <c r="D18" s="1027"/>
      <c r="E18" s="1027"/>
      <c r="F18" s="30"/>
      <c r="G18" s="117"/>
      <c r="H18" s="143"/>
      <c r="I18" s="102">
        <f>14667+2000+510</f>
        <v>17177</v>
      </c>
      <c r="J18" s="143"/>
      <c r="K18" s="117"/>
    </row>
    <row r="19" spans="2:13" x14ac:dyDescent="0.25">
      <c r="B19" s="30"/>
      <c r="C19" s="29" t="s">
        <v>200</v>
      </c>
      <c r="D19" s="30"/>
      <c r="E19" s="30"/>
      <c r="F19" s="30"/>
      <c r="G19" s="116"/>
      <c r="H19" s="92"/>
      <c r="I19" s="93">
        <v>6950</v>
      </c>
      <c r="J19" s="92"/>
      <c r="K19" s="116"/>
    </row>
    <row r="20" spans="2:13" x14ac:dyDescent="0.25">
      <c r="B20" s="30"/>
      <c r="C20" s="30"/>
      <c r="D20" s="29" t="s">
        <v>1</v>
      </c>
      <c r="E20" s="30"/>
      <c r="F20" s="30"/>
      <c r="G20" s="127">
        <f>50000+2000-29000</f>
        <v>23000</v>
      </c>
      <c r="H20" s="143"/>
      <c r="I20" s="127">
        <f>SUM(I18:I19)</f>
        <v>24127</v>
      </c>
      <c r="J20" s="143"/>
      <c r="K20" s="543">
        <f>+I20-G20</f>
        <v>1127</v>
      </c>
    </row>
    <row r="21" spans="2:13" x14ac:dyDescent="0.25">
      <c r="B21" s="30"/>
      <c r="C21" s="30"/>
      <c r="D21" s="30"/>
      <c r="E21" s="30"/>
      <c r="F21" s="30"/>
      <c r="G21" s="102"/>
      <c r="H21" s="143"/>
      <c r="I21" s="102"/>
      <c r="J21" s="143"/>
      <c r="K21" s="102"/>
    </row>
    <row r="22" spans="2:13" x14ac:dyDescent="0.25">
      <c r="B22" s="29" t="s">
        <v>201</v>
      </c>
      <c r="C22" s="30"/>
      <c r="D22" s="30"/>
      <c r="E22" s="30"/>
      <c r="F22" s="30"/>
      <c r="G22" s="102"/>
      <c r="H22" s="143"/>
      <c r="I22" s="102"/>
      <c r="J22" s="143"/>
      <c r="K22" s="102"/>
    </row>
    <row r="23" spans="2:13" x14ac:dyDescent="0.25">
      <c r="B23" s="29"/>
      <c r="C23" s="29" t="s">
        <v>198</v>
      </c>
      <c r="D23" s="30"/>
      <c r="E23" s="30"/>
      <c r="F23" s="30"/>
      <c r="G23" s="117"/>
      <c r="H23" s="143"/>
      <c r="I23" s="102">
        <f>460789-33315+50000</f>
        <v>477474</v>
      </c>
      <c r="J23" s="143"/>
      <c r="K23" s="117"/>
    </row>
    <row r="24" spans="2:13" x14ac:dyDescent="0.25">
      <c r="B24" s="30"/>
      <c r="C24" s="29" t="s">
        <v>657</v>
      </c>
      <c r="D24" s="30"/>
      <c r="E24" s="30"/>
      <c r="F24" s="30"/>
      <c r="G24" s="117"/>
      <c r="H24" s="143"/>
      <c r="I24" s="102">
        <f>113271-5986-4827+30000</f>
        <v>132458</v>
      </c>
      <c r="J24" s="143"/>
      <c r="K24" s="117"/>
    </row>
    <row r="25" spans="2:13" x14ac:dyDescent="0.25">
      <c r="B25" s="30"/>
      <c r="C25" s="29" t="s">
        <v>202</v>
      </c>
      <c r="D25" s="30"/>
      <c r="E25" s="30"/>
      <c r="F25" s="30"/>
      <c r="G25" s="117"/>
      <c r="H25" s="143"/>
      <c r="I25" s="102">
        <f>10000+46639</f>
        <v>56639</v>
      </c>
      <c r="J25" s="143"/>
      <c r="K25" s="117"/>
    </row>
    <row r="26" spans="2:13" x14ac:dyDescent="0.25">
      <c r="B26" s="30"/>
      <c r="C26" s="29" t="s">
        <v>690</v>
      </c>
      <c r="D26" s="30"/>
      <c r="E26" s="30"/>
      <c r="F26" s="30"/>
      <c r="G26" s="117"/>
      <c r="H26" s="143"/>
      <c r="I26" s="102">
        <f>87179+30000</f>
        <v>117179</v>
      </c>
      <c r="J26" s="143"/>
      <c r="K26" s="117"/>
    </row>
    <row r="27" spans="2:13" x14ac:dyDescent="0.25">
      <c r="B27" s="30"/>
      <c r="C27" s="29" t="s">
        <v>691</v>
      </c>
      <c r="D27" s="30"/>
      <c r="E27" s="30"/>
      <c r="F27" s="30"/>
      <c r="G27" s="117"/>
      <c r="H27" s="143"/>
      <c r="I27" s="102">
        <f>24295+30000</f>
        <v>54295</v>
      </c>
      <c r="J27" s="143"/>
      <c r="K27" s="117"/>
    </row>
    <row r="28" spans="2:13" x14ac:dyDescent="0.25">
      <c r="B28" s="30"/>
      <c r="C28" s="29" t="s">
        <v>569</v>
      </c>
      <c r="D28" s="30"/>
      <c r="E28" s="30"/>
      <c r="F28" s="30"/>
      <c r="G28" s="117"/>
      <c r="H28" s="143"/>
      <c r="I28" s="102">
        <f>33315+30000</f>
        <v>63315</v>
      </c>
      <c r="J28" s="143"/>
      <c r="K28" s="117"/>
    </row>
    <row r="29" spans="2:13" x14ac:dyDescent="0.25">
      <c r="B29" s="30"/>
      <c r="C29" s="29" t="s">
        <v>203</v>
      </c>
      <c r="D29" s="30"/>
      <c r="E29" s="30"/>
      <c r="F29" s="30"/>
      <c r="G29" s="117"/>
      <c r="H29" s="143"/>
      <c r="I29" s="102">
        <v>15008</v>
      </c>
      <c r="J29" s="143"/>
      <c r="K29" s="117"/>
    </row>
    <row r="30" spans="2:13" x14ac:dyDescent="0.25">
      <c r="B30" s="30"/>
      <c r="C30" s="30" t="s">
        <v>435</v>
      </c>
      <c r="D30" s="30"/>
      <c r="E30" s="30"/>
      <c r="F30" s="30"/>
      <c r="G30" s="113"/>
      <c r="H30" s="143"/>
      <c r="I30" s="113">
        <v>2540</v>
      </c>
      <c r="J30" s="143"/>
      <c r="K30" s="118"/>
    </row>
    <row r="31" spans="2:13" x14ac:dyDescent="0.25">
      <c r="B31" s="30"/>
      <c r="C31" s="30"/>
      <c r="D31" s="29" t="s">
        <v>1</v>
      </c>
      <c r="E31" s="30"/>
      <c r="F31" s="30"/>
      <c r="G31" s="94">
        <f>397790+239130+14500+216639+0.593*(120000+23000)</f>
        <v>952858</v>
      </c>
      <c r="H31" s="143"/>
      <c r="I31" s="94">
        <f>SUM(I23:I30)</f>
        <v>918908</v>
      </c>
      <c r="J31" s="143"/>
      <c r="K31" s="94">
        <f>+I31-G31</f>
        <v>-33950</v>
      </c>
      <c r="M31" s="55"/>
    </row>
    <row r="32" spans="2:13" x14ac:dyDescent="0.25">
      <c r="B32" s="30"/>
      <c r="C32" s="30"/>
      <c r="D32" s="30"/>
      <c r="E32" s="30"/>
      <c r="F32" s="30"/>
      <c r="G32" s="102"/>
      <c r="H32" s="143"/>
      <c r="I32" s="102"/>
      <c r="J32" s="143"/>
      <c r="K32" s="102"/>
    </row>
    <row r="33" spans="2:14" x14ac:dyDescent="0.25">
      <c r="B33" s="29" t="s">
        <v>204</v>
      </c>
      <c r="C33" s="30"/>
      <c r="D33" s="30"/>
      <c r="E33" s="30"/>
      <c r="F33" s="30"/>
      <c r="G33" s="102"/>
      <c r="H33" s="143"/>
      <c r="I33" s="102"/>
      <c r="J33" s="143"/>
      <c r="K33" s="102"/>
    </row>
    <row r="34" spans="2:14" x14ac:dyDescent="0.25">
      <c r="B34" s="30"/>
      <c r="C34" s="29" t="s">
        <v>205</v>
      </c>
      <c r="D34" s="30"/>
      <c r="E34" s="30"/>
      <c r="F34" s="30"/>
      <c r="G34" s="117"/>
      <c r="H34" s="143"/>
      <c r="I34" s="102">
        <f>135457-3000+100000</f>
        <v>232457</v>
      </c>
      <c r="J34" s="143"/>
      <c r="K34" s="117"/>
    </row>
    <row r="35" spans="2:14" x14ac:dyDescent="0.25">
      <c r="B35" s="30"/>
      <c r="C35" s="29" t="s">
        <v>206</v>
      </c>
      <c r="D35" s="30"/>
      <c r="E35" s="30"/>
      <c r="F35" s="30"/>
      <c r="G35" s="116"/>
      <c r="H35" s="143"/>
      <c r="I35" s="93">
        <f>14649+723</f>
        <v>15372</v>
      </c>
      <c r="J35" s="143"/>
      <c r="K35" s="116"/>
    </row>
    <row r="36" spans="2:14" x14ac:dyDescent="0.25">
      <c r="B36" s="30"/>
      <c r="C36" s="29" t="s">
        <v>434</v>
      </c>
      <c r="D36" s="30"/>
      <c r="E36" s="30"/>
      <c r="F36" s="30"/>
      <c r="G36" s="116"/>
      <c r="H36" s="143"/>
      <c r="I36" s="93">
        <v>12000</v>
      </c>
      <c r="J36" s="143"/>
      <c r="K36" s="116"/>
    </row>
    <row r="37" spans="2:14" x14ac:dyDescent="0.25">
      <c r="B37" s="30"/>
      <c r="C37" s="29" t="s">
        <v>207</v>
      </c>
      <c r="D37" s="30"/>
      <c r="E37" s="30"/>
      <c r="F37" s="30"/>
      <c r="G37" s="116"/>
      <c r="H37" s="143"/>
      <c r="I37" s="93">
        <f>1540+(250*8)</f>
        <v>3540</v>
      </c>
      <c r="J37" s="143"/>
      <c r="K37" s="116"/>
      <c r="N37" s="55"/>
    </row>
    <row r="38" spans="2:14" x14ac:dyDescent="0.25">
      <c r="B38" s="30"/>
      <c r="C38" s="29" t="s">
        <v>575</v>
      </c>
      <c r="D38" s="30"/>
      <c r="E38" s="30"/>
      <c r="F38" s="30"/>
      <c r="G38" s="115"/>
      <c r="H38" s="143"/>
      <c r="I38" s="94">
        <f>3000+736+689-2060+600</f>
        <v>2965</v>
      </c>
      <c r="J38" s="143"/>
      <c r="K38" s="118"/>
      <c r="L38" s="55"/>
    </row>
    <row r="39" spans="2:14" x14ac:dyDescent="0.25">
      <c r="B39" s="30"/>
      <c r="C39" s="30"/>
      <c r="D39" s="29" t="s">
        <v>1</v>
      </c>
      <c r="E39" s="30"/>
      <c r="F39" s="30"/>
      <c r="G39" s="94">
        <f>169380+11000-5000+100000-50000</f>
        <v>225380</v>
      </c>
      <c r="H39" s="143"/>
      <c r="I39" s="94">
        <f>SUM(I34:I38)</f>
        <v>266334</v>
      </c>
      <c r="J39" s="143"/>
      <c r="K39" s="94">
        <f>+I39-G39</f>
        <v>40954</v>
      </c>
    </row>
    <row r="40" spans="2:14" x14ac:dyDescent="0.25">
      <c r="B40" s="30"/>
      <c r="C40" s="30"/>
      <c r="D40" s="29"/>
      <c r="E40" s="30"/>
      <c r="F40" s="30"/>
      <c r="G40" s="93"/>
      <c r="H40" s="143"/>
      <c r="I40" s="93"/>
      <c r="J40" s="143"/>
      <c r="K40" s="93"/>
    </row>
    <row r="41" spans="2:14" x14ac:dyDescent="0.25">
      <c r="B41" s="30" t="s">
        <v>208</v>
      </c>
      <c r="C41" s="92"/>
      <c r="D41" s="92"/>
      <c r="E41" s="92"/>
      <c r="F41" s="92"/>
      <c r="G41" s="385"/>
      <c r="H41" s="92"/>
      <c r="I41" s="356"/>
      <c r="J41" s="92"/>
      <c r="K41" s="356"/>
      <c r="L41" s="161"/>
    </row>
    <row r="42" spans="2:14" x14ac:dyDescent="0.25">
      <c r="B42" s="30"/>
      <c r="C42" s="92" t="s">
        <v>589</v>
      </c>
      <c r="D42" s="92"/>
      <c r="E42" s="92"/>
      <c r="F42" s="92"/>
      <c r="G42" s="385"/>
      <c r="H42" s="92"/>
      <c r="I42" s="93">
        <f>7035+10000</f>
        <v>17035</v>
      </c>
      <c r="J42" s="92"/>
      <c r="K42" s="356"/>
      <c r="L42" s="161"/>
    </row>
    <row r="43" spans="2:14" x14ac:dyDescent="0.25">
      <c r="B43" s="92"/>
      <c r="C43" s="350" t="s">
        <v>209</v>
      </c>
      <c r="D43" s="363"/>
      <c r="E43" s="361"/>
      <c r="F43" s="361"/>
      <c r="G43" s="361"/>
      <c r="H43" s="361"/>
      <c r="I43" s="93">
        <f>6125+10000</f>
        <v>16125</v>
      </c>
      <c r="J43" s="361"/>
      <c r="K43" s="361"/>
      <c r="L43" s="161"/>
    </row>
    <row r="44" spans="2:14" x14ac:dyDescent="0.25">
      <c r="B44" s="92"/>
      <c r="C44" s="350" t="s">
        <v>689</v>
      </c>
      <c r="D44" s="363"/>
      <c r="E44" s="361"/>
      <c r="F44" s="361"/>
      <c r="G44" s="361"/>
      <c r="H44" s="361"/>
      <c r="I44" s="113">
        <f>29187-20000</f>
        <v>9187</v>
      </c>
      <c r="J44" s="361"/>
      <c r="K44" s="361"/>
      <c r="L44" s="161"/>
    </row>
    <row r="45" spans="2:14" x14ac:dyDescent="0.25">
      <c r="B45" s="92"/>
      <c r="C45" s="92"/>
      <c r="D45" s="367" t="s">
        <v>1</v>
      </c>
      <c r="E45" s="360"/>
      <c r="F45" s="360"/>
      <c r="G45" s="386">
        <f>13000+29000</f>
        <v>42000</v>
      </c>
      <c r="H45" s="360"/>
      <c r="I45" s="386">
        <f>SUM(I42:I44)</f>
        <v>42347</v>
      </c>
      <c r="J45" s="360"/>
      <c r="K45" s="386">
        <f>I45-G45</f>
        <v>347</v>
      </c>
      <c r="L45" s="161"/>
    </row>
    <row r="46" spans="2:14" x14ac:dyDescent="0.25">
      <c r="B46" s="92"/>
      <c r="C46" s="92"/>
      <c r="D46" s="360"/>
      <c r="E46" s="360"/>
      <c r="F46" s="360"/>
      <c r="G46" s="360"/>
      <c r="H46" s="360"/>
      <c r="I46" s="360"/>
      <c r="J46" s="360"/>
      <c r="K46" s="360"/>
      <c r="L46" s="161"/>
    </row>
    <row r="47" spans="2:14" x14ac:dyDescent="0.25">
      <c r="B47" s="350" t="s">
        <v>210</v>
      </c>
      <c r="C47" s="92"/>
      <c r="D47" s="360"/>
      <c r="E47" s="360"/>
      <c r="F47" s="360"/>
      <c r="G47" s="360"/>
      <c r="H47" s="360"/>
      <c r="I47" s="360"/>
      <c r="J47" s="360"/>
      <c r="K47" s="360"/>
      <c r="L47" s="161"/>
    </row>
    <row r="48" spans="2:14" x14ac:dyDescent="0.25">
      <c r="B48" s="92"/>
      <c r="C48" s="350" t="s">
        <v>211</v>
      </c>
      <c r="D48" s="92"/>
      <c r="E48" s="92"/>
      <c r="F48" s="92"/>
      <c r="G48" s="93"/>
      <c r="H48" s="143"/>
      <c r="I48" s="93">
        <v>22007</v>
      </c>
      <c r="J48" s="143"/>
      <c r="K48" s="93"/>
      <c r="L48" s="161"/>
    </row>
    <row r="49" spans="2:13" x14ac:dyDescent="0.25">
      <c r="B49" s="92"/>
      <c r="C49" s="350" t="s">
        <v>849</v>
      </c>
      <c r="D49" s="92"/>
      <c r="E49" s="92"/>
      <c r="F49" s="92"/>
      <c r="G49" s="93"/>
      <c r="H49" s="143"/>
      <c r="I49" s="93">
        <v>3140</v>
      </c>
      <c r="J49" s="143"/>
      <c r="K49" s="93"/>
      <c r="L49" s="161"/>
    </row>
    <row r="50" spans="2:13" x14ac:dyDescent="0.25">
      <c r="B50" s="92"/>
      <c r="C50" s="350"/>
      <c r="D50" s="92" t="s">
        <v>1</v>
      </c>
      <c r="E50" s="92"/>
      <c r="F50" s="92"/>
      <c r="G50" s="127">
        <v>21820</v>
      </c>
      <c r="H50" s="143"/>
      <c r="I50" s="127">
        <f>SUM(I48:I49)</f>
        <v>25147</v>
      </c>
      <c r="J50" s="143"/>
      <c r="K50" s="127">
        <f>I50-G50</f>
        <v>3327</v>
      </c>
      <c r="L50" s="161"/>
    </row>
    <row r="51" spans="2:13" x14ac:dyDescent="0.25">
      <c r="B51" s="30"/>
      <c r="C51" s="30"/>
      <c r="D51" s="30"/>
      <c r="E51" s="30"/>
      <c r="F51" s="30"/>
      <c r="G51" s="102"/>
      <c r="H51" s="143"/>
      <c r="I51" s="102"/>
      <c r="J51" s="143"/>
      <c r="K51" s="102"/>
    </row>
    <row r="52" spans="2:13" x14ac:dyDescent="0.25">
      <c r="B52" s="29" t="s">
        <v>31</v>
      </c>
      <c r="C52" s="30"/>
      <c r="D52" s="30"/>
      <c r="E52" s="30"/>
      <c r="F52" s="30"/>
      <c r="G52" s="94">
        <v>18080</v>
      </c>
      <c r="H52" s="143"/>
      <c r="I52" s="94">
        <f>23804</f>
        <v>23804</v>
      </c>
      <c r="J52" s="143"/>
      <c r="K52" s="94">
        <f>+I52-G52</f>
        <v>5724</v>
      </c>
    </row>
    <row r="53" spans="2:13" x14ac:dyDescent="0.25">
      <c r="B53" s="29"/>
      <c r="C53" s="30"/>
      <c r="D53" s="30"/>
      <c r="E53" s="30"/>
      <c r="F53" s="30"/>
      <c r="G53" s="93"/>
      <c r="H53" s="143"/>
      <c r="I53" s="93"/>
      <c r="J53" s="143"/>
      <c r="K53" s="93"/>
    </row>
    <row r="54" spans="2:13" x14ac:dyDescent="0.25">
      <c r="B54" s="29" t="s">
        <v>212</v>
      </c>
      <c r="C54" s="30"/>
      <c r="D54" s="30"/>
      <c r="E54" s="30"/>
      <c r="F54" s="30"/>
      <c r="G54" s="102"/>
      <c r="H54" s="143"/>
      <c r="I54" s="102"/>
      <c r="J54" s="143"/>
      <c r="K54" s="102"/>
    </row>
    <row r="55" spans="2:13" x14ac:dyDescent="0.25">
      <c r="B55" s="30"/>
      <c r="C55" s="29" t="s">
        <v>213</v>
      </c>
      <c r="D55" s="30"/>
      <c r="E55" s="30"/>
      <c r="F55" s="30"/>
      <c r="G55" s="116"/>
      <c r="H55" s="143"/>
      <c r="I55" s="93">
        <v>183</v>
      </c>
      <c r="J55" s="143"/>
      <c r="K55" s="93"/>
    </row>
    <row r="56" spans="2:13" x14ac:dyDescent="0.25">
      <c r="B56" s="30"/>
      <c r="C56" s="861" t="s">
        <v>850</v>
      </c>
      <c r="D56" s="30"/>
      <c r="E56" s="30"/>
      <c r="F56" s="30"/>
      <c r="G56" s="116"/>
      <c r="H56" s="143"/>
      <c r="I56" s="93">
        <v>398</v>
      </c>
      <c r="J56" s="143"/>
      <c r="K56" s="93"/>
    </row>
    <row r="57" spans="2:13" x14ac:dyDescent="0.25">
      <c r="B57" s="30"/>
      <c r="C57" s="29"/>
      <c r="D57" s="30" t="s">
        <v>1</v>
      </c>
      <c r="E57" s="30"/>
      <c r="F57" s="30"/>
      <c r="G57" s="144">
        <v>2000</v>
      </c>
      <c r="H57" s="143"/>
      <c r="I57" s="144">
        <f>SUM(I55:I56)</f>
        <v>581</v>
      </c>
      <c r="J57" s="143"/>
      <c r="K57" s="144">
        <f>+I57-G57</f>
        <v>-1419</v>
      </c>
    </row>
    <row r="58" spans="2:13" x14ac:dyDescent="0.25">
      <c r="B58" s="30"/>
      <c r="C58" s="29"/>
      <c r="D58" s="30"/>
      <c r="E58" s="30"/>
      <c r="F58" s="30"/>
      <c r="G58" s="116"/>
      <c r="H58" s="143"/>
      <c r="I58" s="93"/>
      <c r="J58" s="143"/>
      <c r="K58" s="93"/>
    </row>
    <row r="59" spans="2:13" x14ac:dyDescent="0.25">
      <c r="B59" s="30"/>
      <c r="C59" s="30"/>
      <c r="D59" s="30"/>
      <c r="E59" s="29" t="s">
        <v>32</v>
      </c>
      <c r="F59" s="29"/>
      <c r="G59" s="94">
        <f>+G52+G50+G45+G39+G31+G20+G15+G57</f>
        <v>2255523</v>
      </c>
      <c r="H59" s="143"/>
      <c r="I59" s="94">
        <f>+I52+I50+I45+I39+I31+I20+I15+I57</f>
        <v>2270752</v>
      </c>
      <c r="J59" s="143"/>
      <c r="K59" s="94">
        <f>+I59-G59</f>
        <v>15229</v>
      </c>
      <c r="M59" s="55"/>
    </row>
    <row r="60" spans="2:13" x14ac:dyDescent="0.25">
      <c r="B60" s="30"/>
      <c r="C60" s="30"/>
      <c r="D60" s="30"/>
      <c r="E60" s="29"/>
      <c r="F60" s="29"/>
      <c r="G60" s="93"/>
      <c r="H60" s="143"/>
      <c r="I60" s="93"/>
      <c r="J60" s="143"/>
      <c r="K60" s="93"/>
      <c r="M60" s="55"/>
    </row>
    <row r="61" spans="2:13" x14ac:dyDescent="0.25">
      <c r="B61" s="30"/>
      <c r="C61" s="30"/>
      <c r="D61" s="30"/>
      <c r="E61" s="29"/>
      <c r="F61" s="29"/>
      <c r="G61" s="93"/>
      <c r="H61" s="143"/>
      <c r="I61" s="93"/>
      <c r="J61" s="143"/>
      <c r="K61" s="548" t="s">
        <v>693</v>
      </c>
      <c r="M61" s="55"/>
    </row>
    <row r="62" spans="2:13" x14ac:dyDescent="0.25">
      <c r="B62" s="30"/>
      <c r="C62" s="30"/>
      <c r="D62" s="30"/>
      <c r="E62" s="29"/>
      <c r="F62" s="29"/>
      <c r="G62" s="93"/>
      <c r="H62" s="143"/>
      <c r="I62" s="93"/>
      <c r="J62" s="143"/>
      <c r="K62" s="548"/>
      <c r="M62" s="55"/>
    </row>
    <row r="63" spans="2:13" x14ac:dyDescent="0.25">
      <c r="B63" s="30"/>
      <c r="C63" s="30"/>
      <c r="D63" s="30"/>
      <c r="E63" s="29"/>
      <c r="F63" s="29"/>
      <c r="G63" s="93"/>
      <c r="H63" s="143"/>
      <c r="I63" s="93"/>
      <c r="J63" s="143"/>
      <c r="K63" s="548"/>
      <c r="M63" s="55"/>
    </row>
    <row r="64" spans="2:13" ht="13.8" thickBot="1" x14ac:dyDescent="0.3">
      <c r="B64" s="30"/>
      <c r="C64" s="30"/>
      <c r="D64" s="30"/>
      <c r="E64" s="29"/>
      <c r="F64" s="29"/>
      <c r="G64" s="93"/>
      <c r="H64" s="143"/>
      <c r="I64" s="93"/>
      <c r="J64" s="143"/>
      <c r="K64" s="548"/>
    </row>
    <row r="65" spans="2:11" ht="13.8" thickTop="1" x14ac:dyDescent="0.25">
      <c r="B65" s="546"/>
      <c r="C65" s="546"/>
      <c r="D65" s="546"/>
      <c r="E65" s="546"/>
      <c r="F65" s="546"/>
      <c r="G65" s="546"/>
      <c r="H65" s="546"/>
      <c r="I65" s="546"/>
      <c r="J65" s="546"/>
      <c r="K65" s="547" t="s">
        <v>176</v>
      </c>
    </row>
    <row r="66" spans="2:11" x14ac:dyDescent="0.25">
      <c r="B66" s="538"/>
      <c r="C66" s="538"/>
      <c r="D66" s="538"/>
      <c r="E66" s="538"/>
      <c r="F66" s="538"/>
      <c r="G66" s="538"/>
      <c r="H66" s="538"/>
      <c r="I66" s="538"/>
      <c r="J66" s="538"/>
      <c r="K66" s="544" t="s">
        <v>500</v>
      </c>
    </row>
    <row r="67" spans="2:11" x14ac:dyDescent="0.25">
      <c r="B67" s="538"/>
      <c r="C67" s="538"/>
      <c r="D67" s="538"/>
      <c r="E67" s="538"/>
      <c r="F67" s="538"/>
      <c r="G67" s="545" t="s">
        <v>874</v>
      </c>
      <c r="H67" s="538"/>
      <c r="I67" s="545" t="s">
        <v>175</v>
      </c>
      <c r="J67" s="538"/>
      <c r="K67" s="545" t="s">
        <v>501</v>
      </c>
    </row>
    <row r="68" spans="2:11" x14ac:dyDescent="0.25">
      <c r="B68" s="30"/>
      <c r="C68" s="30"/>
      <c r="D68" s="30"/>
      <c r="E68" s="29"/>
      <c r="F68" s="29"/>
      <c r="G68" s="93"/>
      <c r="H68" s="143"/>
      <c r="I68" s="93"/>
      <c r="J68" s="143"/>
      <c r="K68" s="93"/>
    </row>
    <row r="69" spans="2:11" x14ac:dyDescent="0.25">
      <c r="B69" s="132" t="s">
        <v>134</v>
      </c>
      <c r="C69" s="41"/>
      <c r="D69" s="41"/>
      <c r="E69" s="41"/>
      <c r="F69" s="41"/>
      <c r="G69" s="41"/>
      <c r="H69" s="48"/>
      <c r="I69" s="41"/>
      <c r="J69" s="48"/>
      <c r="K69" s="41"/>
    </row>
    <row r="70" spans="2:11" x14ac:dyDescent="0.25">
      <c r="B70" s="29" t="s">
        <v>214</v>
      </c>
      <c r="C70" s="30"/>
      <c r="D70" s="30"/>
      <c r="E70" s="30"/>
      <c r="F70" s="30"/>
      <c r="G70" s="50"/>
      <c r="H70" s="92"/>
      <c r="I70" s="50"/>
      <c r="J70" s="92"/>
      <c r="K70" s="50"/>
    </row>
    <row r="71" spans="2:11" x14ac:dyDescent="0.25">
      <c r="B71" s="30"/>
      <c r="C71" s="30"/>
      <c r="D71" s="29" t="s">
        <v>215</v>
      </c>
      <c r="E71" s="30"/>
      <c r="F71" s="30"/>
      <c r="G71" s="91"/>
      <c r="H71" s="92"/>
      <c r="I71" s="102">
        <f>7440+85000+(155000*0.605*0.98)</f>
        <v>184339.5</v>
      </c>
      <c r="J71" s="92"/>
      <c r="K71" s="91"/>
    </row>
    <row r="72" spans="2:11" x14ac:dyDescent="0.25">
      <c r="B72" s="30"/>
      <c r="C72" s="30"/>
      <c r="D72" s="29" t="s">
        <v>216</v>
      </c>
      <c r="E72" s="30"/>
      <c r="F72" s="30"/>
      <c r="G72" s="91"/>
      <c r="H72" s="92"/>
      <c r="I72" s="102">
        <v>10414</v>
      </c>
      <c r="J72" s="92"/>
      <c r="K72" s="91"/>
    </row>
    <row r="73" spans="2:11" x14ac:dyDescent="0.25">
      <c r="B73" s="30"/>
      <c r="C73" s="30"/>
      <c r="D73" s="29" t="s">
        <v>217</v>
      </c>
      <c r="E73" s="30"/>
      <c r="F73" s="30"/>
      <c r="G73" s="91"/>
      <c r="H73" s="92"/>
      <c r="I73" s="102">
        <v>5000</v>
      </c>
      <c r="J73" s="92"/>
      <c r="K73" s="91"/>
    </row>
    <row r="74" spans="2:11" x14ac:dyDescent="0.25">
      <c r="B74" s="30"/>
      <c r="C74" s="30"/>
      <c r="D74" s="29" t="s">
        <v>218</v>
      </c>
      <c r="E74" s="30"/>
      <c r="F74" s="30"/>
      <c r="G74" s="91"/>
      <c r="H74" s="92"/>
      <c r="I74" s="102">
        <f>6214+4</f>
        <v>6218</v>
      </c>
      <c r="J74" s="92"/>
      <c r="K74" s="91"/>
    </row>
    <row r="75" spans="2:11" x14ac:dyDescent="0.25">
      <c r="B75" s="30"/>
      <c r="C75" s="30"/>
      <c r="D75" s="29" t="s">
        <v>38</v>
      </c>
      <c r="E75" s="30"/>
      <c r="F75" s="30"/>
      <c r="G75" s="95"/>
      <c r="H75" s="92"/>
      <c r="I75" s="93">
        <f>21444+13396</f>
        <v>34840</v>
      </c>
      <c r="J75" s="92"/>
      <c r="K75" s="95"/>
    </row>
    <row r="76" spans="2:11" x14ac:dyDescent="0.25">
      <c r="B76" s="30"/>
      <c r="C76" s="30"/>
      <c r="D76" s="29" t="s">
        <v>219</v>
      </c>
      <c r="E76" s="30"/>
      <c r="F76" s="30"/>
      <c r="G76" s="91"/>
      <c r="H76" s="92"/>
      <c r="I76" s="94">
        <v>-21195</v>
      </c>
      <c r="J76" s="92"/>
      <c r="K76" s="91"/>
    </row>
    <row r="77" spans="2:11" x14ac:dyDescent="0.25">
      <c r="B77" s="30"/>
      <c r="C77" s="30"/>
      <c r="D77" s="30"/>
      <c r="E77" s="29" t="s">
        <v>1</v>
      </c>
      <c r="F77" s="29"/>
      <c r="G77" s="91"/>
      <c r="H77" s="92"/>
      <c r="I77" s="96">
        <f>SUM(I71:I76)</f>
        <v>219616.5</v>
      </c>
      <c r="J77" s="92"/>
      <c r="K77" s="91"/>
    </row>
    <row r="78" spans="2:11" x14ac:dyDescent="0.25">
      <c r="B78" s="30"/>
      <c r="C78" s="30"/>
      <c r="D78" s="30"/>
      <c r="E78" s="30"/>
      <c r="F78" s="30"/>
      <c r="G78" s="95"/>
      <c r="H78" s="92"/>
      <c r="I78" s="102"/>
      <c r="J78" s="92"/>
      <c r="K78" s="95"/>
    </row>
    <row r="79" spans="2:11" x14ac:dyDescent="0.25">
      <c r="B79" s="30"/>
      <c r="C79" s="29" t="s">
        <v>220</v>
      </c>
      <c r="D79" s="30"/>
      <c r="E79" s="30"/>
      <c r="F79" s="30"/>
      <c r="G79" s="50"/>
      <c r="H79" s="92"/>
      <c r="I79" s="102"/>
      <c r="J79" s="92"/>
      <c r="K79" s="50"/>
    </row>
    <row r="80" spans="2:11" x14ac:dyDescent="0.25">
      <c r="B80" s="30"/>
      <c r="C80" s="29"/>
      <c r="D80" s="29" t="s">
        <v>215</v>
      </c>
      <c r="E80" s="30"/>
      <c r="F80" s="30"/>
      <c r="G80" s="50"/>
      <c r="H80" s="92"/>
      <c r="I80" s="102">
        <f>86826+45000</f>
        <v>131826</v>
      </c>
      <c r="J80" s="92"/>
      <c r="K80" s="50"/>
    </row>
    <row r="81" spans="2:11" x14ac:dyDescent="0.25">
      <c r="B81" s="30"/>
      <c r="C81" s="30"/>
      <c r="D81" s="29" t="s">
        <v>218</v>
      </c>
      <c r="E81" s="30"/>
      <c r="F81" s="30"/>
      <c r="G81" s="91"/>
      <c r="H81" s="92"/>
      <c r="I81" s="102">
        <v>2733</v>
      </c>
      <c r="J81" s="92"/>
      <c r="K81" s="91"/>
    </row>
    <row r="82" spans="2:11" x14ac:dyDescent="0.25">
      <c r="B82" s="30"/>
      <c r="C82" s="30"/>
      <c r="D82" s="29" t="s">
        <v>38</v>
      </c>
      <c r="E82" s="30"/>
      <c r="F82" s="30"/>
      <c r="G82" s="95"/>
      <c r="H82" s="92"/>
      <c r="I82" s="93">
        <v>2030</v>
      </c>
      <c r="J82" s="92"/>
      <c r="K82" s="95"/>
    </row>
    <row r="83" spans="2:11" x14ac:dyDescent="0.25">
      <c r="B83" s="30"/>
      <c r="C83" s="30"/>
      <c r="D83" s="29" t="s">
        <v>219</v>
      </c>
      <c r="E83" s="30"/>
      <c r="F83" s="30"/>
      <c r="G83" s="91"/>
      <c r="H83" s="92"/>
      <c r="I83" s="94">
        <v>-40035</v>
      </c>
      <c r="J83" s="92"/>
      <c r="K83" s="91"/>
    </row>
    <row r="84" spans="2:11" x14ac:dyDescent="0.25">
      <c r="B84" s="30"/>
      <c r="C84" s="30"/>
      <c r="D84" s="30"/>
      <c r="E84" s="29" t="s">
        <v>1</v>
      </c>
      <c r="F84" s="29"/>
      <c r="G84" s="91"/>
      <c r="H84" s="92"/>
      <c r="I84" s="96">
        <f>SUM(I80:I83)</f>
        <v>96554</v>
      </c>
      <c r="J84" s="92"/>
      <c r="K84" s="91"/>
    </row>
    <row r="85" spans="2:11" x14ac:dyDescent="0.25">
      <c r="B85" s="30"/>
      <c r="C85" s="30"/>
      <c r="D85" s="30"/>
      <c r="E85" s="30"/>
      <c r="F85" s="30"/>
      <c r="G85" s="95"/>
      <c r="H85" s="92"/>
      <c r="I85" s="102"/>
      <c r="J85" s="92"/>
      <c r="K85" s="95"/>
    </row>
    <row r="86" spans="2:11" x14ac:dyDescent="0.25">
      <c r="B86" s="30"/>
      <c r="C86" s="29" t="s">
        <v>221</v>
      </c>
      <c r="D86" s="30"/>
      <c r="E86" s="30"/>
      <c r="F86" s="30"/>
      <c r="G86" s="102"/>
      <c r="H86" s="92"/>
      <c r="I86" s="102"/>
      <c r="J86" s="92"/>
      <c r="K86" s="102"/>
    </row>
    <row r="87" spans="2:11" x14ac:dyDescent="0.25">
      <c r="B87" s="30"/>
      <c r="C87" s="30"/>
      <c r="D87" s="29" t="s">
        <v>215</v>
      </c>
      <c r="E87" s="30"/>
      <c r="F87" s="30"/>
      <c r="G87" s="91"/>
      <c r="H87" s="92"/>
      <c r="I87" s="102">
        <f>50708+46639</f>
        <v>97347</v>
      </c>
      <c r="J87" s="92"/>
      <c r="K87" s="91"/>
    </row>
    <row r="88" spans="2:11" x14ac:dyDescent="0.25">
      <c r="B88" s="30"/>
      <c r="C88" s="30"/>
      <c r="D88" s="29" t="s">
        <v>218</v>
      </c>
      <c r="E88" s="30"/>
      <c r="F88" s="30"/>
      <c r="G88" s="91"/>
      <c r="H88" s="92"/>
      <c r="I88" s="102">
        <v>17080</v>
      </c>
      <c r="J88" s="92"/>
      <c r="K88" s="91"/>
    </row>
    <row r="89" spans="2:11" x14ac:dyDescent="0.25">
      <c r="B89" s="30"/>
      <c r="C89" s="30"/>
      <c r="D89" s="29" t="s">
        <v>38</v>
      </c>
      <c r="E89" s="30"/>
      <c r="F89" s="30"/>
      <c r="G89" s="95"/>
      <c r="H89" s="92"/>
      <c r="I89" s="806">
        <f>2450+48781</f>
        <v>51231</v>
      </c>
      <c r="J89" s="92"/>
      <c r="K89" s="91"/>
    </row>
    <row r="90" spans="2:11" x14ac:dyDescent="0.25">
      <c r="B90" s="30"/>
      <c r="C90" s="30"/>
      <c r="D90" s="29" t="s">
        <v>219</v>
      </c>
      <c r="E90" s="30"/>
      <c r="F90" s="30"/>
      <c r="G90" s="91"/>
      <c r="H90" s="92"/>
      <c r="I90" s="113">
        <v>-30615</v>
      </c>
      <c r="J90" s="92"/>
      <c r="K90" s="91"/>
    </row>
    <row r="91" spans="2:11" x14ac:dyDescent="0.25">
      <c r="B91" s="30"/>
      <c r="C91" s="30"/>
      <c r="D91" s="30"/>
      <c r="E91" s="29" t="s">
        <v>1</v>
      </c>
      <c r="F91" s="29"/>
      <c r="G91" s="91"/>
      <c r="H91" s="92"/>
      <c r="I91" s="96">
        <f>SUM(I87:I90)</f>
        <v>135043</v>
      </c>
      <c r="J91" s="92"/>
      <c r="K91" s="95"/>
    </row>
    <row r="92" spans="2:11" x14ac:dyDescent="0.25">
      <c r="B92" s="30"/>
      <c r="C92" s="30"/>
      <c r="D92" s="30"/>
      <c r="E92" s="29"/>
      <c r="F92" s="29"/>
      <c r="G92" s="95"/>
      <c r="H92" s="92"/>
      <c r="I92" s="95"/>
      <c r="J92" s="92"/>
      <c r="K92" s="95"/>
    </row>
    <row r="93" spans="2:11" x14ac:dyDescent="0.25">
      <c r="B93" s="30"/>
      <c r="C93" s="29" t="s">
        <v>222</v>
      </c>
      <c r="D93" s="30"/>
      <c r="E93" s="30"/>
      <c r="F93" s="30"/>
      <c r="G93" s="102"/>
      <c r="H93" s="92"/>
      <c r="I93" s="102"/>
      <c r="J93" s="92"/>
      <c r="K93" s="102"/>
    </row>
    <row r="94" spans="2:11" x14ac:dyDescent="0.25">
      <c r="B94" s="30"/>
      <c r="C94" s="30"/>
      <c r="D94" s="29" t="s">
        <v>215</v>
      </c>
      <c r="E94" s="30"/>
      <c r="F94" s="30"/>
      <c r="G94" s="91"/>
      <c r="H94" s="92"/>
      <c r="I94" s="102">
        <f>12000+40000</f>
        <v>52000</v>
      </c>
      <c r="J94" s="92"/>
      <c r="K94" s="91"/>
    </row>
    <row r="95" spans="2:11" x14ac:dyDescent="0.25">
      <c r="B95" s="30"/>
      <c r="C95" s="30"/>
      <c r="D95" s="29" t="s">
        <v>223</v>
      </c>
      <c r="E95" s="30"/>
      <c r="F95" s="30"/>
      <c r="G95" s="91"/>
      <c r="H95" s="92"/>
      <c r="I95" s="102">
        <v>1275</v>
      </c>
      <c r="J95" s="92"/>
      <c r="K95" s="91"/>
    </row>
    <row r="96" spans="2:11" x14ac:dyDescent="0.25">
      <c r="B96" s="30"/>
      <c r="C96" s="30"/>
      <c r="D96" s="29" t="s">
        <v>218</v>
      </c>
      <c r="E96" s="30"/>
      <c r="F96" s="30"/>
      <c r="G96" s="91"/>
      <c r="H96" s="92"/>
      <c r="I96" s="94">
        <v>2850</v>
      </c>
      <c r="J96" s="92"/>
      <c r="K96" s="91"/>
    </row>
    <row r="97" spans="2:15" x14ac:dyDescent="0.25">
      <c r="B97" s="30"/>
      <c r="C97" s="30"/>
      <c r="D97" s="30"/>
      <c r="E97" s="29" t="s">
        <v>1</v>
      </c>
      <c r="F97" s="29"/>
      <c r="G97" s="95"/>
      <c r="H97" s="92"/>
      <c r="I97" s="94">
        <f>SUM(I94:I96)</f>
        <v>56125</v>
      </c>
      <c r="J97" s="92"/>
      <c r="K97" s="91"/>
    </row>
    <row r="98" spans="2:15" x14ac:dyDescent="0.25">
      <c r="B98" s="30"/>
      <c r="C98" s="30"/>
      <c r="D98" s="30"/>
      <c r="E98" s="30"/>
      <c r="F98" s="30"/>
      <c r="G98" s="91"/>
      <c r="H98" s="92"/>
      <c r="I98" s="102"/>
      <c r="J98" s="92"/>
      <c r="K98" s="91"/>
    </row>
    <row r="99" spans="2:15" x14ac:dyDescent="0.25">
      <c r="B99" s="30"/>
      <c r="C99" s="29" t="s">
        <v>224</v>
      </c>
      <c r="D99" s="30"/>
      <c r="E99" s="30"/>
      <c r="F99" s="30"/>
      <c r="G99" s="91"/>
      <c r="H99" s="92"/>
      <c r="I99" s="102"/>
      <c r="J99" s="92"/>
      <c r="K99" s="91"/>
    </row>
    <row r="100" spans="2:15" x14ac:dyDescent="0.25">
      <c r="B100" s="30"/>
      <c r="C100" s="30"/>
      <c r="D100" s="29" t="s">
        <v>225</v>
      </c>
      <c r="E100" s="30"/>
      <c r="F100" s="30"/>
      <c r="G100" s="95"/>
      <c r="H100" s="92"/>
      <c r="I100" s="94">
        <v>5000</v>
      </c>
      <c r="J100" s="92"/>
      <c r="K100" s="95"/>
    </row>
    <row r="101" spans="2:15" x14ac:dyDescent="0.25">
      <c r="B101" s="30"/>
      <c r="C101" s="30"/>
      <c r="D101" s="29"/>
      <c r="E101" s="30"/>
      <c r="F101" s="30"/>
      <c r="G101" s="95"/>
      <c r="H101" s="92"/>
      <c r="I101" s="93"/>
      <c r="J101" s="92"/>
      <c r="K101" s="95"/>
    </row>
    <row r="102" spans="2:15" x14ac:dyDescent="0.25">
      <c r="B102" s="30"/>
      <c r="C102" s="29" t="s">
        <v>226</v>
      </c>
      <c r="D102" s="30"/>
      <c r="E102" s="30"/>
      <c r="F102" s="30"/>
      <c r="G102" s="102"/>
      <c r="H102" s="92"/>
      <c r="I102" s="102"/>
      <c r="J102" s="92"/>
      <c r="K102" s="102"/>
    </row>
    <row r="103" spans="2:15" x14ac:dyDescent="0.25">
      <c r="B103" s="30"/>
      <c r="C103" s="30"/>
      <c r="D103" s="29" t="s">
        <v>215</v>
      </c>
      <c r="E103" s="30"/>
      <c r="F103" s="30"/>
      <c r="G103" s="91"/>
      <c r="H103" s="143"/>
      <c r="I103" s="102">
        <f>33314+60000+(120000+45000+50)*0.593</f>
        <v>191188.65</v>
      </c>
      <c r="J103" s="92"/>
      <c r="K103" s="91"/>
    </row>
    <row r="104" spans="2:15" x14ac:dyDescent="0.25">
      <c r="B104" s="30"/>
      <c r="C104" s="30"/>
      <c r="D104" s="29" t="s">
        <v>227</v>
      </c>
      <c r="E104" s="30"/>
      <c r="F104" s="30"/>
      <c r="G104" s="91"/>
      <c r="H104" s="92"/>
      <c r="I104" s="102">
        <v>600</v>
      </c>
      <c r="J104" s="92"/>
      <c r="K104" s="91"/>
      <c r="O104" s="55"/>
    </row>
    <row r="105" spans="2:15" x14ac:dyDescent="0.25">
      <c r="B105" s="30"/>
      <c r="C105" s="30"/>
      <c r="D105" s="29" t="s">
        <v>218</v>
      </c>
      <c r="E105" s="30"/>
      <c r="F105" s="30"/>
      <c r="G105" s="91"/>
      <c r="H105" s="92"/>
      <c r="I105" s="102">
        <f>20457</f>
        <v>20457</v>
      </c>
      <c r="J105" s="92"/>
      <c r="K105" s="91"/>
    </row>
    <row r="106" spans="2:15" x14ac:dyDescent="0.25">
      <c r="B106" s="30"/>
      <c r="C106" s="30"/>
      <c r="D106" s="29" t="s">
        <v>38</v>
      </c>
      <c r="E106" s="30"/>
      <c r="F106" s="30"/>
      <c r="G106" s="91"/>
      <c r="H106" s="92"/>
      <c r="I106" s="93">
        <f>2164+395240-60000+19000</f>
        <v>356404</v>
      </c>
      <c r="J106" s="92"/>
      <c r="K106" s="91"/>
    </row>
    <row r="107" spans="2:15" x14ac:dyDescent="0.25">
      <c r="B107" s="30"/>
      <c r="C107" s="30"/>
      <c r="D107" s="29" t="s">
        <v>219</v>
      </c>
      <c r="E107" s="30"/>
      <c r="F107" s="30"/>
      <c r="G107" s="91"/>
      <c r="H107" s="92"/>
      <c r="I107" s="94">
        <v>-25904</v>
      </c>
      <c r="J107" s="92"/>
      <c r="K107" s="91"/>
    </row>
    <row r="108" spans="2:15" x14ac:dyDescent="0.25">
      <c r="B108" s="30"/>
      <c r="C108" s="30"/>
      <c r="D108" s="30"/>
      <c r="E108" s="29" t="s">
        <v>1</v>
      </c>
      <c r="F108" s="29"/>
      <c r="G108" s="95"/>
      <c r="H108" s="92"/>
      <c r="I108" s="96">
        <f>SUM(I103:I107)</f>
        <v>542745.65</v>
      </c>
      <c r="J108" s="92"/>
      <c r="K108" s="95"/>
    </row>
    <row r="109" spans="2:15" x14ac:dyDescent="0.25">
      <c r="B109" s="30"/>
      <c r="C109" s="30"/>
      <c r="D109" s="30"/>
      <c r="E109" s="29" t="s">
        <v>228</v>
      </c>
      <c r="F109" s="29"/>
      <c r="G109" s="803">
        <v>1051238</v>
      </c>
      <c r="H109" s="92"/>
      <c r="I109" s="827">
        <f>+I108+I100+I97+I91+I84+I77</f>
        <v>1055084.1499999999</v>
      </c>
      <c r="J109" s="92"/>
      <c r="K109" s="94">
        <f>+G109-I109</f>
        <v>-3846.1499999999069</v>
      </c>
      <c r="M109" s="55"/>
    </row>
    <row r="110" spans="2:15" x14ac:dyDescent="0.25">
      <c r="B110" s="30"/>
      <c r="C110" s="30"/>
      <c r="D110" s="30"/>
      <c r="E110" s="29"/>
      <c r="F110" s="29"/>
      <c r="G110" s="93"/>
      <c r="H110" s="92"/>
      <c r="I110" s="93"/>
      <c r="J110" s="92"/>
      <c r="K110" s="93"/>
    </row>
    <row r="111" spans="2:15" x14ac:dyDescent="0.25">
      <c r="B111" s="29" t="s">
        <v>229</v>
      </c>
      <c r="C111" s="30"/>
      <c r="D111" s="30"/>
      <c r="E111" s="30"/>
      <c r="F111" s="30"/>
      <c r="G111" s="102"/>
      <c r="H111" s="92"/>
      <c r="I111" s="102"/>
      <c r="J111" s="92"/>
      <c r="K111" s="102"/>
    </row>
    <row r="112" spans="2:15" x14ac:dyDescent="0.25">
      <c r="B112" s="30"/>
      <c r="C112" s="29" t="s">
        <v>230</v>
      </c>
      <c r="D112" s="30"/>
      <c r="E112" s="30"/>
      <c r="F112" s="30"/>
      <c r="G112" s="102"/>
      <c r="H112" s="92"/>
      <c r="I112" s="102"/>
      <c r="J112" s="92"/>
      <c r="K112" s="102"/>
    </row>
    <row r="113" spans="2:11" x14ac:dyDescent="0.25">
      <c r="B113" s="30"/>
      <c r="C113" s="30"/>
      <c r="D113" s="29" t="s">
        <v>215</v>
      </c>
      <c r="E113" s="30"/>
      <c r="F113" s="30"/>
      <c r="G113" s="91"/>
      <c r="H113" s="92"/>
      <c r="I113" s="102">
        <f>209994+30636+(8000+125+7831+150)+7850+17024</f>
        <v>281610</v>
      </c>
      <c r="J113" s="92"/>
      <c r="K113" s="91"/>
    </row>
    <row r="114" spans="2:11" x14ac:dyDescent="0.25">
      <c r="B114" s="30"/>
      <c r="C114" s="30"/>
      <c r="D114" s="29" t="s">
        <v>227</v>
      </c>
      <c r="E114" s="30"/>
      <c r="F114" s="30"/>
      <c r="G114" s="91"/>
      <c r="H114" s="92"/>
      <c r="I114" s="102">
        <v>10000</v>
      </c>
      <c r="J114" s="92"/>
      <c r="K114" s="91"/>
    </row>
    <row r="115" spans="2:11" x14ac:dyDescent="0.25">
      <c r="B115" s="30"/>
      <c r="C115" s="30"/>
      <c r="D115" s="29" t="s">
        <v>218</v>
      </c>
      <c r="E115" s="30"/>
      <c r="F115" s="30"/>
      <c r="G115" s="91"/>
      <c r="H115" s="92"/>
      <c r="I115" s="102">
        <f>82477+29-30636</f>
        <v>51870</v>
      </c>
      <c r="J115" s="92"/>
      <c r="K115" s="91"/>
    </row>
    <row r="116" spans="2:11" x14ac:dyDescent="0.25">
      <c r="B116" s="30"/>
      <c r="C116" s="30"/>
      <c r="D116" s="29" t="s">
        <v>38</v>
      </c>
      <c r="E116" s="30"/>
      <c r="F116" s="30"/>
      <c r="G116" s="91"/>
      <c r="H116" s="92"/>
      <c r="I116" s="94">
        <f>13000</f>
        <v>13000</v>
      </c>
      <c r="J116" s="92"/>
      <c r="K116" s="91"/>
    </row>
    <row r="117" spans="2:11" x14ac:dyDescent="0.25">
      <c r="B117" s="30"/>
      <c r="C117" s="30"/>
      <c r="D117" s="30"/>
      <c r="E117" s="29" t="s">
        <v>1</v>
      </c>
      <c r="F117" s="29"/>
      <c r="G117" s="95"/>
      <c r="H117" s="92"/>
      <c r="I117" s="94">
        <f>SUM(I113:I116)</f>
        <v>356480</v>
      </c>
      <c r="J117" s="92"/>
      <c r="K117" s="95"/>
    </row>
    <row r="118" spans="2:11" x14ac:dyDescent="0.25">
      <c r="B118" s="30"/>
      <c r="C118" s="30"/>
      <c r="D118" s="30"/>
      <c r="E118" s="29"/>
      <c r="F118" s="29"/>
      <c r="G118" s="95"/>
      <c r="H118" s="92"/>
      <c r="I118" s="93"/>
      <c r="J118" s="92"/>
      <c r="K118" s="95"/>
    </row>
    <row r="119" spans="2:11" x14ac:dyDescent="0.25">
      <c r="B119" s="30"/>
      <c r="C119" s="30"/>
      <c r="D119" s="30"/>
      <c r="E119" s="29"/>
      <c r="F119" s="29"/>
      <c r="G119" s="95"/>
      <c r="H119" s="92"/>
      <c r="I119" s="93"/>
      <c r="J119" s="92"/>
      <c r="K119" s="95" t="s">
        <v>693</v>
      </c>
    </row>
    <row r="120" spans="2:11" x14ac:dyDescent="0.25">
      <c r="B120" s="30"/>
      <c r="C120" s="30"/>
      <c r="D120" s="30"/>
      <c r="E120" s="29"/>
      <c r="F120" s="29"/>
      <c r="G120" s="95"/>
      <c r="H120" s="92"/>
      <c r="I120" s="93"/>
      <c r="J120" s="92"/>
      <c r="K120" s="95"/>
    </row>
    <row r="121" spans="2:11" ht="13.8" thickBot="1" x14ac:dyDescent="0.3">
      <c r="B121" s="30"/>
      <c r="C121" s="30"/>
      <c r="D121" s="30"/>
      <c r="E121" s="30"/>
      <c r="F121" s="30"/>
      <c r="G121" s="102"/>
      <c r="H121" s="92"/>
      <c r="I121" s="50"/>
      <c r="J121" s="92"/>
      <c r="K121" s="95"/>
    </row>
    <row r="122" spans="2:11" ht="13.8" thickTop="1" x14ac:dyDescent="0.25">
      <c r="B122" s="546"/>
      <c r="C122" s="546"/>
      <c r="D122" s="546"/>
      <c r="E122" s="546"/>
      <c r="F122" s="546"/>
      <c r="G122" s="546"/>
      <c r="H122" s="546"/>
      <c r="I122" s="546"/>
      <c r="J122" s="546"/>
      <c r="K122" s="547" t="s">
        <v>176</v>
      </c>
    </row>
    <row r="123" spans="2:11" x14ac:dyDescent="0.25">
      <c r="B123" s="538"/>
      <c r="C123" s="538"/>
      <c r="D123" s="538"/>
      <c r="E123" s="538"/>
      <c r="F123" s="538"/>
      <c r="G123" s="538"/>
      <c r="H123" s="538"/>
      <c r="I123" s="538"/>
      <c r="J123" s="538"/>
      <c r="K123" s="544" t="s">
        <v>500</v>
      </c>
    </row>
    <row r="124" spans="2:11" x14ac:dyDescent="0.25">
      <c r="B124" s="538"/>
      <c r="C124" s="538"/>
      <c r="D124" s="538"/>
      <c r="E124" s="538"/>
      <c r="F124" s="538"/>
      <c r="G124" s="545" t="s">
        <v>874</v>
      </c>
      <c r="H124" s="538"/>
      <c r="I124" s="545" t="s">
        <v>175</v>
      </c>
      <c r="J124" s="538"/>
      <c r="K124" s="545" t="s">
        <v>501</v>
      </c>
    </row>
    <row r="125" spans="2:11" x14ac:dyDescent="0.25">
      <c r="B125" s="30"/>
      <c r="C125" s="30"/>
      <c r="D125" s="30"/>
      <c r="E125" s="30"/>
      <c r="F125" s="30"/>
      <c r="G125" s="102"/>
      <c r="H125" s="92"/>
      <c r="I125" s="50"/>
      <c r="J125" s="92"/>
      <c r="K125" s="102"/>
    </row>
    <row r="126" spans="2:11" x14ac:dyDescent="0.25">
      <c r="B126" s="30"/>
      <c r="C126" s="29" t="s">
        <v>231</v>
      </c>
      <c r="D126" s="30"/>
      <c r="E126" s="30"/>
      <c r="F126" s="30"/>
      <c r="G126" s="102"/>
      <c r="H126" s="92"/>
      <c r="I126" s="102"/>
      <c r="J126" s="92"/>
      <c r="K126" s="102"/>
    </row>
    <row r="127" spans="2:11" x14ac:dyDescent="0.25">
      <c r="B127" s="30"/>
      <c r="C127" s="30"/>
      <c r="D127" s="29" t="s">
        <v>215</v>
      </c>
      <c r="E127" s="30"/>
      <c r="F127" s="30"/>
      <c r="G127" s="91"/>
      <c r="H127" s="92"/>
      <c r="I127" s="102">
        <v>149415</v>
      </c>
      <c r="J127" s="92"/>
      <c r="K127" s="91"/>
    </row>
    <row r="128" spans="2:11" x14ac:dyDescent="0.25">
      <c r="B128" s="30"/>
      <c r="C128" s="30"/>
      <c r="D128" s="29" t="s">
        <v>227</v>
      </c>
      <c r="E128" s="30"/>
      <c r="F128" s="30"/>
      <c r="G128" s="91"/>
      <c r="H128" s="92"/>
      <c r="I128" s="102">
        <v>6000</v>
      </c>
      <c r="J128" s="143"/>
      <c r="K128" s="91"/>
    </row>
    <row r="129" spans="2:14" x14ac:dyDescent="0.25">
      <c r="B129" s="30"/>
      <c r="C129" s="30"/>
      <c r="D129" s="29" t="s">
        <v>218</v>
      </c>
      <c r="E129" s="30"/>
      <c r="F129" s="30"/>
      <c r="G129" s="91"/>
      <c r="H129" s="92"/>
      <c r="I129" s="102">
        <v>13149</v>
      </c>
      <c r="J129" s="92"/>
      <c r="K129" s="91"/>
    </row>
    <row r="130" spans="2:14" x14ac:dyDescent="0.25">
      <c r="B130" s="30"/>
      <c r="C130" s="30"/>
      <c r="D130" s="29" t="s">
        <v>38</v>
      </c>
      <c r="E130" s="30"/>
      <c r="F130" s="30"/>
      <c r="G130" s="91"/>
      <c r="H130" s="92"/>
      <c r="I130" s="94">
        <v>9209</v>
      </c>
      <c r="J130" s="143"/>
      <c r="K130" s="91"/>
    </row>
    <row r="131" spans="2:14" x14ac:dyDescent="0.25">
      <c r="B131" s="30"/>
      <c r="C131" s="30"/>
      <c r="D131" s="30"/>
      <c r="E131" s="29" t="s">
        <v>1</v>
      </c>
      <c r="F131" s="29"/>
      <c r="G131" s="95"/>
      <c r="H131" s="92"/>
      <c r="I131" s="94">
        <f>SUM(I127:I130)</f>
        <v>177773</v>
      </c>
      <c r="J131" s="92"/>
      <c r="K131" s="95"/>
    </row>
    <row r="132" spans="2:14" x14ac:dyDescent="0.25">
      <c r="B132" s="30"/>
      <c r="C132" s="30"/>
      <c r="D132" s="30"/>
      <c r="E132" s="30"/>
      <c r="F132" s="30"/>
      <c r="G132" s="102"/>
      <c r="H132" s="92"/>
      <c r="I132" s="102"/>
      <c r="J132" s="92"/>
      <c r="K132" s="102"/>
    </row>
    <row r="133" spans="2:14" x14ac:dyDescent="0.25">
      <c r="B133" s="30"/>
      <c r="C133" s="29" t="s">
        <v>232</v>
      </c>
      <c r="D133" s="30"/>
      <c r="E133" s="30"/>
      <c r="F133" s="30"/>
      <c r="G133" s="102"/>
      <c r="H133" s="92"/>
      <c r="I133" s="102"/>
      <c r="J133" s="92"/>
      <c r="K133" s="102"/>
    </row>
    <row r="134" spans="2:14" x14ac:dyDescent="0.25">
      <c r="B134" s="30"/>
      <c r="C134" s="30"/>
      <c r="D134" s="29" t="s">
        <v>215</v>
      </c>
      <c r="E134" s="30"/>
      <c r="F134" s="30"/>
      <c r="G134" s="91"/>
      <c r="H134" s="92"/>
      <c r="I134" s="102">
        <v>22651</v>
      </c>
      <c r="J134" s="92"/>
      <c r="K134" s="91"/>
    </row>
    <row r="135" spans="2:14" x14ac:dyDescent="0.25">
      <c r="B135" s="30"/>
      <c r="C135" s="30"/>
      <c r="D135" s="29" t="s">
        <v>227</v>
      </c>
      <c r="E135" s="30"/>
      <c r="F135" s="30"/>
      <c r="G135" s="91"/>
      <c r="H135" s="92"/>
      <c r="I135" s="102">
        <v>1000</v>
      </c>
      <c r="J135" s="92"/>
      <c r="K135" s="91"/>
    </row>
    <row r="136" spans="2:14" x14ac:dyDescent="0.25">
      <c r="B136" s="30"/>
      <c r="C136" s="30"/>
      <c r="D136" s="29" t="s">
        <v>218</v>
      </c>
      <c r="E136" s="30"/>
      <c r="F136" s="30"/>
      <c r="G136" s="91"/>
      <c r="H136" s="92"/>
      <c r="I136" s="102">
        <v>3032</v>
      </c>
      <c r="J136" s="92"/>
      <c r="K136" s="91"/>
    </row>
    <row r="137" spans="2:14" x14ac:dyDescent="0.25">
      <c r="B137" s="30"/>
      <c r="C137" s="30"/>
      <c r="D137" s="29" t="s">
        <v>38</v>
      </c>
      <c r="E137" s="30"/>
      <c r="F137" s="30"/>
      <c r="G137" s="91"/>
      <c r="H137" s="92"/>
      <c r="I137" s="94">
        <v>3780</v>
      </c>
      <c r="J137" s="92"/>
      <c r="K137" s="91"/>
    </row>
    <row r="138" spans="2:14" x14ac:dyDescent="0.25">
      <c r="B138" s="30"/>
      <c r="C138" s="30"/>
      <c r="D138" s="30"/>
      <c r="E138" s="29" t="s">
        <v>1</v>
      </c>
      <c r="F138" s="29"/>
      <c r="G138" s="95"/>
      <c r="H138" s="92"/>
      <c r="I138" s="94">
        <f>SUM(I134:I137)</f>
        <v>30463</v>
      </c>
      <c r="J138" s="92"/>
      <c r="K138" s="95"/>
    </row>
    <row r="139" spans="2:14" x14ac:dyDescent="0.25">
      <c r="B139" s="30"/>
      <c r="C139" s="30"/>
      <c r="D139" s="30"/>
      <c r="E139" s="29"/>
      <c r="F139" s="29"/>
      <c r="G139" s="95"/>
      <c r="H139" s="92"/>
      <c r="I139" s="93"/>
      <c r="J139" s="92"/>
      <c r="K139" s="95">
        <f>I116+I130+I137+I152+I164+I175</f>
        <v>90055</v>
      </c>
    </row>
    <row r="140" spans="2:14" x14ac:dyDescent="0.25">
      <c r="B140" s="30"/>
      <c r="C140" s="29" t="s">
        <v>233</v>
      </c>
      <c r="D140" s="30"/>
      <c r="E140" s="30"/>
      <c r="F140" s="30"/>
      <c r="G140" s="102"/>
      <c r="H140" s="92"/>
      <c r="I140" s="102"/>
      <c r="J140" s="92"/>
      <c r="K140" s="102"/>
    </row>
    <row r="141" spans="2:14" x14ac:dyDescent="0.25">
      <c r="B141" s="30"/>
      <c r="C141" s="30"/>
      <c r="D141" s="29" t="s">
        <v>234</v>
      </c>
      <c r="E141" s="30"/>
      <c r="F141" s="30"/>
      <c r="G141" s="96"/>
      <c r="H141" s="92"/>
      <c r="I141" s="94">
        <v>1000</v>
      </c>
      <c r="J141" s="92"/>
      <c r="K141" s="96"/>
    </row>
    <row r="142" spans="2:14" x14ac:dyDescent="0.25">
      <c r="B142" s="30"/>
      <c r="C142" s="30"/>
      <c r="D142" s="30"/>
      <c r="E142" s="29" t="s">
        <v>235</v>
      </c>
      <c r="F142" s="29"/>
      <c r="G142" s="94">
        <f>533988+50000</f>
        <v>583988</v>
      </c>
      <c r="H142" s="92"/>
      <c r="I142" s="94">
        <f>+I141+I138+I131+I117</f>
        <v>565716</v>
      </c>
      <c r="J142" s="92"/>
      <c r="K142" s="94">
        <f>+G142-I142</f>
        <v>18272</v>
      </c>
      <c r="M142" s="55"/>
    </row>
    <row r="143" spans="2:14" x14ac:dyDescent="0.25">
      <c r="B143" s="30"/>
      <c r="C143" s="30"/>
      <c r="D143" s="30"/>
      <c r="E143" s="30"/>
      <c r="F143" s="30"/>
      <c r="G143" s="102"/>
      <c r="H143" s="92"/>
      <c r="I143" s="102"/>
      <c r="J143" s="92"/>
      <c r="K143" s="102"/>
      <c r="N143" s="55"/>
    </row>
    <row r="144" spans="2:14" x14ac:dyDescent="0.25">
      <c r="B144" s="29" t="s">
        <v>236</v>
      </c>
      <c r="C144" s="30"/>
      <c r="D144" s="30"/>
      <c r="E144" s="30"/>
      <c r="F144" s="30"/>
      <c r="G144" s="102"/>
      <c r="H144" s="92"/>
      <c r="I144" s="102"/>
      <c r="J144" s="92"/>
      <c r="K144" s="102"/>
    </row>
    <row r="145" spans="2:15" x14ac:dyDescent="0.25">
      <c r="B145" s="30"/>
      <c r="C145" s="29" t="s">
        <v>237</v>
      </c>
      <c r="D145" s="30"/>
      <c r="E145" s="30"/>
      <c r="F145" s="30"/>
      <c r="G145" s="102"/>
      <c r="H145" s="92"/>
      <c r="I145" s="102"/>
      <c r="J145" s="92"/>
      <c r="K145" s="102"/>
    </row>
    <row r="146" spans="2:15" x14ac:dyDescent="0.25">
      <c r="B146" s="30"/>
      <c r="C146" s="30"/>
      <c r="D146" s="29" t="s">
        <v>215</v>
      </c>
      <c r="E146" s="30"/>
      <c r="F146" s="30"/>
      <c r="G146" s="91"/>
      <c r="H146" s="92"/>
      <c r="I146" s="102">
        <f>123268+25000</f>
        <v>148268</v>
      </c>
      <c r="J146" s="92"/>
      <c r="K146" s="91"/>
      <c r="O146" s="145"/>
    </row>
    <row r="147" spans="2:15" x14ac:dyDescent="0.25">
      <c r="B147" s="30"/>
      <c r="C147" s="30"/>
      <c r="D147" s="29" t="s">
        <v>238</v>
      </c>
      <c r="E147" s="30"/>
      <c r="F147" s="30"/>
      <c r="G147" s="91"/>
      <c r="H147" s="92"/>
      <c r="I147" s="102">
        <v>4799</v>
      </c>
      <c r="J147" s="92"/>
      <c r="K147" s="91"/>
      <c r="O147" s="145"/>
    </row>
    <row r="148" spans="2:15" x14ac:dyDescent="0.25">
      <c r="B148" s="30"/>
      <c r="C148" s="30"/>
      <c r="D148" s="29" t="s">
        <v>227</v>
      </c>
      <c r="E148" s="30"/>
      <c r="F148" s="30"/>
      <c r="G148" s="91"/>
      <c r="H148" s="92"/>
      <c r="I148" s="102">
        <v>3000</v>
      </c>
      <c r="J148" s="92"/>
      <c r="K148" s="91"/>
      <c r="O148" s="145"/>
    </row>
    <row r="149" spans="2:15" x14ac:dyDescent="0.25">
      <c r="B149" s="41"/>
      <c r="C149" s="41"/>
      <c r="D149" s="41" t="s">
        <v>239</v>
      </c>
      <c r="E149" s="41"/>
      <c r="F149" s="41"/>
      <c r="G149" s="41"/>
      <c r="H149" s="48"/>
      <c r="I149" s="589">
        <f>149167-25000</f>
        <v>124167</v>
      </c>
      <c r="J149" s="48"/>
      <c r="K149" s="41"/>
      <c r="O149" s="145"/>
    </row>
    <row r="150" spans="2:15" x14ac:dyDescent="0.25">
      <c r="B150" s="30"/>
      <c r="C150" s="30"/>
      <c r="D150" s="29" t="s">
        <v>225</v>
      </c>
      <c r="E150" s="30"/>
      <c r="F150" s="30"/>
      <c r="G150" s="91"/>
      <c r="H150" s="92"/>
      <c r="I150" s="102">
        <v>16574</v>
      </c>
      <c r="J150" s="92"/>
      <c r="K150" s="91"/>
      <c r="O150" s="145"/>
    </row>
    <row r="151" spans="2:15" x14ac:dyDescent="0.25">
      <c r="B151" s="30"/>
      <c r="C151" s="30"/>
      <c r="D151" s="29" t="s">
        <v>218</v>
      </c>
      <c r="E151" s="30"/>
      <c r="F151" s="30"/>
      <c r="G151" s="91"/>
      <c r="H151" s="92"/>
      <c r="I151" s="102">
        <f>35418+41</f>
        <v>35459</v>
      </c>
      <c r="J151" s="92"/>
      <c r="K151" s="91"/>
      <c r="O151" s="145"/>
    </row>
    <row r="152" spans="2:15" x14ac:dyDescent="0.25">
      <c r="B152" s="30"/>
      <c r="C152" s="30"/>
      <c r="D152" s="29" t="s">
        <v>38</v>
      </c>
      <c r="E152" s="30"/>
      <c r="F152" s="30"/>
      <c r="G152" s="91"/>
      <c r="H152" s="92"/>
      <c r="I152" s="94">
        <v>8697</v>
      </c>
      <c r="J152" s="92"/>
      <c r="K152" s="91"/>
      <c r="O152" s="145"/>
    </row>
    <row r="153" spans="2:15" x14ac:dyDescent="0.25">
      <c r="B153" s="30"/>
      <c r="C153" s="30"/>
      <c r="D153" s="30"/>
      <c r="E153" s="29" t="s">
        <v>196</v>
      </c>
      <c r="F153" s="29"/>
      <c r="G153" s="95"/>
      <c r="H153" s="92"/>
      <c r="I153" s="94">
        <f>SUM(I146:I152)</f>
        <v>340964</v>
      </c>
      <c r="J153" s="92"/>
      <c r="K153" s="95"/>
      <c r="O153" s="145"/>
    </row>
    <row r="154" spans="2:15" x14ac:dyDescent="0.25">
      <c r="B154" s="30"/>
      <c r="C154" s="30"/>
      <c r="D154" s="30"/>
      <c r="E154" s="30"/>
      <c r="F154" s="30"/>
      <c r="G154" s="102"/>
      <c r="H154" s="92"/>
      <c r="I154" s="102"/>
      <c r="J154" s="92"/>
      <c r="K154" s="102"/>
    </row>
    <row r="155" spans="2:15" x14ac:dyDescent="0.25">
      <c r="B155" s="30"/>
      <c r="C155" s="29" t="s">
        <v>240</v>
      </c>
      <c r="D155" s="30"/>
      <c r="E155" s="30"/>
      <c r="F155" s="30"/>
      <c r="G155" s="115"/>
      <c r="H155" s="92"/>
      <c r="I155" s="94">
        <v>51876</v>
      </c>
      <c r="J155" s="143"/>
      <c r="K155" s="115"/>
      <c r="O155" s="145"/>
    </row>
    <row r="156" spans="2:15" x14ac:dyDescent="0.25">
      <c r="B156" s="30"/>
      <c r="C156" s="30"/>
      <c r="D156" s="30"/>
      <c r="E156" s="29" t="s">
        <v>241</v>
      </c>
      <c r="F156" s="29"/>
      <c r="G156" s="94">
        <v>393101</v>
      </c>
      <c r="H156" s="92"/>
      <c r="I156" s="94">
        <f>+I155+I153</f>
        <v>392840</v>
      </c>
      <c r="J156" s="143"/>
      <c r="K156" s="94">
        <f>+G156-I156</f>
        <v>261</v>
      </c>
      <c r="O156" s="145"/>
    </row>
    <row r="157" spans="2:15" x14ac:dyDescent="0.25">
      <c r="B157" s="30"/>
      <c r="C157" s="30"/>
      <c r="D157" s="30"/>
      <c r="E157" s="29"/>
      <c r="F157" s="29"/>
      <c r="G157" s="93"/>
      <c r="H157" s="92"/>
      <c r="I157" s="93"/>
      <c r="J157" s="143"/>
      <c r="K157" s="93"/>
    </row>
    <row r="158" spans="2:15" x14ac:dyDescent="0.25">
      <c r="B158" s="29" t="s">
        <v>242</v>
      </c>
      <c r="C158" s="30"/>
      <c r="D158" s="30"/>
      <c r="E158" s="30"/>
      <c r="F158" s="30"/>
      <c r="G158" s="102"/>
      <c r="H158" s="92"/>
      <c r="I158" s="102"/>
      <c r="J158" s="92"/>
      <c r="K158" s="102"/>
    </row>
    <row r="159" spans="2:15" x14ac:dyDescent="0.25">
      <c r="B159" s="30"/>
      <c r="C159" s="29" t="s">
        <v>243</v>
      </c>
      <c r="D159" s="30"/>
      <c r="E159" s="30"/>
      <c r="F159" s="30"/>
      <c r="G159" s="102"/>
      <c r="H159" s="92"/>
      <c r="I159" s="102"/>
      <c r="J159" s="92"/>
      <c r="K159" s="102"/>
    </row>
    <row r="160" spans="2:15" x14ac:dyDescent="0.25">
      <c r="B160" s="30"/>
      <c r="C160" s="30"/>
      <c r="D160" s="29" t="s">
        <v>215</v>
      </c>
      <c r="E160" s="30"/>
      <c r="F160" s="30"/>
      <c r="G160" s="91"/>
      <c r="H160" s="92"/>
      <c r="I160" s="102">
        <v>167544</v>
      </c>
      <c r="J160" s="92"/>
      <c r="K160" s="91"/>
    </row>
    <row r="161" spans="2:11" x14ac:dyDescent="0.25">
      <c r="B161" s="30"/>
      <c r="C161" s="30"/>
      <c r="D161" s="29" t="s">
        <v>227</v>
      </c>
      <c r="E161" s="30"/>
      <c r="F161" s="30"/>
      <c r="G161" s="91"/>
      <c r="H161" s="92"/>
      <c r="I161" s="102">
        <v>4000</v>
      </c>
      <c r="J161" s="92"/>
      <c r="K161" s="91"/>
    </row>
    <row r="162" spans="2:11" x14ac:dyDescent="0.25">
      <c r="B162" s="30"/>
      <c r="C162" s="30"/>
      <c r="D162" s="29" t="s">
        <v>218</v>
      </c>
      <c r="E162" s="30"/>
      <c r="F162" s="30"/>
      <c r="G162" s="91"/>
      <c r="H162" s="92"/>
      <c r="I162" s="102">
        <v>16174</v>
      </c>
      <c r="J162" s="92"/>
      <c r="K162" s="91"/>
    </row>
    <row r="163" spans="2:11" x14ac:dyDescent="0.25">
      <c r="B163" s="30"/>
      <c r="C163" s="30"/>
      <c r="D163" s="29" t="s">
        <v>244</v>
      </c>
      <c r="E163" s="30"/>
      <c r="F163" s="30"/>
      <c r="G163" s="91"/>
      <c r="H163" s="92"/>
      <c r="I163" s="102">
        <f>30000-3000-6000</f>
        <v>21000</v>
      </c>
      <c r="J163" s="143"/>
      <c r="K163" s="117"/>
    </row>
    <row r="164" spans="2:11" x14ac:dyDescent="0.25">
      <c r="B164" s="30"/>
      <c r="C164" s="30"/>
      <c r="D164" s="29" t="s">
        <v>38</v>
      </c>
      <c r="E164" s="30"/>
      <c r="F164" s="30"/>
      <c r="G164" s="91"/>
      <c r="H164" s="92"/>
      <c r="I164" s="102">
        <v>40200</v>
      </c>
      <c r="J164" s="143"/>
      <c r="K164" s="117"/>
    </row>
    <row r="165" spans="2:11" x14ac:dyDescent="0.25">
      <c r="B165" s="30"/>
      <c r="C165" s="30" t="s">
        <v>570</v>
      </c>
      <c r="D165" s="29"/>
      <c r="E165" s="30"/>
      <c r="F165" s="30"/>
      <c r="G165" s="91"/>
      <c r="H165" s="92"/>
      <c r="I165" s="102"/>
      <c r="J165" s="143"/>
      <c r="K165" s="117"/>
    </row>
    <row r="166" spans="2:11" x14ac:dyDescent="0.25">
      <c r="B166" s="30"/>
      <c r="C166" s="30"/>
      <c r="D166" s="29" t="s">
        <v>571</v>
      </c>
      <c r="E166" s="30"/>
      <c r="F166" s="30"/>
      <c r="G166" s="91"/>
      <c r="H166" s="92"/>
      <c r="I166" s="102">
        <v>3000</v>
      </c>
      <c r="J166" s="143"/>
      <c r="K166" s="117"/>
    </row>
    <row r="167" spans="2:11" x14ac:dyDescent="0.25">
      <c r="B167" s="30"/>
      <c r="C167" s="30"/>
      <c r="D167" s="17" t="s">
        <v>572</v>
      </c>
      <c r="E167" s="30"/>
      <c r="F167" s="30"/>
      <c r="G167" s="96"/>
      <c r="H167" s="92"/>
      <c r="I167" s="94">
        <v>6000</v>
      </c>
      <c r="J167" s="92"/>
      <c r="K167" s="96"/>
    </row>
    <row r="168" spans="2:11" x14ac:dyDescent="0.25">
      <c r="B168" s="30"/>
      <c r="C168" s="30"/>
      <c r="D168" s="30"/>
      <c r="E168" s="29" t="s">
        <v>245</v>
      </c>
      <c r="F168" s="29"/>
      <c r="G168" s="94">
        <v>259600</v>
      </c>
      <c r="H168" s="92"/>
      <c r="I168" s="94">
        <f>SUM(I160:I167)</f>
        <v>257918</v>
      </c>
      <c r="J168" s="92"/>
      <c r="K168" s="94">
        <f>+G168-I168</f>
        <v>1682</v>
      </c>
    </row>
    <row r="169" spans="2:11" x14ac:dyDescent="0.25">
      <c r="B169" s="30"/>
      <c r="C169" s="30"/>
      <c r="D169" s="30"/>
      <c r="E169" s="29"/>
      <c r="F169" s="29"/>
      <c r="G169" s="93"/>
      <c r="H169" s="92"/>
      <c r="I169" s="93"/>
      <c r="J169" s="92"/>
      <c r="K169" s="93"/>
    </row>
    <row r="170" spans="2:11" x14ac:dyDescent="0.25">
      <c r="B170" s="29" t="s">
        <v>246</v>
      </c>
      <c r="C170" s="30"/>
      <c r="D170" s="30"/>
      <c r="E170" s="30"/>
      <c r="F170" s="30"/>
      <c r="G170" s="102"/>
      <c r="H170" s="143"/>
      <c r="I170" s="102"/>
      <c r="J170" s="143"/>
      <c r="K170" s="102"/>
    </row>
    <row r="171" spans="2:11" x14ac:dyDescent="0.25">
      <c r="B171" s="30"/>
      <c r="C171" s="29" t="s">
        <v>247</v>
      </c>
      <c r="D171" s="30"/>
      <c r="E171" s="30"/>
      <c r="F171" s="30"/>
      <c r="G171" s="102"/>
      <c r="H171" s="143"/>
      <c r="I171" s="50"/>
      <c r="J171" s="92"/>
      <c r="K171" s="50"/>
    </row>
    <row r="172" spans="2:11" x14ac:dyDescent="0.25">
      <c r="B172" s="30"/>
      <c r="C172" s="30"/>
      <c r="D172" s="29" t="s">
        <v>215</v>
      </c>
      <c r="E172" s="30"/>
      <c r="F172" s="30"/>
      <c r="G172" s="91"/>
      <c r="H172" s="143"/>
      <c r="I172" s="102">
        <f>33753+19000</f>
        <v>52753</v>
      </c>
      <c r="J172" s="143"/>
      <c r="K172" s="91"/>
    </row>
    <row r="173" spans="2:11" x14ac:dyDescent="0.25">
      <c r="B173" s="30"/>
      <c r="C173" s="30"/>
      <c r="D173" s="29" t="s">
        <v>227</v>
      </c>
      <c r="E173" s="30"/>
      <c r="F173" s="30"/>
      <c r="G173" s="91"/>
      <c r="H173" s="143"/>
      <c r="I173" s="102">
        <v>2000</v>
      </c>
      <c r="J173" s="143"/>
      <c r="K173" s="91"/>
    </row>
    <row r="174" spans="2:11" x14ac:dyDescent="0.25">
      <c r="B174" s="30"/>
      <c r="C174" s="30"/>
      <c r="D174" s="29" t="s">
        <v>218</v>
      </c>
      <c r="E174" s="30"/>
      <c r="F174" s="30"/>
      <c r="G174" s="91"/>
      <c r="H174" s="143"/>
      <c r="I174" s="102">
        <f>10470+8-5000</f>
        <v>5478</v>
      </c>
      <c r="J174" s="143"/>
      <c r="K174" s="91"/>
    </row>
    <row r="175" spans="2:11" x14ac:dyDescent="0.25">
      <c r="B175" s="30"/>
      <c r="C175" s="30"/>
      <c r="D175" s="29" t="s">
        <v>38</v>
      </c>
      <c r="E175" s="30"/>
      <c r="F175" s="30"/>
      <c r="G175" s="91"/>
      <c r="H175" s="143"/>
      <c r="I175" s="94">
        <f>29169-14000</f>
        <v>15169</v>
      </c>
      <c r="J175" s="143"/>
      <c r="K175" s="91"/>
    </row>
    <row r="176" spans="2:11" x14ac:dyDescent="0.25">
      <c r="B176" s="30"/>
      <c r="C176" s="30"/>
      <c r="D176" s="30"/>
      <c r="E176" s="29" t="s">
        <v>1</v>
      </c>
      <c r="F176" s="29"/>
      <c r="G176" s="95"/>
      <c r="H176" s="143"/>
      <c r="I176" s="94">
        <f>SUM(I172:I175)</f>
        <v>75400</v>
      </c>
      <c r="J176" s="143"/>
      <c r="K176" s="95"/>
    </row>
    <row r="177" spans="2:11" x14ac:dyDescent="0.25">
      <c r="B177" s="30"/>
      <c r="C177" s="30"/>
      <c r="D177" s="30"/>
      <c r="E177" s="29"/>
      <c r="F177" s="29"/>
      <c r="G177" s="95"/>
      <c r="H177" s="143"/>
      <c r="I177" s="93"/>
      <c r="J177" s="143"/>
      <c r="K177" s="95"/>
    </row>
    <row r="178" spans="2:11" x14ac:dyDescent="0.25">
      <c r="B178" s="30"/>
      <c r="C178" s="30"/>
      <c r="D178" s="30"/>
      <c r="E178" s="29"/>
      <c r="F178" s="29"/>
      <c r="G178" s="95"/>
      <c r="H178" s="143"/>
      <c r="I178" s="93"/>
      <c r="J178" s="143"/>
      <c r="K178" s="548" t="s">
        <v>693</v>
      </c>
    </row>
    <row r="179" spans="2:11" x14ac:dyDescent="0.25">
      <c r="B179" s="30"/>
      <c r="C179" s="30"/>
      <c r="D179" s="30"/>
      <c r="E179" s="30"/>
      <c r="F179" s="30"/>
      <c r="G179" s="102"/>
      <c r="H179" s="143"/>
      <c r="I179" s="102"/>
      <c r="J179" s="143"/>
      <c r="K179" s="102"/>
    </row>
    <row r="180" spans="2:11" ht="13.8" thickBot="1" x14ac:dyDescent="0.3">
      <c r="B180" s="30"/>
      <c r="C180" s="30"/>
      <c r="D180" s="30"/>
      <c r="E180" s="30"/>
      <c r="F180" s="30"/>
      <c r="G180" s="102"/>
      <c r="H180" s="143"/>
      <c r="I180" s="102"/>
      <c r="J180" s="143"/>
      <c r="K180" s="102"/>
    </row>
    <row r="181" spans="2:11" ht="13.8" thickTop="1" x14ac:dyDescent="0.25">
      <c r="B181" s="546"/>
      <c r="C181" s="546"/>
      <c r="D181" s="546"/>
      <c r="E181" s="546"/>
      <c r="F181" s="546"/>
      <c r="G181" s="546"/>
      <c r="H181" s="546"/>
      <c r="I181" s="546"/>
      <c r="J181" s="546"/>
      <c r="K181" s="547" t="s">
        <v>176</v>
      </c>
    </row>
    <row r="182" spans="2:11" x14ac:dyDescent="0.25">
      <c r="B182" s="538"/>
      <c r="C182" s="538"/>
      <c r="D182" s="538"/>
      <c r="E182" s="538"/>
      <c r="F182" s="538"/>
      <c r="G182" s="538"/>
      <c r="H182" s="538"/>
      <c r="I182" s="538"/>
      <c r="J182" s="538"/>
      <c r="K182" s="544" t="s">
        <v>500</v>
      </c>
    </row>
    <row r="183" spans="2:11" x14ac:dyDescent="0.25">
      <c r="B183" s="538"/>
      <c r="C183" s="538"/>
      <c r="D183" s="538"/>
      <c r="E183" s="538"/>
      <c r="F183" s="538"/>
      <c r="G183" s="545" t="s">
        <v>194</v>
      </c>
      <c r="H183" s="538"/>
      <c r="I183" s="545" t="s">
        <v>175</v>
      </c>
      <c r="J183" s="538"/>
      <c r="K183" s="545" t="s">
        <v>501</v>
      </c>
    </row>
    <row r="184" spans="2:11" x14ac:dyDescent="0.25">
      <c r="B184" s="30"/>
      <c r="C184" s="30"/>
      <c r="D184" s="30"/>
      <c r="E184" s="30"/>
      <c r="F184" s="30"/>
      <c r="G184" s="102"/>
      <c r="H184" s="143"/>
      <c r="I184" s="102"/>
      <c r="J184" s="143"/>
      <c r="K184" s="102"/>
    </row>
    <row r="185" spans="2:11" x14ac:dyDescent="0.25">
      <c r="B185" s="30"/>
      <c r="C185" s="29" t="s">
        <v>248</v>
      </c>
      <c r="D185" s="30"/>
      <c r="E185" s="30"/>
      <c r="F185" s="30"/>
      <c r="G185" s="102"/>
      <c r="H185" s="143"/>
      <c r="I185" s="102"/>
      <c r="J185" s="143"/>
      <c r="K185" s="102"/>
    </row>
    <row r="186" spans="2:11" x14ac:dyDescent="0.25">
      <c r="B186" s="30"/>
      <c r="C186" s="30"/>
      <c r="D186" s="29" t="s">
        <v>249</v>
      </c>
      <c r="E186" s="30"/>
      <c r="F186" s="30"/>
      <c r="G186" s="115"/>
      <c r="H186" s="143"/>
      <c r="I186" s="94">
        <v>15860</v>
      </c>
      <c r="J186" s="143"/>
      <c r="K186" s="115"/>
    </row>
    <row r="187" spans="2:11" x14ac:dyDescent="0.25">
      <c r="B187" s="30"/>
      <c r="C187" s="30"/>
      <c r="D187" s="30"/>
      <c r="E187" s="29" t="s">
        <v>250</v>
      </c>
      <c r="F187" s="29"/>
      <c r="G187" s="94">
        <v>91309</v>
      </c>
      <c r="H187" s="143"/>
      <c r="I187" s="94">
        <f>+I186+I176</f>
        <v>91260</v>
      </c>
      <c r="J187" s="143"/>
      <c r="K187" s="94">
        <f>+G187-I187</f>
        <v>49</v>
      </c>
    </row>
    <row r="188" spans="2:11" x14ac:dyDescent="0.25">
      <c r="B188" s="30"/>
      <c r="C188" s="30"/>
      <c r="D188" s="30"/>
      <c r="E188" s="30"/>
      <c r="F188" s="30"/>
      <c r="G188" s="50"/>
      <c r="H188" s="92"/>
      <c r="I188" s="50"/>
      <c r="J188" s="92"/>
      <c r="K188" s="50"/>
    </row>
    <row r="189" spans="2:11" x14ac:dyDescent="0.25">
      <c r="B189" s="350" t="s">
        <v>35</v>
      </c>
      <c r="C189" s="92"/>
      <c r="D189" s="92"/>
      <c r="E189" s="92"/>
      <c r="F189" s="92"/>
      <c r="G189" s="93"/>
      <c r="H189" s="143"/>
      <c r="I189" s="93"/>
      <c r="J189" s="143"/>
      <c r="K189" s="93"/>
    </row>
    <row r="190" spans="2:11" x14ac:dyDescent="0.25">
      <c r="B190" s="92"/>
      <c r="C190" s="350" t="s">
        <v>136</v>
      </c>
      <c r="D190" s="92"/>
      <c r="E190" s="92"/>
      <c r="F190" s="92"/>
      <c r="G190" s="806">
        <f>12500+3500+12000+10000+6000</f>
        <v>44000</v>
      </c>
      <c r="H190" s="143"/>
      <c r="I190" s="806">
        <f>'5-GASB34GovtFundsBudget'!H28</f>
        <v>43823</v>
      </c>
      <c r="J190" s="143"/>
      <c r="K190" s="93">
        <f>+G190-I190</f>
        <v>177</v>
      </c>
    </row>
    <row r="191" spans="2:11" x14ac:dyDescent="0.25">
      <c r="B191" s="92"/>
      <c r="C191" s="350" t="s">
        <v>37</v>
      </c>
      <c r="D191" s="92"/>
      <c r="E191" s="92"/>
      <c r="F191" s="92"/>
      <c r="G191" s="806">
        <f>5600+1500+200+300+200</f>
        <v>7800</v>
      </c>
      <c r="H191" s="143"/>
      <c r="I191" s="806">
        <f>'5-GASB34GovtFundsBudget'!H29</f>
        <v>7731</v>
      </c>
      <c r="J191" s="143"/>
      <c r="K191" s="93">
        <f>+G191-I191</f>
        <v>69</v>
      </c>
    </row>
    <row r="192" spans="2:11" x14ac:dyDescent="0.25">
      <c r="B192" s="92"/>
      <c r="C192" s="92"/>
      <c r="D192" s="92"/>
      <c r="E192" s="350" t="s">
        <v>251</v>
      </c>
      <c r="F192" s="350"/>
      <c r="G192" s="127">
        <v>51800</v>
      </c>
      <c r="H192" s="143"/>
      <c r="I192" s="127">
        <f>SUM(I190:I191)</f>
        <v>51554</v>
      </c>
      <c r="J192" s="143"/>
      <c r="K192" s="127">
        <f>+G192-I192</f>
        <v>246</v>
      </c>
    </row>
    <row r="193" spans="2:14" x14ac:dyDescent="0.25">
      <c r="B193" s="92"/>
      <c r="C193" s="92"/>
      <c r="D193" s="92"/>
      <c r="E193" s="92"/>
      <c r="F193" s="92"/>
      <c r="G193" s="253"/>
      <c r="H193" s="92"/>
      <c r="I193" s="253"/>
      <c r="J193" s="92"/>
      <c r="K193" s="253"/>
    </row>
    <row r="194" spans="2:14" x14ac:dyDescent="0.25">
      <c r="B194" s="92"/>
      <c r="C194" s="92"/>
      <c r="D194" s="92"/>
      <c r="E194" s="92"/>
      <c r="F194" s="92"/>
      <c r="G194" s="93"/>
      <c r="H194" s="143"/>
      <c r="I194" s="93"/>
      <c r="J194" s="143"/>
      <c r="K194" s="93"/>
    </row>
    <row r="195" spans="2:14" x14ac:dyDescent="0.25">
      <c r="B195" s="350" t="s">
        <v>137</v>
      </c>
      <c r="C195" s="92"/>
      <c r="D195" s="92"/>
      <c r="E195" s="92"/>
      <c r="F195" s="92"/>
      <c r="G195" s="93">
        <v>4000</v>
      </c>
      <c r="H195" s="143"/>
      <c r="I195" s="116">
        <v>0</v>
      </c>
      <c r="J195" s="143"/>
      <c r="K195" s="93">
        <f>+G195-I195</f>
        <v>4000</v>
      </c>
    </row>
    <row r="196" spans="2:14" x14ac:dyDescent="0.25">
      <c r="B196" s="92"/>
      <c r="C196" s="92"/>
      <c r="D196" s="92"/>
      <c r="E196" s="350" t="s">
        <v>39</v>
      </c>
      <c r="F196" s="350"/>
      <c r="G196" s="127">
        <f>G195+G192+G187+G168+G156+G142+G109</f>
        <v>2435036</v>
      </c>
      <c r="H196" s="143"/>
      <c r="I196" s="127">
        <f>+I192+I187+I168+I156+I142+I109</f>
        <v>2414372.15</v>
      </c>
      <c r="J196" s="143"/>
      <c r="K196" s="127">
        <f>+G196-I196</f>
        <v>20663.850000000093</v>
      </c>
    </row>
    <row r="197" spans="2:14" x14ac:dyDescent="0.25">
      <c r="B197" s="92"/>
      <c r="C197" s="92"/>
      <c r="D197" s="92"/>
      <c r="E197" s="92"/>
      <c r="F197" s="92"/>
      <c r="G197" s="93"/>
      <c r="H197" s="143"/>
      <c r="I197" s="93"/>
      <c r="J197" s="143"/>
      <c r="K197" s="93"/>
      <c r="N197" s="55"/>
    </row>
    <row r="198" spans="2:14" x14ac:dyDescent="0.25">
      <c r="B198" s="350" t="s">
        <v>138</v>
      </c>
      <c r="C198" s="92"/>
      <c r="D198" s="92"/>
      <c r="E198" s="92"/>
      <c r="F198" s="92"/>
      <c r="G198" s="93">
        <f>+G59-G196</f>
        <v>-179513</v>
      </c>
      <c r="H198" s="93">
        <f>+H59-H196</f>
        <v>0</v>
      </c>
      <c r="I198" s="93">
        <f>+I59-I196</f>
        <v>-143620.14999999991</v>
      </c>
      <c r="J198" s="143"/>
      <c r="K198" s="93">
        <f>+K196+K59</f>
        <v>35892.850000000093</v>
      </c>
    </row>
    <row r="199" spans="2:14" x14ac:dyDescent="0.25">
      <c r="B199" s="41"/>
      <c r="C199" s="41"/>
      <c r="D199" s="41"/>
      <c r="E199" s="41"/>
      <c r="F199" s="41"/>
      <c r="G199" s="41"/>
      <c r="H199" s="48"/>
      <c r="I199" s="41"/>
      <c r="J199" s="48"/>
      <c r="K199" s="41"/>
    </row>
    <row r="200" spans="2:14" x14ac:dyDescent="0.25">
      <c r="B200" s="29" t="s">
        <v>139</v>
      </c>
      <c r="C200" s="30"/>
      <c r="D200" s="30"/>
      <c r="E200" s="30"/>
      <c r="F200" s="30"/>
      <c r="G200" s="102"/>
      <c r="H200" s="143"/>
      <c r="I200" s="102"/>
      <c r="J200" s="143"/>
      <c r="K200" s="102"/>
    </row>
    <row r="201" spans="2:14" x14ac:dyDescent="0.25">
      <c r="B201" s="29"/>
      <c r="C201" s="30" t="s">
        <v>492</v>
      </c>
      <c r="D201" s="30"/>
      <c r="E201" s="30"/>
      <c r="F201" s="30"/>
      <c r="G201" s="102"/>
      <c r="H201" s="143"/>
      <c r="I201" s="102"/>
      <c r="J201" s="143"/>
      <c r="K201" s="102"/>
    </row>
    <row r="202" spans="2:14" x14ac:dyDescent="0.25">
      <c r="B202" s="29"/>
      <c r="C202" s="30"/>
      <c r="D202" s="30" t="s">
        <v>539</v>
      </c>
      <c r="E202" s="30"/>
      <c r="F202" s="30"/>
      <c r="G202" s="102">
        <v>10813</v>
      </c>
      <c r="H202" s="143"/>
      <c r="I202" s="102">
        <f>10813</f>
        <v>10813</v>
      </c>
      <c r="J202" s="143"/>
      <c r="K202" s="102">
        <v>0</v>
      </c>
    </row>
    <row r="203" spans="2:14" x14ac:dyDescent="0.25">
      <c r="B203" s="30"/>
      <c r="C203" s="29" t="s">
        <v>493</v>
      </c>
      <c r="D203" s="30"/>
      <c r="E203" s="30"/>
      <c r="F203" s="30"/>
      <c r="G203" s="50"/>
      <c r="H203" s="92"/>
      <c r="I203" s="50"/>
      <c r="J203" s="92"/>
      <c r="K203" s="50"/>
    </row>
    <row r="204" spans="2:14" x14ac:dyDescent="0.25">
      <c r="B204" s="30"/>
      <c r="C204" s="29"/>
      <c r="D204" s="29" t="s">
        <v>252</v>
      </c>
      <c r="E204" s="30"/>
      <c r="F204" s="30"/>
      <c r="G204" s="806">
        <v>-208400</v>
      </c>
      <c r="H204" s="143"/>
      <c r="I204" s="93">
        <v>-208400</v>
      </c>
      <c r="J204" s="143"/>
      <c r="K204" s="93">
        <f>+I204-G204</f>
        <v>0</v>
      </c>
    </row>
    <row r="205" spans="2:14" x14ac:dyDescent="0.25">
      <c r="B205" s="30"/>
      <c r="C205" s="29"/>
      <c r="D205" s="29" t="s">
        <v>398</v>
      </c>
      <c r="E205" s="30"/>
      <c r="F205" s="30"/>
      <c r="G205" s="806">
        <v>-97400</v>
      </c>
      <c r="H205" s="48"/>
      <c r="I205" s="93">
        <v>-97400</v>
      </c>
      <c r="J205" s="48"/>
      <c r="K205" s="93">
        <f>+I205-G205</f>
        <v>0</v>
      </c>
    </row>
    <row r="206" spans="2:14" x14ac:dyDescent="0.25">
      <c r="B206" s="30"/>
      <c r="C206" s="29"/>
      <c r="D206" s="29" t="s">
        <v>604</v>
      </c>
      <c r="E206" s="30"/>
      <c r="F206" s="30"/>
      <c r="G206" s="806">
        <v>-14500</v>
      </c>
      <c r="H206" s="48"/>
      <c r="I206" s="93">
        <v>-14500</v>
      </c>
      <c r="J206" s="48"/>
      <c r="K206" s="93">
        <f>+I206-G206</f>
        <v>0</v>
      </c>
    </row>
    <row r="207" spans="2:14" x14ac:dyDescent="0.25">
      <c r="B207" s="30"/>
      <c r="C207" s="29" t="s">
        <v>554</v>
      </c>
      <c r="D207" s="29"/>
      <c r="E207" s="30"/>
      <c r="F207" s="30"/>
      <c r="G207" s="93">
        <v>5000</v>
      </c>
      <c r="H207" s="48"/>
      <c r="I207" s="93">
        <v>5000</v>
      </c>
      <c r="J207" s="48"/>
      <c r="K207" s="93">
        <f>+I207-G207</f>
        <v>0</v>
      </c>
    </row>
    <row r="208" spans="2:14" x14ac:dyDescent="0.25">
      <c r="B208" s="30"/>
      <c r="C208" s="29" t="s">
        <v>545</v>
      </c>
      <c r="D208" s="29"/>
      <c r="E208" s="30"/>
      <c r="F208" s="30"/>
      <c r="G208" s="93">
        <v>325000</v>
      </c>
      <c r="H208" s="48"/>
      <c r="I208" s="93">
        <v>325000</v>
      </c>
      <c r="J208" s="48"/>
      <c r="K208" s="93">
        <v>0</v>
      </c>
    </row>
    <row r="209" spans="2:13" x14ac:dyDescent="0.25">
      <c r="B209" s="30"/>
      <c r="C209" s="807" t="s">
        <v>844</v>
      </c>
      <c r="D209" s="807"/>
      <c r="E209" s="808"/>
      <c r="F209" s="30"/>
      <c r="G209" s="806">
        <v>35000</v>
      </c>
      <c r="H209" s="48"/>
      <c r="I209" s="93">
        <f>'5-GASB34GovtFundsBudget'!H40</f>
        <v>34840</v>
      </c>
      <c r="J209" s="48"/>
      <c r="K209" s="93">
        <f>+I209-G209</f>
        <v>-160</v>
      </c>
    </row>
    <row r="210" spans="2:13" x14ac:dyDescent="0.25">
      <c r="B210" s="30"/>
      <c r="C210" s="807" t="s">
        <v>873</v>
      </c>
      <c r="D210" s="843"/>
      <c r="E210" s="808"/>
      <c r="F210" s="30"/>
      <c r="G210" s="809">
        <v>49000</v>
      </c>
      <c r="H210" s="48"/>
      <c r="I210" s="809">
        <f>'5-GASB34GovtFundsBudget'!H41</f>
        <v>48781</v>
      </c>
      <c r="J210" s="48"/>
      <c r="K210" s="113">
        <f>+I210-G210</f>
        <v>-219</v>
      </c>
    </row>
    <row r="211" spans="2:13" x14ac:dyDescent="0.25">
      <c r="B211" s="30"/>
      <c r="C211" s="30"/>
      <c r="D211" s="30"/>
      <c r="E211" s="29" t="s">
        <v>253</v>
      </c>
      <c r="F211" s="29"/>
      <c r="G211" s="146">
        <f>SUM(G202:G210)</f>
        <v>104513</v>
      </c>
      <c r="H211" s="92"/>
      <c r="I211" s="94">
        <f>SUM(I202:I210)</f>
        <v>104134</v>
      </c>
      <c r="J211" s="92"/>
      <c r="K211" s="146">
        <f>+I211-G211</f>
        <v>-379</v>
      </c>
    </row>
    <row r="212" spans="2:13" x14ac:dyDescent="0.25">
      <c r="B212" s="30"/>
      <c r="C212" s="30"/>
      <c r="D212" s="30"/>
      <c r="E212" s="30"/>
      <c r="F212" s="30"/>
      <c r="G212" s="50"/>
      <c r="H212" s="92"/>
      <c r="I212" s="50"/>
      <c r="J212" s="92"/>
      <c r="K212" s="50"/>
    </row>
    <row r="213" spans="2:13" x14ac:dyDescent="0.25">
      <c r="B213" s="29" t="s">
        <v>555</v>
      </c>
      <c r="C213" s="30"/>
      <c r="D213" s="30"/>
      <c r="E213" s="30"/>
      <c r="F213" s="30"/>
      <c r="G213" s="102">
        <v>75000</v>
      </c>
      <c r="H213" s="143"/>
      <c r="I213" s="102">
        <v>0</v>
      </c>
      <c r="J213" s="143"/>
      <c r="K213" s="102">
        <v>75000</v>
      </c>
    </row>
    <row r="214" spans="2:13" x14ac:dyDescent="0.25">
      <c r="B214" s="29"/>
      <c r="C214" s="30"/>
      <c r="D214" s="30"/>
      <c r="E214" s="30"/>
      <c r="F214" s="30"/>
      <c r="G214" s="102"/>
      <c r="H214" s="143"/>
      <c r="I214" s="102"/>
      <c r="J214" s="143"/>
      <c r="K214" s="102"/>
    </row>
    <row r="215" spans="2:13" ht="13.8" thickBot="1" x14ac:dyDescent="0.3">
      <c r="B215" s="29" t="s">
        <v>77</v>
      </c>
      <c r="C215" s="30"/>
      <c r="D215" s="30"/>
      <c r="E215" s="30"/>
      <c r="F215" s="30"/>
      <c r="G215" s="147">
        <f>+'GFBud-Act'!G198+'GFBud-Act'!G211+G213</f>
        <v>0</v>
      </c>
      <c r="H215" s="143"/>
      <c r="I215" s="116">
        <f>+I198+I211</f>
        <v>-39486.149999999907</v>
      </c>
      <c r="J215" s="421"/>
      <c r="K215" s="147">
        <f>+'GFBud-Act'!K198+'GFBud-Act'!K211-K213</f>
        <v>-39486.149999999907</v>
      </c>
    </row>
    <row r="216" spans="2:13" ht="13.8" thickTop="1" x14ac:dyDescent="0.25">
      <c r="B216" s="30"/>
      <c r="C216" s="30"/>
      <c r="D216" s="30"/>
      <c r="E216" s="30"/>
      <c r="F216" s="30"/>
      <c r="G216" s="102"/>
      <c r="H216" s="143"/>
      <c r="I216" s="102"/>
      <c r="J216" s="143"/>
      <c r="K216" s="102"/>
    </row>
    <row r="217" spans="2:13" hidden="1" x14ac:dyDescent="0.25">
      <c r="B217" s="41" t="s">
        <v>532</v>
      </c>
      <c r="C217" s="482"/>
      <c r="D217" s="482"/>
      <c r="E217" s="41"/>
      <c r="F217" s="30"/>
      <c r="G217" s="102"/>
      <c r="H217" s="143"/>
      <c r="I217" s="102"/>
      <c r="J217" s="143"/>
      <c r="K217" s="102"/>
    </row>
    <row r="218" spans="2:13" hidden="1" x14ac:dyDescent="0.25">
      <c r="B218" s="41"/>
      <c r="C218" s="482" t="s">
        <v>533</v>
      </c>
      <c r="D218" s="482"/>
      <c r="E218" s="41"/>
      <c r="F218" s="30"/>
      <c r="G218" s="102"/>
      <c r="H218" s="143"/>
      <c r="I218" s="102">
        <f>342909-23459+200000+5759-175</f>
        <v>525034</v>
      </c>
      <c r="J218" s="143"/>
      <c r="M218" s="102"/>
    </row>
    <row r="219" spans="2:13" hidden="1" x14ac:dyDescent="0.25">
      <c r="B219" s="482" t="s">
        <v>531</v>
      </c>
      <c r="C219" s="482"/>
      <c r="D219" s="482"/>
      <c r="E219" s="41"/>
      <c r="F219" s="30"/>
      <c r="G219" s="102"/>
      <c r="H219" s="143"/>
      <c r="I219" s="113">
        <v>67367</v>
      </c>
      <c r="J219" s="143"/>
      <c r="K219" s="102"/>
    </row>
    <row r="220" spans="2:13" x14ac:dyDescent="0.25">
      <c r="B220" s="41" t="s">
        <v>846</v>
      </c>
      <c r="C220" s="41"/>
      <c r="D220" s="41"/>
      <c r="E220" s="41"/>
      <c r="F220" s="30"/>
      <c r="G220" s="102"/>
      <c r="H220" s="143"/>
      <c r="I220" s="93">
        <f>SUM(I218:I219)</f>
        <v>592401</v>
      </c>
      <c r="J220" s="143"/>
      <c r="K220" s="93"/>
    </row>
    <row r="221" spans="2:13" x14ac:dyDescent="0.25">
      <c r="B221" s="41" t="s">
        <v>476</v>
      </c>
      <c r="C221" s="41"/>
      <c r="D221" s="41"/>
      <c r="E221" s="41"/>
      <c r="F221" s="41"/>
      <c r="G221" s="41"/>
      <c r="H221" s="48"/>
      <c r="I221" s="148">
        <v>82</v>
      </c>
      <c r="J221" s="48"/>
      <c r="K221" s="41"/>
    </row>
    <row r="222" spans="2:13" ht="13.8" thickBot="1" x14ac:dyDescent="0.3">
      <c r="B222" s="482" t="s">
        <v>526</v>
      </c>
      <c r="C222" s="41"/>
      <c r="D222" s="41"/>
      <c r="E222" s="41"/>
      <c r="F222" s="41"/>
      <c r="G222" s="41"/>
      <c r="H222" s="48"/>
      <c r="I222" s="881">
        <f>SUM(I220:I221)+I215</f>
        <v>552996.85000000009</v>
      </c>
      <c r="J222" s="48"/>
      <c r="M222" s="548"/>
    </row>
    <row r="223" spans="2:13" ht="13.8" thickTop="1" x14ac:dyDescent="0.25">
      <c r="M223" s="55"/>
    </row>
    <row r="226" spans="12:12" x14ac:dyDescent="0.25">
      <c r="L226" s="313"/>
    </row>
  </sheetData>
  <customSheetViews>
    <customSheetView guid="{AB48C5D7-99F4-4378-A0F9-05018B348977}">
      <selection activeCell="C13" sqref="C13"/>
      <rowBreaks count="4" manualBreakCount="4">
        <brk id="41" max="9" man="1"/>
        <brk id="85" max="9" man="1"/>
        <brk id="130" max="9" man="1"/>
        <brk id="177" max="16383" man="1"/>
      </rowBreaks>
      <pageMargins left="0.75" right="0.75" top="1" bottom="1" header="0.5" footer="0.5"/>
      <pageSetup scale="79" firstPageNumber="93" fitToHeight="0" orientation="portrait" useFirstPageNumber="1" r:id="rId1"/>
      <headerFooter alignWithMargins="0"/>
    </customSheetView>
  </customSheetViews>
  <mergeCells count="1">
    <mergeCell ref="C18:E18"/>
  </mergeCells>
  <phoneticPr fontId="0" type="noConversion"/>
  <printOptions horizontalCentered="1"/>
  <pageMargins left="0.7" right="0.7" top="0.75" bottom="0.75" header="0.3" footer="0.3"/>
  <pageSetup scale="80" firstPageNumber="93" fitToHeight="4" orientation="portrait" r:id="rId2"/>
  <rowBreaks count="3" manualBreakCount="3">
    <brk id="63" min="1" max="10" man="1"/>
    <brk id="120" min="1" max="10" man="1"/>
    <brk id="179" min="1" max="10"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F00"/>
    <pageSetUpPr fitToPage="1"/>
  </sheetPr>
  <dimension ref="B2:G40"/>
  <sheetViews>
    <sheetView topLeftCell="A10" workbookViewId="0"/>
  </sheetViews>
  <sheetFormatPr defaultColWidth="9.109375" defaultRowHeight="13.2" x14ac:dyDescent="0.25"/>
  <cols>
    <col min="1" max="1" width="9.109375" style="399"/>
    <col min="2" max="2" width="35.88671875" style="399" customWidth="1"/>
    <col min="3" max="3" width="17" style="399" customWidth="1"/>
    <col min="4" max="4" width="17.5546875" style="399" customWidth="1"/>
    <col min="5" max="5" width="17.109375" style="399" customWidth="1"/>
    <col min="6" max="6" width="9.33203125" style="399" bestFit="1" customWidth="1"/>
    <col min="7" max="16384" width="9.109375" style="399"/>
  </cols>
  <sheetData>
    <row r="2" spans="2:7" x14ac:dyDescent="0.25">
      <c r="B2" s="1029" t="s">
        <v>0</v>
      </c>
      <c r="C2" s="1029"/>
      <c r="D2" s="1029"/>
      <c r="E2" s="1029"/>
    </row>
    <row r="3" spans="2:7" x14ac:dyDescent="0.25">
      <c r="B3" s="1029" t="s">
        <v>715</v>
      </c>
      <c r="C3" s="1029"/>
      <c r="D3" s="1029"/>
      <c r="E3" s="1029"/>
    </row>
    <row r="4" spans="2:7" x14ac:dyDescent="0.25">
      <c r="B4" s="1029" t="s">
        <v>599</v>
      </c>
      <c r="C4" s="1029"/>
      <c r="D4" s="1029"/>
      <c r="E4" s="1029"/>
    </row>
    <row r="5" spans="2:7" x14ac:dyDescent="0.25">
      <c r="B5" s="1029" t="s">
        <v>604</v>
      </c>
      <c r="C5" s="1029"/>
      <c r="D5" s="1029"/>
      <c r="E5" s="1029"/>
      <c r="G5" s="399" t="s">
        <v>181</v>
      </c>
    </row>
    <row r="6" spans="2:7" s="444" customFormat="1" x14ac:dyDescent="0.25">
      <c r="B6" s="431"/>
      <c r="C6" s="443" t="str">
        <f>'5-GASB34GovtFundsBudget'!E5</f>
        <v>For the Year Ended June 30, 2023</v>
      </c>
      <c r="D6" s="431"/>
      <c r="E6" s="431"/>
    </row>
    <row r="7" spans="2:7" ht="13.8" thickBot="1" x14ac:dyDescent="0.3">
      <c r="B7" s="400"/>
      <c r="C7" s="401"/>
      <c r="D7" s="400"/>
      <c r="E7" s="400"/>
    </row>
    <row r="8" spans="2:7" x14ac:dyDescent="0.25">
      <c r="B8" s="402"/>
      <c r="C8" s="402"/>
      <c r="D8" s="403"/>
      <c r="E8" s="34" t="s">
        <v>176</v>
      </c>
    </row>
    <row r="9" spans="2:7" x14ac:dyDescent="0.25">
      <c r="B9" s="402" t="s">
        <v>181</v>
      </c>
      <c r="C9" s="403"/>
      <c r="D9" s="403"/>
      <c r="E9" s="34" t="s">
        <v>500</v>
      </c>
    </row>
    <row r="10" spans="2:7" x14ac:dyDescent="0.25">
      <c r="B10" s="402" t="s">
        <v>133</v>
      </c>
      <c r="C10" s="404" t="s">
        <v>194</v>
      </c>
      <c r="D10" s="404" t="s">
        <v>175</v>
      </c>
      <c r="E10" s="35" t="s">
        <v>501</v>
      </c>
    </row>
    <row r="11" spans="2:7" x14ac:dyDescent="0.25">
      <c r="B11" s="405"/>
      <c r="C11" s="406">
        <v>0</v>
      </c>
      <c r="D11" s="406">
        <v>0</v>
      </c>
      <c r="E11" s="406">
        <f>+C11+D11</f>
        <v>0</v>
      </c>
    </row>
    <row r="12" spans="2:7" x14ac:dyDescent="0.25">
      <c r="B12" s="405" t="s">
        <v>31</v>
      </c>
      <c r="C12" s="407">
        <v>300</v>
      </c>
      <c r="D12" s="407">
        <v>152</v>
      </c>
      <c r="E12" s="407">
        <f>D12-C12</f>
        <v>-148</v>
      </c>
    </row>
    <row r="13" spans="2:7" x14ac:dyDescent="0.25">
      <c r="B13" s="402"/>
      <c r="C13" s="408"/>
      <c r="D13" s="408"/>
      <c r="E13" s="408"/>
    </row>
    <row r="14" spans="2:7" x14ac:dyDescent="0.25">
      <c r="B14" s="402" t="s">
        <v>32</v>
      </c>
      <c r="C14" s="407">
        <f>SUM(C11:C12)</f>
        <v>300</v>
      </c>
      <c r="D14" s="407">
        <f>SUM(D11:D12)</f>
        <v>152</v>
      </c>
      <c r="E14" s="407">
        <f>D14-C14</f>
        <v>-148</v>
      </c>
    </row>
    <row r="15" spans="2:7" x14ac:dyDescent="0.25">
      <c r="B15" s="402"/>
      <c r="C15" s="408"/>
      <c r="D15" s="408"/>
      <c r="E15" s="408"/>
    </row>
    <row r="16" spans="2:7" x14ac:dyDescent="0.25">
      <c r="B16" s="402" t="s">
        <v>134</v>
      </c>
      <c r="C16" s="408"/>
      <c r="D16" s="408"/>
      <c r="E16" s="409"/>
    </row>
    <row r="17" spans="2:5" ht="28.5" customHeight="1" x14ac:dyDescent="0.25">
      <c r="B17" s="410" t="s">
        <v>600</v>
      </c>
      <c r="C17" s="407">
        <v>14800</v>
      </c>
      <c r="D17" s="407">
        <v>0</v>
      </c>
      <c r="E17" s="407">
        <f>C17-D17</f>
        <v>14800</v>
      </c>
    </row>
    <row r="18" spans="2:5" x14ac:dyDescent="0.25">
      <c r="B18" s="402"/>
      <c r="C18" s="408"/>
      <c r="D18" s="408"/>
      <c r="E18" s="408"/>
    </row>
    <row r="19" spans="2:5" x14ac:dyDescent="0.25">
      <c r="B19" s="402" t="s">
        <v>192</v>
      </c>
      <c r="C19" s="408">
        <f>+C14-C17</f>
        <v>-14500</v>
      </c>
      <c r="D19" s="408">
        <f>+D14-D17</f>
        <v>152</v>
      </c>
      <c r="E19" s="408">
        <f>+E17+E14</f>
        <v>14652</v>
      </c>
    </row>
    <row r="20" spans="2:5" x14ac:dyDescent="0.25">
      <c r="B20" s="402"/>
      <c r="C20" s="408"/>
      <c r="D20" s="408"/>
      <c r="E20" s="408"/>
    </row>
    <row r="21" spans="2:5" x14ac:dyDescent="0.25">
      <c r="B21" s="411" t="s">
        <v>41</v>
      </c>
      <c r="C21" s="408"/>
      <c r="D21" s="408"/>
      <c r="E21" s="408"/>
    </row>
    <row r="22" spans="2:5" x14ac:dyDescent="0.25">
      <c r="B22" s="412" t="s">
        <v>483</v>
      </c>
      <c r="C22" s="408">
        <v>14500</v>
      </c>
      <c r="D22" s="408">
        <v>14500</v>
      </c>
      <c r="E22" s="408">
        <f>D22-C22</f>
        <v>0</v>
      </c>
    </row>
    <row r="23" spans="2:5" x14ac:dyDescent="0.25">
      <c r="B23" s="412"/>
      <c r="C23" s="408"/>
      <c r="D23" s="408"/>
      <c r="E23" s="408"/>
    </row>
    <row r="24" spans="2:5" ht="13.8" thickBot="1" x14ac:dyDescent="0.3">
      <c r="B24" s="410" t="s">
        <v>77</v>
      </c>
      <c r="C24" s="413">
        <f>C19+C22</f>
        <v>0</v>
      </c>
      <c r="D24" s="408">
        <f>D19+D22</f>
        <v>14652</v>
      </c>
      <c r="E24" s="413">
        <f>D24-C24</f>
        <v>14652</v>
      </c>
    </row>
    <row r="25" spans="2:5" ht="13.8" thickTop="1" x14ac:dyDescent="0.25">
      <c r="B25" s="410"/>
      <c r="C25" s="408"/>
      <c r="D25" s="408"/>
      <c r="E25" s="408"/>
    </row>
    <row r="26" spans="2:5" x14ac:dyDescent="0.25">
      <c r="B26" s="402" t="s">
        <v>529</v>
      </c>
      <c r="C26" s="409"/>
      <c r="D26" s="407">
        <f>15801+23459</f>
        <v>39260</v>
      </c>
      <c r="E26" s="409"/>
    </row>
    <row r="27" spans="2:5" ht="13.8" thickBot="1" x14ac:dyDescent="0.3">
      <c r="B27" s="402" t="s">
        <v>530</v>
      </c>
      <c r="C27" s="414"/>
      <c r="D27" s="415">
        <f>D26+D24</f>
        <v>53912</v>
      </c>
      <c r="E27" s="414"/>
    </row>
    <row r="28" spans="2:5" ht="14.4" thickTop="1" thickBot="1" x14ac:dyDescent="0.3">
      <c r="B28" s="402"/>
      <c r="C28" s="416"/>
      <c r="D28" s="402"/>
      <c r="E28" s="416"/>
    </row>
    <row r="29" spans="2:5" ht="13.2" customHeight="1" x14ac:dyDescent="0.25">
      <c r="B29" s="1028" t="s">
        <v>672</v>
      </c>
      <c r="C29" s="960"/>
      <c r="D29" s="960"/>
      <c r="E29" s="961"/>
    </row>
    <row r="30" spans="2:5" x14ac:dyDescent="0.25">
      <c r="B30" s="962"/>
      <c r="C30" s="963"/>
      <c r="D30" s="963"/>
      <c r="E30" s="964"/>
    </row>
    <row r="31" spans="2:5" x14ac:dyDescent="0.25">
      <c r="B31" s="962"/>
      <c r="C31" s="963"/>
      <c r="D31" s="963"/>
      <c r="E31" s="964"/>
    </row>
    <row r="32" spans="2:5" x14ac:dyDescent="0.25">
      <c r="B32" s="962"/>
      <c r="C32" s="963"/>
      <c r="D32" s="963"/>
      <c r="E32" s="964"/>
    </row>
    <row r="33" spans="2:6" ht="13.8" thickBot="1" x14ac:dyDescent="0.3">
      <c r="B33" s="965"/>
      <c r="C33" s="966"/>
      <c r="D33" s="966"/>
      <c r="E33" s="967"/>
    </row>
    <row r="40" spans="2:6" x14ac:dyDescent="0.25">
      <c r="F40" s="417"/>
    </row>
  </sheetData>
  <customSheetViews>
    <customSheetView guid="{AB48C5D7-99F4-4378-A0F9-05018B348977}">
      <selection activeCell="B39" sqref="B39"/>
      <pageMargins left="0.75" right="0.75" top="1" bottom="1" header="0.5" footer="0.5"/>
      <pageSetup scale="79" firstPageNumber="98" orientation="portrait" useFirstPageNumber="1" r:id="rId1"/>
      <headerFooter alignWithMargins="0"/>
    </customSheetView>
  </customSheetViews>
  <mergeCells count="5">
    <mergeCell ref="B29:E33"/>
    <mergeCell ref="B2:E2"/>
    <mergeCell ref="B3:E3"/>
    <mergeCell ref="B4:E4"/>
    <mergeCell ref="B5:E5"/>
  </mergeCells>
  <printOptions horizontalCentered="1"/>
  <pageMargins left="0.7" right="0.7" top="0.75" bottom="0.75" header="0.3" footer="0.3"/>
  <pageSetup firstPageNumber="98" fitToWidth="0"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FF00"/>
    <pageSetUpPr fitToPage="1"/>
  </sheetPr>
  <dimension ref="B2:S53"/>
  <sheetViews>
    <sheetView topLeftCell="A21" workbookViewId="0"/>
  </sheetViews>
  <sheetFormatPr defaultColWidth="9.109375" defaultRowHeight="13.2" x14ac:dyDescent="0.25"/>
  <cols>
    <col min="1" max="1" width="9.109375" style="41"/>
    <col min="2" max="2" width="1.88671875" style="41" customWidth="1"/>
    <col min="3" max="3" width="9.109375" style="41"/>
    <col min="4" max="4" width="20.6640625" style="41" customWidth="1"/>
    <col min="5" max="5" width="3" style="41" bestFit="1" customWidth="1"/>
    <col min="6" max="6" width="10.6640625" style="41" customWidth="1"/>
    <col min="7" max="7" width="3" style="41" bestFit="1" customWidth="1"/>
    <col min="8" max="8" width="10.6640625" style="41" customWidth="1"/>
    <col min="9" max="9" width="3" style="41" bestFit="1" customWidth="1"/>
    <col min="10" max="10" width="10.6640625" style="41" customWidth="1"/>
    <col min="11" max="16384" width="9.109375" style="41"/>
  </cols>
  <sheetData>
    <row r="2" spans="2:19" x14ac:dyDescent="0.25">
      <c r="B2" s="485" t="s">
        <v>142</v>
      </c>
      <c r="C2" s="486"/>
      <c r="D2" s="486"/>
      <c r="E2" s="486"/>
      <c r="F2" s="486"/>
      <c r="G2" s="73"/>
      <c r="H2" s="73"/>
      <c r="I2" s="73"/>
      <c r="J2" s="73"/>
    </row>
    <row r="3" spans="2:19" x14ac:dyDescent="0.25">
      <c r="B3" s="485" t="s">
        <v>132</v>
      </c>
      <c r="C3" s="486"/>
      <c r="D3" s="486"/>
      <c r="E3" s="486"/>
      <c r="F3" s="486"/>
      <c r="G3" s="73"/>
      <c r="H3" s="73"/>
      <c r="I3" s="73"/>
      <c r="J3" s="73"/>
    </row>
    <row r="4" spans="2:19" x14ac:dyDescent="0.25">
      <c r="B4" s="485" t="s">
        <v>734</v>
      </c>
      <c r="C4" s="486"/>
      <c r="D4" s="486"/>
      <c r="E4" s="486"/>
      <c r="F4" s="486"/>
      <c r="G4" s="73"/>
      <c r="H4" s="73"/>
      <c r="I4" s="73"/>
      <c r="J4" s="73"/>
    </row>
    <row r="5" spans="2:19" x14ac:dyDescent="0.25">
      <c r="B5" s="485" t="s">
        <v>173</v>
      </c>
      <c r="C5" s="486"/>
      <c r="D5" s="486"/>
      <c r="E5" s="486"/>
      <c r="F5" s="486"/>
      <c r="G5" s="73"/>
      <c r="H5" s="73"/>
      <c r="I5" s="73"/>
      <c r="J5" s="73"/>
    </row>
    <row r="6" spans="2:19" x14ac:dyDescent="0.25">
      <c r="B6" s="485" t="str">
        <f>'5-GASB34GovtFundsBudget'!E5</f>
        <v>For the Year Ended June 30, 2023</v>
      </c>
      <c r="C6" s="486"/>
      <c r="D6" s="486"/>
      <c r="E6" s="486"/>
      <c r="F6" s="486"/>
      <c r="G6" s="73"/>
      <c r="H6" s="73"/>
      <c r="I6" s="73"/>
      <c r="J6" s="73"/>
    </row>
    <row r="7" spans="2:19" ht="12" customHeight="1" x14ac:dyDescent="0.25">
      <c r="B7" s="486"/>
      <c r="C7" s="486"/>
      <c r="D7" s="486"/>
      <c r="E7" s="486"/>
      <c r="F7" s="486"/>
      <c r="G7" s="73"/>
      <c r="H7" s="73"/>
      <c r="I7" s="73"/>
      <c r="J7" s="73"/>
    </row>
    <row r="8" spans="2:19" x14ac:dyDescent="0.25">
      <c r="B8" s="487"/>
      <c r="C8" s="487"/>
      <c r="D8" s="487"/>
      <c r="E8" s="487"/>
      <c r="F8" s="487"/>
      <c r="G8" s="19"/>
      <c r="H8" s="19"/>
      <c r="I8" s="19"/>
      <c r="J8" s="488" t="s">
        <v>176</v>
      </c>
      <c r="K8" s="489"/>
      <c r="L8" s="489"/>
      <c r="M8" s="489"/>
      <c r="N8" s="489"/>
      <c r="O8" s="489"/>
      <c r="P8" s="319"/>
      <c r="Q8" s="319"/>
      <c r="R8" s="319"/>
      <c r="S8" s="319"/>
    </row>
    <row r="9" spans="2:19" x14ac:dyDescent="0.25">
      <c r="B9" s="487"/>
      <c r="C9" s="487"/>
      <c r="D9" s="487"/>
      <c r="E9" s="487"/>
      <c r="F9" s="490" t="s">
        <v>129</v>
      </c>
      <c r="G9" s="19"/>
      <c r="H9" s="19"/>
      <c r="I9" s="19"/>
      <c r="J9" s="488" t="s">
        <v>500</v>
      </c>
      <c r="K9" s="489"/>
      <c r="L9" s="489"/>
      <c r="M9" s="489"/>
      <c r="N9" s="489"/>
      <c r="O9" s="489"/>
      <c r="P9" s="319"/>
      <c r="Q9" s="319"/>
      <c r="R9" s="319"/>
      <c r="S9" s="491"/>
    </row>
    <row r="10" spans="2:19" x14ac:dyDescent="0.25">
      <c r="B10" s="487"/>
      <c r="C10" s="492" t="s">
        <v>181</v>
      </c>
      <c r="D10" s="487"/>
      <c r="E10" s="487"/>
      <c r="F10" s="493" t="s">
        <v>194</v>
      </c>
      <c r="G10" s="19"/>
      <c r="H10" s="494" t="s">
        <v>175</v>
      </c>
      <c r="I10" s="19"/>
      <c r="J10" s="494" t="s">
        <v>501</v>
      </c>
      <c r="K10" s="489"/>
      <c r="L10" s="489"/>
      <c r="M10" s="489"/>
      <c r="N10" s="489"/>
      <c r="O10" s="495"/>
      <c r="P10" s="319"/>
      <c r="Q10" s="319"/>
      <c r="R10" s="319"/>
      <c r="S10" s="491"/>
    </row>
    <row r="11" spans="2:19" x14ac:dyDescent="0.25">
      <c r="B11" s="19"/>
      <c r="C11" s="487"/>
      <c r="D11" s="487"/>
      <c r="E11" s="487"/>
      <c r="F11" s="487"/>
      <c r="G11" s="19"/>
      <c r="H11" s="19"/>
      <c r="I11" s="19"/>
      <c r="J11" s="19"/>
      <c r="K11" s="489"/>
      <c r="L11" s="496"/>
      <c r="M11" s="489"/>
      <c r="N11" s="489"/>
      <c r="O11" s="495"/>
      <c r="P11" s="319"/>
      <c r="Q11" s="491"/>
      <c r="R11" s="319"/>
      <c r="S11" s="491"/>
    </row>
    <row r="12" spans="2:19" x14ac:dyDescent="0.25">
      <c r="B12" s="492" t="s">
        <v>254</v>
      </c>
      <c r="C12" s="19"/>
      <c r="D12" s="487"/>
      <c r="E12" s="487"/>
      <c r="F12" s="497"/>
      <c r="G12" s="498"/>
      <c r="H12" s="498"/>
      <c r="I12" s="498"/>
      <c r="J12" s="498"/>
      <c r="K12" s="319"/>
      <c r="L12" s="489"/>
      <c r="M12" s="489"/>
      <c r="N12" s="489"/>
      <c r="O12" s="489"/>
      <c r="P12" s="319"/>
      <c r="Q12" s="319"/>
      <c r="R12" s="319"/>
      <c r="S12" s="319"/>
    </row>
    <row r="13" spans="2:19" x14ac:dyDescent="0.25">
      <c r="B13" s="487"/>
      <c r="C13" s="19" t="s">
        <v>71</v>
      </c>
      <c r="E13" s="499"/>
      <c r="F13" s="500">
        <v>790000</v>
      </c>
      <c r="G13" s="501"/>
      <c r="H13" s="500">
        <v>785000</v>
      </c>
      <c r="I13" s="501"/>
      <c r="J13" s="500">
        <f>+H13-F13</f>
        <v>-5000</v>
      </c>
      <c r="K13" s="496"/>
      <c r="L13" s="319"/>
      <c r="M13" s="489"/>
      <c r="N13" s="489"/>
      <c r="O13" s="69"/>
      <c r="P13" s="502"/>
      <c r="Q13" s="502"/>
      <c r="R13" s="502"/>
      <c r="S13" s="502"/>
    </row>
    <row r="14" spans="2:19" x14ac:dyDescent="0.25">
      <c r="B14" s="487"/>
      <c r="C14" s="19" t="s">
        <v>616</v>
      </c>
      <c r="E14" s="499"/>
      <c r="F14" s="503">
        <v>0</v>
      </c>
      <c r="G14" s="504"/>
      <c r="H14" s="503">
        <v>0</v>
      </c>
      <c r="I14" s="504"/>
      <c r="J14" s="500">
        <f>+H14-F14</f>
        <v>0</v>
      </c>
      <c r="K14" s="489"/>
      <c r="L14" s="319"/>
      <c r="M14" s="48"/>
      <c r="N14" s="505"/>
      <c r="O14" s="69"/>
      <c r="P14" s="506"/>
      <c r="Q14" s="69"/>
      <c r="R14" s="506"/>
      <c r="S14" s="69"/>
    </row>
    <row r="15" spans="2:19" x14ac:dyDescent="0.25">
      <c r="B15" s="487"/>
      <c r="D15" s="19" t="s">
        <v>1</v>
      </c>
      <c r="E15" s="499"/>
      <c r="F15" s="507">
        <f>SUM(F13:F14)</f>
        <v>790000</v>
      </c>
      <c r="G15" s="504"/>
      <c r="H15" s="507">
        <f>SUM(H13:H14)</f>
        <v>785000</v>
      </c>
      <c r="I15" s="504"/>
      <c r="J15" s="507">
        <f>SUM(J13:J14)</f>
        <v>-5000</v>
      </c>
      <c r="K15" s="489"/>
      <c r="L15" s="48"/>
      <c r="M15" s="48"/>
      <c r="N15" s="505"/>
      <c r="O15" s="69"/>
      <c r="P15" s="506"/>
      <c r="Q15" s="69"/>
      <c r="R15" s="506"/>
      <c r="S15" s="69"/>
    </row>
    <row r="16" spans="2:19" x14ac:dyDescent="0.25">
      <c r="B16" s="487"/>
      <c r="C16" s="487"/>
      <c r="D16" s="487"/>
      <c r="E16" s="492"/>
      <c r="F16" s="497"/>
      <c r="G16" s="498"/>
      <c r="H16" s="498"/>
      <c r="I16" s="498"/>
      <c r="J16" s="498"/>
      <c r="K16" s="489"/>
      <c r="L16" s="489"/>
      <c r="M16" s="489"/>
      <c r="N16" s="496"/>
      <c r="O16" s="69"/>
      <c r="P16" s="502"/>
      <c r="Q16" s="502"/>
      <c r="R16" s="502"/>
      <c r="S16" s="502"/>
    </row>
    <row r="17" spans="2:19" x14ac:dyDescent="0.25">
      <c r="B17" s="492" t="s">
        <v>257</v>
      </c>
      <c r="C17" s="487"/>
      <c r="D17" s="487"/>
      <c r="E17" s="487"/>
      <c r="F17" s="487"/>
      <c r="G17" s="19"/>
      <c r="H17" s="19"/>
      <c r="I17" s="19"/>
      <c r="J17" s="19"/>
      <c r="K17" s="496"/>
      <c r="L17" s="489"/>
      <c r="M17" s="489"/>
      <c r="N17" s="489"/>
      <c r="O17" s="489"/>
      <c r="P17" s="319"/>
      <c r="Q17" s="319"/>
      <c r="R17" s="319"/>
      <c r="S17" s="319"/>
    </row>
    <row r="18" spans="2:19" x14ac:dyDescent="0.25">
      <c r="B18" s="492"/>
      <c r="C18" s="487" t="s">
        <v>764</v>
      </c>
      <c r="D18" s="487"/>
      <c r="E18" s="487"/>
      <c r="F18" s="487"/>
      <c r="G18" s="19"/>
      <c r="H18" s="19"/>
      <c r="I18" s="19"/>
      <c r="J18" s="19"/>
      <c r="K18" s="496"/>
      <c r="L18" s="489"/>
      <c r="M18" s="489"/>
      <c r="N18" s="489"/>
      <c r="O18" s="489"/>
      <c r="P18" s="319"/>
      <c r="Q18" s="319"/>
      <c r="R18" s="319"/>
      <c r="S18" s="319"/>
    </row>
    <row r="19" spans="2:19" x14ac:dyDescent="0.25">
      <c r="B19" s="19"/>
      <c r="C19" s="691" t="s">
        <v>617</v>
      </c>
      <c r="D19" s="691"/>
      <c r="E19" s="487"/>
      <c r="F19" s="508">
        <v>162007</v>
      </c>
      <c r="G19" s="508"/>
      <c r="H19" s="508">
        <v>162007</v>
      </c>
      <c r="I19" s="508"/>
      <c r="J19" s="508">
        <f>F19-H19</f>
        <v>0</v>
      </c>
      <c r="K19" s="319"/>
      <c r="L19" s="496"/>
      <c r="M19" s="489"/>
      <c r="N19" s="489"/>
      <c r="O19" s="509"/>
      <c r="P19" s="509"/>
      <c r="Q19" s="509"/>
      <c r="R19" s="509"/>
      <c r="S19" s="509"/>
    </row>
    <row r="20" spans="2:19" x14ac:dyDescent="0.25">
      <c r="B20" s="19"/>
      <c r="C20" s="1040" t="s">
        <v>618</v>
      </c>
      <c r="D20" s="1040"/>
      <c r="E20" s="487"/>
      <c r="F20" s="508">
        <v>62512</v>
      </c>
      <c r="G20" s="508"/>
      <c r="H20" s="508">
        <v>62512</v>
      </c>
      <c r="I20" s="508"/>
      <c r="J20" s="508">
        <f t="shared" ref="J20:J26" si="0">F20-H20</f>
        <v>0</v>
      </c>
      <c r="K20" s="319"/>
      <c r="L20" s="496"/>
      <c r="M20" s="489"/>
      <c r="N20" s="489"/>
      <c r="O20" s="510"/>
      <c r="P20" s="510"/>
      <c r="Q20" s="510"/>
      <c r="R20" s="509"/>
      <c r="S20" s="509"/>
    </row>
    <row r="21" spans="2:19" x14ac:dyDescent="0.25">
      <c r="B21" s="19"/>
      <c r="C21" s="1040" t="s">
        <v>619</v>
      </c>
      <c r="D21" s="1040"/>
      <c r="E21" s="487"/>
      <c r="F21" s="508">
        <v>100235</v>
      </c>
      <c r="G21" s="508"/>
      <c r="H21" s="508">
        <v>100235</v>
      </c>
      <c r="I21" s="508"/>
      <c r="J21" s="508">
        <f t="shared" si="0"/>
        <v>0</v>
      </c>
      <c r="K21" s="319"/>
      <c r="L21" s="496"/>
      <c r="M21" s="489"/>
      <c r="N21" s="489"/>
      <c r="O21" s="510"/>
      <c r="P21" s="510"/>
      <c r="Q21" s="510"/>
      <c r="R21" s="509"/>
      <c r="S21" s="509"/>
    </row>
    <row r="22" spans="2:19" x14ac:dyDescent="0.25">
      <c r="B22" s="19"/>
      <c r="C22" s="1040" t="s">
        <v>620</v>
      </c>
      <c r="D22" s="1040"/>
      <c r="E22" s="487"/>
      <c r="F22" s="508">
        <v>29500</v>
      </c>
      <c r="G22" s="508"/>
      <c r="H22" s="508">
        <v>29500</v>
      </c>
      <c r="I22" s="508"/>
      <c r="J22" s="508">
        <f t="shared" si="0"/>
        <v>0</v>
      </c>
      <c r="K22" s="496"/>
      <c r="L22" s="319"/>
      <c r="M22" s="319"/>
      <c r="N22" s="489"/>
      <c r="O22" s="398"/>
      <c r="P22" s="509"/>
      <c r="Q22" s="509"/>
      <c r="R22" s="509"/>
      <c r="S22" s="398"/>
    </row>
    <row r="23" spans="2:19" x14ac:dyDescent="0.25">
      <c r="B23" s="19"/>
      <c r="C23" s="1040" t="s">
        <v>621</v>
      </c>
      <c r="D23" s="1040"/>
      <c r="E23" s="487"/>
      <c r="F23" s="508">
        <v>101800</v>
      </c>
      <c r="G23" s="508"/>
      <c r="H23" s="508">
        <f>101800-4962</f>
        <v>96838</v>
      </c>
      <c r="I23" s="508"/>
      <c r="J23" s="508">
        <f t="shared" si="0"/>
        <v>4962</v>
      </c>
      <c r="K23" s="319"/>
      <c r="L23" s="319"/>
      <c r="M23" s="319"/>
      <c r="N23" s="489"/>
      <c r="O23" s="510"/>
      <c r="P23" s="510"/>
      <c r="Q23" s="510"/>
      <c r="R23" s="510"/>
      <c r="S23" s="510"/>
    </row>
    <row r="24" spans="2:19" x14ac:dyDescent="0.25">
      <c r="B24" s="19"/>
      <c r="C24" s="1040" t="s">
        <v>622</v>
      </c>
      <c r="D24" s="1040"/>
      <c r="E24" s="487"/>
      <c r="F24" s="508">
        <v>87000</v>
      </c>
      <c r="G24" s="508"/>
      <c r="H24" s="508">
        <v>87000</v>
      </c>
      <c r="I24" s="508"/>
      <c r="J24" s="508">
        <f t="shared" si="0"/>
        <v>0</v>
      </c>
      <c r="K24" s="496"/>
      <c r="L24" s="496"/>
      <c r="M24" s="489"/>
      <c r="N24" s="489"/>
      <c r="O24" s="489"/>
      <c r="P24" s="510"/>
      <c r="Q24" s="510"/>
      <c r="R24" s="510"/>
      <c r="S24" s="489"/>
    </row>
    <row r="25" spans="2:19" x14ac:dyDescent="0.25">
      <c r="B25" s="19"/>
      <c r="C25" s="1040" t="s">
        <v>38</v>
      </c>
      <c r="D25" s="1040"/>
      <c r="E25" s="487"/>
      <c r="F25" s="508">
        <v>91572</v>
      </c>
      <c r="G25" s="508"/>
      <c r="H25" s="508">
        <v>91572</v>
      </c>
      <c r="I25" s="508"/>
      <c r="J25" s="508">
        <f t="shared" si="0"/>
        <v>0</v>
      </c>
      <c r="K25" s="496"/>
      <c r="L25" s="496"/>
      <c r="M25" s="489"/>
      <c r="N25" s="496"/>
      <c r="O25" s="496"/>
      <c r="P25" s="511"/>
      <c r="Q25" s="512"/>
      <c r="R25" s="511"/>
      <c r="S25" s="496"/>
    </row>
    <row r="26" spans="2:19" x14ac:dyDescent="0.25">
      <c r="B26" s="19"/>
      <c r="C26" s="1040" t="s">
        <v>623</v>
      </c>
      <c r="D26" s="1040"/>
      <c r="E26" s="487"/>
      <c r="F26" s="508">
        <v>155374</v>
      </c>
      <c r="G26" s="508"/>
      <c r="H26" s="508">
        <v>155374</v>
      </c>
      <c r="I26" s="508"/>
      <c r="J26" s="508">
        <f t="shared" si="0"/>
        <v>0</v>
      </c>
      <c r="K26" s="319"/>
      <c r="L26" s="319"/>
      <c r="M26" s="319"/>
      <c r="N26" s="319"/>
      <c r="O26" s="319"/>
      <c r="P26" s="319"/>
      <c r="Q26" s="319"/>
      <c r="R26" s="319"/>
      <c r="S26" s="319"/>
    </row>
    <row r="27" spans="2:19" x14ac:dyDescent="0.25">
      <c r="B27" s="19"/>
      <c r="C27" s="492"/>
      <c r="D27" s="487" t="s">
        <v>1</v>
      </c>
      <c r="E27" s="487"/>
      <c r="F27" s="513">
        <f>SUM(F19:F26)</f>
        <v>790000</v>
      </c>
      <c r="G27" s="514"/>
      <c r="H27" s="513">
        <f>SUM(H19:H26)</f>
        <v>785038</v>
      </c>
      <c r="I27" s="515"/>
      <c r="J27" s="516">
        <f>SUM(J19:J25)</f>
        <v>4962</v>
      </c>
      <c r="K27" s="319"/>
      <c r="L27" s="319"/>
      <c r="M27" s="319"/>
      <c r="N27" s="319"/>
      <c r="O27" s="319"/>
      <c r="P27" s="319"/>
      <c r="Q27" s="319"/>
      <c r="R27" s="319"/>
      <c r="S27" s="319"/>
    </row>
    <row r="28" spans="2:19" x14ac:dyDescent="0.25">
      <c r="B28" s="19"/>
      <c r="C28" s="492"/>
      <c r="D28" s="487"/>
      <c r="E28" s="487"/>
      <c r="F28" s="517"/>
      <c r="G28" s="517"/>
      <c r="H28" s="517"/>
      <c r="I28" s="508"/>
      <c r="J28" s="508"/>
      <c r="K28" s="19"/>
      <c r="L28" s="19"/>
      <c r="M28" s="19"/>
      <c r="N28" s="19"/>
      <c r="O28" s="19"/>
      <c r="P28" s="19"/>
      <c r="Q28" s="19"/>
      <c r="R28" s="19"/>
      <c r="S28" s="19"/>
    </row>
    <row r="29" spans="2:19" x14ac:dyDescent="0.25">
      <c r="B29" s="492" t="s">
        <v>138</v>
      </c>
      <c r="C29" s="19"/>
      <c r="D29" s="19"/>
      <c r="E29" s="487"/>
      <c r="F29" s="518">
        <f>F15-F27</f>
        <v>0</v>
      </c>
      <c r="G29" s="508"/>
      <c r="H29" s="519">
        <f>+H15-H27</f>
        <v>-38</v>
      </c>
      <c r="I29" s="508"/>
      <c r="J29" s="519">
        <f>J15+J27</f>
        <v>-38</v>
      </c>
      <c r="K29" s="19"/>
      <c r="L29" s="19"/>
      <c r="M29" s="19"/>
      <c r="N29" s="19"/>
      <c r="O29" s="19"/>
      <c r="P29" s="19"/>
      <c r="Q29" s="19"/>
      <c r="R29" s="19"/>
      <c r="S29" s="19"/>
    </row>
    <row r="30" spans="2:19" x14ac:dyDescent="0.25">
      <c r="B30" s="19"/>
      <c r="C30" s="19"/>
      <c r="D30" s="19"/>
      <c r="E30" s="487"/>
      <c r="F30" s="520"/>
      <c r="G30" s="520"/>
      <c r="H30" s="520"/>
      <c r="I30" s="520"/>
      <c r="J30" s="520"/>
      <c r="K30" s="19"/>
      <c r="L30" s="19"/>
      <c r="M30" s="19"/>
      <c r="N30" s="19"/>
      <c r="O30" s="19"/>
      <c r="P30" s="19"/>
      <c r="Q30" s="19"/>
      <c r="R30" s="19"/>
      <c r="S30" s="19"/>
    </row>
    <row r="31" spans="2:19" ht="14.25" customHeight="1" x14ac:dyDescent="0.25">
      <c r="B31" s="492" t="s">
        <v>624</v>
      </c>
      <c r="K31" s="19"/>
    </row>
    <row r="32" spans="2:19" x14ac:dyDescent="0.25">
      <c r="B32" s="492"/>
      <c r="C32" s="1041" t="s">
        <v>625</v>
      </c>
      <c r="D32" s="1041"/>
      <c r="E32" s="487"/>
      <c r="F32" s="521">
        <v>0</v>
      </c>
      <c r="G32" s="520"/>
      <c r="H32" s="522">
        <v>0</v>
      </c>
      <c r="I32" s="520"/>
      <c r="J32" s="521">
        <f>H32-F32</f>
        <v>0</v>
      </c>
    </row>
    <row r="33" spans="2:10" x14ac:dyDescent="0.25">
      <c r="B33" s="492"/>
      <c r="C33" s="492"/>
      <c r="D33" s="492"/>
      <c r="E33" s="487"/>
      <c r="F33" s="487"/>
      <c r="G33" s="520"/>
      <c r="H33" s="520"/>
      <c r="I33" s="520"/>
      <c r="J33" s="487"/>
    </row>
    <row r="34" spans="2:10" x14ac:dyDescent="0.25">
      <c r="B34" s="492" t="s">
        <v>626</v>
      </c>
      <c r="C34" s="492"/>
      <c r="D34" s="492"/>
      <c r="E34" s="487"/>
      <c r="F34" s="487">
        <v>0</v>
      </c>
      <c r="G34" s="520"/>
      <c r="H34" s="520">
        <v>0</v>
      </c>
      <c r="I34" s="520"/>
      <c r="J34" s="487">
        <f>F34-H34</f>
        <v>0</v>
      </c>
    </row>
    <row r="35" spans="2:10" x14ac:dyDescent="0.25">
      <c r="B35" s="492"/>
      <c r="C35" s="492"/>
      <c r="D35" s="492"/>
      <c r="E35" s="487"/>
      <c r="F35" s="487"/>
      <c r="G35" s="520"/>
      <c r="H35" s="520"/>
      <c r="I35" s="520"/>
      <c r="J35" s="487"/>
    </row>
    <row r="36" spans="2:10" ht="13.8" thickBot="1" x14ac:dyDescent="0.3">
      <c r="B36" s="492" t="s">
        <v>138</v>
      </c>
      <c r="C36" s="492"/>
      <c r="D36" s="492"/>
      <c r="E36" s="487"/>
      <c r="F36" s="523">
        <f>F29+F32+F34</f>
        <v>0</v>
      </c>
      <c r="G36" s="520"/>
      <c r="H36" s="520">
        <f>H29+H32</f>
        <v>-38</v>
      </c>
      <c r="I36" s="520"/>
      <c r="J36" s="524">
        <f>J29+J32-J34</f>
        <v>-38</v>
      </c>
    </row>
    <row r="37" spans="2:10" ht="13.8" thickTop="1" x14ac:dyDescent="0.25">
      <c r="B37" s="492"/>
      <c r="C37" s="492"/>
      <c r="D37" s="492"/>
      <c r="E37" s="487"/>
      <c r="F37" s="487"/>
      <c r="G37" s="520"/>
      <c r="H37" s="520"/>
      <c r="I37" s="520"/>
      <c r="J37" s="487"/>
    </row>
    <row r="38" spans="2:10" x14ac:dyDescent="0.25">
      <c r="B38" s="492" t="s">
        <v>529</v>
      </c>
      <c r="C38" s="492"/>
      <c r="D38" s="487"/>
      <c r="E38" s="487"/>
      <c r="F38" s="487"/>
      <c r="G38" s="520"/>
      <c r="H38" s="520">
        <v>5453</v>
      </c>
      <c r="I38" s="520"/>
      <c r="J38" s="487"/>
    </row>
    <row r="39" spans="2:10" ht="13.8" thickBot="1" x14ac:dyDescent="0.3">
      <c r="B39" s="492" t="s">
        <v>530</v>
      </c>
      <c r="C39" s="492"/>
      <c r="D39" s="487"/>
      <c r="E39" s="492"/>
      <c r="F39" s="492"/>
      <c r="G39" s="525"/>
      <c r="H39" s="526">
        <f>H38+H15-H27+H32</f>
        <v>5415</v>
      </c>
      <c r="I39" s="525"/>
      <c r="J39" s="492"/>
    </row>
    <row r="40" spans="2:10" ht="14.4" thickTop="1" thickBot="1" x14ac:dyDescent="0.3">
      <c r="B40" s="19"/>
      <c r="C40" s="19"/>
      <c r="D40" s="19"/>
      <c r="E40" s="19"/>
      <c r="F40" s="19"/>
      <c r="G40" s="19"/>
      <c r="H40" s="19"/>
      <c r="I40" s="19"/>
      <c r="J40" s="19"/>
    </row>
    <row r="41" spans="2:10" x14ac:dyDescent="0.25">
      <c r="C41" s="1030" t="s">
        <v>855</v>
      </c>
      <c r="D41" s="1031"/>
      <c r="E41" s="1031"/>
      <c r="F41" s="1031"/>
      <c r="G41" s="1031"/>
      <c r="H41" s="1031"/>
      <c r="I41" s="1031"/>
      <c r="J41" s="1032"/>
    </row>
    <row r="42" spans="2:10" x14ac:dyDescent="0.25">
      <c r="C42" s="1033"/>
      <c r="D42" s="1034"/>
      <c r="E42" s="1034"/>
      <c r="F42" s="1034"/>
      <c r="G42" s="1034"/>
      <c r="H42" s="1034"/>
      <c r="I42" s="1034"/>
      <c r="J42" s="1035"/>
    </row>
    <row r="43" spans="2:10" x14ac:dyDescent="0.25">
      <c r="C43" s="1033"/>
      <c r="D43" s="1034"/>
      <c r="E43" s="1034"/>
      <c r="F43" s="1034"/>
      <c r="G43" s="1034"/>
      <c r="H43" s="1034"/>
      <c r="I43" s="1034"/>
      <c r="J43" s="1035"/>
    </row>
    <row r="44" spans="2:10" ht="13.8" thickBot="1" x14ac:dyDescent="0.3">
      <c r="C44" s="1036"/>
      <c r="D44" s="1037"/>
      <c r="E44" s="1037"/>
      <c r="F44" s="1037"/>
      <c r="G44" s="1037"/>
      <c r="H44" s="1037"/>
      <c r="I44" s="1037"/>
      <c r="J44" s="1038"/>
    </row>
    <row r="45" spans="2:10" ht="13.8" thickBot="1" x14ac:dyDescent="0.3">
      <c r="C45" s="772"/>
      <c r="D45" s="772"/>
      <c r="E45" s="772"/>
      <c r="F45" s="772"/>
      <c r="G45" s="772"/>
      <c r="H45" s="772"/>
      <c r="I45" s="772"/>
      <c r="J45" s="772"/>
    </row>
    <row r="46" spans="2:10" ht="15.6" customHeight="1" x14ac:dyDescent="0.25">
      <c r="C46" s="1039" t="s">
        <v>674</v>
      </c>
      <c r="D46" s="1031"/>
      <c r="E46" s="1031"/>
      <c r="F46" s="1031"/>
      <c r="G46" s="1031"/>
      <c r="H46" s="1031"/>
      <c r="I46" s="1031"/>
      <c r="J46" s="1032"/>
    </row>
    <row r="47" spans="2:10" x14ac:dyDescent="0.25">
      <c r="C47" s="1033"/>
      <c r="D47" s="1034"/>
      <c r="E47" s="1034"/>
      <c r="F47" s="1034"/>
      <c r="G47" s="1034"/>
      <c r="H47" s="1034"/>
      <c r="I47" s="1034"/>
      <c r="J47" s="1035"/>
    </row>
    <row r="48" spans="2:10" x14ac:dyDescent="0.25">
      <c r="C48" s="1033"/>
      <c r="D48" s="1034"/>
      <c r="E48" s="1034"/>
      <c r="F48" s="1034"/>
      <c r="G48" s="1034"/>
      <c r="H48" s="1034"/>
      <c r="I48" s="1034"/>
      <c r="J48" s="1035"/>
    </row>
    <row r="49" spans="3:10" x14ac:dyDescent="0.25">
      <c r="C49" s="1033"/>
      <c r="D49" s="1034"/>
      <c r="E49" s="1034"/>
      <c r="F49" s="1034"/>
      <c r="G49" s="1034"/>
      <c r="H49" s="1034"/>
      <c r="I49" s="1034"/>
      <c r="J49" s="1035"/>
    </row>
    <row r="50" spans="3:10" x14ac:dyDescent="0.25">
      <c r="C50" s="1033"/>
      <c r="D50" s="1034"/>
      <c r="E50" s="1034"/>
      <c r="F50" s="1034"/>
      <c r="G50" s="1034"/>
      <c r="H50" s="1034"/>
      <c r="I50" s="1034"/>
      <c r="J50" s="1035"/>
    </row>
    <row r="51" spans="3:10" x14ac:dyDescent="0.25">
      <c r="C51" s="1033"/>
      <c r="D51" s="1034"/>
      <c r="E51" s="1034"/>
      <c r="F51" s="1034"/>
      <c r="G51" s="1034"/>
      <c r="H51" s="1034"/>
      <c r="I51" s="1034"/>
      <c r="J51" s="1035"/>
    </row>
    <row r="52" spans="3:10" x14ac:dyDescent="0.25">
      <c r="C52" s="1033"/>
      <c r="D52" s="1034"/>
      <c r="E52" s="1034"/>
      <c r="F52" s="1034"/>
      <c r="G52" s="1034"/>
      <c r="H52" s="1034"/>
      <c r="I52" s="1034"/>
      <c r="J52" s="1035"/>
    </row>
    <row r="53" spans="3:10" ht="13.8" thickBot="1" x14ac:dyDescent="0.3">
      <c r="C53" s="1036"/>
      <c r="D53" s="1037"/>
      <c r="E53" s="1037"/>
      <c r="F53" s="1037"/>
      <c r="G53" s="1037"/>
      <c r="H53" s="1037"/>
      <c r="I53" s="1037"/>
      <c r="J53" s="1038"/>
    </row>
  </sheetData>
  <customSheetViews>
    <customSheetView guid="{AB48C5D7-99F4-4378-A0F9-05018B348977}" topLeftCell="A13">
      <selection activeCell="B39" sqref="B39"/>
      <pageMargins left="0.75" right="0.75" top="1" bottom="1" header="0.5" footer="0.5"/>
      <pageSetup scale="79" orientation="portrait" r:id="rId1"/>
      <headerFooter alignWithMargins="0"/>
    </customSheetView>
  </customSheetViews>
  <mergeCells count="10">
    <mergeCell ref="C41:J44"/>
    <mergeCell ref="C46:J53"/>
    <mergeCell ref="C26:D26"/>
    <mergeCell ref="C32:D32"/>
    <mergeCell ref="C20:D20"/>
    <mergeCell ref="C21:D21"/>
    <mergeCell ref="C22:D22"/>
    <mergeCell ref="C23:D23"/>
    <mergeCell ref="C24:D24"/>
    <mergeCell ref="C25:D25"/>
  </mergeCells>
  <printOptions horizontalCentered="1"/>
  <pageMargins left="0.7" right="0.7" top="0.75" bottom="0.75" header="0.3" footer="0.3"/>
  <pageSetup fitToWidth="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6"/>
  <sheetViews>
    <sheetView topLeftCell="A26" workbookViewId="0">
      <selection activeCell="D10" sqref="D10"/>
    </sheetView>
  </sheetViews>
  <sheetFormatPr defaultColWidth="9.109375" defaultRowHeight="13.2" x14ac:dyDescent="0.25"/>
  <cols>
    <col min="1" max="1" width="29.44140625" style="17" customWidth="1"/>
    <col min="2" max="2" width="13.33203125" style="17" customWidth="1"/>
    <col min="3" max="3" width="13" style="17" customWidth="1"/>
    <col min="4" max="4" width="14.33203125" style="17" customWidth="1"/>
    <col min="5" max="5" width="14" style="17" customWidth="1"/>
    <col min="6" max="9" width="15.6640625" style="17" customWidth="1"/>
    <col min="10" max="10" width="9.109375" style="17"/>
    <col min="11" max="11" width="11.44140625" style="17" bestFit="1" customWidth="1"/>
    <col min="12" max="12" width="9.6640625" style="17" bestFit="1" customWidth="1"/>
    <col min="13" max="16384" width="9.109375" style="17"/>
  </cols>
  <sheetData>
    <row r="1" spans="1:14" x14ac:dyDescent="0.25">
      <c r="A1" s="132"/>
      <c r="B1" s="132"/>
      <c r="C1" s="132"/>
      <c r="E1" s="82"/>
      <c r="F1" s="132"/>
      <c r="G1" s="132"/>
      <c r="H1" s="132"/>
      <c r="I1" s="82" t="s">
        <v>437</v>
      </c>
    </row>
    <row r="2" spans="1:14" x14ac:dyDescent="0.25">
      <c r="A2" s="896" t="s">
        <v>142</v>
      </c>
      <c r="B2" s="896"/>
      <c r="C2" s="896"/>
      <c r="D2" s="896"/>
      <c r="E2" s="896"/>
      <c r="F2" s="896"/>
      <c r="G2" s="896"/>
      <c r="H2" s="896"/>
      <c r="I2" s="896"/>
    </row>
    <row r="3" spans="1:14" x14ac:dyDescent="0.25">
      <c r="A3" s="896" t="s">
        <v>438</v>
      </c>
      <c r="B3" s="896"/>
      <c r="C3" s="896"/>
      <c r="D3" s="896"/>
      <c r="E3" s="896"/>
      <c r="F3" s="896"/>
      <c r="G3" s="896"/>
      <c r="H3" s="896"/>
      <c r="I3" s="896"/>
    </row>
    <row r="4" spans="1:14" s="41" customFormat="1" x14ac:dyDescent="0.25">
      <c r="A4" s="909" t="s">
        <v>858</v>
      </c>
      <c r="B4" s="896"/>
      <c r="C4" s="896"/>
      <c r="D4" s="896"/>
      <c r="E4" s="896"/>
      <c r="F4" s="896"/>
      <c r="G4" s="896"/>
      <c r="H4" s="896"/>
      <c r="I4" s="896"/>
    </row>
    <row r="5" spans="1:14" x14ac:dyDescent="0.25">
      <c r="A5" s="132"/>
      <c r="B5" s="132"/>
      <c r="C5" s="132"/>
      <c r="D5" s="132"/>
      <c r="E5" s="132"/>
      <c r="F5" s="132"/>
      <c r="G5" s="132"/>
      <c r="H5" s="132"/>
      <c r="I5" s="132"/>
    </row>
    <row r="6" spans="1:14" x14ac:dyDescent="0.25">
      <c r="A6" s="132"/>
      <c r="B6" s="132"/>
      <c r="C6" s="898" t="s">
        <v>576</v>
      </c>
      <c r="D6" s="898"/>
      <c r="E6" s="898"/>
      <c r="F6" s="898" t="s">
        <v>662</v>
      </c>
      <c r="G6" s="898"/>
      <c r="H6" s="898"/>
      <c r="I6" s="898"/>
    </row>
    <row r="7" spans="1:14" x14ac:dyDescent="0.25">
      <c r="A7" s="132"/>
      <c r="B7" s="608"/>
      <c r="C7" s="132"/>
      <c r="D7" s="132"/>
      <c r="E7" s="132"/>
      <c r="F7" s="908" t="s">
        <v>439</v>
      </c>
      <c r="G7" s="908"/>
      <c r="H7" s="908"/>
      <c r="I7" s="132"/>
    </row>
    <row r="8" spans="1:14" ht="39.6" x14ac:dyDescent="0.25">
      <c r="A8" s="335" t="s">
        <v>440</v>
      </c>
      <c r="B8" s="83" t="s">
        <v>9</v>
      </c>
      <c r="C8" s="81" t="s">
        <v>441</v>
      </c>
      <c r="D8" s="81" t="s">
        <v>442</v>
      </c>
      <c r="E8" s="81" t="s">
        <v>443</v>
      </c>
      <c r="F8" s="81" t="s">
        <v>444</v>
      </c>
      <c r="G8" s="81" t="s">
        <v>445</v>
      </c>
      <c r="H8" s="83" t="s">
        <v>1</v>
      </c>
      <c r="I8" s="81" t="s">
        <v>536</v>
      </c>
    </row>
    <row r="9" spans="1:14" x14ac:dyDescent="0.25">
      <c r="A9" s="132" t="s">
        <v>446</v>
      </c>
      <c r="B9" s="132"/>
      <c r="C9" s="132"/>
      <c r="D9" s="132"/>
      <c r="E9" s="132"/>
      <c r="F9" s="132"/>
      <c r="G9" s="132"/>
      <c r="H9" s="132"/>
      <c r="I9" s="132"/>
    </row>
    <row r="10" spans="1:14" x14ac:dyDescent="0.25">
      <c r="A10" s="26" t="s">
        <v>447</v>
      </c>
      <c r="K10" s="41"/>
    </row>
    <row r="11" spans="1:14" x14ac:dyDescent="0.25">
      <c r="A11" s="22" t="s">
        <v>10</v>
      </c>
      <c r="B11" s="790">
        <f>'[1]Conversion Worksheet'!$AX$244</f>
        <v>658660</v>
      </c>
      <c r="C11" s="790">
        <f>'[1]Conversion Worksheet'!$AY$202</f>
        <v>33727</v>
      </c>
      <c r="D11" s="637">
        <f>'[1]Conversion Worksheet'!$AY$203</f>
        <v>0</v>
      </c>
      <c r="E11" s="637">
        <f>'[1]Conversion Worksheet'!$AY$204</f>
        <v>0</v>
      </c>
      <c r="F11" s="637">
        <f t="shared" ref="F11:F18" si="0">SUM(C11:E11)-B11</f>
        <v>-624933</v>
      </c>
      <c r="G11" s="637">
        <v>0</v>
      </c>
      <c r="H11" s="637">
        <f t="shared" ref="H11:H18" si="1">SUM(F11:G11)</f>
        <v>-624933</v>
      </c>
      <c r="I11" s="637">
        <v>0</v>
      </c>
      <c r="L11" s="313"/>
      <c r="M11" s="313"/>
    </row>
    <row r="12" spans="1:14" x14ac:dyDescent="0.25">
      <c r="A12" s="22" t="s">
        <v>11</v>
      </c>
      <c r="B12" s="863">
        <f>'[1]Conversion Worksheet'!$AX$254</f>
        <v>1368258</v>
      </c>
      <c r="C12" s="638">
        <f>'[1]Conversion Worksheet'!$AY$207</f>
        <v>16125</v>
      </c>
      <c r="D12" s="821">
        <f>'[1]Conversion Worksheet'!$AY$208</f>
        <v>918786</v>
      </c>
      <c r="E12" s="638">
        <f>'[1]Conversion Worksheet'!$AY$210</f>
        <v>0</v>
      </c>
      <c r="F12" s="638">
        <f t="shared" si="0"/>
        <v>-433347</v>
      </c>
      <c r="G12" s="638">
        <v>0</v>
      </c>
      <c r="H12" s="638">
        <f t="shared" si="1"/>
        <v>-433347</v>
      </c>
      <c r="I12" s="638">
        <v>0</v>
      </c>
      <c r="K12" s="638"/>
      <c r="L12" s="313"/>
      <c r="M12" s="313"/>
    </row>
    <row r="13" spans="1:14" x14ac:dyDescent="0.25">
      <c r="A13" s="22" t="s">
        <v>74</v>
      </c>
      <c r="B13" s="692">
        <f>'[1]Conversion Worksheet'!$AX$264</f>
        <v>515880</v>
      </c>
      <c r="C13" s="638">
        <f>'[1]Conversion Worksheet'!$AY$213</f>
        <v>0</v>
      </c>
      <c r="D13" s="638">
        <f>'[1]Conversion Worksheet'!$AY$214</f>
        <v>132457</v>
      </c>
      <c r="E13" s="638">
        <f>'[1]Conversion Worksheet'!$AY$215</f>
        <v>0</v>
      </c>
      <c r="F13" s="638">
        <f t="shared" si="0"/>
        <v>-383423</v>
      </c>
      <c r="G13" s="638">
        <v>0</v>
      </c>
      <c r="H13" s="638">
        <f t="shared" si="1"/>
        <v>-383423</v>
      </c>
      <c r="I13" s="638">
        <v>0</v>
      </c>
      <c r="K13" s="652"/>
      <c r="L13" s="313"/>
      <c r="M13" s="313"/>
    </row>
    <row r="14" spans="1:14" ht="26.4" x14ac:dyDescent="0.25">
      <c r="A14" s="22" t="s">
        <v>66</v>
      </c>
      <c r="B14" s="638">
        <f>'[1]Conversion Worksheet'!$AX$272</f>
        <v>117218</v>
      </c>
      <c r="C14" s="638">
        <f>'[1]Conversion Worksheet'!$AY$218</f>
        <v>0</v>
      </c>
      <c r="D14" s="638">
        <f>'[1]Conversion Worksheet'!$AY$219</f>
        <v>88402</v>
      </c>
      <c r="E14" s="638">
        <f>'[1]Conversion Worksheet'!$AY$220</f>
        <v>26598</v>
      </c>
      <c r="F14" s="638">
        <f t="shared" si="0"/>
        <v>-2218</v>
      </c>
      <c r="G14" s="638">
        <v>0</v>
      </c>
      <c r="H14" s="638">
        <f t="shared" si="1"/>
        <v>-2218</v>
      </c>
      <c r="I14" s="638">
        <v>0</v>
      </c>
      <c r="K14" s="612"/>
      <c r="L14" s="313"/>
      <c r="M14" s="313"/>
    </row>
    <row r="15" spans="1:14" ht="18" customHeight="1" x14ac:dyDescent="0.25">
      <c r="A15" s="22" t="s">
        <v>75</v>
      </c>
      <c r="B15" s="692">
        <f>'[1]Conversion Worksheet'!$AX$280</f>
        <v>280111</v>
      </c>
      <c r="C15" s="638">
        <f>'[1]Conversion Worksheet'!$AY$223</f>
        <v>0</v>
      </c>
      <c r="D15" s="638">
        <f>'[1]Conversion Worksheet'!$AY$224</f>
        <v>3000</v>
      </c>
      <c r="E15" s="638">
        <f>'[1]Conversion Worksheet'!$AY$225</f>
        <v>0</v>
      </c>
      <c r="F15" s="638">
        <f t="shared" si="0"/>
        <v>-277111</v>
      </c>
      <c r="G15" s="638">
        <v>0</v>
      </c>
      <c r="H15" s="638">
        <f t="shared" si="1"/>
        <v>-277111</v>
      </c>
      <c r="I15" s="638">
        <v>0</v>
      </c>
      <c r="K15" s="612"/>
      <c r="L15" s="313"/>
      <c r="M15" s="313"/>
    </row>
    <row r="16" spans="1:14" x14ac:dyDescent="0.25">
      <c r="A16" s="22" t="s">
        <v>135</v>
      </c>
      <c r="B16" s="692">
        <f>'[1]Conversion Worksheet'!$AX$288</f>
        <v>78989</v>
      </c>
      <c r="C16" s="638">
        <f>'[1]Conversion Worksheet'!$AY$228</f>
        <v>26843</v>
      </c>
      <c r="D16" s="638">
        <f>'[1]Conversion Worksheet'!$AY$229</f>
        <v>412</v>
      </c>
      <c r="E16" s="638">
        <f>'[1]Conversion Worksheet'!$AY$230</f>
        <v>205000</v>
      </c>
      <c r="F16" s="638">
        <f t="shared" si="0"/>
        <v>153266</v>
      </c>
      <c r="G16" s="638">
        <v>0</v>
      </c>
      <c r="H16" s="638">
        <f t="shared" si="1"/>
        <v>153266</v>
      </c>
      <c r="I16" s="638">
        <v>0</v>
      </c>
      <c r="K16" s="612"/>
      <c r="L16" s="313"/>
      <c r="M16" s="313"/>
      <c r="N16" s="313"/>
    </row>
    <row r="17" spans="1:13" x14ac:dyDescent="0.25">
      <c r="A17" s="22" t="s">
        <v>448</v>
      </c>
      <c r="B17" s="802">
        <f>'[1]Conversion Worksheet'!$AX$317</f>
        <v>8818</v>
      </c>
      <c r="C17" s="643">
        <v>0</v>
      </c>
      <c r="D17" s="643">
        <v>0</v>
      </c>
      <c r="E17" s="643">
        <v>0</v>
      </c>
      <c r="F17" s="643">
        <f t="shared" si="0"/>
        <v>-8818</v>
      </c>
      <c r="G17" s="643">
        <v>0</v>
      </c>
      <c r="H17" s="643">
        <f t="shared" si="1"/>
        <v>-8818</v>
      </c>
      <c r="I17" s="643">
        <v>0</v>
      </c>
      <c r="L17" s="313"/>
      <c r="M17" s="313"/>
    </row>
    <row r="18" spans="1:13" ht="26.25" customHeight="1" x14ac:dyDescent="0.25">
      <c r="A18" s="18" t="s">
        <v>449</v>
      </c>
      <c r="B18" s="642">
        <f>SUM(B11:B17)</f>
        <v>3027934</v>
      </c>
      <c r="C18" s="642">
        <f>SUM(C11:C17)</f>
        <v>76695</v>
      </c>
      <c r="D18" s="642">
        <f>SUM(D11:D17)</f>
        <v>1143057</v>
      </c>
      <c r="E18" s="642">
        <f>SUM(E11:E17)</f>
        <v>231598</v>
      </c>
      <c r="F18" s="642">
        <f t="shared" si="0"/>
        <v>-1576584</v>
      </c>
      <c r="G18" s="642">
        <v>0</v>
      </c>
      <c r="H18" s="642">
        <f t="shared" si="1"/>
        <v>-1576584</v>
      </c>
      <c r="I18" s="642">
        <v>0</v>
      </c>
      <c r="L18" s="313"/>
    </row>
    <row r="19" spans="1:13" x14ac:dyDescent="0.25">
      <c r="A19" s="26"/>
      <c r="D19" s="640"/>
      <c r="I19" s="161"/>
    </row>
    <row r="20" spans="1:13" x14ac:dyDescent="0.25">
      <c r="A20" s="26" t="s">
        <v>450</v>
      </c>
      <c r="I20" s="161"/>
    </row>
    <row r="21" spans="1:13" x14ac:dyDescent="0.25">
      <c r="A21" s="58" t="s">
        <v>463</v>
      </c>
      <c r="B21" s="791">
        <f>'7-Rev, Exp-Prop'!D25+78979+10000-208</f>
        <v>1265748.5</v>
      </c>
      <c r="C21" s="791">
        <f>1116554+12100+415000+12830</f>
        <v>1556484</v>
      </c>
      <c r="D21" s="638">
        <f>12730-12100</f>
        <v>630</v>
      </c>
      <c r="E21" s="638">
        <v>127948</v>
      </c>
      <c r="F21" s="638">
        <v>0</v>
      </c>
      <c r="G21" s="684">
        <f>SUM(C21:E21)-B21-0.01</f>
        <v>419313.49</v>
      </c>
      <c r="H21" s="638">
        <f>SUM(F21:G21)</f>
        <v>419313.49</v>
      </c>
      <c r="I21" s="640">
        <v>0</v>
      </c>
    </row>
    <row r="22" spans="1:13" x14ac:dyDescent="0.25">
      <c r="A22" s="58" t="s">
        <v>403</v>
      </c>
      <c r="B22" s="878">
        <f>'7-Rev, Exp-Prop'!C25-92</f>
        <v>2844737.625</v>
      </c>
      <c r="C22" s="643">
        <v>2821645</v>
      </c>
      <c r="D22" s="643">
        <v>11524</v>
      </c>
      <c r="E22" s="643">
        <v>0</v>
      </c>
      <c r="F22" s="643">
        <v>0</v>
      </c>
      <c r="G22" s="643">
        <f>SUM(C22:E22)-B22</f>
        <v>-11568.625</v>
      </c>
      <c r="H22" s="643">
        <f>SUM(F22:G22)</f>
        <v>-11568.625</v>
      </c>
      <c r="I22" s="640">
        <v>0</v>
      </c>
    </row>
    <row r="23" spans="1:13" x14ac:dyDescent="0.25">
      <c r="A23" s="23" t="s">
        <v>451</v>
      </c>
      <c r="B23" s="642">
        <f>SUM(B21:B22)+0.38</f>
        <v>4110486.5049999999</v>
      </c>
      <c r="C23" s="642">
        <f t="shared" ref="C23:H23" si="2">SUM(C21:C22)</f>
        <v>4378129</v>
      </c>
      <c r="D23" s="642">
        <f t="shared" si="2"/>
        <v>12154</v>
      </c>
      <c r="E23" s="642">
        <f t="shared" si="2"/>
        <v>127948</v>
      </c>
      <c r="F23" s="642">
        <f t="shared" si="2"/>
        <v>0</v>
      </c>
      <c r="G23" s="642">
        <f>SUM(G21:G22)-0.38</f>
        <v>407744.48499999999</v>
      </c>
      <c r="H23" s="642">
        <f t="shared" si="2"/>
        <v>407744.86499999999</v>
      </c>
      <c r="I23" s="640">
        <v>0</v>
      </c>
    </row>
    <row r="24" spans="1:13" ht="13.8" thickBot="1" x14ac:dyDescent="0.3">
      <c r="A24" s="26" t="s">
        <v>452</v>
      </c>
      <c r="B24" s="413">
        <f t="shared" ref="B24:H24" si="3">+B18+B23</f>
        <v>7138420.5049999999</v>
      </c>
      <c r="C24" s="413">
        <f t="shared" si="3"/>
        <v>4454824</v>
      </c>
      <c r="D24" s="413">
        <f t="shared" si="3"/>
        <v>1155211</v>
      </c>
      <c r="E24" s="413">
        <f t="shared" si="3"/>
        <v>359546</v>
      </c>
      <c r="F24" s="642">
        <f t="shared" si="3"/>
        <v>-1576584</v>
      </c>
      <c r="G24" s="642">
        <f t="shared" si="3"/>
        <v>407744.48499999999</v>
      </c>
      <c r="H24" s="642">
        <f t="shared" si="3"/>
        <v>-1168839.135</v>
      </c>
      <c r="I24" s="653">
        <v>0</v>
      </c>
    </row>
    <row r="25" spans="1:13" ht="13.8" thickTop="1" x14ac:dyDescent="0.25">
      <c r="A25" s="26"/>
      <c r="I25" s="161"/>
      <c r="L25" s="41"/>
    </row>
    <row r="26" spans="1:13" x14ac:dyDescent="0.25">
      <c r="A26" s="26" t="s">
        <v>537</v>
      </c>
    </row>
    <row r="27" spans="1:13" x14ac:dyDescent="0.25">
      <c r="A27" s="58" t="s">
        <v>464</v>
      </c>
      <c r="B27" s="651">
        <f>851707+14540+4283+4146+(-140+121-3773+4162)+(397-208-4080-51+2379+3998)-369</f>
        <v>877112</v>
      </c>
      <c r="C27" s="637">
        <v>875074</v>
      </c>
      <c r="D27" s="637">
        <v>0</v>
      </c>
      <c r="E27" s="637">
        <v>0</v>
      </c>
      <c r="F27" s="638">
        <v>0</v>
      </c>
      <c r="G27" s="638">
        <v>0</v>
      </c>
      <c r="H27" s="638">
        <v>0</v>
      </c>
      <c r="I27" s="654">
        <f>SUM(C27:E27)-B27</f>
        <v>-2038</v>
      </c>
    </row>
    <row r="28" spans="1:13" ht="13.8" thickBot="1" x14ac:dyDescent="0.3">
      <c r="A28" s="26" t="s">
        <v>538</v>
      </c>
      <c r="B28" s="413">
        <f t="shared" ref="B28:I28" si="4">SUM(B27:B27)</f>
        <v>877112</v>
      </c>
      <c r="C28" s="413">
        <f t="shared" si="4"/>
        <v>875074</v>
      </c>
      <c r="D28" s="413">
        <f t="shared" si="4"/>
        <v>0</v>
      </c>
      <c r="E28" s="413">
        <f t="shared" si="4"/>
        <v>0</v>
      </c>
      <c r="F28" s="655">
        <f t="shared" si="4"/>
        <v>0</v>
      </c>
      <c r="G28" s="655">
        <f t="shared" si="4"/>
        <v>0</v>
      </c>
      <c r="H28" s="655">
        <f t="shared" si="4"/>
        <v>0</v>
      </c>
      <c r="I28" s="642">
        <f t="shared" si="4"/>
        <v>-2038</v>
      </c>
    </row>
    <row r="29" spans="1:13" ht="13.8" thickTop="1" x14ac:dyDescent="0.25">
      <c r="L29" s="41"/>
    </row>
    <row r="30" spans="1:13" x14ac:dyDescent="0.25">
      <c r="B30" s="17" t="s">
        <v>453</v>
      </c>
    </row>
    <row r="31" spans="1:13" x14ac:dyDescent="0.25">
      <c r="B31" s="58" t="s">
        <v>222</v>
      </c>
      <c r="F31" s="638"/>
      <c r="G31" s="638"/>
      <c r="H31" s="638"/>
      <c r="I31" s="638"/>
    </row>
    <row r="32" spans="1:13" x14ac:dyDescent="0.25">
      <c r="B32" s="23" t="s">
        <v>454</v>
      </c>
      <c r="F32" s="821">
        <v>968186</v>
      </c>
      <c r="G32" s="638">
        <v>0</v>
      </c>
      <c r="H32" s="638">
        <f t="shared" ref="H32:H39" si="5">SUM(F32:G32)</f>
        <v>968186</v>
      </c>
      <c r="I32" s="638">
        <v>0</v>
      </c>
      <c r="K32" s="55"/>
    </row>
    <row r="33" spans="1:9" x14ac:dyDescent="0.25">
      <c r="B33" s="23" t="s">
        <v>471</v>
      </c>
      <c r="F33" s="639">
        <f>53314-29187</f>
        <v>24127</v>
      </c>
      <c r="G33" s="638">
        <v>0</v>
      </c>
      <c r="H33" s="638">
        <f t="shared" si="5"/>
        <v>24127</v>
      </c>
      <c r="I33" s="638">
        <v>0</v>
      </c>
    </row>
    <row r="34" spans="1:9" x14ac:dyDescent="0.25">
      <c r="B34" s="58" t="s">
        <v>455</v>
      </c>
      <c r="F34" s="639">
        <f>702269+216639</f>
        <v>918908</v>
      </c>
      <c r="G34" s="638">
        <v>0</v>
      </c>
      <c r="H34" s="638">
        <f t="shared" si="5"/>
        <v>918908</v>
      </c>
      <c r="I34" s="638">
        <v>0</v>
      </c>
    </row>
    <row r="35" spans="1:9" x14ac:dyDescent="0.25">
      <c r="B35" s="58" t="s">
        <v>456</v>
      </c>
      <c r="F35" s="639">
        <f>24504+152</f>
        <v>24656</v>
      </c>
      <c r="G35" s="638">
        <f>'7-Rev, Exp-Prop'!E31</f>
        <v>40218</v>
      </c>
      <c r="H35" s="638">
        <f t="shared" si="5"/>
        <v>64874</v>
      </c>
      <c r="I35" s="638">
        <v>1226</v>
      </c>
    </row>
    <row r="36" spans="1:9" x14ac:dyDescent="0.25">
      <c r="B36" s="58" t="s">
        <v>13</v>
      </c>
      <c r="F36" s="798">
        <f>73438+398</f>
        <v>73836</v>
      </c>
      <c r="G36" s="638">
        <v>0</v>
      </c>
      <c r="H36" s="638">
        <f t="shared" si="5"/>
        <v>73836</v>
      </c>
      <c r="I36" s="638">
        <v>0</v>
      </c>
    </row>
    <row r="37" spans="1:9" x14ac:dyDescent="0.25">
      <c r="A37" s="55"/>
      <c r="B37" s="71" t="s">
        <v>542</v>
      </c>
      <c r="F37" s="638">
        <v>0</v>
      </c>
      <c r="G37" s="638">
        <v>1281046</v>
      </c>
      <c r="H37" s="638">
        <f t="shared" si="5"/>
        <v>1281046</v>
      </c>
      <c r="I37" s="638">
        <v>0</v>
      </c>
    </row>
    <row r="38" spans="1:9" x14ac:dyDescent="0.25">
      <c r="B38" s="71" t="s">
        <v>588</v>
      </c>
      <c r="F38" s="642">
        <f>SUM(F32:F37)</f>
        <v>2009713</v>
      </c>
      <c r="G38" s="642">
        <f>SUM(G32:G37)</f>
        <v>1321264</v>
      </c>
      <c r="H38" s="642">
        <f>SUM(H32:H37)</f>
        <v>3330977</v>
      </c>
      <c r="I38" s="642">
        <f>SUM(I32:I37)</f>
        <v>1226</v>
      </c>
    </row>
    <row r="39" spans="1:9" x14ac:dyDescent="0.25">
      <c r="B39" s="17" t="s">
        <v>397</v>
      </c>
      <c r="F39" s="643">
        <f>-97400+10813</f>
        <v>-86587</v>
      </c>
      <c r="G39" s="643">
        <v>86587</v>
      </c>
      <c r="H39" s="643">
        <f t="shared" si="5"/>
        <v>0</v>
      </c>
      <c r="I39" s="643">
        <v>0</v>
      </c>
    </row>
    <row r="40" spans="1:9" x14ac:dyDescent="0.25">
      <c r="A40" s="55"/>
      <c r="B40" s="57" t="s">
        <v>535</v>
      </c>
      <c r="F40" s="647">
        <f>SUM(F32:F37,F39)</f>
        <v>1923126</v>
      </c>
      <c r="G40" s="642">
        <f>SUM(G32:G37,G39)</f>
        <v>1407851</v>
      </c>
      <c r="H40" s="642">
        <f>SUM(H32:H37,H39)</f>
        <v>3330977</v>
      </c>
      <c r="I40" s="642">
        <f>SUM(I32:I37,I39)</f>
        <v>1226</v>
      </c>
    </row>
    <row r="41" spans="1:9" x14ac:dyDescent="0.25">
      <c r="A41" s="449"/>
      <c r="B41" s="457" t="s">
        <v>639</v>
      </c>
      <c r="C41" s="41"/>
      <c r="F41" s="639">
        <f>SUM(F40+F24)</f>
        <v>346542</v>
      </c>
      <c r="G41" s="639">
        <f>SUM(G40+G24)</f>
        <v>1815595.4849999999</v>
      </c>
      <c r="H41" s="638">
        <f>SUM(H40+H24)-2</f>
        <v>2162135.8650000002</v>
      </c>
      <c r="I41" s="638">
        <f>+I28+I40</f>
        <v>-812</v>
      </c>
    </row>
    <row r="42" spans="1:9" s="432" customFormat="1" x14ac:dyDescent="0.25">
      <c r="A42" s="449"/>
      <c r="B42" s="41" t="s">
        <v>835</v>
      </c>
      <c r="C42" s="41"/>
      <c r="F42" s="641">
        <f>'[1]Conversion Worksheet'!$BA$160</f>
        <v>3382563</v>
      </c>
      <c r="G42" s="641">
        <v>8701413</v>
      </c>
      <c r="H42" s="641">
        <f>SUM(F42:G42)+1</f>
        <v>12083977</v>
      </c>
      <c r="I42" s="641">
        <v>184887</v>
      </c>
    </row>
    <row r="43" spans="1:9" s="432" customFormat="1" x14ac:dyDescent="0.25">
      <c r="A43" s="449"/>
      <c r="B43" s="492" t="s">
        <v>828</v>
      </c>
      <c r="C43" s="41"/>
      <c r="F43" s="649"/>
      <c r="G43" s="649">
        <v>0</v>
      </c>
      <c r="H43" s="649"/>
      <c r="I43" s="649">
        <v>0</v>
      </c>
    </row>
    <row r="44" spans="1:9" s="432" customFormat="1" x14ac:dyDescent="0.25">
      <c r="A44" s="449"/>
      <c r="B44" s="41" t="s">
        <v>841</v>
      </c>
      <c r="C44" s="41"/>
      <c r="F44" s="787">
        <f>SUM(F42:F43)+1</f>
        <v>3382564</v>
      </c>
      <c r="G44" s="641">
        <f>'7-Rev, Exp-Prop'!E46</f>
        <v>8741554</v>
      </c>
      <c r="H44" s="641">
        <f>SUM(F44:G44)+1</f>
        <v>12124119</v>
      </c>
      <c r="I44" s="641">
        <f>SUM(I42:I43)</f>
        <v>184887</v>
      </c>
    </row>
    <row r="45" spans="1:9" s="432" customFormat="1" ht="13.8" thickBot="1" x14ac:dyDescent="0.3">
      <c r="A45" s="611"/>
      <c r="B45" s="41" t="s">
        <v>636</v>
      </c>
      <c r="C45" s="41"/>
      <c r="F45" s="650">
        <f>F41+F44</f>
        <v>3729106</v>
      </c>
      <c r="G45" s="650">
        <f>G41+G44</f>
        <v>10557149.484999999</v>
      </c>
      <c r="H45" s="650">
        <f>H41+H44</f>
        <v>14286254.865</v>
      </c>
      <c r="I45" s="650">
        <f>I41+I44</f>
        <v>184075</v>
      </c>
    </row>
    <row r="46" spans="1:9" ht="13.8" thickTop="1" x14ac:dyDescent="0.25">
      <c r="A46" s="313"/>
      <c r="B46" s="610"/>
    </row>
    <row r="47" spans="1:9" x14ac:dyDescent="0.25">
      <c r="A47" s="313"/>
      <c r="F47" s="313"/>
      <c r="G47" s="313"/>
      <c r="H47" s="313"/>
    </row>
    <row r="48" spans="1:9" x14ac:dyDescent="0.25">
      <c r="B48" s="17" t="s">
        <v>8</v>
      </c>
      <c r="F48" s="55"/>
    </row>
    <row r="49" spans="1:9" x14ac:dyDescent="0.25">
      <c r="F49" s="55"/>
      <c r="G49" s="313"/>
    </row>
    <row r="51" spans="1:9" x14ac:dyDescent="0.25">
      <c r="E51" s="321"/>
      <c r="F51" s="720">
        <f>F45-'1-GWNetPos'!C76</f>
        <v>1.1650000000372529</v>
      </c>
      <c r="G51" s="720">
        <f>G45-'1-GWNetPos'!D76</f>
        <v>0.28500000014901161</v>
      </c>
      <c r="H51" s="720">
        <f>H45-'1-GWNetPos'!E76</f>
        <v>0.83000000007450581</v>
      </c>
      <c r="I51" s="720">
        <f>I45-'1-GWNetPos'!F76</f>
        <v>0</v>
      </c>
    </row>
    <row r="53" spans="1:9" x14ac:dyDescent="0.25">
      <c r="A53" s="41"/>
      <c r="B53" s="41"/>
      <c r="F53" s="55"/>
    </row>
    <row r="54" spans="1:9" x14ac:dyDescent="0.25">
      <c r="A54" s="41"/>
    </row>
    <row r="55" spans="1:9" x14ac:dyDescent="0.25">
      <c r="A55" s="41"/>
    </row>
    <row r="56" spans="1:9" x14ac:dyDescent="0.25">
      <c r="A56" s="41"/>
    </row>
  </sheetData>
  <mergeCells count="6">
    <mergeCell ref="F7:H7"/>
    <mergeCell ref="A2:I2"/>
    <mergeCell ref="A3:I3"/>
    <mergeCell ref="A4:I4"/>
    <mergeCell ref="C6:E6"/>
    <mergeCell ref="F6:I6"/>
  </mergeCells>
  <printOptions horizontalCentered="1"/>
  <pageMargins left="0.7" right="0.7" top="0.75" bottom="0.75" header="0.3" footer="0.3"/>
  <pageSetup scale="79" fitToWidth="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FF00"/>
    <pageSetUpPr fitToPage="1"/>
  </sheetPr>
  <dimension ref="B1:M55"/>
  <sheetViews>
    <sheetView topLeftCell="A20" workbookViewId="0">
      <selection activeCell="A19" sqref="A19"/>
    </sheetView>
  </sheetViews>
  <sheetFormatPr defaultColWidth="9.109375" defaultRowHeight="13.2" x14ac:dyDescent="0.25"/>
  <cols>
    <col min="1" max="1" width="9.109375" style="17"/>
    <col min="2" max="2" width="31.109375" style="17" customWidth="1"/>
    <col min="3" max="6" width="15.6640625" style="17" customWidth="1"/>
    <col min="7" max="16384" width="9.109375" style="17"/>
  </cols>
  <sheetData>
    <row r="1" spans="2:6" x14ac:dyDescent="0.25">
      <c r="F1" s="82"/>
    </row>
    <row r="2" spans="2:6" x14ac:dyDescent="0.25">
      <c r="B2" s="896" t="s">
        <v>0</v>
      </c>
      <c r="C2" s="896"/>
      <c r="D2" s="896"/>
      <c r="E2" s="896"/>
      <c r="F2" s="896"/>
    </row>
    <row r="3" spans="2:6" x14ac:dyDescent="0.25">
      <c r="B3" s="896" t="s">
        <v>510</v>
      </c>
      <c r="C3" s="896"/>
      <c r="D3" s="896"/>
      <c r="E3" s="896"/>
      <c r="F3" s="896"/>
    </row>
    <row r="4" spans="2:6" x14ac:dyDescent="0.25">
      <c r="B4" s="896" t="s">
        <v>511</v>
      </c>
      <c r="C4" s="896"/>
      <c r="D4" s="896"/>
      <c r="E4" s="896"/>
      <c r="F4" s="896"/>
    </row>
    <row r="5" spans="2:6" x14ac:dyDescent="0.25">
      <c r="B5" s="897" t="s">
        <v>857</v>
      </c>
      <c r="C5" s="896"/>
      <c r="D5" s="896"/>
      <c r="E5" s="896"/>
      <c r="F5" s="896"/>
    </row>
    <row r="6" spans="2:6" ht="13.8" thickBot="1" x14ac:dyDescent="0.3">
      <c r="B6" s="139"/>
      <c r="C6" s="139"/>
      <c r="D6" s="139"/>
      <c r="E6" s="139"/>
      <c r="F6" s="139"/>
    </row>
    <row r="7" spans="2:6" x14ac:dyDescent="0.25">
      <c r="F7" s="290"/>
    </row>
    <row r="8" spans="2:6" x14ac:dyDescent="0.25">
      <c r="D8" s="291" t="s">
        <v>826</v>
      </c>
      <c r="E8" s="291" t="s">
        <v>564</v>
      </c>
      <c r="F8" s="290" t="s">
        <v>512</v>
      </c>
    </row>
    <row r="9" spans="2:6" x14ac:dyDescent="0.25">
      <c r="C9" s="291" t="s">
        <v>513</v>
      </c>
      <c r="D9" s="290" t="s">
        <v>829</v>
      </c>
      <c r="E9" s="291" t="s">
        <v>565</v>
      </c>
      <c r="F9" s="291" t="s">
        <v>514</v>
      </c>
    </row>
    <row r="10" spans="2:6" x14ac:dyDescent="0.25">
      <c r="C10" s="292" t="s">
        <v>406</v>
      </c>
      <c r="D10" s="292" t="s">
        <v>406</v>
      </c>
      <c r="E10" s="292" t="s">
        <v>406</v>
      </c>
      <c r="F10" s="292" t="s">
        <v>515</v>
      </c>
    </row>
    <row r="11" spans="2:6" x14ac:dyDescent="0.25">
      <c r="B11" s="293" t="s">
        <v>64</v>
      </c>
    </row>
    <row r="13" spans="2:6" x14ac:dyDescent="0.25">
      <c r="B13" s="17" t="s">
        <v>3</v>
      </c>
      <c r="C13" s="87">
        <v>0</v>
      </c>
      <c r="D13" s="87">
        <v>570</v>
      </c>
      <c r="E13" s="87">
        <v>24681</v>
      </c>
      <c r="F13" s="87">
        <f>SUM(C13:E13)</f>
        <v>25251</v>
      </c>
    </row>
    <row r="14" spans="2:6" x14ac:dyDescent="0.25">
      <c r="B14" s="17" t="s">
        <v>516</v>
      </c>
      <c r="C14" s="56">
        <v>0</v>
      </c>
      <c r="D14" s="56">
        <v>4295</v>
      </c>
      <c r="E14" s="56">
        <v>375</v>
      </c>
      <c r="F14" s="56">
        <f>SUM(C14:E14)</f>
        <v>4670</v>
      </c>
    </row>
    <row r="15" spans="2:6" x14ac:dyDescent="0.25">
      <c r="B15" s="17" t="s">
        <v>170</v>
      </c>
      <c r="C15" s="25">
        <v>5000</v>
      </c>
      <c r="D15" s="25">
        <v>0</v>
      </c>
      <c r="E15" s="25">
        <v>0</v>
      </c>
      <c r="F15" s="25">
        <f>SUM(C15:E15)</f>
        <v>5000</v>
      </c>
    </row>
    <row r="16" spans="2:6" x14ac:dyDescent="0.25">
      <c r="C16" s="56"/>
      <c r="D16" s="56"/>
      <c r="E16" s="56"/>
      <c r="F16" s="56"/>
    </row>
    <row r="17" spans="2:6" ht="13.8" thickBot="1" x14ac:dyDescent="0.3">
      <c r="B17" s="17" t="s">
        <v>5</v>
      </c>
      <c r="C17" s="133">
        <f>SUM(C13:C16)</f>
        <v>5000</v>
      </c>
      <c r="D17" s="133">
        <f>SUM(D13:D16)</f>
        <v>4865</v>
      </c>
      <c r="E17" s="133">
        <f>SUM(E13:E16)</f>
        <v>25056</v>
      </c>
      <c r="F17" s="133">
        <f>SUM(F13:F16)</f>
        <v>34921</v>
      </c>
    </row>
    <row r="18" spans="2:6" ht="13.8" thickTop="1" x14ac:dyDescent="0.25"/>
    <row r="19" spans="2:6" x14ac:dyDescent="0.25">
      <c r="B19" s="17" t="s">
        <v>181</v>
      </c>
    </row>
    <row r="20" spans="2:6" x14ac:dyDescent="0.25">
      <c r="B20" s="293" t="s">
        <v>517</v>
      </c>
    </row>
    <row r="22" spans="2:6" x14ac:dyDescent="0.25">
      <c r="B22" s="17" t="s">
        <v>18</v>
      </c>
    </row>
    <row r="23" spans="2:6" ht="26.4" x14ac:dyDescent="0.25">
      <c r="B23" s="22" t="s">
        <v>126</v>
      </c>
      <c r="C23" s="130">
        <v>5000</v>
      </c>
      <c r="D23" s="130">
        <v>0</v>
      </c>
      <c r="E23" s="130">
        <v>0</v>
      </c>
      <c r="F23" s="130">
        <f>+C23+E23</f>
        <v>5000</v>
      </c>
    </row>
    <row r="24" spans="2:6" x14ac:dyDescent="0.25">
      <c r="B24" s="22" t="s">
        <v>478</v>
      </c>
      <c r="C24" s="25">
        <v>0</v>
      </c>
      <c r="D24" s="25">
        <v>570</v>
      </c>
      <c r="E24" s="25">
        <v>0</v>
      </c>
      <c r="F24" s="25">
        <f>SUM(C24:E24)</f>
        <v>570</v>
      </c>
    </row>
    <row r="25" spans="2:6" x14ac:dyDescent="0.25">
      <c r="B25" s="22"/>
      <c r="C25" s="89"/>
      <c r="D25" s="89"/>
      <c r="E25" s="89"/>
      <c r="F25" s="89"/>
    </row>
    <row r="26" spans="2:6" x14ac:dyDescent="0.25">
      <c r="B26" s="17" t="s">
        <v>7</v>
      </c>
      <c r="C26" s="25">
        <f>SUM(C23:C25)</f>
        <v>5000</v>
      </c>
      <c r="D26" s="25">
        <f>SUM(D23:D25)</f>
        <v>570</v>
      </c>
      <c r="E26" s="25">
        <f>SUM(E23:E25)</f>
        <v>0</v>
      </c>
      <c r="F26" s="25">
        <f>SUM(F23:F25)</f>
        <v>5570</v>
      </c>
    </row>
    <row r="27" spans="2:6" x14ac:dyDescent="0.25">
      <c r="C27" s="56"/>
      <c r="D27" s="56"/>
      <c r="E27" s="56"/>
      <c r="F27" s="56"/>
    </row>
    <row r="28" spans="2:6" x14ac:dyDescent="0.25">
      <c r="B28" s="17" t="s">
        <v>21</v>
      </c>
      <c r="C28" s="56"/>
      <c r="D28" s="56"/>
      <c r="E28" s="56"/>
      <c r="F28" s="56"/>
    </row>
    <row r="29" spans="2:6" ht="26.4" x14ac:dyDescent="0.25">
      <c r="B29" s="429" t="s">
        <v>830</v>
      </c>
      <c r="C29" s="89">
        <v>0</v>
      </c>
      <c r="D29" s="89">
        <v>0</v>
      </c>
      <c r="E29" s="89">
        <v>25056</v>
      </c>
      <c r="F29" s="89">
        <f>+C29+E29</f>
        <v>25056</v>
      </c>
    </row>
    <row r="30" spans="2:6" x14ac:dyDescent="0.25">
      <c r="B30" s="429" t="s">
        <v>831</v>
      </c>
      <c r="C30" s="25">
        <v>0</v>
      </c>
      <c r="D30" s="25">
        <v>4295</v>
      </c>
      <c r="E30" s="25">
        <v>0</v>
      </c>
      <c r="F30" s="25">
        <f>SUM(C30:E30)</f>
        <v>4295</v>
      </c>
    </row>
    <row r="31" spans="2:6" x14ac:dyDescent="0.25">
      <c r="B31" s="429"/>
      <c r="C31" s="89"/>
      <c r="D31" s="89"/>
      <c r="E31" s="89"/>
      <c r="F31" s="89"/>
    </row>
    <row r="32" spans="2:6" x14ac:dyDescent="0.25">
      <c r="B32" s="17" t="s">
        <v>22</v>
      </c>
      <c r="C32" s="25">
        <f>SUM(C29:C31)</f>
        <v>0</v>
      </c>
      <c r="D32" s="25">
        <f>SUM(D29:D31)</f>
        <v>4295</v>
      </c>
      <c r="E32" s="25">
        <f>SUM(E29:E31)</f>
        <v>25056</v>
      </c>
      <c r="F32" s="25">
        <f>SUM(F29:F31)</f>
        <v>29351</v>
      </c>
    </row>
    <row r="33" spans="2:8" x14ac:dyDescent="0.25">
      <c r="C33" s="56"/>
      <c r="D33" s="56"/>
      <c r="E33" s="56"/>
      <c r="F33" s="56"/>
    </row>
    <row r="34" spans="2:8" ht="13.8" thickBot="1" x14ac:dyDescent="0.3">
      <c r="B34" s="17" t="s">
        <v>23</v>
      </c>
      <c r="C34" s="133">
        <f>C32+C26</f>
        <v>5000</v>
      </c>
      <c r="D34" s="133">
        <f>D32+D26</f>
        <v>4865</v>
      </c>
      <c r="E34" s="133">
        <f>E32+E26</f>
        <v>25056</v>
      </c>
      <c r="F34" s="133">
        <f>F32+F26</f>
        <v>34921</v>
      </c>
    </row>
    <row r="35" spans="2:8" ht="13.8" thickTop="1" x14ac:dyDescent="0.25"/>
    <row r="36" spans="2:8" ht="13.8" thickBot="1" x14ac:dyDescent="0.3"/>
    <row r="37" spans="2:8" ht="61.95" customHeight="1" thickBot="1" x14ac:dyDescent="0.3">
      <c r="B37" s="1043" t="s">
        <v>825</v>
      </c>
      <c r="C37" s="1044"/>
      <c r="D37" s="1044"/>
      <c r="E37" s="1044"/>
      <c r="F37" s="1045"/>
    </row>
    <row r="38" spans="2:8" ht="13.8" thickBot="1" x14ac:dyDescent="0.3">
      <c r="B38" s="775"/>
      <c r="C38" s="775"/>
      <c r="D38" s="775"/>
      <c r="E38" s="775"/>
      <c r="F38" s="775"/>
    </row>
    <row r="39" spans="2:8" ht="51" customHeight="1" thickBot="1" x14ac:dyDescent="0.3">
      <c r="B39" s="1046" t="s">
        <v>711</v>
      </c>
      <c r="C39" s="1047"/>
      <c r="D39" s="1047"/>
      <c r="E39" s="1047"/>
      <c r="F39" s="1048"/>
      <c r="G39" s="631"/>
      <c r="H39" s="631"/>
    </row>
    <row r="40" spans="2:8" x14ac:dyDescent="0.25">
      <c r="B40" s="631"/>
      <c r="C40" s="631"/>
      <c r="D40" s="631"/>
      <c r="E40" s="631"/>
      <c r="F40" s="631"/>
      <c r="G40" s="631"/>
      <c r="H40" s="631"/>
    </row>
    <row r="41" spans="2:8" x14ac:dyDescent="0.25">
      <c r="B41" s="631"/>
      <c r="C41" s="631"/>
      <c r="D41" s="631"/>
      <c r="E41" s="631"/>
      <c r="F41" s="631"/>
      <c r="G41" s="631"/>
      <c r="H41" s="631"/>
    </row>
    <row r="42" spans="2:8" x14ac:dyDescent="0.25">
      <c r="B42" s="631"/>
      <c r="C42" s="631"/>
      <c r="D42" s="631"/>
      <c r="E42" s="631"/>
      <c r="F42" s="631"/>
      <c r="G42" s="631"/>
      <c r="H42" s="631"/>
    </row>
    <row r="43" spans="2:8" x14ac:dyDescent="0.25">
      <c r="B43" s="631"/>
      <c r="C43" s="631"/>
      <c r="D43" s="631"/>
      <c r="E43" s="631"/>
      <c r="F43" s="631"/>
      <c r="G43" s="631"/>
      <c r="H43" s="631"/>
    </row>
    <row r="50" spans="2:13" x14ac:dyDescent="0.25">
      <c r="C50" s="161"/>
      <c r="D50" s="161"/>
      <c r="E50" s="161"/>
      <c r="F50" s="161"/>
      <c r="G50" s="161"/>
      <c r="H50" s="161"/>
      <c r="I50" s="161"/>
      <c r="J50" s="161"/>
      <c r="K50" s="161"/>
      <c r="L50" s="161"/>
      <c r="M50" s="161"/>
    </row>
    <row r="51" spans="2:13" x14ac:dyDescent="0.25">
      <c r="B51" s="161"/>
      <c r="C51" s="161"/>
      <c r="D51" s="161"/>
      <c r="E51" s="1042"/>
      <c r="F51" s="963"/>
      <c r="G51" s="963"/>
      <c r="H51" s="963"/>
      <c r="I51" s="963"/>
      <c r="J51" s="963"/>
      <c r="K51" s="963"/>
      <c r="L51" s="963"/>
      <c r="M51" s="161"/>
    </row>
    <row r="52" spans="2:13" x14ac:dyDescent="0.25">
      <c r="B52" s="161"/>
      <c r="C52" s="161"/>
      <c r="D52" s="161"/>
      <c r="E52" s="963"/>
      <c r="F52" s="963"/>
      <c r="G52" s="963"/>
      <c r="H52" s="963"/>
      <c r="I52" s="963"/>
      <c r="J52" s="963"/>
      <c r="K52" s="963"/>
      <c r="L52" s="963"/>
      <c r="M52" s="161"/>
    </row>
    <row r="53" spans="2:13" x14ac:dyDescent="0.25">
      <c r="B53" s="161"/>
      <c r="C53" s="161"/>
      <c r="D53" s="161"/>
      <c r="E53" s="963"/>
      <c r="F53" s="963"/>
      <c r="G53" s="963"/>
      <c r="H53" s="963"/>
      <c r="I53" s="963"/>
      <c r="J53" s="963"/>
      <c r="K53" s="963"/>
      <c r="L53" s="963"/>
      <c r="M53" s="161"/>
    </row>
    <row r="54" spans="2:13" x14ac:dyDescent="0.25">
      <c r="B54" s="161"/>
      <c r="C54" s="161"/>
      <c r="D54" s="161"/>
      <c r="E54" s="963"/>
      <c r="F54" s="963"/>
      <c r="G54" s="963"/>
      <c r="H54" s="963"/>
      <c r="I54" s="963"/>
      <c r="J54" s="963"/>
      <c r="K54" s="963"/>
      <c r="L54" s="963"/>
      <c r="M54" s="161"/>
    </row>
    <row r="55" spans="2:13" x14ac:dyDescent="0.25">
      <c r="B55" s="161"/>
      <c r="C55" s="161"/>
      <c r="D55" s="161"/>
      <c r="E55" s="161"/>
      <c r="F55" s="161"/>
      <c r="G55" s="161"/>
      <c r="H55" s="161"/>
      <c r="I55" s="161"/>
      <c r="J55" s="161"/>
      <c r="K55" s="161"/>
      <c r="L55" s="161"/>
      <c r="M55" s="161"/>
    </row>
  </sheetData>
  <customSheetViews>
    <customSheetView guid="{AB48C5D7-99F4-4378-A0F9-05018B348977}">
      <selection activeCell="B39" sqref="B39"/>
      <pageMargins left="0.75" right="0.75" top="1" bottom="1" header="0.5" footer="0.5"/>
      <pageSetup scale="79" firstPageNumber="99" orientation="portrait" useFirstPageNumber="1" r:id="rId1"/>
      <headerFooter alignWithMargins="0"/>
    </customSheetView>
  </customSheetViews>
  <mergeCells count="7">
    <mergeCell ref="B2:F2"/>
    <mergeCell ref="B3:F3"/>
    <mergeCell ref="B4:F4"/>
    <mergeCell ref="B5:F5"/>
    <mergeCell ref="E51:L54"/>
    <mergeCell ref="B37:F37"/>
    <mergeCell ref="B39:F39"/>
  </mergeCells>
  <phoneticPr fontId="0" type="noConversion"/>
  <printOptions horizontalCentered="1"/>
  <pageMargins left="0.7" right="0.7" top="0.75" bottom="0.75" header="0.3" footer="0.3"/>
  <pageSetup scale="89" firstPageNumber="99" fitToWidth="0"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FF00"/>
    <pageSetUpPr fitToPage="1"/>
  </sheetPr>
  <dimension ref="B2:M55"/>
  <sheetViews>
    <sheetView topLeftCell="B1" workbookViewId="0">
      <selection activeCell="C17" sqref="C17"/>
    </sheetView>
  </sheetViews>
  <sheetFormatPr defaultColWidth="9.109375" defaultRowHeight="13.2" x14ac:dyDescent="0.25"/>
  <cols>
    <col min="1" max="1" width="9.109375" style="17"/>
    <col min="2" max="2" width="46" style="17" customWidth="1"/>
    <col min="3" max="6" width="15.6640625" style="17" customWidth="1"/>
    <col min="7" max="16384" width="9.109375" style="17"/>
  </cols>
  <sheetData>
    <row r="2" spans="2:7" x14ac:dyDescent="0.25">
      <c r="B2" s="896" t="s">
        <v>0</v>
      </c>
      <c r="C2" s="896"/>
      <c r="D2" s="896"/>
      <c r="E2" s="896"/>
      <c r="F2" s="896"/>
      <c r="G2" s="131"/>
    </row>
    <row r="3" spans="2:7" x14ac:dyDescent="0.25">
      <c r="B3" s="896" t="s">
        <v>518</v>
      </c>
      <c r="C3" s="896"/>
      <c r="D3" s="896"/>
      <c r="E3" s="896"/>
      <c r="F3" s="896"/>
      <c r="G3" s="131"/>
    </row>
    <row r="4" spans="2:7" x14ac:dyDescent="0.25">
      <c r="B4" s="896" t="s">
        <v>511</v>
      </c>
      <c r="C4" s="896"/>
      <c r="D4" s="896"/>
      <c r="E4" s="896"/>
      <c r="F4" s="896"/>
      <c r="G4" s="131"/>
    </row>
    <row r="5" spans="2:7" x14ac:dyDescent="0.25">
      <c r="B5" s="896" t="str">
        <f>'5-GASB34GovtFundsBudget'!E5</f>
        <v>For the Year Ended June 30, 2023</v>
      </c>
      <c r="C5" s="896"/>
      <c r="D5" s="896"/>
      <c r="E5" s="896"/>
      <c r="F5" s="896"/>
      <c r="G5" s="131"/>
    </row>
    <row r="6" spans="2:7" ht="13.8" thickBot="1" x14ac:dyDescent="0.3">
      <c r="B6" s="139"/>
      <c r="C6" s="139"/>
      <c r="D6" s="139"/>
      <c r="E6" s="139"/>
      <c r="F6" s="139"/>
      <c r="G6" s="131"/>
    </row>
    <row r="7" spans="2:7" x14ac:dyDescent="0.25">
      <c r="F7" s="290"/>
    </row>
    <row r="8" spans="2:7" x14ac:dyDescent="0.25">
      <c r="D8" s="291" t="s">
        <v>826</v>
      </c>
      <c r="E8" s="291" t="s">
        <v>564</v>
      </c>
      <c r="F8" s="290" t="s">
        <v>512</v>
      </c>
    </row>
    <row r="9" spans="2:7" x14ac:dyDescent="0.25">
      <c r="C9" s="291" t="s">
        <v>513</v>
      </c>
      <c r="D9" s="290" t="s">
        <v>829</v>
      </c>
      <c r="E9" s="291" t="s">
        <v>565</v>
      </c>
      <c r="F9" s="291" t="s">
        <v>514</v>
      </c>
    </row>
    <row r="10" spans="2:7" x14ac:dyDescent="0.25">
      <c r="B10" s="17" t="s">
        <v>133</v>
      </c>
      <c r="C10" s="292" t="s">
        <v>406</v>
      </c>
      <c r="D10" s="292" t="s">
        <v>406</v>
      </c>
      <c r="E10" s="292" t="s">
        <v>406</v>
      </c>
      <c r="F10" s="292" t="s">
        <v>515</v>
      </c>
    </row>
    <row r="11" spans="2:7" x14ac:dyDescent="0.25">
      <c r="B11" s="58" t="s">
        <v>71</v>
      </c>
      <c r="C11" s="87">
        <v>115000</v>
      </c>
      <c r="D11" s="87">
        <v>0</v>
      </c>
      <c r="E11" s="87">
        <v>0</v>
      </c>
      <c r="F11" s="87">
        <f>SUM(C11:E11)</f>
        <v>115000</v>
      </c>
    </row>
    <row r="12" spans="2:7" x14ac:dyDescent="0.25">
      <c r="B12" s="58" t="s">
        <v>73</v>
      </c>
      <c r="C12" s="56">
        <v>0</v>
      </c>
      <c r="D12" s="56">
        <v>3935</v>
      </c>
      <c r="E12" s="56">
        <v>4836</v>
      </c>
      <c r="F12" s="56">
        <f>SUM(C12:E12)</f>
        <v>8771</v>
      </c>
    </row>
    <row r="13" spans="2:7" x14ac:dyDescent="0.25">
      <c r="B13" s="58" t="s">
        <v>31</v>
      </c>
      <c r="C13" s="25">
        <v>0</v>
      </c>
      <c r="D13" s="25">
        <v>0</v>
      </c>
      <c r="E13" s="25">
        <v>412</v>
      </c>
      <c r="F13" s="25">
        <f>SUM(C13:E13)</f>
        <v>412</v>
      </c>
    </row>
    <row r="14" spans="2:7" x14ac:dyDescent="0.25">
      <c r="C14" s="56"/>
      <c r="D14" s="56"/>
      <c r="E14" s="56"/>
      <c r="F14" s="56"/>
    </row>
    <row r="15" spans="2:7" x14ac:dyDescent="0.25">
      <c r="B15" s="17" t="s">
        <v>32</v>
      </c>
      <c r="C15" s="25">
        <f>SUM(C11:C13)</f>
        <v>115000</v>
      </c>
      <c r="D15" s="25">
        <f>SUM(D11:D13)</f>
        <v>3935</v>
      </c>
      <c r="E15" s="25">
        <f>SUM(E11:E13)</f>
        <v>5248</v>
      </c>
      <c r="F15" s="25">
        <f>SUM(F11:F13)</f>
        <v>124183</v>
      </c>
    </row>
    <row r="16" spans="2:7" x14ac:dyDescent="0.25">
      <c r="C16" s="56"/>
      <c r="D16" s="56"/>
      <c r="E16" s="56"/>
      <c r="F16" s="56"/>
    </row>
    <row r="17" spans="2:10" x14ac:dyDescent="0.25">
      <c r="B17" s="17" t="s">
        <v>134</v>
      </c>
      <c r="C17" s="56"/>
      <c r="D17" s="56"/>
      <c r="E17" s="56"/>
      <c r="F17" s="89"/>
    </row>
    <row r="18" spans="2:10" ht="34.200000000000003" customHeight="1" x14ac:dyDescent="0.25">
      <c r="B18" s="22" t="s">
        <v>827</v>
      </c>
      <c r="C18" s="56">
        <v>0</v>
      </c>
      <c r="D18" s="56">
        <v>2095</v>
      </c>
      <c r="E18" s="56">
        <v>0</v>
      </c>
      <c r="F18" s="89">
        <f>SUM(C18:E18)</f>
        <v>2095</v>
      </c>
    </row>
    <row r="19" spans="2:10" ht="19.95" customHeight="1" x14ac:dyDescent="0.25">
      <c r="B19" s="22" t="s">
        <v>66</v>
      </c>
      <c r="C19" s="25">
        <v>115000</v>
      </c>
      <c r="D19" s="25">
        <v>0</v>
      </c>
      <c r="E19" s="25">
        <v>0</v>
      </c>
      <c r="F19" s="25">
        <v>115000</v>
      </c>
    </row>
    <row r="20" spans="2:10" x14ac:dyDescent="0.25">
      <c r="B20" s="22"/>
      <c r="C20" s="89"/>
      <c r="D20" s="89"/>
      <c r="E20" s="89"/>
      <c r="F20" s="89"/>
    </row>
    <row r="21" spans="2:10" x14ac:dyDescent="0.25">
      <c r="B21" s="22" t="s">
        <v>39</v>
      </c>
      <c r="C21" s="25">
        <f>SUM(C18:C20)</f>
        <v>115000</v>
      </c>
      <c r="D21" s="25">
        <f>SUM(D18:D20)</f>
        <v>2095</v>
      </c>
      <c r="E21" s="25">
        <f>SUM(E18:E20)</f>
        <v>0</v>
      </c>
      <c r="F21" s="25">
        <f>SUM(F18:F20)</f>
        <v>117095</v>
      </c>
    </row>
    <row r="22" spans="2:10" x14ac:dyDescent="0.25">
      <c r="C22" s="56"/>
      <c r="D22" s="56"/>
      <c r="E22" s="56"/>
      <c r="F22" s="56"/>
    </row>
    <row r="23" spans="2:10" x14ac:dyDescent="0.25">
      <c r="B23" s="17" t="s">
        <v>192</v>
      </c>
      <c r="C23" s="56">
        <f>C15-C21</f>
        <v>0</v>
      </c>
      <c r="D23" s="56">
        <f>D15-D21</f>
        <v>1840</v>
      </c>
      <c r="E23" s="56">
        <f>E15-E21</f>
        <v>5248</v>
      </c>
      <c r="F23" s="56">
        <f>F15-F21</f>
        <v>7088</v>
      </c>
    </row>
    <row r="24" spans="2:10" x14ac:dyDescent="0.25">
      <c r="C24" s="56"/>
      <c r="D24" s="56"/>
      <c r="E24" s="56"/>
      <c r="F24" s="56"/>
    </row>
    <row r="25" spans="2:10" x14ac:dyDescent="0.25">
      <c r="B25" s="492" t="s">
        <v>821</v>
      </c>
      <c r="C25" s="89">
        <v>0</v>
      </c>
      <c r="D25" s="89"/>
      <c r="E25" s="89">
        <v>19808</v>
      </c>
      <c r="F25" s="89">
        <v>19808</v>
      </c>
    </row>
    <row r="26" spans="2:10" x14ac:dyDescent="0.25">
      <c r="B26" s="492" t="s">
        <v>828</v>
      </c>
      <c r="C26" s="25">
        <v>0</v>
      </c>
      <c r="D26" s="25">
        <v>2455</v>
      </c>
      <c r="E26" s="25">
        <v>0</v>
      </c>
      <c r="F26" s="25">
        <f>SUM(C26:E26)</f>
        <v>2455</v>
      </c>
    </row>
    <row r="27" spans="2:10" x14ac:dyDescent="0.25">
      <c r="B27" s="492" t="s">
        <v>823</v>
      </c>
      <c r="C27" s="89">
        <f>SUM(C25:C26)</f>
        <v>0</v>
      </c>
      <c r="D27" s="89">
        <f>SUM(D25:D26)</f>
        <v>2455</v>
      </c>
      <c r="E27" s="89">
        <f>SUM(E25:E26)</f>
        <v>19808</v>
      </c>
      <c r="F27" s="89">
        <f>SUM(F25:F26)</f>
        <v>22263</v>
      </c>
    </row>
    <row r="28" spans="2:10" ht="13.8" thickBot="1" x14ac:dyDescent="0.3">
      <c r="B28" s="17" t="s">
        <v>530</v>
      </c>
      <c r="C28" s="90">
        <f>C27+C23</f>
        <v>0</v>
      </c>
      <c r="D28" s="90">
        <f>D27+D23</f>
        <v>4295</v>
      </c>
      <c r="E28" s="90">
        <f>E27+E23</f>
        <v>25056</v>
      </c>
      <c r="F28" s="90">
        <f>F27+F23</f>
        <v>29351</v>
      </c>
    </row>
    <row r="29" spans="2:10" ht="13.8" thickTop="1" x14ac:dyDescent="0.25"/>
    <row r="30" spans="2:10" ht="13.8" thickBot="1" x14ac:dyDescent="0.3"/>
    <row r="31" spans="2:10" ht="52.2" customHeight="1" thickBot="1" x14ac:dyDescent="0.3">
      <c r="B31" s="1043" t="s">
        <v>825</v>
      </c>
      <c r="C31" s="1044"/>
      <c r="D31" s="1044"/>
      <c r="E31" s="1044"/>
      <c r="F31" s="1045"/>
      <c r="G31" s="770"/>
      <c r="H31" s="770"/>
      <c r="I31" s="770"/>
      <c r="J31" s="770"/>
    </row>
    <row r="32" spans="2:10" ht="13.8" thickBot="1" x14ac:dyDescent="0.3">
      <c r="B32" s="776"/>
      <c r="C32" s="776"/>
      <c r="D32" s="776"/>
      <c r="E32" s="776"/>
      <c r="F32" s="776"/>
      <c r="G32" s="770"/>
      <c r="H32" s="770"/>
      <c r="I32" s="770"/>
      <c r="J32" s="770"/>
    </row>
    <row r="33" spans="2:6" ht="56.4" customHeight="1" thickBot="1" x14ac:dyDescent="0.3">
      <c r="B33" s="1046" t="s">
        <v>711</v>
      </c>
      <c r="C33" s="1047"/>
      <c r="D33" s="1047"/>
      <c r="E33" s="1047"/>
      <c r="F33" s="1048"/>
    </row>
    <row r="50" spans="2:13" x14ac:dyDescent="0.25">
      <c r="C50" s="161"/>
      <c r="D50" s="161"/>
      <c r="E50" s="161"/>
      <c r="F50" s="161"/>
      <c r="G50" s="161"/>
      <c r="H50" s="161"/>
      <c r="I50" s="161"/>
      <c r="J50" s="161"/>
      <c r="K50" s="161"/>
      <c r="L50" s="161"/>
      <c r="M50" s="161"/>
    </row>
    <row r="51" spans="2:13" x14ac:dyDescent="0.25">
      <c r="B51" s="161"/>
      <c r="C51" s="161"/>
      <c r="D51" s="161"/>
      <c r="E51" s="1042"/>
      <c r="F51" s="963"/>
      <c r="G51" s="963"/>
      <c r="H51" s="963"/>
      <c r="I51" s="963"/>
      <c r="J51" s="963"/>
      <c r="K51" s="963"/>
      <c r="L51" s="963"/>
      <c r="M51" s="161"/>
    </row>
    <row r="52" spans="2:13" x14ac:dyDescent="0.25">
      <c r="B52" s="161"/>
      <c r="C52" s="161"/>
      <c r="D52" s="161"/>
      <c r="E52" s="963"/>
      <c r="F52" s="963"/>
      <c r="G52" s="963"/>
      <c r="H52" s="963"/>
      <c r="I52" s="963"/>
      <c r="J52" s="963"/>
      <c r="K52" s="963"/>
      <c r="L52" s="963"/>
      <c r="M52" s="161"/>
    </row>
    <row r="53" spans="2:13" x14ac:dyDescent="0.25">
      <c r="B53" s="161"/>
      <c r="C53" s="161"/>
      <c r="D53" s="161"/>
      <c r="E53" s="963"/>
      <c r="F53" s="963"/>
      <c r="G53" s="963"/>
      <c r="H53" s="963"/>
      <c r="I53" s="963"/>
      <c r="J53" s="963"/>
      <c r="K53" s="963"/>
      <c r="L53" s="963"/>
      <c r="M53" s="161"/>
    </row>
    <row r="54" spans="2:13" x14ac:dyDescent="0.25">
      <c r="B54" s="161"/>
      <c r="C54" s="161"/>
      <c r="D54" s="161"/>
      <c r="E54" s="963"/>
      <c r="F54" s="963"/>
      <c r="G54" s="963"/>
      <c r="H54" s="963"/>
      <c r="I54" s="963"/>
      <c r="J54" s="963"/>
      <c r="K54" s="963"/>
      <c r="L54" s="963"/>
      <c r="M54" s="161"/>
    </row>
    <row r="55" spans="2:13" x14ac:dyDescent="0.25">
      <c r="B55" s="161"/>
      <c r="C55" s="161"/>
      <c r="D55" s="161"/>
      <c r="E55" s="161"/>
      <c r="F55" s="161"/>
      <c r="G55" s="161"/>
      <c r="H55" s="161"/>
      <c r="I55" s="161"/>
      <c r="J55" s="161"/>
      <c r="K55" s="161"/>
      <c r="L55" s="161"/>
      <c r="M55" s="161"/>
    </row>
  </sheetData>
  <customSheetViews>
    <customSheetView guid="{AB48C5D7-99F4-4378-A0F9-05018B348977}">
      <selection activeCell="B39" sqref="B39"/>
      <pageMargins left="0.75" right="0.75" top="1" bottom="1" header="0.5" footer="0.5"/>
      <pageSetup scale="79" firstPageNumber="100" orientation="portrait" useFirstPageNumber="1" r:id="rId1"/>
      <headerFooter alignWithMargins="0"/>
    </customSheetView>
  </customSheetViews>
  <mergeCells count="7">
    <mergeCell ref="B2:F2"/>
    <mergeCell ref="B3:F3"/>
    <mergeCell ref="B4:F4"/>
    <mergeCell ref="B5:F5"/>
    <mergeCell ref="E51:L54"/>
    <mergeCell ref="B31:F31"/>
    <mergeCell ref="B33:F33"/>
  </mergeCells>
  <phoneticPr fontId="0" type="noConversion"/>
  <printOptions horizontalCentered="1"/>
  <pageMargins left="0.6" right="0.6" top="0.75" bottom="0.75" header="0.3" footer="0.3"/>
  <pageSetup scale="85" firstPageNumber="100"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FF00"/>
    <pageSetUpPr fitToPage="1"/>
  </sheetPr>
  <dimension ref="B2:S50"/>
  <sheetViews>
    <sheetView workbookViewId="0"/>
  </sheetViews>
  <sheetFormatPr defaultColWidth="9.109375" defaultRowHeight="13.2" x14ac:dyDescent="0.25"/>
  <cols>
    <col min="1" max="1" width="9.109375" style="17"/>
    <col min="2" max="4" width="2.44140625" style="17" customWidth="1"/>
    <col min="5" max="5" width="19.109375" style="17" customWidth="1"/>
    <col min="6" max="6" width="2.109375" style="17" customWidth="1"/>
    <col min="7" max="7" width="10.109375" style="17" bestFit="1" customWidth="1"/>
    <col min="8" max="8" width="1.44140625" style="17" customWidth="1"/>
    <col min="9" max="9" width="0.6640625" style="17" customWidth="1"/>
    <col min="10" max="10" width="10.109375" style="17" bestFit="1" customWidth="1"/>
    <col min="11" max="11" width="1.5546875" style="17" customWidth="1"/>
    <col min="12" max="12" width="1.6640625" style="17" customWidth="1"/>
    <col min="13" max="13" width="10.109375" style="17" bestFit="1" customWidth="1"/>
    <col min="14" max="14" width="1.109375" style="17" customWidth="1"/>
    <col min="15" max="15" width="1" style="17" customWidth="1"/>
    <col min="16" max="16" width="10.109375" style="17" bestFit="1" customWidth="1"/>
    <col min="17" max="17" width="1.109375" style="17" customWidth="1"/>
    <col min="18" max="18" width="1.88671875" style="17" bestFit="1" customWidth="1"/>
    <col min="19" max="19" width="11.33203125" style="17" customWidth="1"/>
    <col min="20" max="16384" width="9.109375" style="17"/>
  </cols>
  <sheetData>
    <row r="2" spans="2:19" s="132" customFormat="1" x14ac:dyDescent="0.25">
      <c r="B2" s="282" t="s">
        <v>142</v>
      </c>
      <c r="C2" s="97"/>
      <c r="D2" s="97"/>
      <c r="E2" s="97"/>
      <c r="F2" s="97"/>
      <c r="G2" s="97"/>
      <c r="H2" s="97"/>
      <c r="I2" s="97"/>
      <c r="J2" s="97"/>
      <c r="K2" s="97"/>
      <c r="L2" s="97"/>
      <c r="M2" s="97"/>
      <c r="N2" s="97"/>
      <c r="O2" s="97"/>
      <c r="P2" s="97"/>
      <c r="Q2" s="97"/>
      <c r="R2" s="97"/>
      <c r="S2" s="97"/>
    </row>
    <row r="3" spans="2:19" s="132" customFormat="1" x14ac:dyDescent="0.25">
      <c r="B3" s="97" t="s">
        <v>172</v>
      </c>
      <c r="C3" s="97"/>
      <c r="D3" s="97"/>
      <c r="E3" s="97"/>
      <c r="F3" s="97"/>
      <c r="G3" s="97"/>
      <c r="H3" s="97"/>
      <c r="I3" s="97"/>
      <c r="J3" s="97"/>
      <c r="K3" s="97"/>
      <c r="L3" s="97"/>
      <c r="M3" s="97"/>
      <c r="N3" s="97"/>
      <c r="O3" s="97"/>
      <c r="P3" s="97"/>
      <c r="Q3" s="97"/>
      <c r="R3" s="97"/>
      <c r="S3" s="97"/>
    </row>
    <row r="4" spans="2:19" s="132" customFormat="1" x14ac:dyDescent="0.25">
      <c r="B4" s="97" t="s">
        <v>488</v>
      </c>
      <c r="C4" s="97"/>
      <c r="D4" s="97"/>
      <c r="E4" s="97"/>
      <c r="F4" s="97"/>
      <c r="G4" s="97"/>
      <c r="H4" s="97"/>
      <c r="I4" s="97"/>
      <c r="J4" s="97"/>
      <c r="K4" s="97"/>
      <c r="L4" s="97"/>
      <c r="M4" s="97"/>
      <c r="N4" s="97"/>
      <c r="O4" s="97"/>
      <c r="P4" s="97"/>
      <c r="Q4" s="97"/>
      <c r="R4" s="97"/>
      <c r="S4" s="97"/>
    </row>
    <row r="5" spans="2:19" s="132" customFormat="1" x14ac:dyDescent="0.25">
      <c r="B5" s="97" t="s">
        <v>173</v>
      </c>
      <c r="C5" s="97"/>
      <c r="D5" s="97"/>
      <c r="E5" s="97"/>
      <c r="F5" s="97"/>
      <c r="G5" s="97"/>
      <c r="H5" s="97"/>
      <c r="I5" s="97"/>
      <c r="J5" s="97"/>
      <c r="K5" s="97"/>
      <c r="L5" s="97"/>
      <c r="M5" s="97"/>
      <c r="N5" s="97"/>
      <c r="O5" s="97"/>
      <c r="P5" s="97"/>
      <c r="Q5" s="97"/>
      <c r="R5" s="97"/>
      <c r="S5" s="97"/>
    </row>
    <row r="6" spans="2:19" s="132" customFormat="1" x14ac:dyDescent="0.25">
      <c r="B6" s="97" t="s">
        <v>859</v>
      </c>
      <c r="C6" s="97"/>
      <c r="D6" s="97"/>
      <c r="E6" s="97"/>
      <c r="F6" s="97"/>
      <c r="G6" s="97"/>
      <c r="H6" s="97"/>
      <c r="I6" s="97"/>
      <c r="J6" s="97"/>
      <c r="K6" s="97"/>
      <c r="L6" s="97"/>
      <c r="M6" s="97"/>
      <c r="N6" s="97"/>
      <c r="O6" s="97"/>
      <c r="P6" s="97"/>
      <c r="Q6" s="97"/>
      <c r="R6" s="97"/>
      <c r="S6" s="97"/>
    </row>
    <row r="7" spans="2:19" ht="13.8" thickBot="1" x14ac:dyDescent="0.3">
      <c r="B7" s="98"/>
      <c r="C7" s="98"/>
      <c r="D7" s="98"/>
      <c r="E7" s="98"/>
      <c r="F7" s="98"/>
      <c r="G7" s="98"/>
      <c r="H7" s="98"/>
      <c r="I7" s="98"/>
      <c r="J7" s="98"/>
      <c r="K7" s="98"/>
      <c r="L7" s="98"/>
      <c r="M7" s="98"/>
      <c r="N7" s="98"/>
      <c r="O7" s="98"/>
      <c r="P7" s="98"/>
      <c r="Q7" s="98"/>
      <c r="R7" s="98"/>
      <c r="S7" s="98"/>
    </row>
    <row r="8" spans="2:19" x14ac:dyDescent="0.25">
      <c r="B8" s="50"/>
      <c r="C8" s="50"/>
      <c r="D8" s="50"/>
      <c r="E8" s="50"/>
      <c r="F8" s="50"/>
      <c r="G8" s="50"/>
      <c r="H8" s="50"/>
      <c r="I8" s="50"/>
      <c r="J8" s="50"/>
      <c r="K8" s="50"/>
      <c r="L8" s="50"/>
      <c r="M8" s="50"/>
      <c r="N8" s="50"/>
      <c r="O8" s="50"/>
      <c r="P8" s="50"/>
      <c r="Q8" s="50"/>
      <c r="R8" s="50"/>
      <c r="S8" s="50"/>
    </row>
    <row r="9" spans="2:19" x14ac:dyDescent="0.25">
      <c r="B9" s="50"/>
      <c r="C9" s="50"/>
      <c r="D9" s="50"/>
      <c r="E9" s="50"/>
      <c r="F9" s="50"/>
      <c r="G9" s="31" t="s">
        <v>174</v>
      </c>
      <c r="H9" s="50"/>
      <c r="I9" s="50"/>
      <c r="J9" s="283" t="s">
        <v>175</v>
      </c>
      <c r="K9" s="283"/>
      <c r="L9" s="283"/>
      <c r="M9" s="283"/>
      <c r="N9" s="283"/>
      <c r="O9" s="283"/>
      <c r="P9" s="283"/>
      <c r="Q9" s="50"/>
      <c r="R9" s="50"/>
      <c r="S9" s="31" t="s">
        <v>176</v>
      </c>
    </row>
    <row r="10" spans="2:19" x14ac:dyDescent="0.25">
      <c r="B10" s="50"/>
      <c r="C10" s="50"/>
      <c r="D10" s="50"/>
      <c r="E10" s="50"/>
      <c r="F10" s="50"/>
      <c r="G10" s="31" t="s">
        <v>177</v>
      </c>
      <c r="H10" s="50"/>
      <c r="I10" s="50"/>
      <c r="J10" s="31" t="s">
        <v>178</v>
      </c>
      <c r="K10" s="50"/>
      <c r="L10" s="50"/>
      <c r="M10" s="31" t="s">
        <v>179</v>
      </c>
      <c r="N10" s="50"/>
      <c r="O10" s="50"/>
      <c r="P10" s="31" t="s">
        <v>180</v>
      </c>
      <c r="Q10" s="50"/>
      <c r="R10" s="50"/>
      <c r="S10" s="31" t="s">
        <v>500</v>
      </c>
    </row>
    <row r="11" spans="2:19" x14ac:dyDescent="0.25">
      <c r="B11" s="50"/>
      <c r="C11" s="50" t="s">
        <v>181</v>
      </c>
      <c r="D11" s="50"/>
      <c r="E11" s="50"/>
      <c r="F11" s="50"/>
      <c r="G11" s="32" t="s">
        <v>182</v>
      </c>
      <c r="H11" s="50"/>
      <c r="I11" s="50"/>
      <c r="J11" s="32" t="s">
        <v>183</v>
      </c>
      <c r="K11" s="50"/>
      <c r="L11" s="50"/>
      <c r="M11" s="32" t="s">
        <v>184</v>
      </c>
      <c r="N11" s="50"/>
      <c r="O11" s="50"/>
      <c r="P11" s="32" t="s">
        <v>162</v>
      </c>
      <c r="Q11" s="50"/>
      <c r="R11" s="50"/>
      <c r="S11" s="32" t="s">
        <v>501</v>
      </c>
    </row>
    <row r="12" spans="2:19" x14ac:dyDescent="0.25">
      <c r="B12" s="50" t="s">
        <v>133</v>
      </c>
      <c r="C12" s="50"/>
      <c r="D12" s="50"/>
      <c r="E12" s="50"/>
      <c r="F12" s="50"/>
      <c r="G12" s="102"/>
      <c r="H12" s="102"/>
      <c r="I12" s="102"/>
      <c r="J12" s="102"/>
      <c r="K12" s="102"/>
      <c r="L12" s="102"/>
      <c r="M12" s="102"/>
      <c r="N12" s="102"/>
      <c r="O12" s="102"/>
      <c r="P12" s="102"/>
      <c r="Q12" s="102"/>
      <c r="R12" s="102"/>
      <c r="S12" s="102"/>
    </row>
    <row r="13" spans="2:19" x14ac:dyDescent="0.25">
      <c r="B13" s="50"/>
      <c r="C13" s="50" t="s">
        <v>204</v>
      </c>
      <c r="D13" s="50"/>
      <c r="E13" s="50"/>
      <c r="F13" s="50"/>
      <c r="G13" s="102"/>
      <c r="H13" s="102"/>
      <c r="I13" s="102"/>
      <c r="J13" s="102"/>
      <c r="K13" s="102"/>
      <c r="L13" s="102"/>
      <c r="M13" s="102"/>
      <c r="N13" s="102"/>
      <c r="O13" s="102"/>
      <c r="P13" s="102"/>
      <c r="Q13" s="102"/>
      <c r="R13" s="102"/>
      <c r="S13" s="50"/>
    </row>
    <row r="14" spans="2:19" x14ac:dyDescent="0.25">
      <c r="B14" s="50"/>
      <c r="C14" s="50"/>
      <c r="D14" s="50" t="s">
        <v>185</v>
      </c>
      <c r="E14" s="50"/>
      <c r="F14" s="50"/>
      <c r="G14" s="102"/>
      <c r="H14" s="102"/>
      <c r="I14" s="102"/>
      <c r="J14" s="102"/>
      <c r="K14" s="102"/>
      <c r="L14" s="102"/>
      <c r="M14" s="102"/>
      <c r="N14" s="102"/>
      <c r="O14" s="102"/>
      <c r="P14" s="102"/>
      <c r="Q14" s="102"/>
      <c r="R14" s="102"/>
      <c r="S14" s="50"/>
    </row>
    <row r="15" spans="2:19" x14ac:dyDescent="0.25">
      <c r="B15" s="50"/>
      <c r="C15" s="50"/>
      <c r="D15" s="50" t="s">
        <v>560</v>
      </c>
      <c r="E15" s="50"/>
      <c r="F15" s="31"/>
      <c r="G15" s="284">
        <v>320000</v>
      </c>
      <c r="H15" s="284"/>
      <c r="I15" s="285"/>
      <c r="J15" s="284">
        <v>205000</v>
      </c>
      <c r="K15" s="284"/>
      <c r="L15" s="285"/>
      <c r="M15" s="284">
        <v>115000</v>
      </c>
      <c r="N15" s="284"/>
      <c r="O15" s="285"/>
      <c r="P15" s="284">
        <f>+M15+J15</f>
        <v>320000</v>
      </c>
      <c r="Q15" s="284"/>
      <c r="R15" s="285"/>
      <c r="S15" s="284">
        <f>+P15-G15</f>
        <v>0</v>
      </c>
    </row>
    <row r="16" spans="2:19" x14ac:dyDescent="0.25">
      <c r="B16" s="50"/>
      <c r="C16" s="50"/>
      <c r="D16" s="50"/>
      <c r="E16" s="50"/>
      <c r="F16" s="50"/>
      <c r="G16" s="102"/>
      <c r="H16" s="102"/>
      <c r="I16" s="102"/>
      <c r="J16" s="102"/>
      <c r="K16" s="102"/>
      <c r="L16" s="102"/>
      <c r="M16" s="102"/>
      <c r="N16" s="102"/>
      <c r="O16" s="102"/>
      <c r="P16" s="102"/>
      <c r="Q16" s="102"/>
      <c r="R16" s="102"/>
      <c r="S16" s="102"/>
    </row>
    <row r="17" spans="2:19" x14ac:dyDescent="0.25">
      <c r="B17" s="50" t="s">
        <v>134</v>
      </c>
      <c r="C17" s="50"/>
      <c r="D17" s="50"/>
      <c r="E17" s="50"/>
      <c r="F17" s="50"/>
      <c r="G17" s="102"/>
      <c r="H17" s="102"/>
      <c r="I17" s="102"/>
      <c r="J17" s="102"/>
      <c r="K17" s="102"/>
      <c r="L17" s="102"/>
      <c r="M17" s="102"/>
      <c r="N17" s="102"/>
      <c r="O17" s="102"/>
      <c r="P17" s="102"/>
      <c r="Q17" s="102"/>
      <c r="R17" s="102"/>
      <c r="S17" s="102"/>
    </row>
    <row r="18" spans="2:19" x14ac:dyDescent="0.25">
      <c r="B18" s="50" t="s">
        <v>171</v>
      </c>
      <c r="C18" s="50"/>
      <c r="D18" s="50"/>
      <c r="E18" s="50"/>
      <c r="F18" s="50"/>
      <c r="G18" s="50"/>
      <c r="H18" s="50"/>
      <c r="I18" s="50"/>
      <c r="J18" s="50"/>
      <c r="K18" s="50"/>
      <c r="L18" s="50"/>
      <c r="M18" s="50"/>
      <c r="N18" s="50"/>
      <c r="O18" s="50"/>
      <c r="P18" s="50"/>
      <c r="Q18" s="50"/>
      <c r="R18" s="50"/>
      <c r="S18" s="50"/>
    </row>
    <row r="19" spans="2:19" x14ac:dyDescent="0.25">
      <c r="B19" s="50"/>
      <c r="C19" s="50" t="s">
        <v>186</v>
      </c>
      <c r="D19" s="50"/>
      <c r="E19" s="50"/>
      <c r="F19" s="50"/>
      <c r="G19" s="102"/>
      <c r="H19" s="102"/>
      <c r="I19" s="102"/>
      <c r="J19" s="102"/>
      <c r="K19" s="102"/>
      <c r="L19" s="102"/>
      <c r="M19" s="102"/>
      <c r="N19" s="102"/>
      <c r="O19" s="102"/>
      <c r="P19" s="102"/>
      <c r="Q19" s="102"/>
      <c r="R19" s="102"/>
      <c r="S19" s="102"/>
    </row>
    <row r="20" spans="2:19" x14ac:dyDescent="0.25">
      <c r="B20" s="50"/>
      <c r="C20" s="50" t="s">
        <v>187</v>
      </c>
      <c r="D20" s="50"/>
      <c r="E20" s="50"/>
      <c r="F20" s="50"/>
      <c r="G20" s="50"/>
      <c r="H20" s="50"/>
      <c r="I20" s="50"/>
      <c r="J20" s="50"/>
      <c r="K20" s="50"/>
      <c r="L20" s="50"/>
      <c r="M20" s="50"/>
      <c r="N20" s="50"/>
      <c r="O20" s="50"/>
      <c r="P20" s="50"/>
      <c r="Q20" s="50"/>
      <c r="R20" s="50"/>
      <c r="S20" s="50"/>
    </row>
    <row r="21" spans="2:19" x14ac:dyDescent="0.25">
      <c r="B21" s="50"/>
      <c r="C21" s="50"/>
      <c r="D21" s="50" t="s">
        <v>87</v>
      </c>
      <c r="E21" s="50"/>
      <c r="F21" s="50"/>
      <c r="G21" s="102">
        <v>5100</v>
      </c>
      <c r="H21" s="102"/>
      <c r="I21" s="102"/>
      <c r="J21" s="102">
        <v>3241</v>
      </c>
      <c r="K21" s="102"/>
      <c r="L21" s="102"/>
      <c r="M21" s="102">
        <v>1859</v>
      </c>
      <c r="N21" s="102"/>
      <c r="O21" s="102"/>
      <c r="P21" s="102">
        <f>+M21+J21</f>
        <v>5100</v>
      </c>
      <c r="Q21" s="102"/>
      <c r="R21" s="102"/>
      <c r="S21" s="102">
        <f>+G21-P21</f>
        <v>0</v>
      </c>
    </row>
    <row r="22" spans="2:19" x14ac:dyDescent="0.25">
      <c r="B22" s="50"/>
      <c r="C22" s="50"/>
      <c r="D22" s="50" t="s">
        <v>188</v>
      </c>
      <c r="E22" s="50"/>
      <c r="F22" s="50"/>
      <c r="G22" s="102">
        <v>80600</v>
      </c>
      <c r="H22" s="102"/>
      <c r="I22" s="102"/>
      <c r="J22" s="102">
        <v>54002</v>
      </c>
      <c r="K22" s="102"/>
      <c r="L22" s="102"/>
      <c r="M22" s="102">
        <v>26598</v>
      </c>
      <c r="N22" s="102"/>
      <c r="O22" s="102"/>
      <c r="P22" s="102">
        <f>+M22+J22</f>
        <v>80600</v>
      </c>
      <c r="Q22" s="102"/>
      <c r="R22" s="102"/>
      <c r="S22" s="102">
        <f>+G22-P22</f>
        <v>0</v>
      </c>
    </row>
    <row r="23" spans="2:19" x14ac:dyDescent="0.25">
      <c r="B23" s="50"/>
      <c r="C23" s="50"/>
      <c r="D23" s="50" t="s">
        <v>189</v>
      </c>
      <c r="E23" s="50"/>
      <c r="F23" s="50"/>
      <c r="G23" s="102">
        <v>156500</v>
      </c>
      <c r="H23" s="102"/>
      <c r="I23" s="102"/>
      <c r="J23" s="102">
        <f>77498+16503</f>
        <v>94001</v>
      </c>
      <c r="K23" s="102"/>
      <c r="L23" s="102"/>
      <c r="M23" s="102">
        <f>61602+17400-16503</f>
        <v>62499</v>
      </c>
      <c r="N23" s="102"/>
      <c r="O23" s="102"/>
      <c r="P23" s="102">
        <f>+M23+J23</f>
        <v>156500</v>
      </c>
      <c r="Q23" s="102"/>
      <c r="R23" s="102"/>
      <c r="S23" s="102">
        <f>+G23-P23</f>
        <v>0</v>
      </c>
    </row>
    <row r="24" spans="2:19" x14ac:dyDescent="0.25">
      <c r="B24" s="50"/>
      <c r="C24" s="50"/>
      <c r="D24" s="50" t="s">
        <v>190</v>
      </c>
      <c r="E24" s="50"/>
      <c r="F24" s="50"/>
      <c r="G24" s="102">
        <v>71900</v>
      </c>
      <c r="H24" s="102"/>
      <c r="I24" s="102"/>
      <c r="J24" s="102">
        <v>48196</v>
      </c>
      <c r="K24" s="102"/>
      <c r="L24" s="102"/>
      <c r="M24" s="102">
        <v>23704</v>
      </c>
      <c r="N24" s="102"/>
      <c r="O24" s="102"/>
      <c r="P24" s="102">
        <f>+M24+J24</f>
        <v>71900</v>
      </c>
      <c r="Q24" s="102"/>
      <c r="R24" s="102"/>
      <c r="S24" s="102">
        <f>+G24-P24</f>
        <v>0</v>
      </c>
    </row>
    <row r="25" spans="2:19" x14ac:dyDescent="0.25">
      <c r="B25" s="50"/>
      <c r="C25" s="50"/>
      <c r="D25" s="50" t="s">
        <v>191</v>
      </c>
      <c r="E25" s="50"/>
      <c r="F25" s="50"/>
      <c r="G25" s="94">
        <v>5900</v>
      </c>
      <c r="H25" s="102"/>
      <c r="I25" s="102"/>
      <c r="J25" s="94">
        <v>5560</v>
      </c>
      <c r="K25" s="102"/>
      <c r="L25" s="102"/>
      <c r="M25" s="94">
        <v>340</v>
      </c>
      <c r="N25" s="102"/>
      <c r="O25" s="102"/>
      <c r="P25" s="113">
        <f>+M25+J25</f>
        <v>5900</v>
      </c>
      <c r="Q25" s="102"/>
      <c r="R25" s="102"/>
      <c r="S25" s="113">
        <f>+G25-P25</f>
        <v>0</v>
      </c>
    </row>
    <row r="26" spans="2:19" x14ac:dyDescent="0.25">
      <c r="B26" s="50"/>
      <c r="C26" s="50"/>
      <c r="D26" s="50"/>
      <c r="E26" s="50" t="s">
        <v>39</v>
      </c>
      <c r="F26" s="50"/>
      <c r="G26" s="94">
        <f>SUM(G21:G25)</f>
        <v>320000</v>
      </c>
      <c r="H26" s="102"/>
      <c r="I26" s="102"/>
      <c r="J26" s="94">
        <f>SUM(J21:J25)</f>
        <v>205000</v>
      </c>
      <c r="K26" s="102"/>
      <c r="L26" s="102"/>
      <c r="M26" s="94">
        <f>SUM(M21:M25)</f>
        <v>115000</v>
      </c>
      <c r="N26" s="102"/>
      <c r="O26" s="102"/>
      <c r="P26" s="94">
        <f>SUM(P21:P25)</f>
        <v>320000</v>
      </c>
      <c r="Q26" s="102"/>
      <c r="R26" s="102"/>
      <c r="S26" s="94">
        <f>SUM(S21:S25)</f>
        <v>0</v>
      </c>
    </row>
    <row r="27" spans="2:19" x14ac:dyDescent="0.25">
      <c r="B27" s="50"/>
      <c r="C27" s="50"/>
      <c r="D27" s="50"/>
      <c r="E27" s="50"/>
      <c r="F27" s="50"/>
      <c r="G27" s="50"/>
      <c r="H27" s="50"/>
      <c r="I27" s="50"/>
      <c r="J27" s="102"/>
      <c r="K27" s="102"/>
      <c r="L27" s="102"/>
      <c r="M27" s="102"/>
      <c r="N27" s="102"/>
      <c r="O27" s="102"/>
      <c r="P27" s="102"/>
      <c r="Q27" s="102"/>
      <c r="R27" s="102"/>
      <c r="S27" s="102"/>
    </row>
    <row r="28" spans="2:19" ht="13.8" thickBot="1" x14ac:dyDescent="0.3">
      <c r="B28" s="50" t="s">
        <v>192</v>
      </c>
      <c r="C28" s="50"/>
      <c r="D28" s="50"/>
      <c r="E28" s="50"/>
      <c r="F28" s="31"/>
      <c r="G28" s="122">
        <f>+G15-G26</f>
        <v>0</v>
      </c>
      <c r="H28" s="286"/>
      <c r="I28" s="287"/>
      <c r="J28" s="122">
        <f>+J15-J26</f>
        <v>0</v>
      </c>
      <c r="K28" s="50"/>
      <c r="L28" s="50"/>
      <c r="M28" s="102">
        <f>+M15-M26</f>
        <v>0</v>
      </c>
      <c r="N28" s="50"/>
      <c r="O28" s="31"/>
      <c r="P28" s="122">
        <f>+P15-P26</f>
        <v>0</v>
      </c>
      <c r="Q28" s="286"/>
      <c r="R28" s="287"/>
      <c r="S28" s="122">
        <f>+S15-S26</f>
        <v>0</v>
      </c>
    </row>
    <row r="29" spans="2:19" ht="13.8" thickTop="1" x14ac:dyDescent="0.25">
      <c r="B29" s="50"/>
      <c r="C29" s="50"/>
      <c r="D29" s="50"/>
      <c r="E29" s="50"/>
      <c r="F29" s="50"/>
      <c r="G29" s="102"/>
      <c r="H29" s="102"/>
      <c r="I29" s="102"/>
      <c r="J29" s="102"/>
      <c r="K29" s="102"/>
      <c r="L29" s="102"/>
      <c r="M29" s="102"/>
      <c r="N29" s="102"/>
      <c r="O29" s="102"/>
      <c r="P29" s="102"/>
      <c r="Q29" s="102"/>
      <c r="R29" s="102"/>
      <c r="S29" s="102"/>
    </row>
    <row r="30" spans="2:19" x14ac:dyDescent="0.25">
      <c r="B30" s="50" t="s">
        <v>529</v>
      </c>
      <c r="C30" s="50"/>
      <c r="D30" s="50"/>
      <c r="E30" s="50"/>
      <c r="F30" s="50"/>
      <c r="G30" s="102"/>
      <c r="H30" s="102"/>
      <c r="I30" s="102"/>
      <c r="J30" s="50"/>
      <c r="K30" s="102"/>
      <c r="L30" s="102"/>
      <c r="M30" s="115">
        <v>0</v>
      </c>
      <c r="N30" s="102"/>
      <c r="O30" s="102"/>
      <c r="P30" s="102"/>
      <c r="Q30" s="102"/>
      <c r="R30" s="102"/>
      <c r="S30" s="102"/>
    </row>
    <row r="31" spans="2:19" ht="13.8" thickBot="1" x14ac:dyDescent="0.3">
      <c r="B31" s="50" t="s">
        <v>530</v>
      </c>
      <c r="C31" s="50"/>
      <c r="D31" s="50"/>
      <c r="E31" s="50"/>
      <c r="F31" s="50"/>
      <c r="G31" s="102"/>
      <c r="H31" s="102"/>
      <c r="I31" s="102"/>
      <c r="J31" s="102"/>
      <c r="K31" s="102"/>
      <c r="L31" s="288"/>
      <c r="M31" s="289">
        <f>+M30+M28</f>
        <v>0</v>
      </c>
      <c r="N31" s="102"/>
      <c r="O31" s="102"/>
      <c r="P31" s="102"/>
      <c r="Q31" s="102"/>
      <c r="R31" s="102"/>
      <c r="S31" s="102"/>
    </row>
    <row r="32" spans="2:19" ht="13.8" thickTop="1" x14ac:dyDescent="0.25">
      <c r="B32" s="50"/>
      <c r="C32" s="50"/>
      <c r="D32" s="50"/>
      <c r="E32" s="50"/>
      <c r="F32" s="50"/>
      <c r="G32" s="102"/>
      <c r="H32" s="102"/>
      <c r="I32" s="102"/>
      <c r="J32" s="102"/>
      <c r="K32" s="102"/>
      <c r="L32" s="102"/>
      <c r="M32" s="102"/>
      <c r="N32" s="102"/>
      <c r="O32" s="102"/>
      <c r="P32" s="102"/>
      <c r="Q32" s="102"/>
      <c r="R32" s="102"/>
      <c r="S32" s="93"/>
    </row>
    <row r="33" spans="2:19" ht="13.8" thickBot="1" x14ac:dyDescent="0.3">
      <c r="B33" s="362"/>
      <c r="C33" s="362"/>
      <c r="D33" s="362"/>
      <c r="E33" s="362"/>
      <c r="F33" s="362"/>
      <c r="G33" s="363"/>
      <c r="H33" s="363"/>
      <c r="I33" s="363"/>
      <c r="J33" s="363"/>
      <c r="K33" s="363"/>
      <c r="L33" s="363"/>
      <c r="M33" s="363"/>
      <c r="N33" s="363"/>
      <c r="O33" s="363"/>
      <c r="P33" s="363"/>
      <c r="Q33" s="363"/>
      <c r="R33" s="102"/>
      <c r="S33" s="93"/>
    </row>
    <row r="34" spans="2:19" ht="13.2" customHeight="1" x14ac:dyDescent="0.25">
      <c r="B34" s="364"/>
      <c r="C34" s="1028" t="s">
        <v>805</v>
      </c>
      <c r="D34" s="960"/>
      <c r="E34" s="960"/>
      <c r="F34" s="960"/>
      <c r="G34" s="960"/>
      <c r="H34" s="960"/>
      <c r="I34" s="960"/>
      <c r="J34" s="960"/>
      <c r="K34" s="960"/>
      <c r="L34" s="960"/>
      <c r="M34" s="960"/>
      <c r="N34" s="960"/>
      <c r="O34" s="960"/>
      <c r="P34" s="960"/>
      <c r="Q34" s="960"/>
      <c r="R34" s="960"/>
      <c r="S34" s="961"/>
    </row>
    <row r="35" spans="2:19" ht="13.2" customHeight="1" x14ac:dyDescent="0.25">
      <c r="B35" s="365"/>
      <c r="C35" s="962"/>
      <c r="D35" s="963"/>
      <c r="E35" s="963"/>
      <c r="F35" s="963"/>
      <c r="G35" s="963"/>
      <c r="H35" s="963"/>
      <c r="I35" s="963"/>
      <c r="J35" s="963"/>
      <c r="K35" s="963"/>
      <c r="L35" s="963"/>
      <c r="M35" s="963"/>
      <c r="N35" s="963"/>
      <c r="O35" s="963"/>
      <c r="P35" s="963"/>
      <c r="Q35" s="963"/>
      <c r="R35" s="963"/>
      <c r="S35" s="964"/>
    </row>
    <row r="36" spans="2:19" x14ac:dyDescent="0.25">
      <c r="B36" s="365"/>
      <c r="C36" s="962"/>
      <c r="D36" s="963"/>
      <c r="E36" s="963"/>
      <c r="F36" s="963"/>
      <c r="G36" s="963"/>
      <c r="H36" s="963"/>
      <c r="I36" s="963"/>
      <c r="J36" s="963"/>
      <c r="K36" s="963"/>
      <c r="L36" s="963"/>
      <c r="M36" s="963"/>
      <c r="N36" s="963"/>
      <c r="O36" s="963"/>
      <c r="P36" s="963"/>
      <c r="Q36" s="963"/>
      <c r="R36" s="963"/>
      <c r="S36" s="964"/>
    </row>
    <row r="37" spans="2:19" x14ac:dyDescent="0.25">
      <c r="B37" s="365"/>
      <c r="C37" s="962"/>
      <c r="D37" s="963"/>
      <c r="E37" s="963"/>
      <c r="F37" s="963"/>
      <c r="G37" s="963"/>
      <c r="H37" s="963"/>
      <c r="I37" s="963"/>
      <c r="J37" s="963"/>
      <c r="K37" s="963"/>
      <c r="L37" s="963"/>
      <c r="M37" s="963"/>
      <c r="N37" s="963"/>
      <c r="O37" s="963"/>
      <c r="P37" s="963"/>
      <c r="Q37" s="963"/>
      <c r="R37" s="963"/>
      <c r="S37" s="964"/>
    </row>
    <row r="38" spans="2:19" x14ac:dyDescent="0.25">
      <c r="B38" s="365"/>
      <c r="C38" s="962"/>
      <c r="D38" s="963"/>
      <c r="E38" s="963"/>
      <c r="F38" s="963"/>
      <c r="G38" s="963"/>
      <c r="H38" s="963"/>
      <c r="I38" s="963"/>
      <c r="J38" s="963"/>
      <c r="K38" s="963"/>
      <c r="L38" s="963"/>
      <c r="M38" s="963"/>
      <c r="N38" s="963"/>
      <c r="O38" s="963"/>
      <c r="P38" s="963"/>
      <c r="Q38" s="963"/>
      <c r="R38" s="963"/>
      <c r="S38" s="964"/>
    </row>
    <row r="39" spans="2:19" x14ac:dyDescent="0.25">
      <c r="B39" s="365"/>
      <c r="C39" s="962"/>
      <c r="D39" s="963"/>
      <c r="E39" s="963"/>
      <c r="F39" s="963"/>
      <c r="G39" s="963"/>
      <c r="H39" s="963"/>
      <c r="I39" s="963"/>
      <c r="J39" s="963"/>
      <c r="K39" s="963"/>
      <c r="L39" s="963"/>
      <c r="M39" s="963"/>
      <c r="N39" s="963"/>
      <c r="O39" s="963"/>
      <c r="P39" s="963"/>
      <c r="Q39" s="963"/>
      <c r="R39" s="963"/>
      <c r="S39" s="964"/>
    </row>
    <row r="40" spans="2:19" ht="13.8" thickBot="1" x14ac:dyDescent="0.3">
      <c r="B40" s="361"/>
      <c r="C40" s="965"/>
      <c r="D40" s="966"/>
      <c r="E40" s="966"/>
      <c r="F40" s="966"/>
      <c r="G40" s="966"/>
      <c r="H40" s="966"/>
      <c r="I40" s="966"/>
      <c r="J40" s="966"/>
      <c r="K40" s="966"/>
      <c r="L40" s="966"/>
      <c r="M40" s="966"/>
      <c r="N40" s="966"/>
      <c r="O40" s="966"/>
      <c r="P40" s="966"/>
      <c r="Q40" s="966"/>
      <c r="R40" s="966"/>
      <c r="S40" s="967"/>
    </row>
    <row r="41" spans="2:19" x14ac:dyDescent="0.25">
      <c r="Q41" s="161"/>
      <c r="R41" s="161"/>
    </row>
    <row r="42" spans="2:19" x14ac:dyDescent="0.25">
      <c r="Q42" s="161"/>
      <c r="R42" s="161"/>
    </row>
    <row r="43" spans="2:19" x14ac:dyDescent="0.25">
      <c r="Q43" s="161"/>
      <c r="R43" s="161"/>
    </row>
    <row r="45" spans="2:19" x14ac:dyDescent="0.25">
      <c r="C45" s="161"/>
      <c r="D45" s="161"/>
      <c r="E45" s="161"/>
      <c r="F45" s="161"/>
      <c r="G45" s="161"/>
      <c r="H45" s="161"/>
      <c r="I45" s="161"/>
      <c r="J45" s="161"/>
      <c r="K45" s="161"/>
      <c r="L45" s="161"/>
    </row>
    <row r="46" spans="2:19" x14ac:dyDescent="0.25">
      <c r="B46" s="161"/>
      <c r="C46" s="161"/>
      <c r="D46" s="347"/>
      <c r="E46" s="360"/>
      <c r="F46" s="360"/>
      <c r="G46" s="360"/>
      <c r="H46" s="360"/>
      <c r="I46" s="360"/>
      <c r="J46" s="360"/>
      <c r="K46" s="360"/>
      <c r="L46" s="161"/>
    </row>
    <row r="47" spans="2:19" x14ac:dyDescent="0.25">
      <c r="B47" s="161"/>
      <c r="C47" s="161"/>
      <c r="D47" s="360"/>
      <c r="E47" s="360"/>
      <c r="F47" s="360"/>
      <c r="G47" s="360"/>
      <c r="H47" s="360"/>
      <c r="I47" s="360"/>
      <c r="J47" s="360"/>
      <c r="K47" s="360"/>
      <c r="L47" s="161"/>
    </row>
    <row r="48" spans="2:19" x14ac:dyDescent="0.25">
      <c r="B48" s="161"/>
      <c r="C48" s="161"/>
      <c r="D48" s="360"/>
      <c r="E48" s="360"/>
      <c r="F48" s="360"/>
      <c r="G48" s="360"/>
      <c r="H48" s="360"/>
      <c r="I48" s="360"/>
      <c r="J48" s="360"/>
      <c r="K48" s="360"/>
      <c r="L48" s="161"/>
    </row>
    <row r="49" spans="2:12" x14ac:dyDescent="0.25">
      <c r="B49" s="161"/>
      <c r="C49" s="161"/>
      <c r="D49" s="360"/>
      <c r="E49" s="360"/>
      <c r="F49" s="360"/>
      <c r="G49" s="360"/>
      <c r="H49" s="360"/>
      <c r="I49" s="360"/>
      <c r="J49" s="360"/>
      <c r="K49" s="360"/>
      <c r="L49" s="161"/>
    </row>
    <row r="50" spans="2:12" x14ac:dyDescent="0.25">
      <c r="B50" s="161"/>
      <c r="C50" s="161"/>
      <c r="D50" s="361"/>
      <c r="E50" s="361"/>
      <c r="F50" s="361"/>
      <c r="G50" s="361"/>
      <c r="H50" s="361"/>
      <c r="I50" s="361"/>
      <c r="J50" s="361"/>
      <c r="K50" s="361"/>
      <c r="L50" s="161"/>
    </row>
  </sheetData>
  <customSheetViews>
    <customSheetView guid="{AB48C5D7-99F4-4378-A0F9-05018B348977}">
      <selection activeCell="B39" sqref="B39"/>
      <pageMargins left="0.75" right="0.75" top="1" bottom="1" header="0.5" footer="0.5"/>
      <pageSetup scale="79" firstPageNumber="101" orientation="portrait" useFirstPageNumber="1" r:id="rId1"/>
      <headerFooter alignWithMargins="0"/>
    </customSheetView>
  </customSheetViews>
  <mergeCells count="1">
    <mergeCell ref="C34:S40"/>
  </mergeCells>
  <phoneticPr fontId="0" type="noConversion"/>
  <printOptions horizontalCentered="1"/>
  <pageMargins left="0.6" right="0.6" top="0.75" bottom="0.75" header="0.3" footer="0.3"/>
  <pageSetup scale="94" firstPageNumber="101"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FF00"/>
  </sheetPr>
  <dimension ref="B2:J38"/>
  <sheetViews>
    <sheetView workbookViewId="0"/>
  </sheetViews>
  <sheetFormatPr defaultColWidth="9.109375" defaultRowHeight="13.2" x14ac:dyDescent="0.25"/>
  <cols>
    <col min="1" max="1" width="9.109375" style="538"/>
    <col min="2" max="2" width="3.109375" style="538" customWidth="1"/>
    <col min="3" max="3" width="3.88671875" style="538" customWidth="1"/>
    <col min="4" max="4" width="3" style="538" customWidth="1"/>
    <col min="5" max="5" width="37.44140625" style="538" customWidth="1"/>
    <col min="6" max="6" width="9.109375" style="538"/>
    <col min="7" max="7" width="2.5546875" style="538" customWidth="1"/>
    <col min="8" max="8" width="9.109375" style="538"/>
    <col min="9" max="9" width="2.88671875" style="538" customWidth="1"/>
    <col min="10" max="16384" width="9.109375" style="538"/>
  </cols>
  <sheetData>
    <row r="2" spans="2:10" x14ac:dyDescent="0.25">
      <c r="B2" s="1058" t="s">
        <v>142</v>
      </c>
      <c r="C2" s="1058"/>
      <c r="D2" s="1058"/>
      <c r="E2" s="1058"/>
      <c r="F2" s="1058"/>
      <c r="G2" s="1058"/>
      <c r="H2" s="1058"/>
      <c r="I2" s="1058"/>
      <c r="J2" s="1058"/>
    </row>
    <row r="3" spans="2:10" x14ac:dyDescent="0.25">
      <c r="B3" s="1058" t="s">
        <v>824</v>
      </c>
      <c r="C3" s="1058"/>
      <c r="D3" s="1058"/>
      <c r="E3" s="1058"/>
      <c r="F3" s="1058"/>
      <c r="G3" s="1058"/>
      <c r="H3" s="1058"/>
      <c r="I3" s="1058"/>
      <c r="J3" s="1058"/>
    </row>
    <row r="4" spans="2:10" x14ac:dyDescent="0.25">
      <c r="B4" s="1058" t="s">
        <v>734</v>
      </c>
      <c r="C4" s="1058"/>
      <c r="D4" s="1058"/>
      <c r="E4" s="1058"/>
      <c r="F4" s="1058"/>
      <c r="G4" s="1058"/>
      <c r="H4" s="1058"/>
      <c r="I4" s="1058"/>
      <c r="J4" s="1058"/>
    </row>
    <row r="5" spans="2:10" x14ac:dyDescent="0.25">
      <c r="B5" s="1058" t="s">
        <v>173</v>
      </c>
      <c r="C5" s="1058"/>
      <c r="D5" s="1058"/>
      <c r="E5" s="1058"/>
      <c r="F5" s="1058"/>
      <c r="G5" s="1058"/>
      <c r="H5" s="1058"/>
      <c r="I5" s="1058"/>
      <c r="J5" s="1058"/>
    </row>
    <row r="6" spans="2:10" x14ac:dyDescent="0.25">
      <c r="B6" s="1058" t="s">
        <v>858</v>
      </c>
      <c r="C6" s="1058"/>
      <c r="D6" s="1058"/>
      <c r="E6" s="1058"/>
      <c r="F6" s="1058"/>
      <c r="G6" s="1058"/>
      <c r="H6" s="1058"/>
      <c r="I6" s="1058"/>
      <c r="J6" s="1058"/>
    </row>
    <row r="7" spans="2:10" x14ac:dyDescent="0.25">
      <c r="B7" s="1058"/>
      <c r="C7" s="1058"/>
      <c r="D7" s="1058"/>
      <c r="E7" s="1058"/>
      <c r="F7" s="1058"/>
      <c r="G7" s="1058"/>
      <c r="H7" s="1058"/>
      <c r="I7" s="1058"/>
      <c r="J7" s="1058"/>
    </row>
    <row r="8" spans="2:10" ht="13.8" thickBot="1" x14ac:dyDescent="0.3">
      <c r="B8" s="753"/>
      <c r="C8" s="753"/>
      <c r="D8" s="753"/>
      <c r="E8" s="753"/>
      <c r="F8" s="753"/>
      <c r="G8" s="754"/>
      <c r="H8" s="754"/>
      <c r="I8" s="754"/>
      <c r="J8" s="754"/>
    </row>
    <row r="9" spans="2:10" x14ac:dyDescent="0.25">
      <c r="B9" s="487"/>
      <c r="C9" s="487"/>
      <c r="D9" s="487"/>
      <c r="E9" s="487"/>
      <c r="F9" s="487"/>
      <c r="G9" s="755"/>
      <c r="H9" s="755"/>
      <c r="I9" s="755"/>
      <c r="J9" s="756" t="s">
        <v>176</v>
      </c>
    </row>
    <row r="10" spans="2:10" x14ac:dyDescent="0.25">
      <c r="B10" s="487"/>
      <c r="C10" s="487"/>
      <c r="D10" s="487"/>
      <c r="E10" s="487"/>
      <c r="F10" s="490" t="s">
        <v>129</v>
      </c>
      <c r="G10" s="755"/>
      <c r="H10" s="755"/>
      <c r="I10" s="755"/>
      <c r="J10" s="756" t="s">
        <v>500</v>
      </c>
    </row>
    <row r="11" spans="2:10" x14ac:dyDescent="0.25">
      <c r="B11" s="487"/>
      <c r="C11" s="492" t="s">
        <v>181</v>
      </c>
      <c r="D11" s="487"/>
      <c r="E11" s="487"/>
      <c r="F11" s="493" t="s">
        <v>194</v>
      </c>
      <c r="G11" s="755"/>
      <c r="H11" s="757" t="s">
        <v>175</v>
      </c>
      <c r="I11" s="755"/>
      <c r="J11" s="757" t="s">
        <v>501</v>
      </c>
    </row>
    <row r="12" spans="2:10" x14ac:dyDescent="0.25">
      <c r="B12" s="492" t="s">
        <v>133</v>
      </c>
      <c r="C12" s="487"/>
      <c r="D12" s="487"/>
      <c r="E12" s="487"/>
      <c r="F12" s="487"/>
      <c r="G12" s="755"/>
      <c r="H12" s="755"/>
      <c r="I12" s="755"/>
      <c r="J12" s="755"/>
    </row>
    <row r="13" spans="2:10" x14ac:dyDescent="0.25">
      <c r="B13" s="487"/>
      <c r="C13" s="492" t="s">
        <v>73</v>
      </c>
      <c r="D13" s="487"/>
      <c r="E13" s="487"/>
      <c r="F13" s="497"/>
      <c r="G13" s="758"/>
      <c r="H13" s="758"/>
      <c r="I13" s="758"/>
      <c r="J13" s="758"/>
    </row>
    <row r="14" spans="2:10" x14ac:dyDescent="0.25">
      <c r="B14" s="487"/>
      <c r="C14" s="487"/>
      <c r="D14" s="492" t="s">
        <v>817</v>
      </c>
      <c r="E14" s="487"/>
      <c r="F14" s="759">
        <v>4000</v>
      </c>
      <c r="G14" s="760"/>
      <c r="H14" s="760">
        <v>3935</v>
      </c>
      <c r="I14" s="760"/>
      <c r="J14" s="760">
        <f>H14-F14</f>
        <v>-65</v>
      </c>
    </row>
    <row r="15" spans="2:10" x14ac:dyDescent="0.25">
      <c r="B15" s="487"/>
      <c r="C15" s="487"/>
      <c r="D15" s="487"/>
      <c r="E15" s="492" t="s">
        <v>32</v>
      </c>
      <c r="F15" s="507">
        <f>SUM(F14:F14)</f>
        <v>4000</v>
      </c>
      <c r="G15" s="758"/>
      <c r="H15" s="507">
        <f>SUM(H14:H14)</f>
        <v>3935</v>
      </c>
      <c r="I15" s="758"/>
      <c r="J15" s="507">
        <f>SUM(J14:J14)</f>
        <v>-65</v>
      </c>
    </row>
    <row r="16" spans="2:10" x14ac:dyDescent="0.25">
      <c r="B16" s="487"/>
      <c r="C16" s="487"/>
      <c r="D16" s="487"/>
      <c r="E16" s="487"/>
      <c r="F16" s="497"/>
      <c r="G16" s="758"/>
      <c r="H16" s="758"/>
    </row>
    <row r="17" spans="2:10" x14ac:dyDescent="0.25">
      <c r="B17" s="492" t="s">
        <v>134</v>
      </c>
      <c r="C17" s="487"/>
      <c r="D17" s="487"/>
      <c r="E17" s="487"/>
      <c r="F17" s="497"/>
      <c r="G17" s="758"/>
      <c r="H17" s="758"/>
      <c r="I17" s="758"/>
      <c r="J17" s="758"/>
    </row>
    <row r="18" spans="2:10" x14ac:dyDescent="0.25">
      <c r="B18" s="487"/>
      <c r="C18" s="492" t="s">
        <v>34</v>
      </c>
      <c r="D18" s="487"/>
      <c r="E18" s="487"/>
      <c r="F18" s="487"/>
      <c r="G18" s="755"/>
      <c r="H18" s="755"/>
      <c r="I18" s="755"/>
      <c r="J18" s="755"/>
    </row>
    <row r="19" spans="2:10" x14ac:dyDescent="0.25">
      <c r="B19" s="487"/>
      <c r="C19" s="492" t="s">
        <v>818</v>
      </c>
      <c r="D19" s="487"/>
      <c r="E19" s="487"/>
      <c r="F19" s="497"/>
      <c r="G19" s="758"/>
      <c r="H19" s="758"/>
      <c r="I19" s="758"/>
      <c r="J19" s="758"/>
    </row>
    <row r="20" spans="2:10" x14ac:dyDescent="0.25">
      <c r="B20" s="487"/>
      <c r="C20" s="487"/>
      <c r="D20" s="492" t="s">
        <v>819</v>
      </c>
      <c r="E20" s="487"/>
      <c r="F20" s="497"/>
      <c r="G20" s="758"/>
      <c r="H20" s="758"/>
      <c r="I20" s="758"/>
      <c r="J20" s="761"/>
    </row>
    <row r="21" spans="2:10" x14ac:dyDescent="0.25">
      <c r="B21" s="487"/>
      <c r="C21" s="487"/>
      <c r="D21" s="492"/>
      <c r="E21" s="487" t="s">
        <v>820</v>
      </c>
      <c r="F21" s="762">
        <v>4000</v>
      </c>
      <c r="G21" s="758"/>
      <c r="H21" s="763">
        <v>2095</v>
      </c>
      <c r="I21" s="758"/>
      <c r="J21" s="764">
        <f>F21-H21</f>
        <v>1905</v>
      </c>
    </row>
    <row r="22" spans="2:10" x14ac:dyDescent="0.25">
      <c r="B22" s="487"/>
      <c r="C22" s="487"/>
      <c r="D22" s="487"/>
      <c r="E22" s="492" t="s">
        <v>39</v>
      </c>
      <c r="F22" s="762">
        <f>SUM(F20:F21)</f>
        <v>4000</v>
      </c>
      <c r="G22" s="758"/>
      <c r="H22" s="762">
        <f>SUM(H20:H21)</f>
        <v>2095</v>
      </c>
      <c r="I22" s="758"/>
      <c r="J22" s="762">
        <f>SUM(J20:J21)</f>
        <v>1905</v>
      </c>
    </row>
    <row r="23" spans="2:10" x14ac:dyDescent="0.25">
      <c r="B23" s="487"/>
      <c r="C23" s="487"/>
      <c r="D23" s="487"/>
      <c r="E23" s="487"/>
      <c r="F23" s="497"/>
      <c r="G23" s="758"/>
      <c r="H23" s="758"/>
      <c r="I23" s="758"/>
      <c r="J23" s="497"/>
    </row>
    <row r="24" spans="2:10" ht="13.8" thickBot="1" x14ac:dyDescent="0.3">
      <c r="B24" s="492" t="s">
        <v>77</v>
      </c>
      <c r="C24" s="487"/>
      <c r="D24" s="487"/>
      <c r="E24" s="487"/>
      <c r="F24" s="765">
        <f>F15-F22</f>
        <v>0</v>
      </c>
      <c r="G24" s="758"/>
      <c r="H24" s="497">
        <f>H15-H22</f>
        <v>1840</v>
      </c>
      <c r="I24" s="758"/>
      <c r="J24" s="766">
        <f>H24-F24</f>
        <v>1840</v>
      </c>
    </row>
    <row r="25" spans="2:10" ht="13.8" thickTop="1" x14ac:dyDescent="0.25">
      <c r="B25" s="487"/>
      <c r="C25" s="487"/>
      <c r="D25" s="487"/>
      <c r="E25" s="487"/>
      <c r="F25" s="497"/>
      <c r="G25" s="758"/>
      <c r="H25" s="758"/>
      <c r="I25" s="758"/>
      <c r="J25" s="758"/>
    </row>
    <row r="26" spans="2:10" x14ac:dyDescent="0.25">
      <c r="B26" s="492" t="s">
        <v>821</v>
      </c>
      <c r="C26" s="492"/>
      <c r="D26" s="487"/>
      <c r="E26" s="487"/>
      <c r="F26" s="497"/>
      <c r="G26" s="758"/>
      <c r="H26" s="767">
        <v>0</v>
      </c>
      <c r="I26" s="758"/>
      <c r="J26" s="758"/>
    </row>
    <row r="27" spans="2:10" x14ac:dyDescent="0.25">
      <c r="B27" s="492"/>
      <c r="C27" s="492" t="s">
        <v>822</v>
      </c>
      <c r="D27" s="487"/>
      <c r="E27" s="487"/>
      <c r="F27" s="497"/>
      <c r="G27" s="758"/>
      <c r="H27" s="768">
        <v>2455</v>
      </c>
      <c r="I27" s="758"/>
      <c r="J27" s="758"/>
    </row>
    <row r="28" spans="2:10" x14ac:dyDescent="0.25">
      <c r="B28" s="492" t="s">
        <v>823</v>
      </c>
      <c r="C28" s="492"/>
      <c r="D28" s="487"/>
      <c r="E28" s="487"/>
      <c r="F28" s="497"/>
      <c r="G28" s="758"/>
      <c r="H28" s="769">
        <f>SUM(H26:H27)</f>
        <v>2455</v>
      </c>
    </row>
    <row r="29" spans="2:10" ht="13.8" thickBot="1" x14ac:dyDescent="0.3">
      <c r="B29" s="492" t="s">
        <v>530</v>
      </c>
      <c r="C29" s="492"/>
      <c r="D29" s="487"/>
      <c r="E29" s="487"/>
      <c r="F29" s="497"/>
      <c r="G29" s="758"/>
      <c r="H29" s="766">
        <f>H24+H28</f>
        <v>4295</v>
      </c>
    </row>
    <row r="30" spans="2:10" ht="13.8" thickTop="1" x14ac:dyDescent="0.25"/>
    <row r="31" spans="2:10" ht="13.8" thickBot="1" x14ac:dyDescent="0.3"/>
    <row r="32" spans="2:10" x14ac:dyDescent="0.25">
      <c r="B32" s="1049" t="s">
        <v>825</v>
      </c>
      <c r="C32" s="1050"/>
      <c r="D32" s="1050"/>
      <c r="E32" s="1050"/>
      <c r="F32" s="1050"/>
      <c r="G32" s="1050"/>
      <c r="H32" s="1050"/>
      <c r="I32" s="1050"/>
      <c r="J32" s="1051"/>
    </row>
    <row r="33" spans="2:10" ht="64.95" customHeight="1" thickBot="1" x14ac:dyDescent="0.3">
      <c r="B33" s="1052"/>
      <c r="C33" s="1053"/>
      <c r="D33" s="1053"/>
      <c r="E33" s="1053"/>
      <c r="F33" s="1053"/>
      <c r="G33" s="1053"/>
      <c r="H33" s="1053"/>
      <c r="I33" s="1053"/>
      <c r="J33" s="1054"/>
    </row>
    <row r="34" spans="2:10" ht="13.8" thickBot="1" x14ac:dyDescent="0.3">
      <c r="B34" s="777"/>
      <c r="C34" s="777"/>
      <c r="D34" s="777"/>
      <c r="E34" s="777"/>
      <c r="F34" s="777"/>
      <c r="G34" s="777"/>
      <c r="H34" s="777"/>
      <c r="I34" s="777"/>
      <c r="J34" s="777"/>
    </row>
    <row r="35" spans="2:10" ht="48.6" customHeight="1" thickBot="1" x14ac:dyDescent="0.3">
      <c r="B35" s="1055" t="s">
        <v>832</v>
      </c>
      <c r="C35" s="1056"/>
      <c r="D35" s="1056"/>
      <c r="E35" s="1056"/>
      <c r="F35" s="1056"/>
      <c r="G35" s="1056"/>
      <c r="H35" s="1056"/>
      <c r="I35" s="1056"/>
      <c r="J35" s="1057"/>
    </row>
    <row r="36" spans="2:10" x14ac:dyDescent="0.25">
      <c r="B36" s="778"/>
      <c r="C36" s="778"/>
      <c r="D36" s="778"/>
      <c r="E36" s="778"/>
      <c r="F36" s="778"/>
      <c r="G36" s="778"/>
      <c r="H36" s="778"/>
      <c r="I36" s="778"/>
      <c r="J36" s="777"/>
    </row>
    <row r="37" spans="2:10" ht="13.8" thickBot="1" x14ac:dyDescent="0.3">
      <c r="B37" s="777"/>
      <c r="C37" s="777"/>
      <c r="D37" s="777"/>
      <c r="E37" s="777"/>
      <c r="F37" s="777"/>
      <c r="G37" s="777"/>
      <c r="H37" s="777"/>
      <c r="I37" s="777"/>
      <c r="J37" s="777"/>
    </row>
    <row r="38" spans="2:10" ht="60" customHeight="1" thickBot="1" x14ac:dyDescent="0.3">
      <c r="B38" s="1046" t="s">
        <v>711</v>
      </c>
      <c r="C38" s="1047"/>
      <c r="D38" s="1047"/>
      <c r="E38" s="1047"/>
      <c r="F38" s="1047"/>
      <c r="G38" s="1047"/>
      <c r="H38" s="1047"/>
      <c r="I38" s="1047"/>
      <c r="J38" s="1048"/>
    </row>
  </sheetData>
  <mergeCells count="9">
    <mergeCell ref="B32:J33"/>
    <mergeCell ref="B38:J38"/>
    <mergeCell ref="B35:J35"/>
    <mergeCell ref="B2:J2"/>
    <mergeCell ref="B3:J3"/>
    <mergeCell ref="B4:J4"/>
    <mergeCell ref="B5:J5"/>
    <mergeCell ref="B6:J6"/>
    <mergeCell ref="B7:J7"/>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FF00"/>
    <pageSetUpPr fitToPage="1"/>
  </sheetPr>
  <dimension ref="B2:Q57"/>
  <sheetViews>
    <sheetView workbookViewId="0">
      <selection activeCell="G11" sqref="G11"/>
    </sheetView>
  </sheetViews>
  <sheetFormatPr defaultColWidth="9.109375" defaultRowHeight="13.2" x14ac:dyDescent="0.25"/>
  <cols>
    <col min="1" max="1" width="9.109375" style="17"/>
    <col min="2" max="4" width="2.44140625" style="17" customWidth="1"/>
    <col min="5" max="5" width="22" style="17" customWidth="1"/>
    <col min="6" max="6" width="1.5546875" style="17" customWidth="1"/>
    <col min="7" max="7" width="10.109375" style="17" customWidth="1"/>
    <col min="8" max="8" width="1.5546875" style="17" customWidth="1"/>
    <col min="9" max="9" width="10.109375" style="17" customWidth="1"/>
    <col min="10" max="10" width="1.5546875" style="17" customWidth="1"/>
    <col min="11" max="11" width="9.88671875" style="17" customWidth="1"/>
    <col min="12" max="12" width="1.5546875" style="17" customWidth="1"/>
    <col min="13" max="13" width="9.88671875" style="17" customWidth="1"/>
    <col min="14" max="14" width="1.5546875" style="17" customWidth="1"/>
    <col min="15" max="15" width="8.6640625" style="17" customWidth="1"/>
    <col min="16" max="16" width="1.5546875" style="17" customWidth="1"/>
    <col min="17" max="16384" width="9.109375" style="17"/>
  </cols>
  <sheetData>
    <row r="2" spans="2:16" s="132" customFormat="1" x14ac:dyDescent="0.25">
      <c r="B2" s="33" t="s">
        <v>142</v>
      </c>
      <c r="C2" s="33"/>
      <c r="D2" s="33"/>
      <c r="E2" s="33"/>
      <c r="F2" s="33"/>
      <c r="G2" s="33"/>
      <c r="H2" s="33"/>
      <c r="I2" s="33"/>
      <c r="J2" s="33"/>
      <c r="K2" s="33"/>
      <c r="L2" s="33"/>
      <c r="M2" s="33"/>
      <c r="N2" s="33"/>
      <c r="O2" s="33"/>
      <c r="P2" s="33"/>
    </row>
    <row r="3" spans="2:16" s="132" customFormat="1" x14ac:dyDescent="0.25">
      <c r="B3" s="33" t="s">
        <v>900</v>
      </c>
      <c r="C3" s="33"/>
      <c r="D3" s="33"/>
      <c r="E3" s="33"/>
      <c r="F3" s="33"/>
      <c r="G3" s="33"/>
      <c r="H3" s="33"/>
      <c r="I3" s="33"/>
      <c r="J3" s="33"/>
      <c r="K3" s="33"/>
      <c r="L3" s="33"/>
      <c r="M3" s="33"/>
      <c r="N3" s="33"/>
      <c r="O3" s="33"/>
      <c r="P3" s="33"/>
    </row>
    <row r="4" spans="2:16" s="132" customFormat="1" x14ac:dyDescent="0.25">
      <c r="B4" s="33" t="s">
        <v>488</v>
      </c>
      <c r="C4" s="33"/>
      <c r="D4" s="33"/>
      <c r="E4" s="33"/>
      <c r="F4" s="33"/>
      <c r="G4" s="33"/>
      <c r="H4" s="33"/>
      <c r="I4" s="33"/>
      <c r="J4" s="33"/>
      <c r="K4" s="33"/>
      <c r="L4" s="33"/>
      <c r="M4" s="33"/>
      <c r="N4" s="33"/>
      <c r="O4" s="33"/>
      <c r="P4" s="33"/>
    </row>
    <row r="5" spans="2:16" s="132" customFormat="1" x14ac:dyDescent="0.25">
      <c r="B5" s="33" t="s">
        <v>173</v>
      </c>
      <c r="C5" s="33"/>
      <c r="D5" s="33"/>
      <c r="E5" s="33"/>
      <c r="F5" s="33"/>
      <c r="G5" s="33"/>
      <c r="H5" s="33"/>
      <c r="I5" s="33"/>
      <c r="J5" s="33"/>
      <c r="K5" s="33"/>
      <c r="L5" s="33"/>
      <c r="M5" s="33"/>
      <c r="N5" s="33"/>
      <c r="O5" s="33"/>
      <c r="P5" s="33"/>
    </row>
    <row r="6" spans="2:16" s="132" customFormat="1" x14ac:dyDescent="0.25">
      <c r="B6" s="33" t="str">
        <f>'Bud-ActNon-MajorGovt'!B6</f>
        <v>From Inception and For the Fiscal Year Ended June 30, 2023</v>
      </c>
      <c r="C6" s="33"/>
      <c r="D6" s="33"/>
      <c r="E6" s="33"/>
      <c r="F6" s="33"/>
      <c r="G6" s="33"/>
      <c r="H6" s="33"/>
      <c r="I6" s="33"/>
      <c r="J6" s="33"/>
      <c r="K6" s="33"/>
      <c r="L6" s="33"/>
      <c r="M6" s="33"/>
      <c r="N6" s="33"/>
      <c r="O6" s="33"/>
      <c r="P6" s="33"/>
    </row>
    <row r="7" spans="2:16" ht="13.8" thickBot="1" x14ac:dyDescent="0.3">
      <c r="B7" s="270"/>
      <c r="C7" s="270"/>
      <c r="D7" s="270"/>
      <c r="E7" s="270"/>
      <c r="F7" s="270"/>
      <c r="G7" s="270"/>
      <c r="H7" s="270"/>
      <c r="I7" s="270"/>
      <c r="J7" s="270"/>
      <c r="K7" s="270"/>
      <c r="L7" s="270"/>
      <c r="M7" s="270"/>
      <c r="N7" s="270"/>
      <c r="O7" s="270"/>
      <c r="P7" s="270"/>
    </row>
    <row r="8" spans="2:16" x14ac:dyDescent="0.25">
      <c r="B8" s="36"/>
      <c r="C8" s="36"/>
      <c r="D8" s="36"/>
      <c r="E8" s="36"/>
      <c r="F8" s="36"/>
      <c r="G8" s="36"/>
      <c r="H8" s="36"/>
      <c r="I8" s="36"/>
      <c r="J8" s="36"/>
      <c r="K8" s="36"/>
      <c r="L8" s="36"/>
      <c r="M8" s="36"/>
      <c r="N8" s="36"/>
      <c r="O8" s="36"/>
      <c r="P8" s="36"/>
    </row>
    <row r="9" spans="2:16" x14ac:dyDescent="0.25">
      <c r="B9" s="36"/>
      <c r="C9" s="36"/>
      <c r="D9" s="36"/>
      <c r="E9" s="36"/>
      <c r="F9" s="36"/>
      <c r="G9" s="34" t="s">
        <v>174</v>
      </c>
      <c r="H9" s="36"/>
      <c r="I9" s="271" t="s">
        <v>175</v>
      </c>
      <c r="J9" s="271"/>
      <c r="K9" s="271"/>
      <c r="L9" s="271"/>
      <c r="M9" s="271"/>
      <c r="N9" s="36"/>
      <c r="O9" s="34" t="s">
        <v>176</v>
      </c>
      <c r="P9" s="36"/>
    </row>
    <row r="10" spans="2:16" x14ac:dyDescent="0.25">
      <c r="B10" s="36"/>
      <c r="C10" s="36"/>
      <c r="D10" s="36"/>
      <c r="E10" s="36"/>
      <c r="F10" s="36"/>
      <c r="G10" s="34" t="s">
        <v>177</v>
      </c>
      <c r="H10" s="36"/>
      <c r="I10" s="34" t="s">
        <v>178</v>
      </c>
      <c r="J10" s="36"/>
      <c r="K10" s="34" t="s">
        <v>179</v>
      </c>
      <c r="L10" s="36"/>
      <c r="M10" s="34" t="s">
        <v>180</v>
      </c>
      <c r="N10" s="36"/>
      <c r="O10" s="34" t="s">
        <v>500</v>
      </c>
      <c r="P10" s="36"/>
    </row>
    <row r="11" spans="2:16" x14ac:dyDescent="0.25">
      <c r="B11" s="36"/>
      <c r="C11" s="36" t="s">
        <v>181</v>
      </c>
      <c r="D11" s="36"/>
      <c r="E11" s="36"/>
      <c r="F11" s="36"/>
      <c r="G11" s="35" t="s">
        <v>182</v>
      </c>
      <c r="H11" s="36"/>
      <c r="I11" s="35" t="s">
        <v>184</v>
      </c>
      <c r="J11" s="36"/>
      <c r="K11" s="35" t="s">
        <v>184</v>
      </c>
      <c r="L11" s="36"/>
      <c r="M11" s="35" t="s">
        <v>162</v>
      </c>
      <c r="N11" s="36"/>
      <c r="O11" s="35" t="s">
        <v>501</v>
      </c>
      <c r="P11" s="272"/>
    </row>
    <row r="12" spans="2:16" x14ac:dyDescent="0.25">
      <c r="B12" s="36"/>
      <c r="C12" s="36"/>
      <c r="D12" s="273" t="s">
        <v>254</v>
      </c>
      <c r="E12" s="36"/>
      <c r="F12" s="36"/>
      <c r="G12" s="36"/>
      <c r="H12" s="36"/>
      <c r="I12" s="36"/>
      <c r="J12" s="36"/>
      <c r="K12" s="36"/>
      <c r="L12" s="36"/>
      <c r="M12" s="36"/>
      <c r="N12" s="36"/>
      <c r="O12" s="36"/>
      <c r="P12" s="36"/>
    </row>
    <row r="13" spans="2:16" x14ac:dyDescent="0.25">
      <c r="B13" s="36"/>
      <c r="C13" s="36"/>
      <c r="D13" s="36"/>
      <c r="E13" s="36"/>
      <c r="F13" s="36"/>
      <c r="G13" s="36"/>
      <c r="H13" s="36"/>
      <c r="I13" s="36"/>
      <c r="J13" s="36"/>
      <c r="K13" s="36"/>
      <c r="L13" s="36"/>
      <c r="M13" s="36"/>
      <c r="N13" s="36"/>
      <c r="O13" s="36"/>
      <c r="P13" s="36"/>
    </row>
    <row r="14" spans="2:16" x14ac:dyDescent="0.25">
      <c r="B14" s="36" t="s">
        <v>255</v>
      </c>
      <c r="C14" s="36"/>
      <c r="D14" s="36"/>
      <c r="E14" s="36"/>
      <c r="F14" s="36"/>
      <c r="G14" s="36" t="s">
        <v>181</v>
      </c>
      <c r="H14" s="36"/>
      <c r="I14" s="36"/>
      <c r="J14" s="36"/>
      <c r="K14" s="36"/>
      <c r="L14" s="36"/>
      <c r="M14" s="36"/>
      <c r="N14" s="36"/>
      <c r="O14" s="36"/>
      <c r="P14" s="36"/>
    </row>
    <row r="15" spans="2:16" x14ac:dyDescent="0.25">
      <c r="B15" s="36"/>
      <c r="C15" s="36" t="s">
        <v>204</v>
      </c>
      <c r="D15" s="36"/>
      <c r="E15" s="36"/>
      <c r="F15" s="36"/>
      <c r="G15" s="36"/>
      <c r="H15" s="36"/>
      <c r="I15" s="36"/>
      <c r="J15" s="36"/>
      <c r="K15" s="36"/>
      <c r="L15" s="36"/>
      <c r="M15" s="36"/>
      <c r="N15" s="36"/>
      <c r="O15" s="36"/>
      <c r="P15" s="36"/>
    </row>
    <row r="16" spans="2:16" x14ac:dyDescent="0.25">
      <c r="B16" s="36"/>
      <c r="C16" s="36"/>
      <c r="D16" s="36" t="s">
        <v>256</v>
      </c>
      <c r="E16" s="36"/>
      <c r="F16" s="36"/>
      <c r="G16" s="430">
        <v>300000</v>
      </c>
      <c r="H16" s="275"/>
      <c r="I16" s="274">
        <v>100000</v>
      </c>
      <c r="J16" s="275"/>
      <c r="K16" s="274">
        <v>200000</v>
      </c>
      <c r="L16" s="275"/>
      <c r="M16" s="274">
        <v>300000</v>
      </c>
      <c r="N16" s="275"/>
      <c r="O16" s="100">
        <f>+M16-G16</f>
        <v>0</v>
      </c>
      <c r="P16" s="36"/>
    </row>
    <row r="17" spans="2:16" x14ac:dyDescent="0.25">
      <c r="B17" s="36"/>
      <c r="C17" s="36" t="s">
        <v>31</v>
      </c>
      <c r="D17" s="36"/>
      <c r="E17" s="36"/>
      <c r="F17" s="36"/>
      <c r="G17" s="276">
        <v>10000</v>
      </c>
      <c r="H17" s="277"/>
      <c r="I17" s="276">
        <v>3000</v>
      </c>
      <c r="J17" s="277"/>
      <c r="K17" s="276">
        <v>5000</v>
      </c>
      <c r="L17" s="278"/>
      <c r="M17" s="276">
        <v>8000</v>
      </c>
      <c r="N17" s="278"/>
      <c r="O17" s="276">
        <f>+M17-G17</f>
        <v>-2000</v>
      </c>
      <c r="P17" s="36"/>
    </row>
    <row r="18" spans="2:16" x14ac:dyDescent="0.25">
      <c r="B18" s="36"/>
      <c r="C18" s="36"/>
      <c r="D18" s="36"/>
      <c r="E18" s="36" t="s">
        <v>32</v>
      </c>
      <c r="F18" s="36"/>
      <c r="G18" s="276">
        <f>SUM(G16:G17)</f>
        <v>310000</v>
      </c>
      <c r="H18" s="277"/>
      <c r="I18" s="276">
        <f>SUM(I16:I17)</f>
        <v>103000</v>
      </c>
      <c r="J18" s="277"/>
      <c r="K18" s="276">
        <f>SUM(K16:K17)</f>
        <v>205000</v>
      </c>
      <c r="L18" s="277"/>
      <c r="M18" s="276">
        <f>SUM(M16:M17)</f>
        <v>308000</v>
      </c>
      <c r="N18" s="277"/>
      <c r="O18" s="276">
        <f>SUM(O16:O17)</f>
        <v>-2000</v>
      </c>
      <c r="P18" s="279"/>
    </row>
    <row r="19" spans="2:16" x14ac:dyDescent="0.25">
      <c r="B19" s="36"/>
      <c r="C19" s="36"/>
      <c r="D19" s="36"/>
      <c r="E19" s="36"/>
      <c r="F19" s="36"/>
      <c r="G19" s="278"/>
      <c r="H19" s="278"/>
      <c r="I19" s="278"/>
      <c r="J19" s="278"/>
      <c r="K19" s="278"/>
      <c r="L19" s="278"/>
      <c r="M19" s="278"/>
      <c r="N19" s="278"/>
      <c r="O19" s="278"/>
      <c r="P19" s="36"/>
    </row>
    <row r="20" spans="2:16" x14ac:dyDescent="0.25">
      <c r="B20" s="36"/>
      <c r="C20" s="36"/>
      <c r="D20" s="36"/>
      <c r="E20" s="36"/>
      <c r="F20" s="36"/>
      <c r="G20" s="277"/>
      <c r="H20" s="277"/>
      <c r="I20" s="277"/>
      <c r="J20" s="277"/>
      <c r="K20" s="277"/>
      <c r="L20" s="277"/>
      <c r="M20" s="277"/>
      <c r="N20" s="277"/>
      <c r="O20" s="277"/>
      <c r="P20" s="279"/>
    </row>
    <row r="21" spans="2:16" x14ac:dyDescent="0.25">
      <c r="B21" s="36"/>
      <c r="C21" s="36"/>
      <c r="D21" s="273" t="s">
        <v>257</v>
      </c>
      <c r="E21" s="36"/>
      <c r="F21" s="36"/>
      <c r="G21" s="278"/>
      <c r="H21" s="278"/>
      <c r="I21" s="278"/>
      <c r="J21" s="278"/>
      <c r="K21" s="278"/>
      <c r="L21" s="278"/>
      <c r="M21" s="278"/>
      <c r="N21" s="278"/>
      <c r="O21" s="278"/>
      <c r="P21" s="36"/>
    </row>
    <row r="22" spans="2:16" x14ac:dyDescent="0.25">
      <c r="B22" s="36"/>
      <c r="C22" s="36"/>
      <c r="D22" s="36"/>
      <c r="E22" s="36"/>
      <c r="F22" s="36"/>
      <c r="G22" s="278"/>
      <c r="H22" s="278"/>
      <c r="I22" s="278"/>
      <c r="J22" s="278"/>
      <c r="K22" s="278"/>
      <c r="L22" s="278"/>
      <c r="M22" s="278"/>
      <c r="N22" s="278"/>
      <c r="O22" s="278"/>
      <c r="P22" s="36"/>
    </row>
    <row r="23" spans="2:16" x14ac:dyDescent="0.25">
      <c r="B23" s="36" t="s">
        <v>255</v>
      </c>
      <c r="C23" s="36"/>
      <c r="D23" s="36"/>
      <c r="E23" s="36"/>
      <c r="F23" s="36"/>
      <c r="G23" s="277"/>
      <c r="H23" s="277"/>
      <c r="I23" s="277"/>
      <c r="J23" s="277"/>
      <c r="K23" s="277"/>
      <c r="L23" s="277"/>
      <c r="M23" s="277"/>
      <c r="N23" s="277"/>
      <c r="O23" s="277"/>
      <c r="P23" s="279"/>
    </row>
    <row r="24" spans="2:16" x14ac:dyDescent="0.25">
      <c r="B24" s="36"/>
      <c r="C24" s="36" t="s">
        <v>38</v>
      </c>
      <c r="D24" s="36"/>
      <c r="E24" s="36"/>
      <c r="F24" s="36"/>
      <c r="G24" s="280">
        <v>310000</v>
      </c>
      <c r="H24" s="280"/>
      <c r="I24" s="280">
        <v>103000</v>
      </c>
      <c r="J24" s="280"/>
      <c r="K24" s="280">
        <v>195000</v>
      </c>
      <c r="L24" s="280"/>
      <c r="M24" s="280">
        <v>298000</v>
      </c>
      <c r="N24" s="280"/>
      <c r="O24" s="280">
        <f>+G24-M24</f>
        <v>12000</v>
      </c>
      <c r="P24" s="279"/>
    </row>
    <row r="25" spans="2:16" x14ac:dyDescent="0.25">
      <c r="B25" s="36"/>
      <c r="C25" s="36"/>
      <c r="D25" s="36"/>
      <c r="E25" s="36"/>
      <c r="F25" s="36"/>
      <c r="G25" s="277"/>
      <c r="H25" s="277"/>
      <c r="I25" s="277"/>
      <c r="J25" s="277"/>
      <c r="K25" s="277"/>
      <c r="L25" s="277"/>
      <c r="M25" s="277"/>
      <c r="N25" s="277"/>
      <c r="O25" s="277"/>
      <c r="P25" s="279"/>
    </row>
    <row r="26" spans="2:16" x14ac:dyDescent="0.25">
      <c r="B26" s="36" t="s">
        <v>259</v>
      </c>
      <c r="C26" s="36"/>
      <c r="D26" s="36"/>
      <c r="E26" s="36"/>
      <c r="F26" s="36"/>
      <c r="G26" s="277"/>
      <c r="H26" s="277"/>
      <c r="I26" s="277"/>
      <c r="J26" s="277"/>
      <c r="K26" s="277"/>
      <c r="L26" s="277"/>
      <c r="M26" s="277"/>
      <c r="N26" s="277"/>
      <c r="O26" s="277"/>
      <c r="P26" s="279"/>
    </row>
    <row r="27" spans="2:16" x14ac:dyDescent="0.25">
      <c r="B27" s="36"/>
      <c r="C27" s="36" t="s">
        <v>258</v>
      </c>
      <c r="D27" s="36"/>
      <c r="E27" s="36"/>
      <c r="F27" s="36"/>
      <c r="G27" s="277"/>
      <c r="H27" s="277"/>
      <c r="I27" s="277"/>
      <c r="J27" s="277"/>
      <c r="K27" s="277"/>
      <c r="L27" s="277"/>
      <c r="M27" s="277"/>
      <c r="N27" s="277"/>
      <c r="O27" s="277"/>
      <c r="P27" s="279"/>
    </row>
    <row r="28" spans="2:16" x14ac:dyDescent="0.25">
      <c r="B28" s="36"/>
      <c r="C28" s="36"/>
      <c r="D28" s="36" t="s">
        <v>12</v>
      </c>
      <c r="E28" s="36"/>
      <c r="F28" s="36"/>
      <c r="G28" s="276">
        <v>435000</v>
      </c>
      <c r="H28" s="277"/>
      <c r="I28" s="230">
        <v>0</v>
      </c>
      <c r="J28" s="277"/>
      <c r="K28" s="276">
        <v>395000</v>
      </c>
      <c r="L28" s="277"/>
      <c r="M28" s="276">
        <v>395000</v>
      </c>
      <c r="N28" s="277"/>
      <c r="O28" s="276">
        <f>+G28-M28</f>
        <v>40000</v>
      </c>
      <c r="P28" s="36"/>
    </row>
    <row r="29" spans="2:16" x14ac:dyDescent="0.25">
      <c r="B29" s="36"/>
      <c r="C29" s="36"/>
      <c r="D29" s="36"/>
      <c r="E29" s="36" t="s">
        <v>39</v>
      </c>
      <c r="F29" s="36"/>
      <c r="G29" s="276">
        <f>+G28+G24</f>
        <v>745000</v>
      </c>
      <c r="H29" s="277"/>
      <c r="I29" s="276">
        <f>+I28+I24</f>
        <v>103000</v>
      </c>
      <c r="J29" s="277"/>
      <c r="K29" s="276">
        <f>+K28+K24</f>
        <v>590000</v>
      </c>
      <c r="L29" s="277"/>
      <c r="M29" s="276">
        <f>+M28+M24</f>
        <v>693000</v>
      </c>
      <c r="N29" s="277"/>
      <c r="O29" s="276">
        <f>+O28+O24</f>
        <v>52000</v>
      </c>
      <c r="P29" s="36"/>
    </row>
    <row r="30" spans="2:16" x14ac:dyDescent="0.25">
      <c r="B30" s="36"/>
      <c r="C30" s="36"/>
      <c r="D30" s="36"/>
      <c r="E30" s="36"/>
      <c r="F30" s="36"/>
      <c r="G30" s="278"/>
      <c r="H30" s="278"/>
      <c r="I30" s="277"/>
      <c r="J30" s="277"/>
      <c r="K30" s="277"/>
      <c r="L30" s="277"/>
      <c r="M30" s="277"/>
      <c r="N30" s="277"/>
      <c r="O30" s="277"/>
      <c r="P30" s="36"/>
    </row>
    <row r="31" spans="2:16" x14ac:dyDescent="0.25">
      <c r="B31" s="36" t="s">
        <v>260</v>
      </c>
      <c r="C31" s="36"/>
      <c r="D31" s="36"/>
      <c r="E31" s="36"/>
      <c r="F31" s="36"/>
      <c r="G31" s="276">
        <v>-435000</v>
      </c>
      <c r="H31" s="278"/>
      <c r="I31" s="229">
        <v>0</v>
      </c>
      <c r="J31" s="278"/>
      <c r="K31" s="276">
        <v>-385000</v>
      </c>
      <c r="L31" s="278"/>
      <c r="M31" s="276">
        <v>-385000</v>
      </c>
      <c r="N31" s="278"/>
      <c r="O31" s="276">
        <f>+O18+O29</f>
        <v>50000</v>
      </c>
      <c r="P31" s="36"/>
    </row>
    <row r="32" spans="2:16" x14ac:dyDescent="0.25">
      <c r="B32" s="36"/>
      <c r="C32" s="36"/>
      <c r="D32" s="36"/>
      <c r="E32" s="36"/>
      <c r="F32" s="36"/>
      <c r="G32" s="278"/>
      <c r="H32" s="278"/>
      <c r="I32" s="278"/>
      <c r="J32" s="278"/>
      <c r="K32" s="278"/>
      <c r="L32" s="278"/>
      <c r="M32" s="278"/>
      <c r="N32" s="278"/>
      <c r="O32" s="278"/>
      <c r="P32" s="36"/>
    </row>
    <row r="33" spans="2:16" x14ac:dyDescent="0.25">
      <c r="B33" s="36"/>
      <c r="C33" s="36"/>
      <c r="D33" s="36"/>
      <c r="E33" s="36"/>
      <c r="F33" s="36"/>
      <c r="G33" s="278"/>
      <c r="H33" s="278"/>
      <c r="I33" s="277"/>
      <c r="J33" s="277"/>
      <c r="K33" s="277"/>
      <c r="L33" s="277"/>
      <c r="M33" s="277"/>
      <c r="N33" s="277"/>
      <c r="O33" s="277"/>
      <c r="P33" s="36"/>
    </row>
    <row r="34" spans="2:16" x14ac:dyDescent="0.25">
      <c r="B34" s="36"/>
      <c r="C34" s="36"/>
      <c r="D34" s="273" t="s">
        <v>261</v>
      </c>
      <c r="E34" s="36"/>
      <c r="F34" s="36"/>
      <c r="G34" s="278"/>
      <c r="H34" s="278"/>
      <c r="I34" s="278"/>
      <c r="J34" s="278"/>
      <c r="K34" s="278"/>
      <c r="L34" s="278"/>
      <c r="M34" s="278"/>
      <c r="N34" s="278"/>
      <c r="O34" s="278"/>
      <c r="P34" s="36"/>
    </row>
    <row r="35" spans="2:16" x14ac:dyDescent="0.25">
      <c r="B35" s="36"/>
      <c r="C35" s="36"/>
      <c r="D35" s="36"/>
      <c r="E35" s="36"/>
      <c r="F35" s="36"/>
      <c r="G35" s="278"/>
      <c r="H35" s="278"/>
      <c r="I35" s="278"/>
      <c r="J35" s="278"/>
      <c r="K35" s="278"/>
      <c r="L35" s="278"/>
      <c r="M35" s="278"/>
      <c r="N35" s="278"/>
      <c r="O35" s="278"/>
      <c r="P35" s="36"/>
    </row>
    <row r="36" spans="2:16" x14ac:dyDescent="0.25">
      <c r="B36" s="36" t="s">
        <v>262</v>
      </c>
      <c r="C36" s="36"/>
      <c r="D36" s="36"/>
      <c r="E36" s="36"/>
      <c r="F36" s="36"/>
      <c r="G36" s="277"/>
      <c r="H36" s="277"/>
      <c r="I36" s="277"/>
      <c r="J36" s="277"/>
      <c r="K36" s="277"/>
      <c r="L36" s="277"/>
      <c r="M36" s="277"/>
      <c r="N36" s="277"/>
      <c r="O36" s="277"/>
      <c r="P36" s="36"/>
    </row>
    <row r="37" spans="2:16" x14ac:dyDescent="0.25">
      <c r="B37" s="36"/>
      <c r="C37" s="36" t="s">
        <v>492</v>
      </c>
      <c r="D37" s="36"/>
      <c r="E37" s="36"/>
      <c r="F37" s="36"/>
      <c r="G37" s="277"/>
      <c r="H37" s="277"/>
      <c r="I37" s="277"/>
      <c r="J37" s="277"/>
      <c r="K37" s="277"/>
      <c r="L37" s="277"/>
      <c r="M37" s="277"/>
      <c r="N37" s="277"/>
      <c r="O37" s="277"/>
      <c r="P37" s="36"/>
    </row>
    <row r="38" spans="2:16" x14ac:dyDescent="0.25">
      <c r="B38" s="36"/>
      <c r="C38" s="36"/>
      <c r="D38" s="36" t="s">
        <v>28</v>
      </c>
      <c r="E38" s="36"/>
      <c r="F38" s="36"/>
      <c r="G38" s="277">
        <v>235000</v>
      </c>
      <c r="H38" s="277"/>
      <c r="I38" s="224">
        <v>0</v>
      </c>
      <c r="J38" s="277"/>
      <c r="K38" s="277">
        <v>208400</v>
      </c>
      <c r="L38" s="277"/>
      <c r="M38" s="277">
        <v>208400</v>
      </c>
      <c r="N38" s="277"/>
      <c r="O38" s="277">
        <f>+M38-G38</f>
        <v>-26600</v>
      </c>
      <c r="P38" s="36"/>
    </row>
    <row r="39" spans="2:16" x14ac:dyDescent="0.25">
      <c r="B39" s="36"/>
      <c r="C39" s="36" t="s">
        <v>502</v>
      </c>
      <c r="D39" s="36"/>
      <c r="E39" s="36"/>
      <c r="F39" s="36"/>
      <c r="G39" s="278"/>
      <c r="H39" s="278"/>
      <c r="I39" s="387"/>
      <c r="J39" s="278"/>
      <c r="K39" s="278"/>
      <c r="L39" s="278"/>
      <c r="M39" s="278"/>
      <c r="N39" s="278"/>
      <c r="O39" s="278"/>
      <c r="P39" s="36"/>
    </row>
    <row r="40" spans="2:16" x14ac:dyDescent="0.25">
      <c r="B40" s="36"/>
      <c r="C40" s="36" t="s">
        <v>503</v>
      </c>
      <c r="D40" s="36"/>
      <c r="E40" s="36"/>
      <c r="F40" s="36"/>
      <c r="G40" s="276">
        <v>200000</v>
      </c>
      <c r="H40" s="277"/>
      <c r="I40" s="230">
        <v>0</v>
      </c>
      <c r="J40" s="277"/>
      <c r="K40" s="276">
        <v>200000</v>
      </c>
      <c r="L40" s="277"/>
      <c r="M40" s="276">
        <v>200000</v>
      </c>
      <c r="N40" s="277"/>
      <c r="O40" s="229">
        <f>+M40-G40</f>
        <v>0</v>
      </c>
      <c r="P40" s="279"/>
    </row>
    <row r="41" spans="2:16" x14ac:dyDescent="0.25">
      <c r="B41" s="36"/>
      <c r="C41" s="36"/>
      <c r="D41" s="36" t="s">
        <v>263</v>
      </c>
      <c r="E41" s="36"/>
      <c r="F41" s="36"/>
      <c r="G41" s="276">
        <f>+G38+G40</f>
        <v>435000</v>
      </c>
      <c r="H41" s="277"/>
      <c r="I41" s="276">
        <f>+I38+I40</f>
        <v>0</v>
      </c>
      <c r="J41" s="277"/>
      <c r="K41" s="276">
        <f>+K38+K40</f>
        <v>408400</v>
      </c>
      <c r="L41" s="277"/>
      <c r="M41" s="276">
        <f>+M38+M40</f>
        <v>408400</v>
      </c>
      <c r="N41" s="277"/>
      <c r="O41" s="276">
        <f>+O38+O40</f>
        <v>-26600</v>
      </c>
      <c r="P41" s="279"/>
    </row>
    <row r="42" spans="2:16" x14ac:dyDescent="0.25">
      <c r="B42" s="36"/>
      <c r="C42" s="36"/>
      <c r="D42" s="36"/>
      <c r="E42" s="36"/>
      <c r="F42" s="36"/>
      <c r="G42" s="280"/>
      <c r="H42" s="277"/>
      <c r="I42" s="280"/>
      <c r="J42" s="277"/>
      <c r="K42" s="277"/>
      <c r="L42" s="277"/>
      <c r="M42" s="277"/>
      <c r="N42" s="277"/>
      <c r="O42" s="277"/>
      <c r="P42" s="279"/>
    </row>
    <row r="43" spans="2:16" x14ac:dyDescent="0.25">
      <c r="B43" s="36"/>
      <c r="C43" s="36"/>
      <c r="D43" s="36"/>
      <c r="E43" s="36"/>
      <c r="F43" s="36"/>
      <c r="G43" s="355"/>
      <c r="H43" s="279"/>
      <c r="I43" s="355"/>
      <c r="J43" s="279"/>
      <c r="K43" s="279"/>
      <c r="L43" s="279"/>
      <c r="M43" s="279"/>
      <c r="N43" s="279"/>
      <c r="O43" s="279"/>
      <c r="P43" s="279"/>
    </row>
    <row r="44" spans="2:16" ht="13.8" thickBot="1" x14ac:dyDescent="0.3">
      <c r="B44" s="36" t="s">
        <v>77</v>
      </c>
      <c r="C44" s="36"/>
      <c r="D44" s="36"/>
      <c r="E44" s="36"/>
      <c r="F44" s="36"/>
      <c r="G44" s="388">
        <f>+G41+G31</f>
        <v>0</v>
      </c>
      <c r="H44" s="275"/>
      <c r="I44" s="388">
        <f>+I41+I31</f>
        <v>0</v>
      </c>
      <c r="J44" s="279"/>
      <c r="K44" s="279">
        <f>+K41+K31</f>
        <v>23400</v>
      </c>
      <c r="L44" s="279"/>
      <c r="M44" s="122">
        <f>+M41+M31</f>
        <v>23400</v>
      </c>
      <c r="N44" s="274"/>
      <c r="O44" s="281">
        <f>+O31+O41</f>
        <v>23400</v>
      </c>
      <c r="P44" s="279"/>
    </row>
    <row r="45" spans="2:16" ht="13.8" thickTop="1" x14ac:dyDescent="0.25">
      <c r="B45" s="36"/>
      <c r="C45" s="354"/>
      <c r="D45" s="354"/>
      <c r="E45" s="354"/>
      <c r="F45" s="354"/>
      <c r="G45" s="355"/>
      <c r="H45" s="355"/>
      <c r="I45" s="355"/>
      <c r="J45" s="355"/>
      <c r="K45" s="355"/>
      <c r="L45" s="355"/>
      <c r="M45" s="279"/>
      <c r="N45" s="279"/>
      <c r="O45" s="279"/>
      <c r="P45" s="279"/>
    </row>
    <row r="46" spans="2:16" x14ac:dyDescent="0.25">
      <c r="B46" s="161"/>
      <c r="C46" s="48" t="s">
        <v>529</v>
      </c>
      <c r="D46" s="347"/>
      <c r="E46" s="360"/>
      <c r="F46" s="360"/>
      <c r="G46" s="360"/>
      <c r="H46" s="360"/>
      <c r="I46" s="360"/>
      <c r="J46" s="360"/>
      <c r="K46" s="378">
        <v>0</v>
      </c>
      <c r="L46" s="161"/>
    </row>
    <row r="47" spans="2:16" ht="13.8" thickBot="1" x14ac:dyDescent="0.3">
      <c r="B47" s="161"/>
      <c r="C47" s="48" t="s">
        <v>807</v>
      </c>
      <c r="D47" s="360"/>
      <c r="E47" s="360"/>
      <c r="F47" s="360"/>
      <c r="G47" s="360"/>
      <c r="H47" s="360"/>
      <c r="I47" s="360"/>
      <c r="J47" s="360"/>
      <c r="K47" s="389">
        <v>23400</v>
      </c>
      <c r="L47" s="161"/>
    </row>
    <row r="48" spans="2:16" ht="13.8" thickTop="1" x14ac:dyDescent="0.25">
      <c r="B48" s="161"/>
      <c r="C48" s="161"/>
      <c r="D48" s="360"/>
      <c r="E48" s="360"/>
      <c r="F48" s="360"/>
      <c r="G48" s="360"/>
      <c r="H48" s="360"/>
      <c r="I48" s="360"/>
      <c r="J48" s="360"/>
      <c r="K48" s="378"/>
      <c r="L48" s="161"/>
    </row>
    <row r="49" spans="2:17" ht="12" customHeight="1" thickBot="1" x14ac:dyDescent="0.3">
      <c r="B49" s="161"/>
      <c r="C49" s="161"/>
      <c r="D49" s="360"/>
      <c r="E49" s="360"/>
      <c r="F49" s="360"/>
      <c r="G49" s="360"/>
      <c r="H49" s="360"/>
      <c r="I49" s="360"/>
      <c r="J49" s="360"/>
      <c r="K49" s="378"/>
      <c r="L49" s="161"/>
    </row>
    <row r="50" spans="2:17" ht="14.4" customHeight="1" x14ac:dyDescent="0.25">
      <c r="B50" s="161"/>
      <c r="C50" s="1059" t="s">
        <v>694</v>
      </c>
      <c r="D50" s="900"/>
      <c r="E50" s="900"/>
      <c r="F50" s="900"/>
      <c r="G50" s="900"/>
      <c r="H50" s="900"/>
      <c r="I50" s="900"/>
      <c r="J50" s="900"/>
      <c r="K50" s="900"/>
      <c r="L50" s="900"/>
      <c r="M50" s="900"/>
      <c r="N50" s="900"/>
      <c r="O50" s="901"/>
      <c r="P50" s="161"/>
      <c r="Q50" s="161"/>
    </row>
    <row r="51" spans="2:17" x14ac:dyDescent="0.25">
      <c r="C51" s="902"/>
      <c r="D51" s="903"/>
      <c r="E51" s="903"/>
      <c r="F51" s="903"/>
      <c r="G51" s="903"/>
      <c r="H51" s="903"/>
      <c r="I51" s="903"/>
      <c r="J51" s="903"/>
      <c r="K51" s="903"/>
      <c r="L51" s="903"/>
      <c r="M51" s="903"/>
      <c r="N51" s="903"/>
      <c r="O51" s="904"/>
      <c r="P51" s="161"/>
      <c r="Q51" s="161"/>
    </row>
    <row r="52" spans="2:17" x14ac:dyDescent="0.25">
      <c r="C52" s="902"/>
      <c r="D52" s="903"/>
      <c r="E52" s="903"/>
      <c r="F52" s="903"/>
      <c r="G52" s="903"/>
      <c r="H52" s="903"/>
      <c r="I52" s="903"/>
      <c r="J52" s="903"/>
      <c r="K52" s="903"/>
      <c r="L52" s="903"/>
      <c r="M52" s="903"/>
      <c r="N52" s="903"/>
      <c r="O52" s="904"/>
      <c r="P52" s="161"/>
      <c r="Q52" s="161"/>
    </row>
    <row r="53" spans="2:17" x14ac:dyDescent="0.25">
      <c r="C53" s="902"/>
      <c r="D53" s="903"/>
      <c r="E53" s="903"/>
      <c r="F53" s="903"/>
      <c r="G53" s="903"/>
      <c r="H53" s="903"/>
      <c r="I53" s="903"/>
      <c r="J53" s="903"/>
      <c r="K53" s="903"/>
      <c r="L53" s="903"/>
      <c r="M53" s="903"/>
      <c r="N53" s="903"/>
      <c r="O53" s="904"/>
      <c r="P53" s="161"/>
      <c r="Q53" s="161"/>
    </row>
    <row r="54" spans="2:17" x14ac:dyDescent="0.25">
      <c r="C54" s="902"/>
      <c r="D54" s="903"/>
      <c r="E54" s="903"/>
      <c r="F54" s="903"/>
      <c r="G54" s="903"/>
      <c r="H54" s="903"/>
      <c r="I54" s="903"/>
      <c r="J54" s="903"/>
      <c r="K54" s="903"/>
      <c r="L54" s="903"/>
      <c r="M54" s="903"/>
      <c r="N54" s="903"/>
      <c r="O54" s="904"/>
      <c r="P54" s="161"/>
      <c r="Q54" s="161"/>
    </row>
    <row r="55" spans="2:17" x14ac:dyDescent="0.25">
      <c r="C55" s="902"/>
      <c r="D55" s="903"/>
      <c r="E55" s="903"/>
      <c r="F55" s="903"/>
      <c r="G55" s="903"/>
      <c r="H55" s="903"/>
      <c r="I55" s="903"/>
      <c r="J55" s="903"/>
      <c r="K55" s="903"/>
      <c r="L55" s="903"/>
      <c r="M55" s="903"/>
      <c r="N55" s="903"/>
      <c r="O55" s="904"/>
      <c r="P55" s="161"/>
      <c r="Q55" s="161"/>
    </row>
    <row r="56" spans="2:17" ht="13.8" thickBot="1" x14ac:dyDescent="0.3">
      <c r="C56" s="905"/>
      <c r="D56" s="906"/>
      <c r="E56" s="906"/>
      <c r="F56" s="906"/>
      <c r="G56" s="906"/>
      <c r="H56" s="906"/>
      <c r="I56" s="906"/>
      <c r="J56" s="906"/>
      <c r="K56" s="906"/>
      <c r="L56" s="906"/>
      <c r="M56" s="906"/>
      <c r="N56" s="906"/>
      <c r="O56" s="907"/>
      <c r="P56" s="161"/>
      <c r="Q56" s="161"/>
    </row>
    <row r="57" spans="2:17" x14ac:dyDescent="0.25">
      <c r="D57" s="161"/>
      <c r="E57" s="161"/>
      <c r="F57" s="161"/>
      <c r="G57" s="161"/>
      <c r="H57" s="161"/>
      <c r="I57" s="161"/>
      <c r="J57" s="161"/>
      <c r="K57" s="161"/>
      <c r="L57" s="161"/>
      <c r="M57" s="161"/>
      <c r="N57" s="161"/>
      <c r="O57" s="161"/>
      <c r="P57" s="161"/>
      <c r="Q57" s="161"/>
    </row>
  </sheetData>
  <customSheetViews>
    <customSheetView guid="{AB48C5D7-99F4-4378-A0F9-05018B348977}">
      <selection activeCell="B39" sqref="B39"/>
      <pageMargins left="0.75" right="0.75" top="1" bottom="1" header="0.5" footer="0.5"/>
      <pageSetup scale="79" firstPageNumber="97" orientation="portrait" useFirstPageNumber="1" r:id="rId1"/>
      <headerFooter alignWithMargins="0"/>
    </customSheetView>
  </customSheetViews>
  <mergeCells count="1">
    <mergeCell ref="C50:O56"/>
  </mergeCells>
  <phoneticPr fontId="0" type="noConversion"/>
  <printOptions horizontalCentered="1"/>
  <pageMargins left="0.7" right="0.7" top="0.75" bottom="0.75" header="0.3" footer="0.3"/>
  <pageSetup scale="97" firstPageNumber="97"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FF00"/>
    <pageSetUpPr fitToPage="1"/>
  </sheetPr>
  <dimension ref="B2:P102"/>
  <sheetViews>
    <sheetView workbookViewId="0"/>
  </sheetViews>
  <sheetFormatPr defaultColWidth="9.109375" defaultRowHeight="13.2" x14ac:dyDescent="0.25"/>
  <cols>
    <col min="1" max="1" width="9.109375" style="17"/>
    <col min="2" max="4" width="2.44140625" style="17" customWidth="1"/>
    <col min="5" max="5" width="27.33203125" style="17" customWidth="1"/>
    <col min="6" max="6" width="1.5546875" style="17" customWidth="1"/>
    <col min="7" max="7" width="13.33203125" style="17" bestFit="1" customWidth="1"/>
    <col min="8" max="8" width="2.33203125" style="17" customWidth="1"/>
    <col min="9" max="9" width="13" style="17" bestFit="1" customWidth="1"/>
    <col min="10" max="10" width="2.109375" style="17" customWidth="1"/>
    <col min="11" max="11" width="10.88671875" style="17" customWidth="1"/>
    <col min="12" max="16384" width="9.109375" style="17"/>
  </cols>
  <sheetData>
    <row r="2" spans="2:16" s="132" customFormat="1" x14ac:dyDescent="0.25">
      <c r="B2" s="44" t="s">
        <v>142</v>
      </c>
      <c r="C2" s="44"/>
      <c r="D2" s="44"/>
      <c r="E2" s="44"/>
      <c r="F2" s="44"/>
      <c r="G2" s="44"/>
      <c r="H2" s="44"/>
      <c r="I2" s="44"/>
      <c r="J2" s="44"/>
      <c r="K2" s="44"/>
    </row>
    <row r="3" spans="2:16" s="132" customFormat="1" x14ac:dyDescent="0.25">
      <c r="B3" s="44" t="s">
        <v>80</v>
      </c>
      <c r="C3" s="44"/>
      <c r="D3" s="44"/>
      <c r="E3" s="44"/>
      <c r="F3" s="44"/>
      <c r="G3" s="44"/>
      <c r="H3" s="44"/>
      <c r="I3" s="44"/>
      <c r="J3" s="44"/>
      <c r="K3" s="44"/>
    </row>
    <row r="4" spans="2:16" s="132" customFormat="1" x14ac:dyDescent="0.25">
      <c r="B4" s="44" t="s">
        <v>264</v>
      </c>
      <c r="C4" s="44"/>
      <c r="D4" s="44"/>
      <c r="E4" s="44"/>
      <c r="F4" s="44"/>
      <c r="G4" s="44"/>
      <c r="H4" s="44"/>
      <c r="I4" s="44"/>
      <c r="J4" s="44"/>
      <c r="K4" s="44"/>
    </row>
    <row r="5" spans="2:16" s="132" customFormat="1" x14ac:dyDescent="0.25">
      <c r="B5" s="44" t="s">
        <v>265</v>
      </c>
      <c r="C5" s="44"/>
      <c r="D5" s="44"/>
      <c r="E5" s="44"/>
      <c r="F5" s="44"/>
      <c r="G5" s="44"/>
      <c r="H5" s="44"/>
      <c r="I5" s="44"/>
      <c r="J5" s="44"/>
      <c r="K5" s="44"/>
    </row>
    <row r="6" spans="2:16" s="132" customFormat="1" x14ac:dyDescent="0.25">
      <c r="B6" s="44" t="str">
        <f>'5-GASB34GovtFundsBudget'!E5</f>
        <v>For the Year Ended June 30, 2023</v>
      </c>
      <c r="C6" s="44"/>
      <c r="D6" s="44"/>
      <c r="E6" s="44"/>
      <c r="F6" s="44"/>
      <c r="G6" s="44"/>
      <c r="H6" s="44"/>
      <c r="I6" s="44"/>
      <c r="J6" s="44"/>
      <c r="K6" s="44"/>
    </row>
    <row r="7" spans="2:16" ht="13.8" thickBot="1" x14ac:dyDescent="0.3">
      <c r="B7" s="238"/>
      <c r="C7" s="238"/>
      <c r="D7" s="238"/>
      <c r="E7" s="238"/>
      <c r="F7" s="238"/>
      <c r="G7" s="238"/>
      <c r="H7" s="238"/>
      <c r="I7" s="238"/>
      <c r="J7" s="238"/>
      <c r="K7" s="238"/>
      <c r="P7" s="41"/>
    </row>
    <row r="8" spans="2:16" x14ac:dyDescent="0.25">
      <c r="B8" s="197"/>
      <c r="C8" s="197"/>
      <c r="D8" s="197"/>
      <c r="E8" s="197"/>
      <c r="F8" s="197"/>
      <c r="G8" s="197"/>
      <c r="H8" s="197"/>
      <c r="I8" s="197"/>
      <c r="J8" s="197"/>
      <c r="K8" s="37" t="s">
        <v>266</v>
      </c>
    </row>
    <row r="9" spans="2:16" x14ac:dyDescent="0.25">
      <c r="B9" s="197"/>
      <c r="C9" s="197"/>
      <c r="D9" s="197"/>
      <c r="E9" s="197"/>
      <c r="F9" s="197"/>
      <c r="G9" s="197"/>
      <c r="H9" s="197"/>
      <c r="I9" s="197"/>
      <c r="J9" s="197"/>
      <c r="K9" s="37" t="s">
        <v>500</v>
      </c>
    </row>
    <row r="10" spans="2:16" x14ac:dyDescent="0.25">
      <c r="B10" s="197"/>
      <c r="C10" s="39" t="s">
        <v>181</v>
      </c>
      <c r="D10" s="197"/>
      <c r="E10" s="197"/>
      <c r="F10" s="197"/>
      <c r="G10" s="38" t="s">
        <v>194</v>
      </c>
      <c r="H10" s="197"/>
      <c r="I10" s="38" t="s">
        <v>175</v>
      </c>
      <c r="J10" s="197"/>
      <c r="K10" s="38" t="s">
        <v>501</v>
      </c>
    </row>
    <row r="11" spans="2:16" x14ac:dyDescent="0.25">
      <c r="B11" s="39" t="s">
        <v>133</v>
      </c>
      <c r="C11" s="197"/>
      <c r="D11" s="197"/>
      <c r="E11" s="197"/>
      <c r="F11" s="197"/>
      <c r="G11" s="197"/>
      <c r="H11" s="197"/>
      <c r="I11" s="197"/>
      <c r="J11" s="197"/>
      <c r="K11" s="197"/>
    </row>
    <row r="12" spans="2:16" x14ac:dyDescent="0.25">
      <c r="B12" s="197"/>
      <c r="C12" s="39" t="s">
        <v>267</v>
      </c>
      <c r="D12" s="197"/>
      <c r="E12" s="197"/>
      <c r="F12" s="197"/>
      <c r="G12" s="197"/>
      <c r="H12" s="197"/>
      <c r="I12" s="197"/>
      <c r="J12" s="197"/>
      <c r="K12" s="197"/>
    </row>
    <row r="13" spans="2:16" x14ac:dyDescent="0.25">
      <c r="B13" s="197"/>
      <c r="C13" s="197"/>
      <c r="D13" s="39" t="s">
        <v>268</v>
      </c>
      <c r="E13" s="197"/>
      <c r="F13" s="39"/>
      <c r="G13" s="99"/>
      <c r="H13" s="249"/>
      <c r="I13" s="250">
        <f>2094562+10895</f>
        <v>2105457</v>
      </c>
      <c r="J13" s="249"/>
      <c r="K13" s="99"/>
    </row>
    <row r="14" spans="2:16" x14ac:dyDescent="0.25">
      <c r="B14" s="197"/>
      <c r="C14" s="197"/>
      <c r="D14" s="39" t="s">
        <v>269</v>
      </c>
      <c r="E14" s="197"/>
      <c r="F14" s="197"/>
      <c r="G14" s="104"/>
      <c r="H14" s="201"/>
      <c r="I14" s="201">
        <v>477083</v>
      </c>
      <c r="J14" s="201"/>
      <c r="K14" s="104"/>
    </row>
    <row r="15" spans="2:16" x14ac:dyDescent="0.25">
      <c r="B15" s="197"/>
      <c r="C15" s="197"/>
      <c r="D15" s="197" t="s">
        <v>270</v>
      </c>
      <c r="E15" s="197"/>
      <c r="F15" s="197"/>
      <c r="G15" s="112"/>
      <c r="H15" s="205"/>
      <c r="I15" s="207">
        <v>250000</v>
      </c>
      <c r="J15" s="205"/>
      <c r="K15" s="112"/>
    </row>
    <row r="16" spans="2:16" x14ac:dyDescent="0.25">
      <c r="B16" s="197"/>
      <c r="C16" s="197"/>
      <c r="D16" s="197"/>
      <c r="E16" s="39" t="s">
        <v>1</v>
      </c>
      <c r="F16" s="197"/>
      <c r="G16" s="251">
        <f>2820000+10000</f>
        <v>2830000</v>
      </c>
      <c r="H16" s="201"/>
      <c r="I16" s="201">
        <f>SUM(I13:I15)</f>
        <v>2832540</v>
      </c>
      <c r="J16" s="201"/>
      <c r="K16" s="251">
        <f>+I16-G16</f>
        <v>2540</v>
      </c>
    </row>
    <row r="17" spans="2:12" x14ac:dyDescent="0.25">
      <c r="B17" s="197"/>
      <c r="C17" s="197"/>
      <c r="D17" s="197"/>
      <c r="E17" s="197"/>
      <c r="F17" s="197"/>
      <c r="G17" s="205"/>
      <c r="H17" s="205"/>
      <c r="I17" s="205"/>
      <c r="J17" s="205"/>
      <c r="K17" s="205"/>
    </row>
    <row r="18" spans="2:12" x14ac:dyDescent="0.25">
      <c r="B18" s="197"/>
      <c r="C18" s="197"/>
      <c r="D18" s="39" t="s">
        <v>86</v>
      </c>
      <c r="E18" s="197"/>
      <c r="F18" s="197"/>
      <c r="G18" s="207"/>
      <c r="H18" s="205"/>
      <c r="I18" s="207">
        <v>11524</v>
      </c>
      <c r="J18" s="205"/>
      <c r="K18" s="207"/>
    </row>
    <row r="19" spans="2:12" x14ac:dyDescent="0.25">
      <c r="B19" s="197"/>
      <c r="C19" s="197"/>
      <c r="D19" s="197"/>
      <c r="E19" s="39" t="s">
        <v>56</v>
      </c>
      <c r="F19" s="197"/>
      <c r="G19" s="262">
        <f>+G18+G16+10000</f>
        <v>2840000</v>
      </c>
      <c r="H19" s="201"/>
      <c r="I19" s="262">
        <f>+I18+I16</f>
        <v>2844064</v>
      </c>
      <c r="J19" s="201"/>
      <c r="K19" s="262">
        <f>I19-G19</f>
        <v>4064</v>
      </c>
      <c r="L19" s="161"/>
    </row>
    <row r="20" spans="2:12" x14ac:dyDescent="0.25">
      <c r="B20" s="197"/>
      <c r="C20" s="197"/>
      <c r="D20" s="197"/>
      <c r="E20" s="197"/>
      <c r="F20" s="197"/>
      <c r="G20" s="197"/>
      <c r="H20" s="197"/>
      <c r="I20" s="197"/>
      <c r="J20" s="197"/>
      <c r="K20" s="197"/>
    </row>
    <row r="21" spans="2:12" x14ac:dyDescent="0.25">
      <c r="B21" s="197"/>
      <c r="C21" s="39" t="s">
        <v>271</v>
      </c>
      <c r="D21" s="197"/>
      <c r="E21" s="197"/>
      <c r="F21" s="197"/>
      <c r="G21" s="205"/>
      <c r="H21" s="205"/>
      <c r="I21" s="205"/>
      <c r="J21" s="205"/>
      <c r="K21" s="205"/>
    </row>
    <row r="22" spans="2:12" x14ac:dyDescent="0.25">
      <c r="B22" s="197"/>
      <c r="C22" s="39"/>
      <c r="D22" s="197"/>
      <c r="E22" s="197" t="s">
        <v>523</v>
      </c>
      <c r="F22" s="197"/>
      <c r="G22" s="207"/>
      <c r="H22" s="205"/>
      <c r="I22" s="207">
        <v>1228</v>
      </c>
      <c r="J22" s="205"/>
      <c r="K22" s="207"/>
    </row>
    <row r="23" spans="2:12" x14ac:dyDescent="0.25">
      <c r="B23" s="197"/>
      <c r="C23" s="197"/>
      <c r="D23" s="197"/>
      <c r="E23" s="39" t="s">
        <v>32</v>
      </c>
      <c r="F23" s="39" t="s">
        <v>181</v>
      </c>
      <c r="G23" s="206">
        <f>+G19+G22+1000</f>
        <v>2841000</v>
      </c>
      <c r="H23" s="205"/>
      <c r="I23" s="206">
        <f>+I19+I22</f>
        <v>2845292</v>
      </c>
      <c r="J23" s="205"/>
      <c r="K23" s="206">
        <f>I23-G23</f>
        <v>4292</v>
      </c>
    </row>
    <row r="24" spans="2:12" x14ac:dyDescent="0.25">
      <c r="B24" s="197"/>
      <c r="C24" s="197"/>
      <c r="D24" s="197"/>
      <c r="E24" s="197"/>
      <c r="F24" s="197"/>
      <c r="G24" s="205"/>
      <c r="H24" s="205"/>
      <c r="I24" s="205"/>
      <c r="J24" s="205"/>
      <c r="K24" s="205"/>
    </row>
    <row r="25" spans="2:12" x14ac:dyDescent="0.25">
      <c r="B25" s="39" t="s">
        <v>134</v>
      </c>
      <c r="C25" s="197"/>
      <c r="D25" s="197"/>
      <c r="E25" s="197"/>
      <c r="F25" s="197"/>
      <c r="G25" s="205"/>
      <c r="H25" s="205"/>
      <c r="I25" s="205"/>
      <c r="J25" s="205"/>
      <c r="K25" s="205"/>
    </row>
    <row r="26" spans="2:12" x14ac:dyDescent="0.25">
      <c r="B26" s="197"/>
      <c r="C26" s="39" t="s">
        <v>220</v>
      </c>
      <c r="D26" s="197"/>
      <c r="E26" s="197"/>
      <c r="F26" s="197"/>
      <c r="G26" s="205"/>
      <c r="H26" s="205"/>
      <c r="I26" s="205"/>
      <c r="J26" s="205"/>
      <c r="K26" s="205"/>
    </row>
    <row r="27" spans="2:12" x14ac:dyDescent="0.25">
      <c r="B27" s="197"/>
      <c r="C27" s="197"/>
      <c r="D27" s="39" t="s">
        <v>215</v>
      </c>
      <c r="E27" s="197"/>
      <c r="F27" s="197"/>
      <c r="G27" s="117"/>
      <c r="H27" s="205"/>
      <c r="I27" s="205">
        <f>15000+(120000+45050)*0.395*0.2-6392+(155804*0.395*0.2)</f>
        <v>33955.466</v>
      </c>
      <c r="J27" s="205"/>
      <c r="K27" s="117"/>
    </row>
    <row r="28" spans="2:12" x14ac:dyDescent="0.25">
      <c r="B28" s="197"/>
      <c r="C28" s="197"/>
      <c r="D28" s="39" t="s">
        <v>273</v>
      </c>
      <c r="E28" s="197"/>
      <c r="F28" s="197"/>
      <c r="G28" s="117"/>
      <c r="H28" s="197"/>
      <c r="I28" s="205">
        <v>387</v>
      </c>
      <c r="J28" s="197"/>
      <c r="K28" s="117"/>
    </row>
    <row r="29" spans="2:12" x14ac:dyDescent="0.25">
      <c r="B29" s="197"/>
      <c r="C29" s="197"/>
      <c r="D29" s="39" t="s">
        <v>274</v>
      </c>
      <c r="E29" s="197"/>
      <c r="F29" s="197"/>
      <c r="G29" s="117"/>
      <c r="H29" s="197"/>
      <c r="I29" s="205">
        <v>4800</v>
      </c>
      <c r="J29" s="197"/>
      <c r="K29" s="117"/>
    </row>
    <row r="30" spans="2:12" x14ac:dyDescent="0.25">
      <c r="B30" s="197"/>
      <c r="C30" s="197"/>
      <c r="D30" s="39" t="s">
        <v>218</v>
      </c>
      <c r="E30" s="197"/>
      <c r="F30" s="197"/>
      <c r="G30" s="116"/>
      <c r="H30" s="201"/>
      <c r="I30" s="201">
        <f>13238</f>
        <v>13238</v>
      </c>
      <c r="J30" s="201"/>
      <c r="K30" s="116"/>
    </row>
    <row r="31" spans="2:12" x14ac:dyDescent="0.25">
      <c r="B31" s="197"/>
      <c r="C31" s="197"/>
      <c r="D31" s="39" t="s">
        <v>275</v>
      </c>
      <c r="E31" s="197"/>
      <c r="F31" s="197"/>
      <c r="G31" s="115"/>
      <c r="H31" s="102"/>
      <c r="I31" s="94">
        <v>42861</v>
      </c>
      <c r="J31" s="102"/>
      <c r="K31" s="115"/>
    </row>
    <row r="32" spans="2:12" x14ac:dyDescent="0.25">
      <c r="B32" s="197"/>
      <c r="C32" s="197"/>
      <c r="D32" s="197"/>
      <c r="E32" s="39" t="s">
        <v>1</v>
      </c>
      <c r="F32" s="197"/>
      <c r="G32" s="206">
        <f>77600+10000+8000</f>
        <v>95600</v>
      </c>
      <c r="H32" s="205"/>
      <c r="I32" s="206">
        <f>SUM(I27:I31)</f>
        <v>95241.466</v>
      </c>
      <c r="J32" s="205"/>
      <c r="K32" s="206">
        <f>+G32-I32</f>
        <v>358.53399999999965</v>
      </c>
    </row>
    <row r="33" spans="2:12" x14ac:dyDescent="0.25">
      <c r="B33" s="197"/>
      <c r="C33" s="197"/>
      <c r="D33" s="197"/>
      <c r="E33" s="197"/>
      <c r="F33" s="197"/>
      <c r="G33" s="205"/>
      <c r="H33" s="205"/>
      <c r="I33" s="205"/>
      <c r="J33" s="205"/>
      <c r="K33" s="205"/>
    </row>
    <row r="34" spans="2:12" x14ac:dyDescent="0.25">
      <c r="B34" s="197"/>
      <c r="C34" s="39" t="s">
        <v>221</v>
      </c>
      <c r="D34" s="197"/>
      <c r="E34" s="197"/>
      <c r="F34" s="197"/>
      <c r="G34" s="205"/>
      <c r="H34" s="205"/>
      <c r="I34" s="205"/>
      <c r="J34" s="205"/>
      <c r="K34" s="205"/>
    </row>
    <row r="35" spans="2:12" x14ac:dyDescent="0.25">
      <c r="B35" s="197"/>
      <c r="C35" s="197"/>
      <c r="D35" s="39" t="s">
        <v>215</v>
      </c>
      <c r="E35" s="197"/>
      <c r="F35" s="197"/>
      <c r="G35" s="117"/>
      <c r="H35" s="205"/>
      <c r="I35" s="205">
        <v>16285</v>
      </c>
      <c r="J35" s="205"/>
      <c r="K35" s="110"/>
    </row>
    <row r="36" spans="2:12" x14ac:dyDescent="0.25">
      <c r="B36" s="197"/>
      <c r="C36" s="197"/>
      <c r="D36" s="39" t="s">
        <v>273</v>
      </c>
      <c r="E36" s="197"/>
      <c r="F36" s="197"/>
      <c r="G36" s="117"/>
      <c r="H36" s="205"/>
      <c r="I36" s="205">
        <v>3355</v>
      </c>
      <c r="J36" s="205"/>
      <c r="K36" s="104"/>
    </row>
    <row r="37" spans="2:12" x14ac:dyDescent="0.25">
      <c r="B37" s="197"/>
      <c r="C37" s="197"/>
      <c r="D37" s="39" t="s">
        <v>225</v>
      </c>
      <c r="E37" s="197"/>
      <c r="F37" s="197"/>
      <c r="G37" s="117"/>
      <c r="H37" s="205"/>
      <c r="I37" s="205">
        <v>12333</v>
      </c>
      <c r="J37" s="205"/>
      <c r="K37" s="104"/>
    </row>
    <row r="38" spans="2:12" x14ac:dyDescent="0.25">
      <c r="B38" s="197"/>
      <c r="C38" s="197"/>
      <c r="D38" s="39" t="s">
        <v>218</v>
      </c>
      <c r="E38" s="197"/>
      <c r="F38" s="197"/>
      <c r="G38" s="116"/>
      <c r="H38" s="201"/>
      <c r="I38" s="201">
        <v>7351</v>
      </c>
      <c r="J38" s="201"/>
      <c r="K38" s="104"/>
    </row>
    <row r="39" spans="2:12" x14ac:dyDescent="0.25">
      <c r="B39" s="197"/>
      <c r="C39" s="197"/>
      <c r="D39" s="39" t="s">
        <v>275</v>
      </c>
      <c r="E39" s="197"/>
      <c r="F39" s="197"/>
      <c r="G39" s="115"/>
      <c r="H39" s="205"/>
      <c r="I39" s="206">
        <v>21431</v>
      </c>
      <c r="J39" s="205"/>
      <c r="K39" s="252"/>
    </row>
    <row r="40" spans="2:12" x14ac:dyDescent="0.25">
      <c r="B40" s="197"/>
      <c r="C40" s="197"/>
      <c r="D40" s="197"/>
      <c r="E40" s="39" t="s">
        <v>1</v>
      </c>
      <c r="F40" s="197"/>
      <c r="G40" s="206">
        <f>62500-1000</f>
        <v>61500</v>
      </c>
      <c r="H40" s="205"/>
      <c r="I40" s="206">
        <f>SUM(I35:I39)</f>
        <v>60755</v>
      </c>
      <c r="J40" s="205"/>
      <c r="K40" s="206">
        <f>+G40-I40</f>
        <v>745</v>
      </c>
    </row>
    <row r="41" spans="2:12" x14ac:dyDescent="0.25">
      <c r="B41" s="197"/>
      <c r="C41" s="197"/>
      <c r="D41" s="197"/>
      <c r="E41" s="39"/>
      <c r="F41" s="197"/>
      <c r="G41" s="201"/>
      <c r="H41" s="205"/>
      <c r="I41" s="201"/>
      <c r="J41" s="205"/>
      <c r="K41" s="201"/>
    </row>
    <row r="42" spans="2:12" x14ac:dyDescent="0.25">
      <c r="B42" s="197"/>
      <c r="C42" s="39" t="s">
        <v>276</v>
      </c>
      <c r="D42" s="197"/>
      <c r="E42" s="197"/>
      <c r="F42" s="197"/>
      <c r="G42" s="197"/>
      <c r="H42" s="197"/>
      <c r="I42" s="205"/>
      <c r="J42" s="197"/>
      <c r="K42" s="197"/>
    </row>
    <row r="43" spans="2:12" x14ac:dyDescent="0.25">
      <c r="B43" s="197"/>
      <c r="C43" s="197"/>
      <c r="D43" s="39" t="s">
        <v>215</v>
      </c>
      <c r="E43" s="197"/>
      <c r="F43" s="197"/>
      <c r="G43" s="117"/>
      <c r="H43" s="50"/>
      <c r="I43" s="102">
        <v>68292</v>
      </c>
      <c r="J43" s="50"/>
      <c r="K43" s="117"/>
    </row>
    <row r="44" spans="2:12" x14ac:dyDescent="0.25">
      <c r="B44" s="197"/>
      <c r="C44" s="197"/>
      <c r="D44" s="39" t="s">
        <v>277</v>
      </c>
      <c r="E44" s="197"/>
      <c r="F44" s="197"/>
      <c r="G44" s="117"/>
      <c r="H44" s="50"/>
      <c r="I44" s="102">
        <v>17469</v>
      </c>
      <c r="J44" s="50"/>
      <c r="K44" s="117"/>
    </row>
    <row r="45" spans="2:12" x14ac:dyDescent="0.25">
      <c r="B45" s="197"/>
      <c r="C45" s="258"/>
      <c r="D45" s="349" t="s">
        <v>227</v>
      </c>
      <c r="E45" s="258"/>
      <c r="F45" s="258"/>
      <c r="G45" s="116"/>
      <c r="H45" s="253"/>
      <c r="I45" s="93">
        <v>3000</v>
      </c>
      <c r="J45" s="253"/>
      <c r="K45" s="116"/>
      <c r="L45" s="161"/>
    </row>
    <row r="46" spans="2:12" x14ac:dyDescent="0.25">
      <c r="B46" s="197"/>
      <c r="C46" s="258"/>
      <c r="D46" s="349" t="s">
        <v>218</v>
      </c>
      <c r="E46" s="258"/>
      <c r="F46" s="258"/>
      <c r="G46" s="116"/>
      <c r="H46" s="253"/>
      <c r="I46" s="93">
        <v>752</v>
      </c>
      <c r="J46" s="253"/>
      <c r="K46" s="116"/>
      <c r="L46" s="161"/>
    </row>
    <row r="47" spans="2:12" x14ac:dyDescent="0.25">
      <c r="B47" s="258"/>
      <c r="C47" s="258"/>
      <c r="D47" s="366" t="s">
        <v>275</v>
      </c>
      <c r="E47" s="360"/>
      <c r="F47" s="360"/>
      <c r="G47" s="368"/>
      <c r="H47" s="360"/>
      <c r="I47" s="363">
        <v>17133</v>
      </c>
      <c r="J47" s="360"/>
      <c r="K47" s="360"/>
      <c r="L47" s="161"/>
    </row>
    <row r="48" spans="2:12" x14ac:dyDescent="0.25">
      <c r="B48" s="258"/>
      <c r="C48" s="258"/>
      <c r="D48" s="366"/>
      <c r="E48" s="367" t="s">
        <v>1</v>
      </c>
      <c r="F48" s="360"/>
      <c r="G48" s="369">
        <v>107414</v>
      </c>
      <c r="H48" s="363">
        <f>SUM(H43:H47)</f>
        <v>0</v>
      </c>
      <c r="I48" s="369">
        <f>SUM(I43:I47)</f>
        <v>106646</v>
      </c>
      <c r="J48" s="363">
        <f>SUM(J43:J47)</f>
        <v>0</v>
      </c>
      <c r="K48" s="369">
        <f>G48-I48</f>
        <v>768</v>
      </c>
      <c r="L48" s="161"/>
    </row>
    <row r="49" spans="2:12" x14ac:dyDescent="0.25">
      <c r="B49" s="258"/>
      <c r="C49" s="258"/>
      <c r="D49" s="366"/>
      <c r="E49" s="360"/>
      <c r="F49" s="360"/>
      <c r="G49" s="360"/>
      <c r="H49" s="360"/>
      <c r="I49" s="363"/>
      <c r="J49" s="360"/>
      <c r="K49" s="360"/>
      <c r="L49" s="161"/>
    </row>
    <row r="50" spans="2:12" x14ac:dyDescent="0.25">
      <c r="B50" s="258"/>
      <c r="C50" s="349" t="s">
        <v>278</v>
      </c>
      <c r="D50" s="360"/>
      <c r="E50" s="360"/>
      <c r="F50" s="360"/>
      <c r="G50" s="370">
        <f>2383800-6000</f>
        <v>2377800</v>
      </c>
      <c r="H50" s="360"/>
      <c r="I50" s="371">
        <v>2379120</v>
      </c>
      <c r="J50" s="360"/>
      <c r="K50" s="566">
        <f>I50-G50</f>
        <v>1320</v>
      </c>
      <c r="L50" s="161"/>
    </row>
    <row r="51" spans="2:12" x14ac:dyDescent="0.25">
      <c r="B51" s="258"/>
      <c r="C51" s="349"/>
      <c r="D51" s="360"/>
      <c r="E51" s="360"/>
      <c r="F51" s="360"/>
      <c r="G51" s="596"/>
      <c r="H51" s="360"/>
      <c r="I51" s="363"/>
      <c r="J51" s="360"/>
      <c r="K51" s="597"/>
      <c r="L51" s="161"/>
    </row>
    <row r="52" spans="2:12" x14ac:dyDescent="0.25">
      <c r="B52" s="258"/>
      <c r="C52" s="349"/>
      <c r="D52" s="360"/>
      <c r="E52" s="360"/>
      <c r="F52" s="360"/>
      <c r="G52" s="596"/>
      <c r="H52" s="360"/>
      <c r="I52" s="363"/>
      <c r="J52" s="360"/>
      <c r="K52" s="598" t="s">
        <v>709</v>
      </c>
      <c r="L52" s="161"/>
    </row>
    <row r="53" spans="2:12" x14ac:dyDescent="0.25">
      <c r="B53" s="258"/>
      <c r="C53" s="349"/>
      <c r="D53" s="360"/>
      <c r="E53" s="360"/>
      <c r="F53" s="360"/>
      <c r="G53" s="360"/>
      <c r="H53" s="360"/>
      <c r="I53" s="360"/>
      <c r="J53" s="360"/>
      <c r="K53" s="360"/>
      <c r="L53" s="161"/>
    </row>
    <row r="54" spans="2:12" ht="13.8" thickBot="1" x14ac:dyDescent="0.3">
      <c r="B54" s="238"/>
      <c r="C54" s="238"/>
      <c r="D54" s="238"/>
      <c r="E54" s="238"/>
      <c r="F54" s="238"/>
      <c r="G54" s="238"/>
      <c r="H54" s="238"/>
      <c r="I54" s="238"/>
      <c r="J54" s="238"/>
      <c r="K54" s="238"/>
      <c r="L54" s="161"/>
    </row>
    <row r="55" spans="2:12" x14ac:dyDescent="0.25">
      <c r="B55" s="197"/>
      <c r="C55" s="197"/>
      <c r="D55" s="197"/>
      <c r="E55" s="197"/>
      <c r="F55" s="197"/>
      <c r="G55" s="197"/>
      <c r="H55" s="197"/>
      <c r="I55" s="197"/>
      <c r="J55" s="197"/>
      <c r="K55" s="37" t="s">
        <v>266</v>
      </c>
    </row>
    <row r="56" spans="2:12" x14ac:dyDescent="0.25">
      <c r="B56" s="197"/>
      <c r="C56" s="197"/>
      <c r="D56" s="197"/>
      <c r="E56" s="197"/>
      <c r="F56" s="197"/>
      <c r="G56" s="197"/>
      <c r="H56" s="197"/>
      <c r="I56" s="197"/>
      <c r="J56" s="197"/>
      <c r="K56" s="37" t="s">
        <v>500</v>
      </c>
    </row>
    <row r="57" spans="2:12" x14ac:dyDescent="0.25">
      <c r="B57" s="197"/>
      <c r="C57" s="39" t="s">
        <v>181</v>
      </c>
      <c r="D57" s="197"/>
      <c r="E57" s="197"/>
      <c r="F57" s="197"/>
      <c r="G57" s="38" t="s">
        <v>194</v>
      </c>
      <c r="H57" s="197"/>
      <c r="I57" s="38" t="s">
        <v>175</v>
      </c>
      <c r="J57" s="197"/>
      <c r="K57" s="38" t="s">
        <v>501</v>
      </c>
    </row>
    <row r="58" spans="2:12" x14ac:dyDescent="0.25">
      <c r="B58" s="197"/>
      <c r="C58" s="39"/>
      <c r="D58" s="197"/>
      <c r="E58" s="197"/>
      <c r="F58" s="197"/>
      <c r="G58" s="46"/>
      <c r="H58" s="197"/>
      <c r="I58" s="46"/>
      <c r="J58" s="197"/>
      <c r="K58" s="254"/>
    </row>
    <row r="59" spans="2:12" x14ac:dyDescent="0.25">
      <c r="B59" s="197"/>
      <c r="C59" s="39" t="s">
        <v>258</v>
      </c>
      <c r="D59" s="197"/>
      <c r="E59" s="197"/>
      <c r="F59" s="197"/>
      <c r="G59" s="197"/>
      <c r="H59" s="197"/>
      <c r="I59" s="197"/>
      <c r="J59" s="197"/>
      <c r="K59" s="197"/>
    </row>
    <row r="60" spans="2:12" x14ac:dyDescent="0.25">
      <c r="B60" s="197"/>
      <c r="C60" s="197"/>
      <c r="D60" s="39" t="s">
        <v>279</v>
      </c>
      <c r="E60" s="197"/>
      <c r="F60" s="197"/>
      <c r="G60" s="206">
        <v>145700</v>
      </c>
      <c r="H60" s="197"/>
      <c r="I60" s="206">
        <v>145010</v>
      </c>
      <c r="J60" s="205"/>
      <c r="K60" s="206">
        <f>+G60-I60</f>
        <v>690</v>
      </c>
    </row>
    <row r="61" spans="2:12" x14ac:dyDescent="0.25">
      <c r="B61" s="197"/>
      <c r="C61" s="197"/>
      <c r="D61" s="197"/>
      <c r="E61" s="39" t="s">
        <v>39</v>
      </c>
      <c r="F61" s="197"/>
      <c r="G61" s="206">
        <f>+G60+G50+G48+G40+G32</f>
        <v>2788014</v>
      </c>
      <c r="H61" s="205"/>
      <c r="I61" s="206">
        <f>+I60+I50+I48+I40+I32</f>
        <v>2786772.466</v>
      </c>
      <c r="J61" s="205"/>
      <c r="K61" s="372">
        <f>G61-I61</f>
        <v>1241.5339999999851</v>
      </c>
    </row>
    <row r="62" spans="2:12" x14ac:dyDescent="0.25">
      <c r="B62" s="197"/>
      <c r="C62" s="197"/>
      <c r="D62" s="197"/>
      <c r="E62" s="197"/>
      <c r="F62" s="197"/>
      <c r="G62" s="197"/>
      <c r="H62" s="197"/>
      <c r="I62" s="197"/>
      <c r="J62" s="197"/>
      <c r="K62" s="197"/>
    </row>
    <row r="63" spans="2:12" x14ac:dyDescent="0.25">
      <c r="B63" s="197"/>
      <c r="C63" s="197"/>
      <c r="D63" s="197"/>
      <c r="E63" s="197"/>
      <c r="F63" s="197"/>
      <c r="G63" s="197"/>
      <c r="H63" s="197"/>
      <c r="I63" s="197"/>
      <c r="J63" s="197"/>
      <c r="K63" s="197"/>
    </row>
    <row r="64" spans="2:12" x14ac:dyDescent="0.25">
      <c r="B64" s="197"/>
      <c r="C64" s="39" t="s">
        <v>192</v>
      </c>
      <c r="D64" s="197"/>
      <c r="E64" s="197"/>
      <c r="F64" s="197"/>
      <c r="G64" s="93">
        <f>+G23-G61</f>
        <v>52986</v>
      </c>
      <c r="H64" s="201"/>
      <c r="I64" s="93">
        <f>+I23-I61</f>
        <v>58519.533999999985</v>
      </c>
      <c r="J64" s="201"/>
      <c r="K64" s="93">
        <f>+I64-G64</f>
        <v>5533.5339999999851</v>
      </c>
    </row>
    <row r="65" spans="2:11" x14ac:dyDescent="0.25">
      <c r="B65" s="197"/>
      <c r="C65" s="197"/>
      <c r="D65" s="197"/>
      <c r="E65" s="197"/>
      <c r="F65" s="197"/>
      <c r="G65" s="205"/>
      <c r="H65" s="205"/>
      <c r="I65" s="205"/>
      <c r="J65" s="205"/>
    </row>
    <row r="66" spans="2:11" x14ac:dyDescent="0.25">
      <c r="B66" s="197"/>
      <c r="C66" s="39" t="s">
        <v>431</v>
      </c>
      <c r="D66" s="197"/>
      <c r="E66" s="197"/>
      <c r="F66" s="197"/>
      <c r="G66" s="205"/>
      <c r="H66" s="205"/>
      <c r="I66" s="205"/>
      <c r="J66" s="205"/>
      <c r="K66" s="205"/>
    </row>
    <row r="67" spans="2:11" x14ac:dyDescent="0.25">
      <c r="B67" s="197"/>
      <c r="C67" s="197"/>
      <c r="D67" s="39" t="s">
        <v>493</v>
      </c>
      <c r="E67" s="197"/>
      <c r="F67" s="197"/>
      <c r="G67" s="197"/>
      <c r="H67" s="197"/>
      <c r="I67" s="197"/>
      <c r="J67" s="197"/>
      <c r="K67" s="197"/>
    </row>
    <row r="68" spans="2:11" ht="39.6" x14ac:dyDescent="0.25">
      <c r="B68" s="197"/>
      <c r="C68" s="197"/>
      <c r="D68" s="39"/>
      <c r="E68" s="255" t="s">
        <v>791</v>
      </c>
      <c r="F68" s="197"/>
      <c r="G68" s="256">
        <v>-5986</v>
      </c>
      <c r="H68" s="256"/>
      <c r="I68" s="256">
        <v>-5986</v>
      </c>
      <c r="J68" s="256"/>
      <c r="K68" s="256">
        <f>+I68-G68</f>
        <v>0</v>
      </c>
    </row>
    <row r="69" spans="2:11" x14ac:dyDescent="0.25">
      <c r="B69" s="197"/>
      <c r="C69" s="197"/>
      <c r="D69" s="197"/>
      <c r="E69" s="197" t="s">
        <v>280</v>
      </c>
      <c r="F69" s="197"/>
      <c r="G69" s="107">
        <v>-47000</v>
      </c>
      <c r="H69" s="197"/>
      <c r="I69" s="107">
        <v>-46891</v>
      </c>
      <c r="J69" s="197"/>
      <c r="K69" s="257">
        <f>+I69-G69</f>
        <v>109</v>
      </c>
    </row>
    <row r="70" spans="2:11" x14ac:dyDescent="0.25">
      <c r="B70" s="197"/>
      <c r="C70" s="197" t="s">
        <v>430</v>
      </c>
      <c r="D70" s="197"/>
      <c r="E70" s="197"/>
      <c r="F70" s="197"/>
      <c r="G70" s="253">
        <f>+G69+G68</f>
        <v>-52986</v>
      </c>
      <c r="H70" s="197"/>
      <c r="I70" s="253">
        <f>+I69+I68</f>
        <v>-52877</v>
      </c>
      <c r="J70" s="197"/>
      <c r="K70" s="253">
        <f>+K69+K68</f>
        <v>109</v>
      </c>
    </row>
    <row r="71" spans="2:11" x14ac:dyDescent="0.25">
      <c r="B71" s="197"/>
      <c r="C71" s="197"/>
      <c r="D71" s="197"/>
      <c r="E71" s="197"/>
      <c r="F71" s="197"/>
      <c r="G71" s="253"/>
      <c r="H71" s="197"/>
      <c r="I71" s="253"/>
      <c r="J71" s="197"/>
      <c r="K71" s="258"/>
    </row>
    <row r="72" spans="2:11" x14ac:dyDescent="0.25">
      <c r="B72" s="197"/>
      <c r="C72" s="39" t="s">
        <v>192</v>
      </c>
      <c r="D72" s="197"/>
      <c r="E72" s="205"/>
      <c r="F72" s="197"/>
      <c r="G72" s="197"/>
      <c r="H72" s="205"/>
      <c r="I72" s="205"/>
      <c r="J72" s="205"/>
      <c r="K72" s="205"/>
    </row>
    <row r="73" spans="2:11" ht="13.8" thickBot="1" x14ac:dyDescent="0.3">
      <c r="B73" s="197"/>
      <c r="C73" s="39" t="s">
        <v>432</v>
      </c>
      <c r="D73" s="197"/>
      <c r="E73" s="197"/>
      <c r="F73" s="259"/>
      <c r="G73" s="260">
        <f>+G70+G64</f>
        <v>0</v>
      </c>
      <c r="H73" s="254"/>
      <c r="I73" s="261">
        <f>+I70+I64</f>
        <v>5642.5339999999851</v>
      </c>
      <c r="J73" s="259"/>
      <c r="K73" s="260">
        <f>+K70+K64</f>
        <v>5642.5339999999851</v>
      </c>
    </row>
    <row r="74" spans="2:11" ht="13.8" thickTop="1" x14ac:dyDescent="0.25">
      <c r="B74" s="197"/>
      <c r="C74" s="197"/>
      <c r="D74" s="197"/>
      <c r="E74" s="197"/>
      <c r="F74" s="197"/>
      <c r="G74" s="197"/>
      <c r="H74" s="197"/>
      <c r="I74" s="197"/>
      <c r="J74" s="197"/>
      <c r="K74" s="197"/>
    </row>
    <row r="75" spans="2:11" x14ac:dyDescent="0.25">
      <c r="B75" s="210" t="s">
        <v>281</v>
      </c>
      <c r="C75" s="197"/>
      <c r="D75" s="197"/>
      <c r="E75" s="197"/>
      <c r="F75" s="197"/>
      <c r="G75" s="197"/>
      <c r="H75" s="197"/>
      <c r="I75" s="197"/>
      <c r="J75" s="197"/>
      <c r="K75" s="197"/>
    </row>
    <row r="76" spans="2:11" x14ac:dyDescent="0.25">
      <c r="B76" s="210" t="s">
        <v>282</v>
      </c>
      <c r="C76" s="197"/>
      <c r="D76" s="197"/>
      <c r="E76" s="197"/>
      <c r="F76" s="197"/>
      <c r="G76" s="197"/>
      <c r="H76" s="197"/>
      <c r="I76" s="197"/>
      <c r="J76" s="197"/>
      <c r="K76" s="197"/>
    </row>
    <row r="77" spans="2:11" x14ac:dyDescent="0.25">
      <c r="B77" s="210"/>
      <c r="C77" s="197"/>
      <c r="D77" s="197"/>
      <c r="E77" s="197"/>
      <c r="F77" s="197"/>
      <c r="G77" s="197"/>
      <c r="H77" s="197"/>
      <c r="I77" s="197"/>
      <c r="J77" s="197"/>
      <c r="K77" s="197"/>
    </row>
    <row r="78" spans="2:11" x14ac:dyDescent="0.25">
      <c r="B78" s="197"/>
      <c r="C78" s="39" t="s">
        <v>283</v>
      </c>
      <c r="D78" s="197"/>
      <c r="E78" s="197"/>
      <c r="F78" s="197"/>
      <c r="G78" s="197"/>
      <c r="H78" s="197"/>
      <c r="I78" s="197"/>
      <c r="J78" s="197"/>
      <c r="K78" s="197"/>
    </row>
    <row r="79" spans="2:11" x14ac:dyDescent="0.25">
      <c r="B79" s="197"/>
      <c r="C79" s="39"/>
      <c r="D79" s="197" t="s">
        <v>284</v>
      </c>
      <c r="E79" s="197"/>
      <c r="F79" s="197"/>
      <c r="G79" s="197"/>
      <c r="H79" s="197"/>
      <c r="I79" s="50">
        <v>46891</v>
      </c>
      <c r="J79" s="197"/>
      <c r="K79" s="197"/>
    </row>
    <row r="80" spans="2:11" x14ac:dyDescent="0.25">
      <c r="B80" s="197"/>
      <c r="C80" s="197"/>
      <c r="D80" s="39" t="s">
        <v>285</v>
      </c>
      <c r="E80" s="197"/>
      <c r="F80" s="197"/>
      <c r="G80" s="197"/>
      <c r="H80" s="205"/>
      <c r="I80" s="205">
        <v>145010</v>
      </c>
      <c r="J80" s="205"/>
      <c r="K80" s="205"/>
    </row>
    <row r="81" spans="2:12" x14ac:dyDescent="0.25">
      <c r="B81" s="197"/>
      <c r="C81" s="197"/>
      <c r="D81" s="39" t="s">
        <v>58</v>
      </c>
      <c r="E81" s="197"/>
      <c r="F81" s="197"/>
      <c r="G81" s="197"/>
      <c r="H81" s="205"/>
      <c r="I81" s="205">
        <v>-178273</v>
      </c>
      <c r="J81" s="205"/>
      <c r="K81" s="205"/>
    </row>
    <row r="82" spans="2:12" x14ac:dyDescent="0.25">
      <c r="B82" s="197"/>
      <c r="C82" s="197"/>
      <c r="D82" s="39" t="s">
        <v>286</v>
      </c>
      <c r="E82" s="197"/>
      <c r="F82" s="197"/>
      <c r="G82" s="197"/>
      <c r="H82" s="205"/>
      <c r="I82" s="201">
        <f>-15275</f>
        <v>-15275</v>
      </c>
      <c r="J82" s="205"/>
      <c r="K82" s="205"/>
    </row>
    <row r="83" spans="2:12" x14ac:dyDescent="0.25">
      <c r="B83" s="197"/>
      <c r="C83" s="197"/>
      <c r="D83" s="482" t="s">
        <v>724</v>
      </c>
      <c r="E83" s="679"/>
      <c r="F83" s="197"/>
      <c r="G83" s="197"/>
      <c r="H83" s="205"/>
      <c r="I83" s="205">
        <f>-'8-Cash Flow-Prop'!C72</f>
        <v>23387.476000000002</v>
      </c>
      <c r="J83" s="205"/>
      <c r="K83" s="205"/>
    </row>
    <row r="84" spans="2:12" x14ac:dyDescent="0.25">
      <c r="B84" s="197"/>
      <c r="C84" s="197"/>
      <c r="D84" s="482" t="s">
        <v>725</v>
      </c>
      <c r="E84" s="679"/>
      <c r="F84" s="197"/>
      <c r="G84" s="197"/>
      <c r="H84" s="205"/>
      <c r="I84" s="205">
        <f>-'8-Cash Flow-Prop'!C74</f>
        <v>-24329.630000000005</v>
      </c>
      <c r="J84" s="205"/>
      <c r="K84" s="205"/>
    </row>
    <row r="85" spans="2:12" x14ac:dyDescent="0.25">
      <c r="B85" s="197"/>
      <c r="C85" s="197"/>
      <c r="D85" s="482" t="s">
        <v>769</v>
      </c>
      <c r="E85" s="679"/>
      <c r="F85" s="197"/>
      <c r="G85" s="197"/>
      <c r="H85" s="205"/>
      <c r="I85" s="205">
        <f>-'8-Cash Flow-Prop'!C75</f>
        <v>878.79600000000016</v>
      </c>
      <c r="J85" s="205"/>
      <c r="K85" s="205"/>
    </row>
    <row r="86" spans="2:12" x14ac:dyDescent="0.25">
      <c r="B86" s="197"/>
      <c r="C86" s="197"/>
      <c r="D86" s="482" t="s">
        <v>796</v>
      </c>
      <c r="F86" s="197"/>
      <c r="G86" s="197"/>
      <c r="H86" s="205"/>
      <c r="I86" s="449">
        <f>-'8-Cash Flow-Prop'!C73</f>
        <v>-1985.7440000000004</v>
      </c>
      <c r="J86" s="205"/>
      <c r="K86" s="205"/>
    </row>
    <row r="87" spans="2:12" x14ac:dyDescent="0.25">
      <c r="B87" s="197"/>
      <c r="C87" s="197"/>
      <c r="D87" s="482" t="s">
        <v>786</v>
      </c>
      <c r="F87" s="197"/>
      <c r="G87" s="197"/>
      <c r="H87" s="205"/>
      <c r="I87" s="390">
        <f>-'8-Cash Flow-Prop'!C79</f>
        <v>-478.97700000000009</v>
      </c>
      <c r="J87" s="205"/>
      <c r="K87" s="205"/>
    </row>
    <row r="88" spans="2:12" x14ac:dyDescent="0.25">
      <c r="B88" s="197"/>
      <c r="C88" s="197"/>
      <c r="D88" s="482" t="s">
        <v>784</v>
      </c>
      <c r="F88" s="197"/>
      <c r="G88" s="197"/>
      <c r="H88" s="205"/>
      <c r="I88" s="390">
        <f>-'8-Cash Flow-Prop'!C80</f>
        <v>-591.55200000000002</v>
      </c>
      <c r="J88" s="205"/>
      <c r="K88" s="205"/>
    </row>
    <row r="89" spans="2:12" x14ac:dyDescent="0.25">
      <c r="B89" s="197"/>
      <c r="C89" s="197"/>
      <c r="D89" s="39" t="s">
        <v>797</v>
      </c>
      <c r="E89" s="197"/>
      <c r="F89" s="197"/>
      <c r="G89" s="197"/>
      <c r="H89" s="205"/>
      <c r="I89" s="201">
        <f>-10895-6392</f>
        <v>-17287</v>
      </c>
      <c r="J89" s="205"/>
      <c r="K89" s="205"/>
      <c r="L89" s="313"/>
    </row>
    <row r="90" spans="2:12" x14ac:dyDescent="0.25">
      <c r="B90" s="197"/>
      <c r="C90" s="197"/>
      <c r="D90" s="197"/>
      <c r="E90" s="39" t="s">
        <v>1</v>
      </c>
      <c r="F90" s="197"/>
      <c r="G90" s="197"/>
      <c r="H90" s="197"/>
      <c r="I90" s="262">
        <f>SUM(I79:I89)</f>
        <v>-22053.631000000001</v>
      </c>
      <c r="J90" s="197"/>
      <c r="K90" s="197"/>
    </row>
    <row r="91" spans="2:12" ht="13.8" thickBot="1" x14ac:dyDescent="0.3">
      <c r="B91" s="197"/>
      <c r="C91" s="39" t="s">
        <v>639</v>
      </c>
      <c r="D91" s="197"/>
      <c r="E91" s="197"/>
      <c r="F91" s="197"/>
      <c r="G91" s="197"/>
      <c r="H91" s="263"/>
      <c r="I91" s="209">
        <f>+I90+I73-8</f>
        <v>-16419.097000000016</v>
      </c>
      <c r="J91" s="205"/>
      <c r="K91" s="205"/>
      <c r="L91" s="313"/>
    </row>
    <row r="92" spans="2:12" ht="13.8" thickTop="1" x14ac:dyDescent="0.25">
      <c r="B92" s="197"/>
      <c r="C92" s="39"/>
      <c r="D92" s="197"/>
      <c r="E92" s="197"/>
      <c r="F92" s="197"/>
      <c r="G92" s="197"/>
      <c r="H92" s="263"/>
      <c r="I92" s="201"/>
      <c r="J92" s="205"/>
    </row>
    <row r="93" spans="2:12" ht="13.8" thickBot="1" x14ac:dyDescent="0.3">
      <c r="B93" s="162"/>
      <c r="C93" s="264"/>
      <c r="D93" s="162"/>
      <c r="E93" s="162"/>
      <c r="F93" s="162"/>
      <c r="G93" s="162"/>
      <c r="H93" s="265"/>
      <c r="I93" s="266"/>
      <c r="J93" s="267"/>
      <c r="K93" s="267"/>
    </row>
    <row r="94" spans="2:12" x14ac:dyDescent="0.25">
      <c r="B94" s="162"/>
      <c r="C94" s="1049" t="s">
        <v>856</v>
      </c>
      <c r="D94" s="1060"/>
      <c r="E94" s="1060"/>
      <c r="F94" s="1060"/>
      <c r="G94" s="1060"/>
      <c r="H94" s="1060"/>
      <c r="I94" s="1060"/>
      <c r="J94" s="1060"/>
      <c r="K94" s="1061"/>
    </row>
    <row r="95" spans="2:12" x14ac:dyDescent="0.25">
      <c r="B95" s="162"/>
      <c r="C95" s="1062"/>
      <c r="D95" s="1063"/>
      <c r="E95" s="1063"/>
      <c r="F95" s="1063"/>
      <c r="G95" s="1063"/>
      <c r="H95" s="1063"/>
      <c r="I95" s="1063"/>
      <c r="J95" s="1063"/>
      <c r="K95" s="1064"/>
    </row>
    <row r="96" spans="2:12" x14ac:dyDescent="0.25">
      <c r="B96" s="162"/>
      <c r="C96" s="1062"/>
      <c r="D96" s="1063"/>
      <c r="E96" s="1063"/>
      <c r="F96" s="1063"/>
      <c r="G96" s="1063"/>
      <c r="H96" s="1063"/>
      <c r="I96" s="1063"/>
      <c r="J96" s="1063"/>
      <c r="K96" s="1064"/>
    </row>
    <row r="97" spans="2:11" ht="13.8" thickBot="1" x14ac:dyDescent="0.3">
      <c r="B97" s="268"/>
      <c r="C97" s="1065"/>
      <c r="D97" s="1066"/>
      <c r="E97" s="1066"/>
      <c r="F97" s="1066"/>
      <c r="G97" s="1066"/>
      <c r="H97" s="1066"/>
      <c r="I97" s="1066"/>
      <c r="J97" s="1066"/>
      <c r="K97" s="1067"/>
    </row>
    <row r="98" spans="2:11" x14ac:dyDescent="0.25">
      <c r="B98" s="269"/>
      <c r="C98" s="483"/>
      <c r="D98" s="483"/>
      <c r="E98" s="483"/>
      <c r="F98" s="483"/>
      <c r="G98" s="483"/>
      <c r="H98" s="483"/>
      <c r="I98" s="483"/>
      <c r="J98" s="483"/>
      <c r="K98" s="483"/>
    </row>
    <row r="99" spans="2:11" x14ac:dyDescent="0.25">
      <c r="B99" s="269"/>
      <c r="C99" s="483"/>
      <c r="D99" s="483"/>
      <c r="E99" s="483"/>
      <c r="F99" s="483"/>
      <c r="G99" s="483"/>
      <c r="H99" s="483"/>
      <c r="I99" s="483"/>
      <c r="J99" s="483"/>
      <c r="K99" s="483"/>
    </row>
    <row r="100" spans="2:11" x14ac:dyDescent="0.25">
      <c r="B100" s="269"/>
      <c r="C100" s="264"/>
      <c r="D100" s="162"/>
      <c r="E100" s="162"/>
      <c r="F100" s="162"/>
      <c r="G100" s="162"/>
      <c r="H100" s="265"/>
      <c r="I100" s="266"/>
      <c r="J100" s="267"/>
      <c r="K100" s="267"/>
    </row>
    <row r="101" spans="2:11" x14ac:dyDescent="0.25">
      <c r="B101" s="269"/>
      <c r="C101" s="264"/>
      <c r="D101" s="162"/>
      <c r="E101" s="162"/>
      <c r="F101" s="162"/>
      <c r="G101" s="162"/>
      <c r="H101" s="265"/>
      <c r="I101" s="266"/>
      <c r="J101" s="267"/>
      <c r="K101" s="267"/>
    </row>
    <row r="102" spans="2:11" x14ac:dyDescent="0.25">
      <c r="B102" s="162"/>
      <c r="C102" s="264"/>
      <c r="D102" s="162"/>
      <c r="E102" s="162"/>
      <c r="F102" s="162"/>
      <c r="G102" s="162"/>
      <c r="H102" s="265"/>
      <c r="I102" s="266"/>
      <c r="J102" s="267"/>
      <c r="K102" s="267"/>
    </row>
  </sheetData>
  <customSheetViews>
    <customSheetView guid="{AB48C5D7-99F4-4378-A0F9-05018B348977}">
      <selection activeCell="B39" sqref="B39"/>
      <rowBreaks count="1" manualBreakCount="1">
        <brk id="50" max="16383" man="1"/>
      </rowBreaks>
      <pageMargins left="0.75" right="0.75" top="1" bottom="1" header="0.5" footer="0.5"/>
      <pageSetup scale="79" firstPageNumber="103" fitToHeight="0" orientation="portrait" useFirstPageNumber="1" r:id="rId1"/>
      <headerFooter alignWithMargins="0"/>
    </customSheetView>
  </customSheetViews>
  <mergeCells count="1">
    <mergeCell ref="C94:K97"/>
  </mergeCells>
  <phoneticPr fontId="0" type="noConversion"/>
  <printOptions horizontalCentered="1"/>
  <pageMargins left="0.7" right="0.7" top="0.75" bottom="0.75" header="0.3" footer="0.3"/>
  <pageSetup firstPageNumber="103" fitToHeight="0" orientation="portrait" r:id="rId2"/>
  <rowBreaks count="1" manualBreakCount="1">
    <brk id="53" min="1" max="10"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FF00"/>
    <pageSetUpPr fitToPage="1"/>
  </sheetPr>
  <dimension ref="B2:Q43"/>
  <sheetViews>
    <sheetView workbookViewId="0"/>
  </sheetViews>
  <sheetFormatPr defaultColWidth="9.109375" defaultRowHeight="13.2" x14ac:dyDescent="0.25"/>
  <cols>
    <col min="1" max="1" width="9.109375" style="17"/>
    <col min="2" max="3" width="2.44140625" style="17" customWidth="1"/>
    <col min="4" max="4" width="8" style="17" customWidth="1"/>
    <col min="5" max="5" width="2.44140625" style="17" customWidth="1"/>
    <col min="6" max="6" width="9.5546875" style="17" customWidth="1"/>
    <col min="7" max="7" width="4.5546875" style="17" customWidth="1"/>
    <col min="8" max="8" width="2.44140625" style="17" customWidth="1"/>
    <col min="9" max="9" width="9.6640625" style="17" customWidth="1"/>
    <col min="10" max="10" width="2.44140625" style="17" customWidth="1"/>
    <col min="11" max="11" width="10.6640625" style="17" customWidth="1"/>
    <col min="12" max="12" width="2.44140625" style="17" customWidth="1"/>
    <col min="13" max="13" width="9.109375" style="17"/>
    <col min="14" max="14" width="2.6640625" style="17" customWidth="1"/>
    <col min="15" max="15" width="9.5546875" style="17" customWidth="1"/>
    <col min="16" max="16" width="2.6640625" style="17" customWidth="1"/>
    <col min="17" max="17" width="9.33203125" style="17" bestFit="1" customWidth="1"/>
    <col min="18" max="18" width="2.44140625" style="17" customWidth="1"/>
    <col min="19" max="16384" width="9.109375" style="17"/>
  </cols>
  <sheetData>
    <row r="2" spans="2:17" s="132" customFormat="1" x14ac:dyDescent="0.25">
      <c r="B2" s="44" t="s">
        <v>142</v>
      </c>
      <c r="C2" s="44"/>
      <c r="D2" s="44"/>
      <c r="E2" s="44"/>
      <c r="F2" s="44"/>
      <c r="G2" s="44"/>
      <c r="H2" s="44"/>
      <c r="I2" s="44"/>
      <c r="J2" s="44"/>
      <c r="K2" s="44"/>
      <c r="L2" s="44"/>
      <c r="M2" s="44"/>
      <c r="N2" s="237"/>
      <c r="O2" s="84"/>
      <c r="P2" s="84"/>
      <c r="Q2" s="84"/>
    </row>
    <row r="3" spans="2:17" s="132" customFormat="1" x14ac:dyDescent="0.25">
      <c r="B3" s="44" t="s">
        <v>287</v>
      </c>
      <c r="C3" s="44"/>
      <c r="D3" s="44"/>
      <c r="E3" s="44"/>
      <c r="F3" s="44"/>
      <c r="G3" s="44"/>
      <c r="H3" s="44"/>
      <c r="I3" s="44"/>
      <c r="J3" s="44"/>
      <c r="K3" s="44"/>
      <c r="L3" s="44"/>
      <c r="M3" s="44"/>
      <c r="N3" s="237"/>
      <c r="O3" s="84"/>
      <c r="P3" s="84"/>
      <c r="Q3" s="84"/>
    </row>
    <row r="4" spans="2:17" s="132" customFormat="1" x14ac:dyDescent="0.25">
      <c r="B4" s="44" t="s">
        <v>489</v>
      </c>
      <c r="C4" s="44"/>
      <c r="D4" s="44"/>
      <c r="E4" s="44"/>
      <c r="F4" s="44"/>
      <c r="G4" s="44"/>
      <c r="H4" s="44"/>
      <c r="I4" s="44"/>
      <c r="J4" s="44"/>
      <c r="K4" s="44"/>
      <c r="L4" s="44"/>
      <c r="M4" s="44"/>
      <c r="N4" s="237"/>
      <c r="O4" s="84"/>
      <c r="P4" s="84"/>
      <c r="Q4" s="84"/>
    </row>
    <row r="5" spans="2:17" s="132" customFormat="1" x14ac:dyDescent="0.25">
      <c r="B5" s="44" t="str">
        <f>'5-GASB34GovtFundsBudget'!E5</f>
        <v>For the Year Ended June 30, 2023</v>
      </c>
      <c r="C5" s="44"/>
      <c r="D5" s="44"/>
      <c r="E5" s="44"/>
      <c r="F5" s="44"/>
      <c r="G5" s="44"/>
      <c r="H5" s="44"/>
      <c r="I5" s="44"/>
      <c r="J5" s="44"/>
      <c r="K5" s="44"/>
      <c r="L5" s="44"/>
      <c r="M5" s="44"/>
      <c r="N5" s="237"/>
      <c r="O5" s="84"/>
      <c r="P5" s="84"/>
      <c r="Q5" s="84"/>
    </row>
    <row r="6" spans="2:17" ht="13.8" thickBot="1" x14ac:dyDescent="0.3">
      <c r="B6" s="238"/>
      <c r="C6" s="238"/>
      <c r="D6" s="238"/>
      <c r="E6" s="238"/>
      <c r="F6" s="238"/>
      <c r="G6" s="238"/>
      <c r="H6" s="238"/>
      <c r="I6" s="238"/>
      <c r="J6" s="238"/>
      <c r="K6" s="238"/>
      <c r="L6" s="238"/>
      <c r="M6" s="238"/>
      <c r="N6" s="238"/>
      <c r="O6" s="238"/>
      <c r="P6" s="238"/>
      <c r="Q6" s="239"/>
    </row>
    <row r="7" spans="2:17" x14ac:dyDescent="0.25">
      <c r="B7" s="240"/>
      <c r="C7" s="240"/>
      <c r="D7" s="240"/>
      <c r="E7" s="240"/>
      <c r="F7" s="240"/>
      <c r="G7" s="240"/>
      <c r="H7" s="240"/>
      <c r="I7" s="240"/>
      <c r="J7" s="240"/>
      <c r="K7" s="240"/>
      <c r="L7" s="240"/>
      <c r="M7" s="240"/>
      <c r="N7" s="47"/>
      <c r="O7" s="41"/>
      <c r="P7" s="41"/>
      <c r="Q7" s="41"/>
    </row>
    <row r="8" spans="2:17" x14ac:dyDescent="0.25">
      <c r="B8" s="47"/>
      <c r="C8" s="47"/>
      <c r="D8" s="47"/>
      <c r="E8" s="47"/>
      <c r="F8" s="47"/>
      <c r="G8" s="41"/>
      <c r="H8" s="41"/>
      <c r="I8" s="241" t="s">
        <v>175</v>
      </c>
      <c r="J8" s="241"/>
      <c r="K8" s="241"/>
      <c r="L8" s="241"/>
      <c r="M8" s="241"/>
      <c r="N8" s="241"/>
      <c r="O8" s="241"/>
      <c r="P8" s="241"/>
      <c r="Q8" s="242"/>
    </row>
    <row r="9" spans="2:17" ht="39.6" x14ac:dyDescent="0.25">
      <c r="B9" s="47"/>
      <c r="C9" s="47"/>
      <c r="D9" s="47"/>
      <c r="E9" s="47"/>
      <c r="F9" s="47"/>
      <c r="G9" s="41"/>
      <c r="H9" s="41"/>
      <c r="I9" s="243" t="s">
        <v>288</v>
      </c>
      <c r="J9" s="244"/>
      <c r="K9" s="243" t="s">
        <v>289</v>
      </c>
      <c r="L9" s="244"/>
      <c r="M9" s="243" t="s">
        <v>290</v>
      </c>
      <c r="N9" s="244"/>
      <c r="O9" s="243" t="s">
        <v>291</v>
      </c>
      <c r="P9" s="243"/>
      <c r="Q9" s="45" t="s">
        <v>504</v>
      </c>
    </row>
    <row r="10" spans="2:17" x14ac:dyDescent="0.25">
      <c r="B10" s="47"/>
      <c r="C10" s="47"/>
      <c r="D10" s="47"/>
      <c r="E10" s="47"/>
      <c r="F10" s="47"/>
      <c r="G10" s="41"/>
      <c r="H10" s="41"/>
      <c r="I10" s="47"/>
      <c r="J10" s="47"/>
      <c r="K10" s="47"/>
      <c r="L10" s="47"/>
      <c r="M10" s="47"/>
      <c r="N10" s="47"/>
      <c r="O10" s="47"/>
      <c r="P10" s="47"/>
      <c r="Q10" s="37"/>
    </row>
    <row r="11" spans="2:17" x14ac:dyDescent="0.25">
      <c r="B11" s="47" t="s">
        <v>133</v>
      </c>
      <c r="C11" s="47"/>
      <c r="D11" s="47"/>
      <c r="E11" s="47"/>
      <c r="F11" s="47"/>
      <c r="G11" s="41"/>
      <c r="H11" s="41"/>
      <c r="I11" s="47"/>
      <c r="J11" s="47"/>
      <c r="K11" s="47"/>
      <c r="L11" s="47"/>
      <c r="M11" s="47"/>
      <c r="N11" s="47"/>
      <c r="O11" s="47"/>
      <c r="P11" s="47"/>
      <c r="Q11" s="46"/>
    </row>
    <row r="12" spans="2:17" x14ac:dyDescent="0.25">
      <c r="B12" s="47"/>
      <c r="C12" s="47" t="s">
        <v>31</v>
      </c>
      <c r="D12" s="47"/>
      <c r="E12" s="47"/>
      <c r="F12" s="47"/>
      <c r="G12" s="41"/>
      <c r="H12" s="41"/>
      <c r="I12" s="245">
        <v>55000</v>
      </c>
      <c r="J12" s="126"/>
      <c r="K12" s="245">
        <v>0</v>
      </c>
      <c r="L12" s="126"/>
      <c r="M12" s="245">
        <v>0</v>
      </c>
      <c r="N12" s="126"/>
      <c r="O12" s="245">
        <f>+M12+K12</f>
        <v>0</v>
      </c>
      <c r="P12" s="245"/>
      <c r="Q12" s="40">
        <f>+O12-I12</f>
        <v>-55000</v>
      </c>
    </row>
    <row r="13" spans="2:17" x14ac:dyDescent="0.25">
      <c r="B13" s="47"/>
      <c r="C13" s="47"/>
      <c r="D13" s="47"/>
      <c r="E13" s="47"/>
      <c r="F13" s="47"/>
      <c r="G13" s="41"/>
      <c r="H13" s="41"/>
      <c r="I13" s="47"/>
      <c r="J13" s="47"/>
      <c r="K13" s="47"/>
      <c r="L13" s="47"/>
      <c r="M13" s="47"/>
      <c r="N13" s="47"/>
      <c r="O13" s="47"/>
      <c r="P13" s="47"/>
      <c r="Q13" s="41"/>
    </row>
    <row r="14" spans="2:17" x14ac:dyDescent="0.25">
      <c r="B14" s="47" t="s">
        <v>139</v>
      </c>
      <c r="C14" s="47"/>
      <c r="D14" s="47"/>
      <c r="E14" s="47"/>
      <c r="F14" s="47"/>
      <c r="G14" s="41"/>
      <c r="H14" s="41"/>
      <c r="I14" s="47"/>
      <c r="J14" s="47"/>
      <c r="K14" s="47"/>
      <c r="L14" s="47"/>
      <c r="M14" s="47"/>
      <c r="N14" s="47"/>
      <c r="O14" s="47"/>
      <c r="P14" s="47"/>
      <c r="Q14" s="41"/>
    </row>
    <row r="15" spans="2:17" x14ac:dyDescent="0.25">
      <c r="B15" s="47"/>
      <c r="C15" s="47" t="s">
        <v>492</v>
      </c>
      <c r="D15" s="47"/>
      <c r="E15" s="47"/>
      <c r="F15" s="47"/>
      <c r="G15" s="41"/>
      <c r="H15" s="41"/>
      <c r="I15" s="47"/>
      <c r="J15" s="47"/>
      <c r="K15" s="47"/>
      <c r="L15" s="47"/>
      <c r="M15" s="47"/>
      <c r="N15" s="47"/>
      <c r="O15" s="47"/>
      <c r="P15" s="47"/>
      <c r="Q15" s="41"/>
    </row>
    <row r="16" spans="2:17" x14ac:dyDescent="0.25">
      <c r="B16" s="47"/>
      <c r="C16" s="47"/>
      <c r="D16" s="47" t="s">
        <v>292</v>
      </c>
      <c r="E16" s="47"/>
      <c r="F16" s="47"/>
      <c r="G16" s="41"/>
      <c r="H16" s="41"/>
      <c r="I16" s="50">
        <v>250000</v>
      </c>
      <c r="J16" s="47"/>
      <c r="K16" s="121">
        <v>0</v>
      </c>
      <c r="L16" s="47"/>
      <c r="M16" s="50">
        <v>46891</v>
      </c>
      <c r="N16" s="47"/>
      <c r="O16" s="246">
        <f>+M16+K16</f>
        <v>46891</v>
      </c>
      <c r="P16" s="246"/>
      <c r="Q16" s="42">
        <f>+O16-I16</f>
        <v>-203109</v>
      </c>
    </row>
    <row r="17" spans="2:17" x14ac:dyDescent="0.25">
      <c r="B17" s="47"/>
      <c r="C17" s="47" t="s">
        <v>493</v>
      </c>
      <c r="D17" s="47"/>
      <c r="E17" s="47"/>
      <c r="F17" s="47"/>
      <c r="G17" s="41"/>
      <c r="H17" s="41"/>
      <c r="I17" s="47"/>
      <c r="J17" s="47"/>
      <c r="K17" s="47"/>
      <c r="L17" s="47"/>
      <c r="M17" s="47"/>
      <c r="N17" s="47"/>
      <c r="O17" s="47"/>
      <c r="P17" s="47"/>
      <c r="Q17" s="41"/>
    </row>
    <row r="18" spans="2:17" x14ac:dyDescent="0.25">
      <c r="B18" s="47"/>
      <c r="C18" s="47"/>
      <c r="D18" s="47" t="s">
        <v>292</v>
      </c>
      <c r="E18" s="47"/>
      <c r="F18" s="47"/>
      <c r="G18" s="41"/>
      <c r="H18" s="41"/>
      <c r="I18" s="107">
        <v>-305000</v>
      </c>
      <c r="J18" s="47"/>
      <c r="K18" s="106">
        <v>0</v>
      </c>
      <c r="L18" s="47"/>
      <c r="M18" s="106">
        <v>0</v>
      </c>
      <c r="N18" s="47"/>
      <c r="O18" s="106">
        <v>0</v>
      </c>
      <c r="P18" s="106"/>
      <c r="Q18" s="43">
        <f>-I18-O18</f>
        <v>305000</v>
      </c>
    </row>
    <row r="19" spans="2:17" x14ac:dyDescent="0.25">
      <c r="B19" s="47"/>
      <c r="C19" s="47"/>
      <c r="D19" s="47" t="s">
        <v>293</v>
      </c>
      <c r="E19" s="47"/>
      <c r="F19" s="47"/>
      <c r="G19" s="41"/>
      <c r="H19" s="41"/>
      <c r="I19" s="47"/>
      <c r="J19" s="47"/>
      <c r="K19" s="47"/>
      <c r="L19" s="47"/>
      <c r="M19" s="47"/>
      <c r="N19" s="47"/>
      <c r="O19" s="47"/>
      <c r="P19" s="47"/>
      <c r="Q19" s="41"/>
    </row>
    <row r="20" spans="2:17" x14ac:dyDescent="0.25">
      <c r="B20" s="47"/>
      <c r="C20" s="47"/>
      <c r="D20" s="47" t="s">
        <v>294</v>
      </c>
      <c r="E20" s="47"/>
      <c r="F20" s="47"/>
      <c r="G20" s="41"/>
      <c r="H20" s="41"/>
      <c r="I20" s="247">
        <f>+I18+I16</f>
        <v>-55000</v>
      </c>
      <c r="J20" s="47"/>
      <c r="K20" s="247">
        <f>+K18+K16</f>
        <v>0</v>
      </c>
      <c r="L20" s="47"/>
      <c r="M20" s="247">
        <f>+M18+M16</f>
        <v>46891</v>
      </c>
      <c r="N20" s="47"/>
      <c r="O20" s="247">
        <f>+O18+O16</f>
        <v>46891</v>
      </c>
      <c r="P20" s="247"/>
      <c r="Q20" s="43">
        <f>SUM(Q16:Q18)</f>
        <v>101891</v>
      </c>
    </row>
    <row r="21" spans="2:17" x14ac:dyDescent="0.25">
      <c r="B21" s="47"/>
      <c r="C21" s="47"/>
      <c r="D21" s="47"/>
      <c r="E21" s="47"/>
      <c r="F21" s="47"/>
      <c r="G21" s="41"/>
      <c r="H21" s="41"/>
      <c r="I21" s="47"/>
      <c r="J21" s="47"/>
      <c r="K21" s="47"/>
      <c r="L21" s="47"/>
      <c r="M21" s="47"/>
      <c r="N21" s="47"/>
      <c r="O21" s="47"/>
      <c r="P21" s="47"/>
      <c r="Q21" s="41"/>
    </row>
    <row r="22" spans="2:17" x14ac:dyDescent="0.25">
      <c r="B22" s="47" t="s">
        <v>295</v>
      </c>
      <c r="C22" s="47"/>
      <c r="D22" s="47"/>
      <c r="E22" s="47"/>
      <c r="F22" s="47"/>
      <c r="G22" s="41"/>
      <c r="H22" s="41"/>
      <c r="I22" s="47"/>
      <c r="J22" s="47"/>
      <c r="K22" s="47"/>
      <c r="L22" s="47"/>
      <c r="M22" s="47"/>
      <c r="N22" s="47"/>
      <c r="O22" s="47"/>
      <c r="P22" s="47"/>
      <c r="Q22" s="41"/>
    </row>
    <row r="23" spans="2:17" ht="13.8" thickBot="1" x14ac:dyDescent="0.3">
      <c r="B23" s="47" t="s">
        <v>296</v>
      </c>
      <c r="C23" s="47"/>
      <c r="D23" s="47"/>
      <c r="E23" s="47"/>
      <c r="F23" s="47"/>
      <c r="G23" s="41"/>
      <c r="H23" s="41"/>
      <c r="I23" s="248">
        <f>+I20+I12</f>
        <v>0</v>
      </c>
      <c r="J23" s="47"/>
      <c r="K23" s="248">
        <f>+K20+K12</f>
        <v>0</v>
      </c>
      <c r="L23" s="47"/>
      <c r="M23" s="248">
        <v>46891</v>
      </c>
      <c r="N23" s="47"/>
      <c r="O23" s="248">
        <f>+O20+O12</f>
        <v>46891</v>
      </c>
      <c r="P23" s="248"/>
      <c r="Q23" s="248">
        <f>+Q20+Q12</f>
        <v>46891</v>
      </c>
    </row>
    <row r="24" spans="2:17" ht="13.8" thickTop="1" x14ac:dyDescent="0.25">
      <c r="B24" s="47"/>
      <c r="C24" s="47"/>
      <c r="D24" s="47"/>
      <c r="E24" s="47"/>
      <c r="F24" s="47"/>
      <c r="G24" s="41"/>
      <c r="H24" s="41"/>
      <c r="I24" s="47"/>
      <c r="J24" s="47"/>
      <c r="K24" s="47"/>
      <c r="L24" s="47"/>
      <c r="M24" s="47"/>
      <c r="N24" s="47"/>
      <c r="O24" s="47"/>
      <c r="P24" s="47"/>
      <c r="Q24" s="41"/>
    </row>
    <row r="25" spans="2:17" x14ac:dyDescent="0.25">
      <c r="B25" s="47"/>
      <c r="C25" s="47"/>
      <c r="D25" s="47"/>
      <c r="E25" s="47"/>
      <c r="F25" s="47"/>
      <c r="G25" s="47"/>
      <c r="H25" s="47"/>
      <c r="I25" s="47"/>
      <c r="J25" s="47"/>
      <c r="K25" s="47"/>
      <c r="L25" s="47"/>
      <c r="M25" s="47"/>
      <c r="N25" s="47"/>
      <c r="O25" s="41"/>
      <c r="P25" s="41"/>
      <c r="Q25" s="41"/>
    </row>
    <row r="26" spans="2:17" x14ac:dyDescent="0.25">
      <c r="B26" s="47"/>
      <c r="C26" s="47"/>
      <c r="D26" s="47"/>
      <c r="E26" s="47"/>
      <c r="F26" s="47"/>
      <c r="G26" s="47"/>
      <c r="H26" s="47"/>
      <c r="I26" s="47"/>
      <c r="J26" s="47"/>
      <c r="K26" s="47"/>
      <c r="L26" s="47"/>
      <c r="M26" s="47"/>
      <c r="N26" s="47"/>
      <c r="O26" s="41"/>
      <c r="P26" s="41"/>
      <c r="Q26" s="41"/>
    </row>
    <row r="27" spans="2:17" x14ac:dyDescent="0.25">
      <c r="B27" s="47"/>
      <c r="C27" s="47"/>
      <c r="D27" s="47"/>
      <c r="E27" s="47"/>
      <c r="F27" s="47"/>
      <c r="G27" s="47"/>
      <c r="H27" s="47"/>
      <c r="I27" s="47"/>
      <c r="J27" s="47"/>
      <c r="K27" s="47"/>
      <c r="L27" s="47"/>
      <c r="M27" s="47"/>
      <c r="N27" s="47"/>
      <c r="O27" s="41"/>
      <c r="P27" s="41"/>
      <c r="Q27" s="41"/>
    </row>
    <row r="28" spans="2:17" ht="13.8" thickBot="1" x14ac:dyDescent="0.3">
      <c r="B28" s="47"/>
      <c r="C28" s="47"/>
      <c r="D28" s="47"/>
      <c r="E28" s="47"/>
      <c r="F28" s="47"/>
      <c r="G28" s="47"/>
      <c r="H28" s="47"/>
      <c r="I28" s="47"/>
      <c r="J28" s="47"/>
      <c r="K28" s="47"/>
      <c r="L28" s="47"/>
      <c r="M28" s="47"/>
      <c r="N28" s="47"/>
      <c r="O28" s="41"/>
      <c r="P28" s="41"/>
      <c r="Q28" s="41"/>
    </row>
    <row r="29" spans="2:17" x14ac:dyDescent="0.25">
      <c r="B29" s="47"/>
      <c r="C29" s="1068" t="s">
        <v>838</v>
      </c>
      <c r="D29" s="1069"/>
      <c r="E29" s="1069"/>
      <c r="F29" s="1069"/>
      <c r="G29" s="1069"/>
      <c r="H29" s="1069"/>
      <c r="I29" s="1069"/>
      <c r="J29" s="1069"/>
      <c r="K29" s="1069"/>
      <c r="L29" s="1069"/>
      <c r="M29" s="1069"/>
      <c r="N29" s="1069"/>
      <c r="O29" s="1069"/>
      <c r="P29" s="1069"/>
      <c r="Q29" s="1070"/>
    </row>
    <row r="30" spans="2:17" x14ac:dyDescent="0.25">
      <c r="B30" s="47"/>
      <c r="C30" s="1071"/>
      <c r="D30" s="1072"/>
      <c r="E30" s="1072"/>
      <c r="F30" s="1072"/>
      <c r="G30" s="1072"/>
      <c r="H30" s="1072"/>
      <c r="I30" s="1072"/>
      <c r="J30" s="1072"/>
      <c r="K30" s="1072"/>
      <c r="L30" s="1072"/>
      <c r="M30" s="1072"/>
      <c r="N30" s="1072"/>
      <c r="O30" s="1072"/>
      <c r="P30" s="1072"/>
      <c r="Q30" s="1073"/>
    </row>
    <row r="31" spans="2:17" x14ac:dyDescent="0.25">
      <c r="B31" s="47"/>
      <c r="C31" s="1071"/>
      <c r="D31" s="1072"/>
      <c r="E31" s="1072"/>
      <c r="F31" s="1072"/>
      <c r="G31" s="1072"/>
      <c r="H31" s="1072"/>
      <c r="I31" s="1072"/>
      <c r="J31" s="1072"/>
      <c r="K31" s="1072"/>
      <c r="L31" s="1072"/>
      <c r="M31" s="1072"/>
      <c r="N31" s="1072"/>
      <c r="O31" s="1072"/>
      <c r="P31" s="1072"/>
      <c r="Q31" s="1073"/>
    </row>
    <row r="32" spans="2:17" ht="13.8" thickBot="1" x14ac:dyDescent="0.3">
      <c r="B32" s="47"/>
      <c r="C32" s="1074"/>
      <c r="D32" s="1075"/>
      <c r="E32" s="1075"/>
      <c r="F32" s="1075"/>
      <c r="G32" s="1075"/>
      <c r="H32" s="1075"/>
      <c r="I32" s="1075"/>
      <c r="J32" s="1075"/>
      <c r="K32" s="1075"/>
      <c r="L32" s="1075"/>
      <c r="M32" s="1075"/>
      <c r="N32" s="1075"/>
      <c r="O32" s="1075"/>
      <c r="P32" s="1075"/>
      <c r="Q32" s="1076"/>
    </row>
    <row r="33" spans="2:17" x14ac:dyDescent="0.25">
      <c r="B33" s="47"/>
      <c r="C33" s="47"/>
      <c r="D33" s="47"/>
      <c r="E33" s="47"/>
      <c r="F33" s="47"/>
      <c r="G33" s="47"/>
      <c r="H33" s="47"/>
      <c r="I33" s="47"/>
      <c r="J33" s="47"/>
      <c r="K33" s="47"/>
      <c r="L33" s="47"/>
      <c r="M33" s="47"/>
      <c r="N33" s="47"/>
      <c r="O33" s="41"/>
      <c r="P33" s="41"/>
      <c r="Q33" s="41"/>
    </row>
    <row r="38" spans="2:17" x14ac:dyDescent="0.25">
      <c r="C38" s="161"/>
      <c r="D38" s="161"/>
      <c r="E38" s="161"/>
      <c r="F38" s="161"/>
      <c r="G38" s="161"/>
      <c r="H38" s="161"/>
      <c r="I38" s="161"/>
      <c r="J38" s="161"/>
      <c r="K38" s="161"/>
      <c r="L38" s="161"/>
    </row>
    <row r="39" spans="2:17" x14ac:dyDescent="0.25">
      <c r="B39" s="161"/>
      <c r="C39" s="161"/>
      <c r="D39" s="1042"/>
      <c r="E39" s="963"/>
      <c r="F39" s="963"/>
      <c r="G39" s="963"/>
      <c r="H39" s="963"/>
      <c r="I39" s="963"/>
      <c r="J39" s="963"/>
      <c r="K39" s="963"/>
      <c r="L39" s="161"/>
    </row>
    <row r="40" spans="2:17" x14ac:dyDescent="0.25">
      <c r="B40" s="161"/>
      <c r="C40" s="161"/>
      <c r="D40" s="963"/>
      <c r="E40" s="963"/>
      <c r="F40" s="963"/>
      <c r="G40" s="963"/>
      <c r="H40" s="963"/>
      <c r="I40" s="963"/>
      <c r="J40" s="963"/>
      <c r="K40" s="963"/>
      <c r="L40" s="161"/>
    </row>
    <row r="41" spans="2:17" x14ac:dyDescent="0.25">
      <c r="B41" s="161"/>
      <c r="C41" s="161"/>
      <c r="D41" s="963"/>
      <c r="E41" s="963"/>
      <c r="F41" s="963"/>
      <c r="G41" s="963"/>
      <c r="H41" s="963"/>
      <c r="I41" s="963"/>
      <c r="J41" s="963"/>
      <c r="K41" s="963"/>
      <c r="L41" s="161"/>
    </row>
    <row r="42" spans="2:17" x14ac:dyDescent="0.25">
      <c r="B42" s="161"/>
      <c r="C42" s="161"/>
      <c r="D42" s="963"/>
      <c r="E42" s="963"/>
      <c r="F42" s="963"/>
      <c r="G42" s="963"/>
      <c r="H42" s="963"/>
      <c r="I42" s="963"/>
      <c r="J42" s="963"/>
      <c r="K42" s="963"/>
      <c r="L42" s="161"/>
    </row>
    <row r="43" spans="2:17" x14ac:dyDescent="0.25">
      <c r="B43" s="161"/>
      <c r="C43" s="161"/>
      <c r="D43" s="161"/>
      <c r="E43" s="161"/>
      <c r="F43" s="161"/>
      <c r="G43" s="161"/>
      <c r="H43" s="161"/>
      <c r="I43" s="161"/>
      <c r="J43" s="161"/>
      <c r="K43" s="161"/>
      <c r="L43" s="161"/>
    </row>
  </sheetData>
  <customSheetViews>
    <customSheetView guid="{AB48C5D7-99F4-4378-A0F9-05018B348977}">
      <selection activeCell="B39" sqref="B39"/>
      <pageMargins left="0.75" right="0.75" top="1" bottom="1" header="0.5" footer="0.5"/>
      <pageSetup scale="79" firstPageNumber="100" orientation="portrait" useFirstPageNumber="1" r:id="rId1"/>
      <headerFooter alignWithMargins="0"/>
    </customSheetView>
  </customSheetViews>
  <mergeCells count="2">
    <mergeCell ref="D39:K42"/>
    <mergeCell ref="C29:Q32"/>
  </mergeCells>
  <phoneticPr fontId="0" type="noConversion"/>
  <printOptions horizontalCentered="1"/>
  <pageMargins left="0.7" right="0.7" top="0.75" bottom="0.75" header="0.3" footer="0.3"/>
  <pageSetup firstPageNumber="100" fitToWidth="0" orientation="portrait"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FF00"/>
  </sheetPr>
  <dimension ref="B2:Y180"/>
  <sheetViews>
    <sheetView workbookViewId="0"/>
  </sheetViews>
  <sheetFormatPr defaultColWidth="9.109375" defaultRowHeight="13.2" x14ac:dyDescent="0.25"/>
  <cols>
    <col min="1" max="1" width="9.109375" style="17"/>
    <col min="2" max="2" width="2.109375" style="17" customWidth="1"/>
    <col min="3" max="4" width="2.44140625" style="17" customWidth="1"/>
    <col min="5" max="5" width="29.88671875" style="17" customWidth="1"/>
    <col min="6" max="6" width="1.6640625" style="17" customWidth="1"/>
    <col min="7" max="7" width="11.88671875" style="17" bestFit="1" customWidth="1"/>
    <col min="8" max="9" width="1.88671875" style="17" customWidth="1"/>
    <col min="10" max="10" width="15" style="17" bestFit="1" customWidth="1"/>
    <col min="11" max="12" width="1.88671875" style="17" customWidth="1"/>
    <col min="13" max="13" width="11.33203125" style="17" bestFit="1" customWidth="1"/>
    <col min="14" max="14" width="1.88671875" style="17" customWidth="1"/>
    <col min="15" max="15" width="4.109375" style="17" customWidth="1"/>
    <col min="16" max="16" width="11.88671875" style="17" customWidth="1"/>
    <col min="17" max="22" width="9.109375" style="17"/>
    <col min="23" max="23" width="11.44140625" style="17" bestFit="1" customWidth="1"/>
    <col min="24" max="16384" width="9.109375" style="17"/>
  </cols>
  <sheetData>
    <row r="2" spans="2:15" s="234" customFormat="1" x14ac:dyDescent="0.25">
      <c r="B2" s="97" t="s">
        <v>142</v>
      </c>
      <c r="C2" s="97"/>
      <c r="D2" s="97"/>
      <c r="E2" s="97"/>
      <c r="F2" s="97"/>
      <c r="G2" s="97"/>
      <c r="H2" s="97"/>
      <c r="I2" s="97"/>
      <c r="J2" s="97"/>
      <c r="K2" s="97"/>
      <c r="L2" s="97"/>
      <c r="M2" s="97"/>
      <c r="N2" s="97"/>
      <c r="O2" s="233"/>
    </row>
    <row r="3" spans="2:15" s="234" customFormat="1" x14ac:dyDescent="0.25">
      <c r="B3" s="97" t="s">
        <v>81</v>
      </c>
      <c r="C3" s="97"/>
      <c r="D3" s="97"/>
      <c r="E3" s="97"/>
      <c r="F3" s="97"/>
      <c r="G3" s="97"/>
      <c r="H3" s="97"/>
      <c r="I3" s="97"/>
      <c r="J3" s="97"/>
      <c r="K3" s="97"/>
      <c r="L3" s="97"/>
      <c r="M3" s="97"/>
      <c r="N3" s="97"/>
      <c r="O3" s="235"/>
    </row>
    <row r="4" spans="2:15" s="234" customFormat="1" x14ac:dyDescent="0.25">
      <c r="B4" s="97" t="s">
        <v>264</v>
      </c>
      <c r="C4" s="97"/>
      <c r="D4" s="97"/>
      <c r="E4" s="97"/>
      <c r="F4" s="97"/>
      <c r="G4" s="97"/>
      <c r="H4" s="97"/>
      <c r="I4" s="97"/>
      <c r="J4" s="97"/>
      <c r="K4" s="97"/>
      <c r="L4" s="97"/>
      <c r="M4" s="97"/>
      <c r="N4" s="97"/>
      <c r="O4" s="235"/>
    </row>
    <row r="5" spans="2:15" s="234" customFormat="1" x14ac:dyDescent="0.25">
      <c r="B5" s="97" t="s">
        <v>265</v>
      </c>
      <c r="C5" s="97"/>
      <c r="D5" s="97"/>
      <c r="E5" s="97"/>
      <c r="F5" s="97"/>
      <c r="G5" s="97"/>
      <c r="H5" s="97"/>
      <c r="I5" s="97"/>
      <c r="J5" s="97"/>
      <c r="K5" s="97"/>
      <c r="L5" s="97"/>
      <c r="M5" s="97"/>
      <c r="N5" s="97"/>
      <c r="O5" s="235"/>
    </row>
    <row r="6" spans="2:15" s="132" customFormat="1" x14ac:dyDescent="0.25">
      <c r="B6" s="97" t="str">
        <f>'5-GASB34GovtFundsBudget'!E5</f>
        <v>For the Year Ended June 30, 2023</v>
      </c>
      <c r="C6" s="97"/>
      <c r="D6" s="97"/>
      <c r="E6" s="97"/>
      <c r="F6" s="97"/>
      <c r="G6" s="97"/>
      <c r="H6" s="97"/>
      <c r="I6" s="97"/>
      <c r="J6" s="97"/>
      <c r="K6" s="97"/>
      <c r="L6" s="97"/>
      <c r="M6" s="97"/>
      <c r="N6" s="97"/>
      <c r="O6" s="235"/>
    </row>
    <row r="7" spans="2:15" ht="13.8" thickBot="1" x14ac:dyDescent="0.3">
      <c r="B7" s="98"/>
      <c r="C7" s="98"/>
      <c r="D7" s="98"/>
      <c r="E7" s="98"/>
      <c r="F7" s="98"/>
      <c r="G7" s="98"/>
      <c r="H7" s="98"/>
      <c r="I7" s="98"/>
      <c r="J7" s="98"/>
      <c r="K7" s="98" t="s">
        <v>297</v>
      </c>
      <c r="L7" s="98"/>
      <c r="M7" s="98"/>
      <c r="N7" s="98"/>
      <c r="O7" s="119"/>
    </row>
    <row r="8" spans="2:15" x14ac:dyDescent="0.25">
      <c r="B8" s="50"/>
      <c r="C8" s="50"/>
      <c r="D8" s="50"/>
      <c r="E8" s="50"/>
      <c r="F8" s="50"/>
      <c r="G8" s="50"/>
      <c r="H8" s="50"/>
      <c r="I8" s="50"/>
      <c r="J8" s="50"/>
      <c r="K8" s="50"/>
      <c r="L8" s="50"/>
      <c r="M8" s="31" t="s">
        <v>266</v>
      </c>
      <c r="N8" s="50"/>
      <c r="O8" s="119"/>
    </row>
    <row r="9" spans="2:15" x14ac:dyDescent="0.25">
      <c r="B9" s="50"/>
      <c r="C9" s="50"/>
      <c r="D9" s="50"/>
      <c r="E9" s="50"/>
      <c r="F9" s="50"/>
      <c r="G9" s="50"/>
      <c r="H9" s="50"/>
      <c r="I9" s="50"/>
      <c r="J9" s="50"/>
      <c r="K9" s="50"/>
      <c r="L9" s="50"/>
      <c r="M9" s="31" t="s">
        <v>500</v>
      </c>
      <c r="N9" s="50"/>
      <c r="O9" s="119"/>
    </row>
    <row r="10" spans="2:15" x14ac:dyDescent="0.25">
      <c r="B10" s="50"/>
      <c r="C10" s="49" t="s">
        <v>181</v>
      </c>
      <c r="D10" s="50"/>
      <c r="E10" s="50"/>
      <c r="F10" s="50"/>
      <c r="G10" s="32" t="s">
        <v>194</v>
      </c>
      <c r="H10" s="50"/>
      <c r="I10" s="50"/>
      <c r="J10" s="32" t="s">
        <v>175</v>
      </c>
      <c r="K10" s="50"/>
      <c r="L10" s="50"/>
      <c r="M10" s="32" t="s">
        <v>501</v>
      </c>
      <c r="N10" s="50"/>
      <c r="O10" s="119"/>
    </row>
    <row r="11" spans="2:15" x14ac:dyDescent="0.25">
      <c r="B11" s="49" t="s">
        <v>133</v>
      </c>
      <c r="C11" s="50"/>
      <c r="D11" s="50"/>
      <c r="E11" s="50"/>
      <c r="F11" s="50"/>
      <c r="G11" s="50"/>
      <c r="H11" s="50"/>
      <c r="I11" s="50"/>
      <c r="J11" s="50"/>
      <c r="K11" s="50"/>
      <c r="L11" s="50"/>
      <c r="M11" s="50"/>
      <c r="N11" s="50"/>
      <c r="O11" s="119"/>
    </row>
    <row r="12" spans="2:15" x14ac:dyDescent="0.25">
      <c r="B12" s="50"/>
      <c r="C12" s="50"/>
      <c r="D12" s="49" t="s">
        <v>298</v>
      </c>
      <c r="E12" s="50"/>
      <c r="F12" s="50"/>
      <c r="G12" s="50"/>
      <c r="H12" s="50"/>
      <c r="I12" s="50"/>
      <c r="J12" s="50"/>
      <c r="K12" s="50"/>
      <c r="L12" s="50"/>
      <c r="M12" s="50"/>
      <c r="N12" s="50"/>
      <c r="O12" s="119"/>
    </row>
    <row r="13" spans="2:15" x14ac:dyDescent="0.25">
      <c r="B13" s="50"/>
      <c r="C13" s="50"/>
      <c r="D13" s="49" t="s">
        <v>299</v>
      </c>
      <c r="E13" s="50"/>
      <c r="F13" s="31"/>
      <c r="G13" s="99"/>
      <c r="H13" s="100"/>
      <c r="I13" s="101"/>
      <c r="J13" s="882">
        <f>526959+185000-8074</f>
        <v>703885</v>
      </c>
      <c r="K13" s="100"/>
      <c r="L13" s="101"/>
      <c r="M13" s="99"/>
      <c r="N13" s="102"/>
      <c r="O13" s="119"/>
    </row>
    <row r="14" spans="2:15" x14ac:dyDescent="0.25">
      <c r="B14" s="50"/>
      <c r="C14" s="50"/>
      <c r="D14" s="49" t="s">
        <v>300</v>
      </c>
      <c r="E14" s="103"/>
      <c r="F14" s="50"/>
      <c r="G14" s="116"/>
      <c r="H14" s="93"/>
      <c r="I14" s="93"/>
      <c r="J14" s="93">
        <f>114646+30000</f>
        <v>144646</v>
      </c>
      <c r="K14" s="93"/>
      <c r="L14" s="93"/>
      <c r="M14" s="105"/>
      <c r="N14" s="93"/>
      <c r="O14" s="119"/>
    </row>
    <row r="15" spans="2:15" x14ac:dyDescent="0.25">
      <c r="B15" s="50"/>
      <c r="C15" s="50"/>
      <c r="D15" s="103" t="s">
        <v>301</v>
      </c>
      <c r="E15" s="103"/>
      <c r="F15" s="103"/>
      <c r="G15" s="107"/>
      <c r="H15" s="103"/>
      <c r="I15" s="103"/>
      <c r="J15" s="107">
        <v>52000</v>
      </c>
      <c r="K15" s="103"/>
      <c r="L15" s="103"/>
      <c r="M15" s="108"/>
      <c r="N15" s="103"/>
      <c r="O15" s="119"/>
    </row>
    <row r="16" spans="2:15" x14ac:dyDescent="0.25">
      <c r="B16" s="50"/>
      <c r="C16" s="50"/>
      <c r="D16" s="50"/>
      <c r="E16" s="49" t="s">
        <v>1</v>
      </c>
      <c r="F16" s="50"/>
      <c r="G16" s="109">
        <f>682647+215000+9000</f>
        <v>906647</v>
      </c>
      <c r="H16" s="102"/>
      <c r="I16" s="102"/>
      <c r="J16" s="94">
        <f>SUM(J13:J15)</f>
        <v>900531</v>
      </c>
      <c r="K16" s="102"/>
      <c r="L16" s="102"/>
      <c r="M16" s="109">
        <f>J16-G16</f>
        <v>-6116</v>
      </c>
      <c r="N16" s="102"/>
      <c r="O16" s="119"/>
    </row>
    <row r="17" spans="2:15" ht="7.5" customHeight="1" x14ac:dyDescent="0.25">
      <c r="B17" s="50"/>
      <c r="C17" s="50"/>
      <c r="D17" s="50"/>
      <c r="E17" s="50"/>
      <c r="F17" s="50"/>
      <c r="G17" s="102"/>
      <c r="H17" s="102"/>
      <c r="I17" s="102"/>
      <c r="J17" s="102"/>
      <c r="K17" s="102"/>
      <c r="L17" s="102"/>
      <c r="M17" s="102"/>
      <c r="N17" s="102"/>
      <c r="O17" s="119"/>
    </row>
    <row r="18" spans="2:15" x14ac:dyDescent="0.25">
      <c r="B18" s="50"/>
      <c r="C18" s="50"/>
      <c r="D18" s="49" t="s">
        <v>302</v>
      </c>
      <c r="E18" s="50"/>
      <c r="F18" s="50"/>
      <c r="G18" s="50"/>
      <c r="H18" s="50"/>
      <c r="I18" s="50"/>
      <c r="J18" s="50"/>
      <c r="K18" s="50"/>
      <c r="L18" s="50"/>
      <c r="M18" s="50"/>
      <c r="N18" s="50"/>
      <c r="O18" s="119"/>
    </row>
    <row r="19" spans="2:15" x14ac:dyDescent="0.25">
      <c r="B19" s="50"/>
      <c r="C19" s="50"/>
      <c r="D19" s="49" t="s">
        <v>299</v>
      </c>
      <c r="E19" s="50"/>
      <c r="F19" s="50"/>
      <c r="G19" s="110"/>
      <c r="H19" s="102"/>
      <c r="I19" s="102"/>
      <c r="J19" s="826">
        <f>312734+13074+160000-5000</f>
        <v>480808</v>
      </c>
      <c r="K19" s="102"/>
      <c r="L19" s="102"/>
      <c r="M19" s="111"/>
      <c r="N19" s="102"/>
      <c r="O19" s="119"/>
    </row>
    <row r="20" spans="2:15" x14ac:dyDescent="0.25">
      <c r="B20" s="50"/>
      <c r="C20" s="50"/>
      <c r="D20" s="49" t="s">
        <v>300</v>
      </c>
      <c r="E20" s="50"/>
      <c r="F20" s="50"/>
      <c r="G20" s="112"/>
      <c r="H20" s="93"/>
      <c r="I20" s="93"/>
      <c r="J20" s="113">
        <f>110215+40000</f>
        <v>150215</v>
      </c>
      <c r="K20" s="93"/>
      <c r="L20" s="93"/>
      <c r="M20" s="114"/>
      <c r="N20" s="93"/>
      <c r="O20" s="119"/>
    </row>
    <row r="21" spans="2:15" x14ac:dyDescent="0.25">
      <c r="B21" s="50"/>
      <c r="C21" s="50"/>
      <c r="D21" s="50"/>
      <c r="E21" s="49" t="s">
        <v>1</v>
      </c>
      <c r="F21" s="50"/>
      <c r="G21" s="94">
        <f>415078+200000+17000</f>
        <v>632078</v>
      </c>
      <c r="H21" s="102"/>
      <c r="I21" s="102"/>
      <c r="J21" s="113">
        <f>SUM(J19:J20)</f>
        <v>631023</v>
      </c>
      <c r="K21" s="102"/>
      <c r="L21" s="102"/>
      <c r="M21" s="94">
        <f>J21-G21</f>
        <v>-1055</v>
      </c>
      <c r="N21" s="102"/>
      <c r="O21" s="119"/>
    </row>
    <row r="22" spans="2:15" ht="7.5" customHeight="1" x14ac:dyDescent="0.25">
      <c r="B22" s="50"/>
      <c r="C22" s="50"/>
      <c r="D22" s="50"/>
      <c r="E22" s="50"/>
      <c r="F22" s="50"/>
      <c r="G22" s="102"/>
      <c r="H22" s="102"/>
      <c r="I22" s="102"/>
      <c r="J22" s="102"/>
      <c r="K22" s="102"/>
      <c r="L22" s="102"/>
      <c r="M22" s="102"/>
      <c r="N22" s="102"/>
      <c r="O22" s="119"/>
    </row>
    <row r="23" spans="2:15" x14ac:dyDescent="0.25">
      <c r="B23" s="50"/>
      <c r="C23" s="49" t="s">
        <v>85</v>
      </c>
      <c r="D23" s="50"/>
      <c r="E23" s="50"/>
      <c r="F23" s="50"/>
      <c r="G23" s="94">
        <v>11500</v>
      </c>
      <c r="H23" s="102"/>
      <c r="I23" s="102"/>
      <c r="J23" s="94">
        <v>12100</v>
      </c>
      <c r="K23" s="102"/>
      <c r="L23" s="102"/>
      <c r="M23" s="94">
        <f>J23-G23</f>
        <v>600</v>
      </c>
      <c r="N23" s="102"/>
      <c r="O23" s="119"/>
    </row>
    <row r="24" spans="2:15" ht="7.5" customHeight="1" x14ac:dyDescent="0.25">
      <c r="B24" s="50"/>
      <c r="C24" s="50"/>
      <c r="D24" s="50"/>
      <c r="E24" s="50"/>
      <c r="F24" s="50"/>
      <c r="G24" s="50"/>
      <c r="H24" s="50"/>
      <c r="I24" s="50"/>
      <c r="J24" s="102"/>
      <c r="K24" s="50"/>
      <c r="L24" s="50"/>
      <c r="M24" s="50"/>
      <c r="N24" s="50"/>
      <c r="O24" s="119"/>
    </row>
    <row r="25" spans="2:15" x14ac:dyDescent="0.25">
      <c r="B25" s="50"/>
      <c r="C25" s="49" t="s">
        <v>86</v>
      </c>
      <c r="D25" s="50"/>
      <c r="E25" s="50"/>
      <c r="F25" s="50"/>
      <c r="G25" s="94">
        <v>500</v>
      </c>
      <c r="H25" s="102"/>
      <c r="I25" s="102"/>
      <c r="J25" s="94">
        <v>630</v>
      </c>
      <c r="K25" s="102"/>
      <c r="L25" s="102"/>
      <c r="M25" s="94">
        <f>J25-G25</f>
        <v>130</v>
      </c>
      <c r="N25" s="102"/>
      <c r="O25" s="119"/>
    </row>
    <row r="26" spans="2:15" x14ac:dyDescent="0.25">
      <c r="B26" s="50"/>
      <c r="C26" s="50"/>
      <c r="D26" s="50"/>
      <c r="E26" s="49" t="s">
        <v>56</v>
      </c>
      <c r="F26" s="50"/>
      <c r="G26" s="94">
        <f>G25+G23+G21+G16</f>
        <v>1550725</v>
      </c>
      <c r="H26" s="102"/>
      <c r="I26" s="102"/>
      <c r="J26" s="94">
        <f>J25+J23+J21+J16</f>
        <v>1544284</v>
      </c>
      <c r="K26" s="102"/>
      <c r="L26" s="102"/>
      <c r="M26" s="94">
        <f>J26-G26</f>
        <v>-6441</v>
      </c>
      <c r="N26" s="102"/>
      <c r="O26" s="119"/>
    </row>
    <row r="27" spans="2:15" ht="7.5" customHeight="1" x14ac:dyDescent="0.25">
      <c r="B27" s="50"/>
      <c r="C27" s="50"/>
      <c r="D27" s="50"/>
      <c r="E27" s="50"/>
      <c r="F27" s="50"/>
      <c r="G27" s="102"/>
      <c r="H27" s="102"/>
      <c r="I27" s="102"/>
      <c r="J27" s="102"/>
      <c r="K27" s="102"/>
      <c r="L27" s="102"/>
      <c r="M27" s="102"/>
      <c r="N27" s="102"/>
      <c r="O27" s="119"/>
    </row>
    <row r="28" spans="2:15" x14ac:dyDescent="0.25">
      <c r="B28" s="50"/>
      <c r="C28" s="49" t="s">
        <v>271</v>
      </c>
      <c r="D28" s="50"/>
      <c r="E28" s="50"/>
      <c r="F28" s="50"/>
      <c r="G28" s="102"/>
      <c r="H28" s="50"/>
      <c r="I28" s="50"/>
      <c r="J28" s="102"/>
      <c r="K28" s="50"/>
      <c r="L28" s="50"/>
      <c r="M28" s="102"/>
      <c r="N28" s="50"/>
      <c r="O28" s="119"/>
    </row>
    <row r="29" spans="2:15" x14ac:dyDescent="0.25">
      <c r="B29" s="50"/>
      <c r="C29" s="49"/>
      <c r="D29" s="845" t="s">
        <v>849</v>
      </c>
      <c r="E29" s="844"/>
      <c r="F29" s="844"/>
      <c r="G29" s="826"/>
      <c r="H29" s="844"/>
      <c r="I29" s="844"/>
      <c r="J29" s="826">
        <v>12830</v>
      </c>
      <c r="K29" s="50"/>
      <c r="L29" s="50"/>
      <c r="M29" s="102"/>
      <c r="N29" s="50"/>
      <c r="O29" s="119"/>
    </row>
    <row r="30" spans="2:15" x14ac:dyDescent="0.25">
      <c r="B30" s="50"/>
      <c r="C30" s="50"/>
      <c r="D30" s="49" t="s">
        <v>272</v>
      </c>
      <c r="E30" s="50"/>
      <c r="F30" s="50"/>
      <c r="G30" s="115">
        <v>38000</v>
      </c>
      <c r="H30" s="102"/>
      <c r="I30" s="102"/>
      <c r="J30" s="827">
        <f>38122-32162+1059</f>
        <v>7019</v>
      </c>
      <c r="K30" s="102"/>
      <c r="L30" s="102"/>
      <c r="M30" s="94">
        <f>J30-G30</f>
        <v>-30981</v>
      </c>
      <c r="N30" s="102"/>
      <c r="O30" s="119"/>
    </row>
    <row r="31" spans="2:15" x14ac:dyDescent="0.25">
      <c r="B31" s="50"/>
      <c r="C31" s="50"/>
      <c r="D31" s="49"/>
      <c r="E31" s="49" t="s">
        <v>893</v>
      </c>
      <c r="F31" s="50"/>
      <c r="G31" s="115"/>
      <c r="H31" s="102"/>
      <c r="I31" s="102"/>
      <c r="J31" s="827">
        <f>SUM(J29:J30)</f>
        <v>19849</v>
      </c>
      <c r="K31" s="102"/>
      <c r="L31" s="102"/>
      <c r="M31" s="94"/>
      <c r="N31" s="102"/>
      <c r="O31" s="119"/>
    </row>
    <row r="32" spans="2:15" x14ac:dyDescent="0.25">
      <c r="B32" s="50"/>
      <c r="C32" s="50"/>
      <c r="D32" s="50"/>
      <c r="E32" s="49" t="s">
        <v>32</v>
      </c>
      <c r="F32" s="49" t="s">
        <v>181</v>
      </c>
      <c r="G32" s="94">
        <f>G26+G30</f>
        <v>1588725</v>
      </c>
      <c r="H32" s="102"/>
      <c r="I32" s="102"/>
      <c r="J32" s="94">
        <f>J26+J31</f>
        <v>1564133</v>
      </c>
      <c r="K32" s="102"/>
      <c r="L32" s="102"/>
      <c r="M32" s="94">
        <f>M26+M30</f>
        <v>-37422</v>
      </c>
      <c r="N32" s="102"/>
      <c r="O32" s="119"/>
    </row>
    <row r="33" spans="2:15" ht="7.5" customHeight="1" x14ac:dyDescent="0.25">
      <c r="B33" s="50"/>
      <c r="C33" s="50"/>
      <c r="D33" s="50"/>
      <c r="E33" s="50"/>
      <c r="F33" s="50"/>
      <c r="G33" s="102"/>
      <c r="H33" s="102"/>
      <c r="I33" s="102"/>
      <c r="J33" s="102"/>
      <c r="K33" s="102"/>
      <c r="L33" s="102"/>
      <c r="M33" s="102"/>
      <c r="N33" s="102"/>
      <c r="O33" s="119"/>
    </row>
    <row r="34" spans="2:15" x14ac:dyDescent="0.25">
      <c r="B34" s="49" t="s">
        <v>134</v>
      </c>
      <c r="C34" s="50"/>
      <c r="D34" s="50"/>
      <c r="E34" s="50"/>
      <c r="F34" s="50"/>
      <c r="G34" s="102"/>
      <c r="H34" s="102"/>
      <c r="I34" s="102"/>
      <c r="J34" s="102"/>
      <c r="K34" s="102"/>
      <c r="L34" s="102"/>
      <c r="M34" s="102"/>
      <c r="N34" s="102"/>
      <c r="O34" s="124"/>
    </row>
    <row r="35" spans="2:15" x14ac:dyDescent="0.25">
      <c r="B35" s="50"/>
      <c r="C35" s="49" t="s">
        <v>303</v>
      </c>
      <c r="D35" s="50"/>
      <c r="E35" s="50"/>
      <c r="F35" s="50"/>
      <c r="G35" s="102"/>
      <c r="H35" s="102"/>
      <c r="I35" s="102"/>
      <c r="J35" s="102"/>
      <c r="K35" s="102"/>
      <c r="L35" s="102"/>
      <c r="M35" s="102"/>
      <c r="N35" s="102"/>
      <c r="O35" s="124"/>
    </row>
    <row r="36" spans="2:15" x14ac:dyDescent="0.25">
      <c r="B36" s="50"/>
      <c r="C36" s="50"/>
      <c r="D36" s="49" t="s">
        <v>215</v>
      </c>
      <c r="E36" s="50"/>
      <c r="F36" s="50"/>
      <c r="G36" s="116"/>
      <c r="H36" s="102"/>
      <c r="I36" s="102"/>
      <c r="J36" s="102">
        <f>74619+100000+(120000+45050)*0.395*0.8+2-17577+(155804*0.395*0.8)</f>
        <v>258433.864</v>
      </c>
      <c r="K36" s="102"/>
      <c r="L36" s="102"/>
      <c r="M36" s="117"/>
      <c r="N36" s="102"/>
      <c r="O36" s="119"/>
    </row>
    <row r="37" spans="2:15" x14ac:dyDescent="0.25">
      <c r="B37" s="50"/>
      <c r="C37" s="50"/>
      <c r="D37" s="49" t="s">
        <v>304</v>
      </c>
      <c r="E37" s="50"/>
      <c r="F37" s="50"/>
      <c r="G37" s="116"/>
      <c r="H37" s="102"/>
      <c r="I37" s="102"/>
      <c r="J37" s="102">
        <v>137</v>
      </c>
      <c r="K37" s="102"/>
      <c r="L37" s="102"/>
      <c r="M37" s="117"/>
      <c r="N37" s="102"/>
      <c r="O37" s="119"/>
    </row>
    <row r="38" spans="2:15" x14ac:dyDescent="0.25">
      <c r="B38" s="50"/>
      <c r="C38" s="50"/>
      <c r="D38" s="49" t="s">
        <v>273</v>
      </c>
      <c r="E38" s="50"/>
      <c r="F38" s="50"/>
      <c r="G38" s="116"/>
      <c r="H38" s="102"/>
      <c r="I38" s="102"/>
      <c r="J38" s="102">
        <v>717</v>
      </c>
      <c r="K38" s="102"/>
      <c r="L38" s="102"/>
      <c r="M38" s="117"/>
      <c r="N38" s="102"/>
      <c r="O38" s="119"/>
    </row>
    <row r="39" spans="2:15" x14ac:dyDescent="0.25">
      <c r="B39" s="50"/>
      <c r="C39" s="50"/>
      <c r="D39" s="49" t="s">
        <v>274</v>
      </c>
      <c r="E39" s="50"/>
      <c r="F39" s="50"/>
      <c r="G39" s="116"/>
      <c r="H39" s="102"/>
      <c r="I39" s="102"/>
      <c r="J39" s="102">
        <v>6000</v>
      </c>
      <c r="K39" s="102"/>
      <c r="L39" s="102"/>
      <c r="M39" s="117"/>
      <c r="N39" s="102"/>
      <c r="O39" s="119"/>
    </row>
    <row r="40" spans="2:15" x14ac:dyDescent="0.25">
      <c r="B40" s="50"/>
      <c r="C40" s="50"/>
      <c r="D40" s="49" t="s">
        <v>227</v>
      </c>
      <c r="E40" s="50"/>
      <c r="F40" s="50"/>
      <c r="G40" s="116"/>
      <c r="H40" s="102"/>
      <c r="I40" s="102"/>
      <c r="J40" s="102">
        <v>2000</v>
      </c>
      <c r="K40" s="102"/>
      <c r="L40" s="102"/>
      <c r="M40" s="117"/>
      <c r="N40" s="102"/>
      <c r="O40" s="119"/>
    </row>
    <row r="41" spans="2:15" x14ac:dyDescent="0.25">
      <c r="B41" s="50"/>
      <c r="C41" s="50"/>
      <c r="D41" s="49" t="s">
        <v>218</v>
      </c>
      <c r="E41" s="50"/>
      <c r="F41" s="50"/>
      <c r="G41" s="116"/>
      <c r="H41" s="93"/>
      <c r="I41" s="93"/>
      <c r="J41" s="93">
        <f>42668</f>
        <v>42668</v>
      </c>
      <c r="K41" s="93"/>
      <c r="L41" s="93"/>
      <c r="M41" s="116"/>
      <c r="N41" s="93"/>
      <c r="O41" s="119"/>
    </row>
    <row r="42" spans="2:15" x14ac:dyDescent="0.25">
      <c r="B42" s="50"/>
      <c r="C42" s="50"/>
      <c r="D42" s="49" t="s">
        <v>305</v>
      </c>
      <c r="E42" s="50"/>
      <c r="F42" s="50"/>
      <c r="G42" s="118"/>
      <c r="H42" s="102"/>
      <c r="I42" s="102"/>
      <c r="J42" s="113">
        <v>18099</v>
      </c>
      <c r="K42" s="102"/>
      <c r="L42" s="102"/>
      <c r="M42" s="118"/>
      <c r="N42" s="102"/>
      <c r="O42" s="119"/>
    </row>
    <row r="43" spans="2:15" x14ac:dyDescent="0.25">
      <c r="B43" s="50"/>
      <c r="C43" s="50"/>
      <c r="D43" s="50"/>
      <c r="E43" s="49" t="s">
        <v>306</v>
      </c>
      <c r="F43" s="50"/>
      <c r="G43" s="50"/>
      <c r="H43" s="50"/>
      <c r="I43" s="50"/>
      <c r="J43" s="50"/>
      <c r="K43" s="50"/>
      <c r="L43" s="50"/>
      <c r="M43" s="50"/>
      <c r="N43" s="50"/>
      <c r="O43" s="119"/>
    </row>
    <row r="44" spans="2:15" x14ac:dyDescent="0.25">
      <c r="B44" s="50"/>
      <c r="C44" s="50"/>
      <c r="D44" s="50"/>
      <c r="E44" s="49" t="s">
        <v>307</v>
      </c>
      <c r="F44" s="50"/>
      <c r="G44" s="94">
        <f>146550+100000+40000+43000</f>
        <v>329550</v>
      </c>
      <c r="H44" s="102"/>
      <c r="I44" s="102"/>
      <c r="J44" s="94">
        <f>SUM(J36:J42)</f>
        <v>328054.864</v>
      </c>
      <c r="K44" s="102"/>
      <c r="L44" s="102"/>
      <c r="M44" s="94">
        <f>G44-J44</f>
        <v>1495.1359999999986</v>
      </c>
      <c r="N44" s="102"/>
      <c r="O44" s="119"/>
    </row>
    <row r="45" spans="2:15" ht="7.5" customHeight="1" x14ac:dyDescent="0.25">
      <c r="B45" s="50"/>
      <c r="C45" s="50"/>
      <c r="D45" s="50"/>
      <c r="E45" s="49"/>
      <c r="F45" s="50"/>
      <c r="G45" s="93"/>
      <c r="H45" s="102"/>
      <c r="I45" s="102"/>
      <c r="J45" s="93"/>
      <c r="K45" s="102"/>
      <c r="L45" s="102"/>
      <c r="M45" s="93"/>
      <c r="N45" s="102"/>
      <c r="O45" s="119"/>
    </row>
    <row r="46" spans="2:15" x14ac:dyDescent="0.25">
      <c r="B46" s="50"/>
      <c r="C46" s="49" t="s">
        <v>221</v>
      </c>
      <c r="D46" s="50"/>
      <c r="E46" s="50"/>
      <c r="F46" s="50"/>
      <c r="G46" s="102"/>
      <c r="H46" s="102"/>
      <c r="I46" s="102"/>
      <c r="J46" s="102"/>
      <c r="K46" s="102"/>
      <c r="L46" s="102"/>
      <c r="M46" s="102"/>
      <c r="N46" s="102"/>
      <c r="O46" s="119"/>
    </row>
    <row r="47" spans="2:15" x14ac:dyDescent="0.25">
      <c r="B47" s="50"/>
      <c r="C47" s="253"/>
      <c r="D47" s="362" t="s">
        <v>215</v>
      </c>
      <c r="E47" s="253"/>
      <c r="F47" s="253"/>
      <c r="G47" s="116"/>
      <c r="H47" s="93"/>
      <c r="I47" s="93"/>
      <c r="J47" s="93">
        <f>13005+50000</f>
        <v>63005</v>
      </c>
      <c r="K47" s="93"/>
      <c r="L47" s="93"/>
      <c r="M47" s="116"/>
      <c r="N47" s="102"/>
      <c r="O47" s="119"/>
    </row>
    <row r="48" spans="2:15" x14ac:dyDescent="0.25">
      <c r="B48" s="253"/>
      <c r="C48" s="253"/>
      <c r="D48" s="347" t="s">
        <v>304</v>
      </c>
      <c r="E48" s="360"/>
      <c r="F48" s="360"/>
      <c r="G48" s="360"/>
      <c r="H48" s="360"/>
      <c r="I48" s="360"/>
      <c r="J48" s="363">
        <v>419</v>
      </c>
      <c r="K48" s="360"/>
      <c r="L48" s="93"/>
      <c r="M48" s="116"/>
      <c r="N48" s="93"/>
      <c r="O48" s="119"/>
    </row>
    <row r="49" spans="2:15" x14ac:dyDescent="0.25">
      <c r="B49" s="253"/>
      <c r="C49" s="253"/>
      <c r="D49" s="347" t="s">
        <v>273</v>
      </c>
      <c r="E49" s="360"/>
      <c r="F49" s="360"/>
      <c r="G49" s="360"/>
      <c r="H49" s="360"/>
      <c r="I49" s="360"/>
      <c r="J49" s="363">
        <v>1674</v>
      </c>
      <c r="K49" s="360"/>
      <c r="L49" s="93"/>
      <c r="M49" s="116"/>
      <c r="N49" s="93"/>
      <c r="O49" s="119"/>
    </row>
    <row r="50" spans="2:15" x14ac:dyDescent="0.25">
      <c r="B50" s="253"/>
      <c r="C50" s="253"/>
      <c r="D50" s="347" t="s">
        <v>225</v>
      </c>
      <c r="E50" s="360"/>
      <c r="F50" s="360"/>
      <c r="G50" s="360"/>
      <c r="H50" s="360"/>
      <c r="I50" s="360"/>
      <c r="J50" s="363">
        <v>1807</v>
      </c>
      <c r="K50" s="360"/>
      <c r="L50" s="93"/>
      <c r="M50" s="116"/>
      <c r="N50" s="93"/>
      <c r="O50" s="119"/>
    </row>
    <row r="51" spans="2:15" x14ac:dyDescent="0.25">
      <c r="B51" s="253"/>
      <c r="C51" s="253"/>
      <c r="D51" s="347" t="s">
        <v>218</v>
      </c>
      <c r="E51" s="360"/>
      <c r="F51" s="360"/>
      <c r="G51" s="360"/>
      <c r="H51" s="360"/>
      <c r="I51" s="360"/>
      <c r="J51" s="363">
        <v>4251</v>
      </c>
      <c r="K51" s="360"/>
      <c r="L51" s="93"/>
      <c r="M51" s="116"/>
      <c r="N51" s="93"/>
      <c r="O51" s="119"/>
    </row>
    <row r="52" spans="2:15" x14ac:dyDescent="0.25">
      <c r="B52" s="253"/>
      <c r="C52" s="253"/>
      <c r="D52" s="373" t="s">
        <v>275</v>
      </c>
      <c r="E52" s="360"/>
      <c r="F52" s="360"/>
      <c r="G52" s="360"/>
      <c r="H52" s="360"/>
      <c r="I52" s="360"/>
      <c r="J52" s="363">
        <v>9184</v>
      </c>
      <c r="K52" s="360"/>
      <c r="L52" s="93"/>
      <c r="M52" s="115"/>
      <c r="N52" s="102"/>
      <c r="O52" s="119"/>
    </row>
    <row r="53" spans="2:15" x14ac:dyDescent="0.25">
      <c r="B53" s="253"/>
      <c r="C53" s="253"/>
      <c r="D53" s="360"/>
      <c r="E53" s="360"/>
      <c r="F53" s="360"/>
      <c r="G53" s="374">
        <f>32200+50000</f>
        <v>82200</v>
      </c>
      <c r="H53" s="360"/>
      <c r="I53" s="360"/>
      <c r="J53" s="590">
        <f>SUM(J47:J52)</f>
        <v>80340</v>
      </c>
      <c r="K53" s="360"/>
      <c r="L53" s="93"/>
      <c r="M53" s="94">
        <v>1860</v>
      </c>
      <c r="N53" s="102"/>
      <c r="O53" s="119"/>
    </row>
    <row r="54" spans="2:15" s="161" customFormat="1" ht="6" customHeight="1" x14ac:dyDescent="0.25">
      <c r="B54" s="253"/>
      <c r="C54" s="253"/>
      <c r="D54" s="253"/>
      <c r="E54" s="253"/>
      <c r="F54" s="253"/>
      <c r="G54" s="253"/>
      <c r="H54" s="253"/>
      <c r="I54" s="253"/>
      <c r="J54" s="253"/>
      <c r="K54" s="253" t="s">
        <v>297</v>
      </c>
      <c r="L54" s="253"/>
      <c r="M54" s="116"/>
      <c r="N54" s="253"/>
      <c r="O54" s="236"/>
    </row>
    <row r="55" spans="2:15" s="161" customFormat="1" ht="13.5" customHeight="1" x14ac:dyDescent="0.25">
      <c r="B55" s="550"/>
      <c r="C55" s="550"/>
      <c r="D55" s="550"/>
      <c r="E55" s="550"/>
      <c r="F55" s="550"/>
      <c r="G55" s="550"/>
      <c r="H55" s="550"/>
      <c r="I55" s="550"/>
      <c r="J55" s="550"/>
      <c r="K55" s="550"/>
      <c r="L55" s="550"/>
      <c r="M55" s="548" t="s">
        <v>709</v>
      </c>
      <c r="N55" s="253"/>
      <c r="O55" s="236"/>
    </row>
    <row r="56" spans="2:15" s="161" customFormat="1" ht="13.5" customHeight="1" thickBot="1" x14ac:dyDescent="0.3">
      <c r="B56" s="686"/>
      <c r="C56" s="686"/>
      <c r="D56" s="686"/>
      <c r="E56" s="686"/>
      <c r="F56" s="686"/>
      <c r="G56" s="686"/>
      <c r="H56" s="686"/>
      <c r="I56" s="686"/>
      <c r="J56" s="686"/>
      <c r="K56" s="686"/>
      <c r="L56" s="686"/>
      <c r="M56" s="687"/>
      <c r="N56" s="688"/>
      <c r="O56" s="236"/>
    </row>
    <row r="57" spans="2:15" s="161" customFormat="1" ht="13.5" customHeight="1" x14ac:dyDescent="0.25">
      <c r="B57" s="550"/>
      <c r="C57" s="550"/>
      <c r="D57" s="550"/>
      <c r="E57" s="550"/>
      <c r="F57" s="550"/>
      <c r="G57" s="550"/>
      <c r="H57" s="550"/>
      <c r="I57" s="550"/>
      <c r="J57" s="550"/>
      <c r="K57" s="550"/>
      <c r="L57" s="550"/>
      <c r="M57" s="552" t="s">
        <v>757</v>
      </c>
      <c r="N57" s="253"/>
      <c r="O57" s="236"/>
    </row>
    <row r="58" spans="2:15" s="161" customFormat="1" ht="13.5" customHeight="1" x14ac:dyDescent="0.25">
      <c r="B58" s="550"/>
      <c r="C58" s="550"/>
      <c r="D58" s="550"/>
      <c r="E58" s="550"/>
      <c r="F58" s="550"/>
      <c r="G58" s="550"/>
      <c r="H58" s="550"/>
      <c r="I58" s="550"/>
      <c r="J58" s="550"/>
      <c r="K58" s="550"/>
      <c r="L58" s="550"/>
      <c r="M58" s="552" t="s">
        <v>758</v>
      </c>
      <c r="N58" s="253"/>
      <c r="O58" s="236"/>
    </row>
    <row r="59" spans="2:15" s="161" customFormat="1" ht="13.5" customHeight="1" x14ac:dyDescent="0.25">
      <c r="B59" s="550"/>
      <c r="C59" s="553" t="s">
        <v>759</v>
      </c>
      <c r="D59" s="550"/>
      <c r="E59" s="550"/>
      <c r="F59" s="550"/>
      <c r="G59" s="554" t="s">
        <v>760</v>
      </c>
      <c r="H59" s="550"/>
      <c r="I59" s="550"/>
      <c r="J59" s="554" t="s">
        <v>761</v>
      </c>
      <c r="K59" s="550"/>
      <c r="L59" s="550"/>
      <c r="M59" s="554" t="s">
        <v>762</v>
      </c>
      <c r="N59" s="253"/>
      <c r="O59" s="236"/>
    </row>
    <row r="60" spans="2:15" x14ac:dyDescent="0.25">
      <c r="B60" s="50"/>
      <c r="C60" s="49" t="s">
        <v>308</v>
      </c>
      <c r="D60" s="50"/>
      <c r="E60" s="50"/>
      <c r="F60" s="50"/>
      <c r="G60" s="102"/>
      <c r="H60" s="102"/>
      <c r="I60" s="102"/>
      <c r="J60" s="102"/>
      <c r="K60" s="102"/>
      <c r="L60" s="102"/>
      <c r="M60" s="102"/>
      <c r="N60" s="102"/>
      <c r="O60" s="119"/>
    </row>
    <row r="61" spans="2:15" x14ac:dyDescent="0.25">
      <c r="B61" s="50"/>
      <c r="C61" s="50"/>
      <c r="D61" s="49" t="s">
        <v>309</v>
      </c>
      <c r="E61" s="50"/>
      <c r="F61" s="50"/>
      <c r="G61" s="102"/>
      <c r="H61" s="102"/>
      <c r="I61" s="102"/>
      <c r="J61" s="102"/>
      <c r="K61" s="102"/>
      <c r="L61" s="102"/>
      <c r="M61" s="102"/>
      <c r="N61" s="102"/>
      <c r="O61" s="119"/>
    </row>
    <row r="62" spans="2:15" x14ac:dyDescent="0.25">
      <c r="B62" s="50"/>
      <c r="C62" s="50"/>
      <c r="D62" s="49" t="s">
        <v>310</v>
      </c>
      <c r="E62" s="50"/>
      <c r="F62" s="50"/>
      <c r="G62" s="117"/>
      <c r="H62" s="102"/>
      <c r="I62" s="102"/>
      <c r="J62" s="102">
        <f>47712+50000</f>
        <v>97712</v>
      </c>
      <c r="K62" s="102"/>
      <c r="L62" s="102"/>
      <c r="M62" s="117"/>
      <c r="N62" s="102"/>
      <c r="O62" s="119"/>
    </row>
    <row r="63" spans="2:15" x14ac:dyDescent="0.25">
      <c r="B63" s="50"/>
      <c r="C63" s="50"/>
      <c r="D63" s="49" t="s">
        <v>311</v>
      </c>
      <c r="E63" s="50"/>
      <c r="F63" s="50"/>
      <c r="G63" s="117"/>
      <c r="H63" s="102"/>
      <c r="I63" s="102"/>
      <c r="J63" s="102">
        <v>12857</v>
      </c>
      <c r="K63" s="102"/>
      <c r="L63" s="102"/>
      <c r="M63" s="117"/>
      <c r="N63" s="102"/>
      <c r="O63" s="119"/>
    </row>
    <row r="64" spans="2:15" x14ac:dyDescent="0.25">
      <c r="B64" s="50"/>
      <c r="C64" s="50"/>
      <c r="D64" s="49" t="s">
        <v>312</v>
      </c>
      <c r="E64" s="50"/>
      <c r="F64" s="50"/>
      <c r="G64" s="117"/>
      <c r="H64" s="102"/>
      <c r="I64" s="102"/>
      <c r="J64" s="102">
        <v>3358</v>
      </c>
      <c r="K64" s="102"/>
      <c r="L64" s="102"/>
      <c r="M64" s="117"/>
      <c r="N64" s="102"/>
      <c r="O64" s="119"/>
    </row>
    <row r="65" spans="2:15" x14ac:dyDescent="0.25">
      <c r="B65" s="50"/>
      <c r="C65" s="50"/>
      <c r="D65" s="49" t="s">
        <v>586</v>
      </c>
      <c r="E65" s="50"/>
      <c r="F65" s="50"/>
      <c r="G65" s="117"/>
      <c r="H65" s="102"/>
      <c r="I65" s="102"/>
      <c r="J65" s="102">
        <v>2850</v>
      </c>
      <c r="K65" s="102"/>
      <c r="L65" s="102"/>
      <c r="M65" s="117"/>
      <c r="N65" s="102"/>
      <c r="O65" s="119"/>
    </row>
    <row r="66" spans="2:15" x14ac:dyDescent="0.25">
      <c r="B66" s="50"/>
      <c r="C66" s="50"/>
      <c r="D66" s="49" t="s">
        <v>313</v>
      </c>
      <c r="E66" s="50"/>
      <c r="F66" s="50"/>
      <c r="G66" s="116"/>
      <c r="H66" s="93"/>
      <c r="I66" s="93"/>
      <c r="J66" s="93">
        <v>4352</v>
      </c>
      <c r="K66" s="93"/>
      <c r="L66" s="93"/>
      <c r="M66" s="116"/>
      <c r="N66" s="93"/>
      <c r="O66" s="236"/>
    </row>
    <row r="67" spans="2:15" x14ac:dyDescent="0.25">
      <c r="B67" s="50"/>
      <c r="C67" s="50"/>
      <c r="D67" s="50" t="s">
        <v>314</v>
      </c>
      <c r="E67" s="103"/>
      <c r="F67" s="50"/>
      <c r="G67" s="115"/>
      <c r="H67" s="102"/>
      <c r="I67" s="102"/>
      <c r="J67" s="94">
        <v>7771</v>
      </c>
      <c r="K67" s="102"/>
      <c r="L67" s="102"/>
      <c r="M67" s="115"/>
      <c r="N67" s="102"/>
      <c r="O67" s="119"/>
    </row>
    <row r="68" spans="2:15" x14ac:dyDescent="0.25">
      <c r="B68" s="50"/>
      <c r="C68" s="50"/>
      <c r="D68" s="50"/>
      <c r="E68" s="49" t="s">
        <v>1</v>
      </c>
      <c r="F68" s="50"/>
      <c r="G68" s="94">
        <f>76220+2850+50000</f>
        <v>129070</v>
      </c>
      <c r="H68" s="102"/>
      <c r="I68" s="102"/>
      <c r="J68" s="94">
        <f>SUM(J62:J67)</f>
        <v>128900</v>
      </c>
      <c r="K68" s="102"/>
      <c r="L68" s="102"/>
      <c r="M68" s="94">
        <f>G68-J68</f>
        <v>170</v>
      </c>
      <c r="N68" s="102"/>
      <c r="O68" s="119"/>
    </row>
    <row r="69" spans="2:15" ht="8.25" customHeight="1" x14ac:dyDescent="0.25">
      <c r="B69" s="50"/>
      <c r="C69" s="50"/>
      <c r="D69" s="50"/>
      <c r="E69" s="50"/>
      <c r="F69" s="50"/>
      <c r="G69" s="102"/>
      <c r="H69" s="102"/>
      <c r="I69" s="102"/>
      <c r="J69" s="102"/>
      <c r="K69" s="102"/>
      <c r="L69" s="102"/>
      <c r="M69" s="102"/>
      <c r="N69" s="102"/>
      <c r="O69" s="119"/>
    </row>
    <row r="70" spans="2:15" x14ac:dyDescent="0.25">
      <c r="B70" s="50"/>
      <c r="C70" s="50"/>
      <c r="D70" s="49" t="s">
        <v>315</v>
      </c>
      <c r="E70" s="50"/>
      <c r="F70" s="50"/>
      <c r="G70" s="102"/>
      <c r="H70" s="102"/>
      <c r="I70" s="102"/>
      <c r="J70" s="102"/>
      <c r="K70" s="102"/>
      <c r="L70" s="102"/>
      <c r="M70" s="102"/>
      <c r="N70" s="102"/>
      <c r="O70" s="119"/>
    </row>
    <row r="71" spans="2:15" x14ac:dyDescent="0.25">
      <c r="B71" s="50"/>
      <c r="C71" s="50"/>
      <c r="D71" s="49" t="s">
        <v>310</v>
      </c>
      <c r="E71" s="50"/>
      <c r="F71" s="50"/>
      <c r="G71" s="117"/>
      <c r="H71" s="102"/>
      <c r="I71" s="102"/>
      <c r="J71" s="102">
        <f>5435+50000</f>
        <v>55435</v>
      </c>
      <c r="K71" s="102"/>
      <c r="L71" s="102"/>
      <c r="M71" s="117"/>
      <c r="N71" s="102"/>
      <c r="O71" s="119"/>
    </row>
    <row r="72" spans="2:15" x14ac:dyDescent="0.25">
      <c r="B72" s="50"/>
      <c r="C72" s="50"/>
      <c r="D72" s="49" t="s">
        <v>316</v>
      </c>
      <c r="E72" s="50"/>
      <c r="F72" s="50"/>
      <c r="G72" s="117"/>
      <c r="H72" s="102"/>
      <c r="I72" s="102"/>
      <c r="J72" s="102">
        <v>15158</v>
      </c>
      <c r="K72" s="102"/>
      <c r="L72" s="102"/>
      <c r="M72" s="117"/>
      <c r="N72" s="102"/>
      <c r="O72" s="119"/>
    </row>
    <row r="73" spans="2:15" x14ac:dyDescent="0.25">
      <c r="B73" s="50"/>
      <c r="C73" s="50"/>
      <c r="D73" s="49" t="s">
        <v>312</v>
      </c>
      <c r="E73" s="50"/>
      <c r="F73" s="50"/>
      <c r="G73" s="117"/>
      <c r="H73" s="102"/>
      <c r="I73" s="102"/>
      <c r="J73" s="102">
        <v>125</v>
      </c>
      <c r="K73" s="102"/>
      <c r="L73" s="102"/>
      <c r="M73" s="117"/>
      <c r="N73" s="102"/>
      <c r="O73" s="119"/>
    </row>
    <row r="74" spans="2:15" x14ac:dyDescent="0.25">
      <c r="B74" s="50"/>
      <c r="C74" s="50"/>
      <c r="D74" s="49" t="s">
        <v>586</v>
      </c>
      <c r="E74" s="50"/>
      <c r="F74" s="50"/>
      <c r="G74" s="117"/>
      <c r="H74" s="102"/>
      <c r="I74" s="102"/>
      <c r="J74" s="102">
        <v>4000</v>
      </c>
      <c r="K74" s="102"/>
      <c r="L74" s="102"/>
      <c r="M74" s="117"/>
      <c r="N74" s="102"/>
      <c r="O74" s="119"/>
    </row>
    <row r="75" spans="2:15" x14ac:dyDescent="0.25">
      <c r="B75" s="50"/>
      <c r="C75" s="50"/>
      <c r="D75" s="49" t="s">
        <v>313</v>
      </c>
      <c r="E75" s="50"/>
      <c r="F75" s="50"/>
      <c r="G75" s="115"/>
      <c r="H75" s="102"/>
      <c r="I75" s="102"/>
      <c r="J75" s="94">
        <v>1326</v>
      </c>
      <c r="K75" s="102"/>
      <c r="L75" s="102"/>
      <c r="M75" s="115"/>
      <c r="N75" s="102"/>
      <c r="O75" s="119"/>
    </row>
    <row r="76" spans="2:15" x14ac:dyDescent="0.25">
      <c r="B76" s="50"/>
      <c r="C76" s="50"/>
      <c r="D76" s="50"/>
      <c r="E76" s="49" t="s">
        <v>1</v>
      </c>
      <c r="F76" s="50"/>
      <c r="G76" s="94">
        <f>23660+4000+50000</f>
        <v>77660</v>
      </c>
      <c r="H76" s="102"/>
      <c r="I76" s="102"/>
      <c r="J76" s="94">
        <f>SUM(J71:J75)</f>
        <v>76044</v>
      </c>
      <c r="K76" s="102"/>
      <c r="L76" s="102"/>
      <c r="M76" s="94">
        <f>G76-J76</f>
        <v>1616</v>
      </c>
      <c r="N76" s="102"/>
      <c r="O76" s="119"/>
    </row>
    <row r="77" spans="2:15" ht="7.5" customHeight="1" x14ac:dyDescent="0.25">
      <c r="B77" s="50"/>
      <c r="C77" s="50"/>
      <c r="D77" s="50"/>
      <c r="E77" s="50"/>
      <c r="F77" s="50"/>
      <c r="G77" s="102"/>
      <c r="H77" s="102"/>
      <c r="I77" s="102"/>
      <c r="J77" s="102"/>
      <c r="K77" s="102"/>
      <c r="L77" s="102"/>
      <c r="M77" s="102"/>
      <c r="N77" s="102"/>
      <c r="O77" s="119"/>
    </row>
    <row r="78" spans="2:15" x14ac:dyDescent="0.25">
      <c r="B78" s="50"/>
      <c r="C78" s="50"/>
      <c r="D78" s="49" t="s">
        <v>317</v>
      </c>
      <c r="E78" s="50"/>
      <c r="F78" s="50"/>
      <c r="G78" s="102"/>
      <c r="H78" s="102"/>
      <c r="I78" s="102"/>
      <c r="J78" s="102"/>
      <c r="K78" s="102"/>
      <c r="L78" s="102"/>
      <c r="M78" s="102"/>
      <c r="N78" s="102"/>
      <c r="O78" s="119"/>
    </row>
    <row r="79" spans="2:15" x14ac:dyDescent="0.25">
      <c r="B79" s="50"/>
      <c r="C79" s="50"/>
      <c r="D79" s="49" t="s">
        <v>310</v>
      </c>
      <c r="E79" s="50"/>
      <c r="F79" s="50"/>
      <c r="G79" s="117"/>
      <c r="H79" s="102"/>
      <c r="I79" s="102"/>
      <c r="J79" s="102">
        <f>11933+40000</f>
        <v>51933</v>
      </c>
      <c r="K79" s="102"/>
      <c r="L79" s="102"/>
      <c r="M79" s="117"/>
      <c r="N79" s="102"/>
      <c r="O79" s="119"/>
    </row>
    <row r="80" spans="2:15" x14ac:dyDescent="0.25">
      <c r="B80" s="50"/>
      <c r="C80" s="50"/>
      <c r="D80" s="49" t="s">
        <v>312</v>
      </c>
      <c r="E80" s="50"/>
      <c r="F80" s="50"/>
      <c r="G80" s="117"/>
      <c r="H80" s="102"/>
      <c r="I80" s="102"/>
      <c r="J80" s="102">
        <v>8593</v>
      </c>
      <c r="K80" s="102"/>
      <c r="L80" s="102"/>
      <c r="M80" s="117"/>
      <c r="N80" s="102"/>
      <c r="O80" s="119"/>
    </row>
    <row r="81" spans="2:25" x14ac:dyDescent="0.25">
      <c r="B81" s="50"/>
      <c r="C81" s="50"/>
      <c r="D81" s="49" t="s">
        <v>318</v>
      </c>
      <c r="E81" s="50"/>
      <c r="F81" s="50"/>
      <c r="G81" s="117"/>
      <c r="H81" s="102"/>
      <c r="I81" s="102"/>
      <c r="J81" s="102">
        <v>3368</v>
      </c>
      <c r="K81" s="102"/>
      <c r="L81" s="102"/>
      <c r="M81" s="117"/>
      <c r="N81" s="102"/>
      <c r="O81" s="119"/>
    </row>
    <row r="82" spans="2:25" x14ac:dyDescent="0.25">
      <c r="B82" s="50"/>
      <c r="C82" s="50"/>
      <c r="D82" s="49" t="s">
        <v>586</v>
      </c>
      <c r="E82" s="50"/>
      <c r="F82" s="50"/>
      <c r="G82" s="117"/>
      <c r="H82" s="102"/>
      <c r="I82" s="102"/>
      <c r="J82" s="102">
        <v>9993</v>
      </c>
      <c r="K82" s="102"/>
      <c r="L82" s="102"/>
      <c r="M82" s="117"/>
      <c r="N82" s="102"/>
      <c r="O82" s="119"/>
    </row>
    <row r="83" spans="2:25" x14ac:dyDescent="0.25">
      <c r="B83" s="50"/>
      <c r="C83" s="50"/>
      <c r="D83" s="49" t="s">
        <v>313</v>
      </c>
      <c r="E83" s="50"/>
      <c r="F83" s="50"/>
      <c r="G83" s="115"/>
      <c r="H83" s="102"/>
      <c r="I83" s="102"/>
      <c r="J83" s="94">
        <v>40</v>
      </c>
      <c r="K83" s="102"/>
      <c r="L83" s="102"/>
      <c r="M83" s="115"/>
      <c r="N83" s="102"/>
      <c r="O83" s="119"/>
    </row>
    <row r="84" spans="2:25" x14ac:dyDescent="0.25">
      <c r="B84" s="50"/>
      <c r="C84" s="50"/>
      <c r="D84" s="50"/>
      <c r="E84" s="49" t="s">
        <v>1</v>
      </c>
      <c r="F84" s="50"/>
      <c r="G84" s="94">
        <f>45750-4827+10000+40000-14000</f>
        <v>76923</v>
      </c>
      <c r="H84" s="102"/>
      <c r="I84" s="102"/>
      <c r="J84" s="94">
        <f>SUM(J79:J83)</f>
        <v>73927</v>
      </c>
      <c r="K84" s="102"/>
      <c r="L84" s="102"/>
      <c r="M84" s="94">
        <f>+G84-J84</f>
        <v>2996</v>
      </c>
      <c r="N84" s="102"/>
      <c r="O84" s="119"/>
    </row>
    <row r="85" spans="2:25" x14ac:dyDescent="0.25">
      <c r="B85" s="50"/>
      <c r="C85" s="50"/>
      <c r="D85" s="50"/>
      <c r="E85" s="49" t="s">
        <v>319</v>
      </c>
      <c r="F85" s="50"/>
      <c r="G85" s="50"/>
      <c r="H85" s="50"/>
      <c r="I85" s="50"/>
      <c r="J85" s="50"/>
      <c r="K85" s="50"/>
      <c r="L85" s="50"/>
      <c r="M85" s="50"/>
      <c r="N85" s="50"/>
      <c r="O85" s="119"/>
    </row>
    <row r="86" spans="2:25" x14ac:dyDescent="0.25">
      <c r="B86" s="50"/>
      <c r="C86" s="50"/>
      <c r="D86" s="50"/>
      <c r="E86" s="49" t="s">
        <v>320</v>
      </c>
      <c r="F86" s="50"/>
      <c r="G86" s="94">
        <f>+G84+G76+G68</f>
        <v>283653</v>
      </c>
      <c r="H86" s="102"/>
      <c r="I86" s="102"/>
      <c r="J86" s="94">
        <f>+J84+J76+J68</f>
        <v>278871</v>
      </c>
      <c r="K86" s="102"/>
      <c r="L86" s="102"/>
      <c r="M86" s="94">
        <f>+M84+M76+M68</f>
        <v>4782</v>
      </c>
      <c r="N86" s="102"/>
      <c r="O86" s="119"/>
    </row>
    <row r="87" spans="2:25" ht="7.5" customHeight="1" x14ac:dyDescent="0.25">
      <c r="B87" s="50"/>
      <c r="C87" s="50"/>
      <c r="D87" s="50"/>
      <c r="E87" s="49"/>
      <c r="F87" s="50"/>
      <c r="G87" s="93"/>
      <c r="H87" s="102"/>
      <c r="I87" s="102"/>
      <c r="J87" s="93"/>
      <c r="K87" s="102"/>
      <c r="L87" s="102"/>
      <c r="M87" s="93"/>
      <c r="N87" s="102"/>
      <c r="O87" s="119"/>
    </row>
    <row r="88" spans="2:25" x14ac:dyDescent="0.25">
      <c r="B88" s="50"/>
      <c r="C88" s="49" t="s">
        <v>321</v>
      </c>
      <c r="D88" s="50"/>
      <c r="E88" s="50"/>
      <c r="F88" s="50"/>
      <c r="G88" s="102"/>
      <c r="H88" s="102"/>
      <c r="I88" s="102"/>
      <c r="J88" s="102"/>
      <c r="K88" s="102"/>
      <c r="L88" s="102"/>
      <c r="M88" s="102"/>
      <c r="N88" s="102"/>
      <c r="O88" s="119"/>
    </row>
    <row r="89" spans="2:25" x14ac:dyDescent="0.25">
      <c r="B89" s="50"/>
      <c r="C89" s="50"/>
      <c r="D89" s="49" t="s">
        <v>322</v>
      </c>
      <c r="E89" s="50"/>
      <c r="F89" s="50"/>
      <c r="G89" s="102"/>
      <c r="H89" s="102"/>
      <c r="I89" s="102"/>
      <c r="J89" s="102"/>
      <c r="K89" s="102"/>
      <c r="L89" s="102"/>
      <c r="M89" s="102"/>
      <c r="N89" s="102"/>
      <c r="O89" s="119"/>
    </row>
    <row r="90" spans="2:25" x14ac:dyDescent="0.25">
      <c r="B90" s="50"/>
      <c r="C90" s="50"/>
      <c r="D90" s="49" t="s">
        <v>310</v>
      </c>
      <c r="E90" s="50"/>
      <c r="F90" s="50"/>
      <c r="G90" s="117"/>
      <c r="H90" s="102"/>
      <c r="I90" s="102"/>
      <c r="J90" s="102">
        <f>11573+50000</f>
        <v>61573</v>
      </c>
      <c r="K90" s="102"/>
      <c r="L90" s="102"/>
      <c r="M90" s="117"/>
      <c r="N90" s="102"/>
      <c r="O90" s="119"/>
    </row>
    <row r="91" spans="2:25" x14ac:dyDescent="0.25">
      <c r="B91" s="50"/>
      <c r="C91" s="50"/>
      <c r="D91" s="49" t="s">
        <v>312</v>
      </c>
      <c r="E91" s="50"/>
      <c r="F91" s="50"/>
      <c r="G91" s="117"/>
      <c r="H91" s="102"/>
      <c r="I91" s="102"/>
      <c r="J91" s="102">
        <v>6303</v>
      </c>
      <c r="K91" s="102"/>
      <c r="L91" s="102"/>
      <c r="M91" s="117"/>
      <c r="N91" s="102"/>
      <c r="O91" s="119"/>
    </row>
    <row r="92" spans="2:25" x14ac:dyDescent="0.25">
      <c r="B92" s="50"/>
      <c r="C92" s="50"/>
      <c r="D92" s="49" t="s">
        <v>586</v>
      </c>
      <c r="E92" s="50"/>
      <c r="F92" s="50"/>
      <c r="G92" s="117"/>
      <c r="H92" s="102"/>
      <c r="I92" s="102"/>
      <c r="J92" s="102">
        <v>8000</v>
      </c>
      <c r="K92" s="102"/>
      <c r="L92" s="102"/>
      <c r="M92" s="117"/>
      <c r="N92" s="102"/>
      <c r="O92" s="119"/>
    </row>
    <row r="93" spans="2:25" x14ac:dyDescent="0.25">
      <c r="B93" s="50"/>
      <c r="C93" s="50"/>
      <c r="D93" s="49" t="s">
        <v>313</v>
      </c>
      <c r="E93" s="50"/>
      <c r="F93" s="50"/>
      <c r="G93" s="115"/>
      <c r="H93" s="102"/>
      <c r="I93" s="102"/>
      <c r="J93" s="94">
        <v>4295</v>
      </c>
      <c r="K93" s="102"/>
      <c r="L93" s="102"/>
      <c r="M93" s="115"/>
      <c r="N93" s="102"/>
      <c r="O93" s="119"/>
    </row>
    <row r="94" spans="2:25" x14ac:dyDescent="0.25">
      <c r="B94" s="50"/>
      <c r="C94" s="50"/>
      <c r="D94" s="50"/>
      <c r="E94" s="49" t="s">
        <v>1</v>
      </c>
      <c r="F94" s="50"/>
      <c r="G94" s="94">
        <f>23050+8000+50000</f>
        <v>81050</v>
      </c>
      <c r="H94" s="102"/>
      <c r="I94" s="102"/>
      <c r="J94" s="94">
        <f>SUM(J90:J93)</f>
        <v>80171</v>
      </c>
      <c r="K94" s="102"/>
      <c r="L94" s="102"/>
      <c r="M94" s="94">
        <f>+G94-J94</f>
        <v>879</v>
      </c>
      <c r="N94" s="102"/>
      <c r="O94" s="119"/>
    </row>
    <row r="95" spans="2:25" x14ac:dyDescent="0.25">
      <c r="B95" s="50"/>
      <c r="C95" s="50"/>
      <c r="D95" s="50"/>
      <c r="E95" s="49"/>
      <c r="F95" s="50"/>
      <c r="G95" s="93"/>
      <c r="H95" s="102"/>
      <c r="I95" s="102"/>
      <c r="J95" s="93"/>
      <c r="K95" s="102"/>
      <c r="L95" s="102"/>
      <c r="M95" s="116" t="s">
        <v>709</v>
      </c>
      <c r="N95" s="102"/>
      <c r="O95" s="119"/>
    </row>
    <row r="96" spans="2:25" ht="13.8" thickBot="1" x14ac:dyDescent="0.3">
      <c r="B96" s="686"/>
      <c r="C96" s="686"/>
      <c r="D96" s="686"/>
      <c r="E96" s="686"/>
      <c r="F96" s="686"/>
      <c r="G96" s="686"/>
      <c r="H96" s="686"/>
      <c r="I96" s="686"/>
      <c r="J96" s="686"/>
      <c r="K96" s="686"/>
      <c r="L96" s="686"/>
      <c r="M96" s="687"/>
      <c r="N96" s="550"/>
      <c r="O96" s="551"/>
      <c r="P96"/>
      <c r="Q96"/>
      <c r="R96"/>
      <c r="S96"/>
      <c r="T96"/>
      <c r="U96"/>
      <c r="V96"/>
      <c r="W96"/>
      <c r="X96"/>
      <c r="Y96"/>
    </row>
    <row r="97" spans="2:25" x14ac:dyDescent="0.25">
      <c r="B97" s="550"/>
      <c r="C97" s="550"/>
      <c r="D97" s="550"/>
      <c r="E97" s="550"/>
      <c r="F97" s="550"/>
      <c r="G97" s="550"/>
      <c r="H97" s="550"/>
      <c r="I97" s="550"/>
      <c r="J97" s="550"/>
      <c r="K97" s="550"/>
      <c r="L97" s="550"/>
      <c r="M97" s="552" t="s">
        <v>757</v>
      </c>
      <c r="N97" s="550"/>
      <c r="O97" s="551"/>
      <c r="P97"/>
      <c r="Q97"/>
      <c r="R97"/>
      <c r="S97"/>
      <c r="T97"/>
      <c r="U97"/>
      <c r="V97"/>
      <c r="W97"/>
      <c r="X97"/>
      <c r="Y97"/>
    </row>
    <row r="98" spans="2:25" x14ac:dyDescent="0.25">
      <c r="B98" s="550"/>
      <c r="C98" s="550"/>
      <c r="D98" s="550"/>
      <c r="E98" s="550"/>
      <c r="F98" s="550"/>
      <c r="G98" s="550"/>
      <c r="H98" s="550"/>
      <c r="I98" s="550"/>
      <c r="J98" s="550"/>
      <c r="K98" s="550"/>
      <c r="L98" s="550"/>
      <c r="M98" s="552" t="s">
        <v>758</v>
      </c>
      <c r="N98" s="550"/>
      <c r="O98" s="551"/>
      <c r="P98"/>
      <c r="Q98"/>
      <c r="R98"/>
      <c r="S98"/>
      <c r="T98"/>
      <c r="U98"/>
      <c r="V98"/>
      <c r="W98"/>
      <c r="X98"/>
      <c r="Y98"/>
    </row>
    <row r="99" spans="2:25" x14ac:dyDescent="0.25">
      <c r="B99" s="550"/>
      <c r="C99" s="553" t="s">
        <v>759</v>
      </c>
      <c r="D99" s="550"/>
      <c r="E99" s="550"/>
      <c r="F99" s="550"/>
      <c r="G99" s="554" t="s">
        <v>760</v>
      </c>
      <c r="H99" s="550"/>
      <c r="I99" s="550"/>
      <c r="J99" s="554" t="s">
        <v>761</v>
      </c>
      <c r="K99" s="550"/>
      <c r="L99" s="550"/>
      <c r="M99" s="554" t="s">
        <v>762</v>
      </c>
      <c r="N99" s="550"/>
      <c r="O99" s="551"/>
      <c r="P99"/>
      <c r="Q99"/>
      <c r="R99"/>
      <c r="S99"/>
      <c r="T99"/>
      <c r="U99"/>
      <c r="V99"/>
      <c r="W99"/>
      <c r="X99"/>
      <c r="Y99"/>
    </row>
    <row r="100" spans="2:25" x14ac:dyDescent="0.25">
      <c r="B100" s="50"/>
      <c r="C100" s="50"/>
      <c r="D100" s="50"/>
      <c r="E100" s="49"/>
      <c r="F100" s="50"/>
      <c r="G100" s="93"/>
      <c r="H100" s="102"/>
      <c r="I100" s="102"/>
      <c r="J100" s="93"/>
      <c r="K100" s="102"/>
      <c r="L100" s="102"/>
      <c r="M100" s="93"/>
      <c r="N100" s="102"/>
      <c r="O100" s="119"/>
    </row>
    <row r="101" spans="2:25" x14ac:dyDescent="0.25">
      <c r="B101" s="50"/>
      <c r="C101" s="50"/>
      <c r="D101" s="49" t="s">
        <v>323</v>
      </c>
      <c r="E101" s="50"/>
      <c r="F101" s="50"/>
      <c r="G101" s="102"/>
      <c r="H101" s="102"/>
      <c r="I101" s="102"/>
      <c r="J101" s="102"/>
      <c r="K101" s="102"/>
      <c r="L101" s="102"/>
      <c r="M101" s="102"/>
      <c r="N101" s="102"/>
      <c r="O101" s="119"/>
    </row>
    <row r="102" spans="2:25" x14ac:dyDescent="0.25">
      <c r="B102" s="50"/>
      <c r="C102" s="50"/>
      <c r="D102" s="49" t="s">
        <v>310</v>
      </c>
      <c r="E102" s="50"/>
      <c r="F102" s="50"/>
      <c r="G102" s="117"/>
      <c r="H102" s="102"/>
      <c r="I102" s="102"/>
      <c r="J102" s="102">
        <f>19571+50000</f>
        <v>69571</v>
      </c>
      <c r="K102" s="102"/>
      <c r="L102" s="102"/>
      <c r="M102" s="117"/>
      <c r="N102" s="102"/>
      <c r="O102" s="119"/>
    </row>
    <row r="103" spans="2:25" x14ac:dyDescent="0.25">
      <c r="B103" s="50"/>
      <c r="C103" s="50"/>
      <c r="D103" s="49" t="s">
        <v>311</v>
      </c>
      <c r="E103" s="50"/>
      <c r="F103" s="50"/>
      <c r="G103" s="117"/>
      <c r="H103" s="102"/>
      <c r="I103" s="102"/>
      <c r="J103" s="102">
        <v>2931</v>
      </c>
      <c r="K103" s="102"/>
      <c r="L103" s="102"/>
      <c r="M103" s="117"/>
      <c r="N103" s="102"/>
      <c r="O103" s="119"/>
    </row>
    <row r="104" spans="2:25" x14ac:dyDescent="0.25">
      <c r="B104" s="50"/>
      <c r="C104" s="50"/>
      <c r="D104" s="49" t="s">
        <v>312</v>
      </c>
      <c r="E104" s="50"/>
      <c r="F104" s="50"/>
      <c r="G104" s="117"/>
      <c r="H104" s="102"/>
      <c r="I104" s="102"/>
      <c r="J104" s="102">
        <v>3520</v>
      </c>
      <c r="K104" s="102"/>
      <c r="L104" s="102"/>
      <c r="M104" s="117"/>
      <c r="N104" s="102"/>
      <c r="O104" s="119"/>
    </row>
    <row r="105" spans="2:25" x14ac:dyDescent="0.25">
      <c r="B105" s="50"/>
      <c r="C105" s="50"/>
      <c r="D105" s="49" t="s">
        <v>586</v>
      </c>
      <c r="E105" s="50"/>
      <c r="F105" s="50"/>
      <c r="G105" s="117"/>
      <c r="H105" s="102"/>
      <c r="I105" s="102"/>
      <c r="J105" s="102">
        <v>1000</v>
      </c>
      <c r="K105" s="102"/>
      <c r="L105" s="102"/>
      <c r="M105" s="117"/>
      <c r="N105" s="102"/>
      <c r="O105" s="119"/>
    </row>
    <row r="106" spans="2:25" x14ac:dyDescent="0.25">
      <c r="B106" s="50"/>
      <c r="C106" s="50"/>
      <c r="D106" s="49" t="s">
        <v>313</v>
      </c>
      <c r="E106" s="50"/>
      <c r="F106" s="50"/>
      <c r="G106" s="115"/>
      <c r="H106" s="102"/>
      <c r="I106" s="102"/>
      <c r="J106" s="94">
        <v>1850</v>
      </c>
      <c r="K106" s="102"/>
      <c r="L106" s="102"/>
      <c r="M106" s="115"/>
      <c r="N106" s="102"/>
      <c r="O106" s="119"/>
    </row>
    <row r="107" spans="2:25" x14ac:dyDescent="0.25">
      <c r="B107" s="50"/>
      <c r="C107" s="50"/>
      <c r="D107" s="50"/>
      <c r="E107" s="49" t="s">
        <v>1</v>
      </c>
      <c r="F107" s="50"/>
      <c r="G107" s="94">
        <f>31850+1000+50000-2000</f>
        <v>80850</v>
      </c>
      <c r="H107" s="102"/>
      <c r="I107" s="102"/>
      <c r="J107" s="94">
        <f>SUM(J102:J106)</f>
        <v>78872</v>
      </c>
      <c r="K107" s="102"/>
      <c r="L107" s="102"/>
      <c r="M107" s="94">
        <f>+G107-J107</f>
        <v>1978</v>
      </c>
      <c r="N107" s="102"/>
      <c r="O107" s="119"/>
    </row>
    <row r="108" spans="2:25" ht="7.5" customHeight="1" x14ac:dyDescent="0.25">
      <c r="B108" s="50"/>
      <c r="C108" s="50"/>
      <c r="D108" s="50"/>
      <c r="E108" s="50"/>
      <c r="F108" s="50"/>
      <c r="G108" s="50"/>
      <c r="H108" s="50"/>
      <c r="I108" s="50"/>
      <c r="J108" s="50"/>
      <c r="K108" s="50"/>
      <c r="L108" s="50"/>
      <c r="M108" s="50"/>
      <c r="N108" s="50"/>
      <c r="O108" s="119"/>
    </row>
    <row r="109" spans="2:25" x14ac:dyDescent="0.25">
      <c r="B109" s="50"/>
      <c r="C109" s="50"/>
      <c r="D109" s="49" t="s">
        <v>324</v>
      </c>
      <c r="E109" s="50"/>
      <c r="F109" s="50"/>
      <c r="G109" s="102"/>
      <c r="H109" s="102"/>
      <c r="I109" s="102"/>
      <c r="J109" s="102"/>
      <c r="K109" s="102"/>
      <c r="L109" s="102"/>
      <c r="M109" s="102"/>
      <c r="N109" s="102"/>
      <c r="O109" s="119"/>
    </row>
    <row r="110" spans="2:25" x14ac:dyDescent="0.25">
      <c r="B110" s="50"/>
      <c r="C110" s="50"/>
      <c r="D110" s="49" t="s">
        <v>310</v>
      </c>
      <c r="E110" s="50"/>
      <c r="F110" s="50"/>
      <c r="G110" s="117"/>
      <c r="H110" s="102"/>
      <c r="I110" s="102"/>
      <c r="J110" s="102">
        <f>3387+25000</f>
        <v>28387</v>
      </c>
      <c r="K110" s="102"/>
      <c r="L110" s="102"/>
      <c r="M110" s="117"/>
      <c r="N110" s="102"/>
      <c r="O110" s="119"/>
    </row>
    <row r="111" spans="2:25" x14ac:dyDescent="0.25">
      <c r="B111" s="50"/>
      <c r="C111" s="50"/>
      <c r="D111" s="49" t="s">
        <v>312</v>
      </c>
      <c r="E111" s="50"/>
      <c r="F111" s="50"/>
      <c r="G111" s="117"/>
      <c r="H111" s="102"/>
      <c r="I111" s="102"/>
      <c r="J111" s="102">
        <v>445</v>
      </c>
      <c r="K111" s="102"/>
      <c r="L111" s="102"/>
      <c r="M111" s="117"/>
      <c r="N111" s="102"/>
      <c r="O111" s="119"/>
    </row>
    <row r="112" spans="2:25" x14ac:dyDescent="0.25">
      <c r="B112" s="50"/>
      <c r="C112" s="50"/>
      <c r="D112" s="49" t="s">
        <v>586</v>
      </c>
      <c r="E112" s="50"/>
      <c r="F112" s="50"/>
      <c r="G112" s="117"/>
      <c r="H112" s="102"/>
      <c r="I112" s="102"/>
      <c r="J112" s="102">
        <v>1000</v>
      </c>
      <c r="K112" s="102"/>
      <c r="L112" s="102"/>
      <c r="M112" s="117"/>
      <c r="N112" s="102"/>
      <c r="O112" s="119"/>
    </row>
    <row r="113" spans="2:15" x14ac:dyDescent="0.25">
      <c r="B113" s="50"/>
      <c r="C113" s="50"/>
      <c r="D113" s="49" t="s">
        <v>313</v>
      </c>
      <c r="E113" s="50"/>
      <c r="F113" s="50"/>
      <c r="G113" s="115"/>
      <c r="H113" s="102"/>
      <c r="I113" s="102"/>
      <c r="J113" s="94">
        <v>113</v>
      </c>
      <c r="K113" s="102"/>
      <c r="L113" s="102"/>
      <c r="M113" s="115"/>
      <c r="N113" s="102"/>
      <c r="O113" s="119"/>
    </row>
    <row r="114" spans="2:15" x14ac:dyDescent="0.25">
      <c r="B114" s="50"/>
      <c r="C114" s="50"/>
      <c r="D114" s="50"/>
      <c r="E114" s="49" t="s">
        <v>1</v>
      </c>
      <c r="F114" s="50"/>
      <c r="G114" s="94">
        <f>4700+1000+25000</f>
        <v>30700</v>
      </c>
      <c r="H114" s="102"/>
      <c r="I114" s="102"/>
      <c r="J114" s="94">
        <f>SUM(J110:J113)</f>
        <v>29945</v>
      </c>
      <c r="K114" s="102"/>
      <c r="L114" s="102"/>
      <c r="M114" s="94">
        <f>G114-J114</f>
        <v>755</v>
      </c>
      <c r="N114" s="102"/>
      <c r="O114" s="119"/>
    </row>
    <row r="115" spans="2:15" x14ac:dyDescent="0.25">
      <c r="B115" s="50"/>
      <c r="C115" s="50"/>
      <c r="D115" s="50"/>
      <c r="E115" s="49" t="s">
        <v>325</v>
      </c>
      <c r="F115" s="50"/>
      <c r="G115" s="50"/>
      <c r="H115" s="50"/>
      <c r="I115" s="50"/>
      <c r="J115" s="50"/>
      <c r="K115" s="50"/>
      <c r="L115" s="50"/>
      <c r="M115" s="50"/>
      <c r="N115" s="50"/>
      <c r="O115" s="119"/>
    </row>
    <row r="116" spans="2:15" x14ac:dyDescent="0.25">
      <c r="B116" s="50"/>
      <c r="C116" s="50"/>
      <c r="D116" s="50"/>
      <c r="E116" s="49" t="s">
        <v>326</v>
      </c>
      <c r="F116" s="50"/>
      <c r="G116" s="94">
        <f>G114+G107+G94</f>
        <v>192600</v>
      </c>
      <c r="H116" s="102"/>
      <c r="I116" s="102"/>
      <c r="J116" s="94">
        <f>J114+J107+J94</f>
        <v>188988</v>
      </c>
      <c r="K116" s="102"/>
      <c r="L116" s="102"/>
      <c r="M116" s="94">
        <f>M114+M107+M94</f>
        <v>3612</v>
      </c>
      <c r="N116" s="102"/>
      <c r="O116" s="119"/>
    </row>
    <row r="117" spans="2:15" ht="6.75" customHeight="1" x14ac:dyDescent="0.25">
      <c r="B117" s="50"/>
      <c r="C117" s="50"/>
      <c r="D117" s="50"/>
      <c r="E117" s="50"/>
      <c r="F117" s="50"/>
      <c r="G117" s="102"/>
      <c r="H117" s="102"/>
      <c r="I117" s="102"/>
      <c r="J117" s="102"/>
      <c r="K117" s="102"/>
      <c r="L117" s="102"/>
      <c r="M117" s="102"/>
      <c r="N117" s="102"/>
      <c r="O117" s="119"/>
    </row>
    <row r="118" spans="2:15" x14ac:dyDescent="0.25">
      <c r="B118" s="50"/>
      <c r="C118" s="49" t="s">
        <v>35</v>
      </c>
      <c r="D118" s="50"/>
      <c r="E118" s="50"/>
      <c r="F118" s="50"/>
      <c r="G118" s="102"/>
      <c r="H118" s="102"/>
      <c r="I118" s="102"/>
      <c r="J118" s="102"/>
      <c r="K118" s="102"/>
      <c r="L118" s="102"/>
      <c r="M118" s="102"/>
      <c r="N118" s="102"/>
      <c r="O118" s="119"/>
    </row>
    <row r="119" spans="2:15" x14ac:dyDescent="0.25">
      <c r="B119" s="50"/>
      <c r="C119" s="50"/>
      <c r="D119" s="49" t="s">
        <v>93</v>
      </c>
      <c r="E119" s="50"/>
      <c r="F119" s="50"/>
      <c r="G119" s="102">
        <v>10000</v>
      </c>
      <c r="H119" s="102"/>
      <c r="I119" s="102"/>
      <c r="J119" s="102">
        <v>10000</v>
      </c>
      <c r="K119" s="102"/>
      <c r="L119" s="102"/>
      <c r="M119" s="117" t="s">
        <v>193</v>
      </c>
      <c r="N119" s="102"/>
      <c r="O119" s="119"/>
    </row>
    <row r="120" spans="2:15" x14ac:dyDescent="0.25">
      <c r="B120" s="50"/>
      <c r="C120" s="50"/>
      <c r="D120" s="49" t="s">
        <v>37</v>
      </c>
      <c r="E120" s="50"/>
      <c r="F120" s="50"/>
      <c r="G120" s="826">
        <f>142500+765</f>
        <v>143265</v>
      </c>
      <c r="H120" s="102"/>
      <c r="I120" s="102"/>
      <c r="J120" s="826">
        <f>78386-169+762</f>
        <v>78979</v>
      </c>
      <c r="K120" s="102"/>
      <c r="L120" s="102"/>
      <c r="M120" s="806">
        <f>G120-J120</f>
        <v>64286</v>
      </c>
      <c r="N120" s="102"/>
      <c r="O120" s="119"/>
    </row>
    <row r="121" spans="2:15" x14ac:dyDescent="0.25">
      <c r="B121" s="50"/>
      <c r="C121" s="50"/>
      <c r="D121" s="49" t="s">
        <v>136</v>
      </c>
      <c r="E121" s="50"/>
      <c r="F121" s="50"/>
      <c r="G121" s="827">
        <f>359725+9240</f>
        <v>368965</v>
      </c>
      <c r="H121" s="102"/>
      <c r="I121" s="102"/>
      <c r="J121" s="827">
        <f>359725+9238</f>
        <v>368963</v>
      </c>
      <c r="K121" s="102"/>
      <c r="L121" s="102"/>
      <c r="M121" s="828">
        <v>2</v>
      </c>
      <c r="N121" s="102"/>
      <c r="O121" s="119"/>
    </row>
    <row r="122" spans="2:15" x14ac:dyDescent="0.25">
      <c r="B122" s="50"/>
      <c r="C122" s="50"/>
      <c r="D122" s="50"/>
      <c r="E122" s="49" t="s">
        <v>251</v>
      </c>
      <c r="F122" s="50"/>
      <c r="G122" s="94">
        <v>522230</v>
      </c>
      <c r="H122" s="102"/>
      <c r="I122" s="102"/>
      <c r="J122" s="94">
        <f>SUM(J119:J121)</f>
        <v>457942</v>
      </c>
      <c r="K122" s="102"/>
      <c r="L122" s="102"/>
      <c r="M122" s="94">
        <v>299</v>
      </c>
      <c r="N122" s="102"/>
      <c r="O122" s="119"/>
    </row>
    <row r="123" spans="2:15" ht="7.5" customHeight="1" x14ac:dyDescent="0.25">
      <c r="O123" s="119"/>
    </row>
    <row r="124" spans="2:15" x14ac:dyDescent="0.25">
      <c r="B124" s="50"/>
      <c r="C124" s="49" t="s">
        <v>258</v>
      </c>
      <c r="D124" s="50"/>
      <c r="E124" s="50"/>
      <c r="F124" s="50"/>
      <c r="G124" s="102"/>
      <c r="H124" s="102"/>
      <c r="I124" s="102"/>
      <c r="J124" s="102"/>
      <c r="K124" s="102"/>
      <c r="L124" s="102"/>
      <c r="M124" s="102"/>
      <c r="N124" s="102"/>
      <c r="O124" s="119"/>
    </row>
    <row r="125" spans="2:15" x14ac:dyDescent="0.25">
      <c r="B125" s="50"/>
      <c r="C125" s="50"/>
      <c r="D125" s="49" t="s">
        <v>327</v>
      </c>
      <c r="E125" s="50"/>
      <c r="F125" s="50"/>
      <c r="G125" s="102">
        <v>43210</v>
      </c>
      <c r="H125" s="102"/>
      <c r="I125" s="102"/>
      <c r="J125" s="102">
        <v>38576</v>
      </c>
      <c r="K125" s="102"/>
      <c r="L125" s="102"/>
      <c r="M125" s="102">
        <v>4634</v>
      </c>
      <c r="N125" s="102"/>
      <c r="O125" s="119"/>
    </row>
    <row r="126" spans="2:15" x14ac:dyDescent="0.25">
      <c r="B126" s="50"/>
      <c r="C126" s="50"/>
      <c r="D126" s="49" t="s">
        <v>328</v>
      </c>
      <c r="E126" s="50"/>
      <c r="F126" s="50"/>
      <c r="G126" s="102">
        <v>22000</v>
      </c>
      <c r="H126" s="102"/>
      <c r="I126" s="102"/>
      <c r="J126" s="102">
        <v>18495</v>
      </c>
      <c r="K126" s="102"/>
      <c r="L126" s="102"/>
      <c r="M126" s="102">
        <v>3505</v>
      </c>
      <c r="N126" s="102"/>
      <c r="O126" s="119"/>
    </row>
    <row r="127" spans="2:15" x14ac:dyDescent="0.25">
      <c r="B127" s="50"/>
      <c r="C127" s="50"/>
      <c r="D127" s="49" t="s">
        <v>329</v>
      </c>
      <c r="E127" s="50"/>
      <c r="F127" s="50"/>
      <c r="G127" s="102">
        <v>21625</v>
      </c>
      <c r="H127" s="102"/>
      <c r="I127" s="102"/>
      <c r="J127" s="102">
        <v>17310</v>
      </c>
      <c r="K127" s="102"/>
      <c r="L127" s="102"/>
      <c r="M127" s="102">
        <v>4315</v>
      </c>
      <c r="N127" s="102"/>
      <c r="O127" s="119"/>
    </row>
    <row r="128" spans="2:15" x14ac:dyDescent="0.25">
      <c r="B128" s="50"/>
      <c r="C128" s="50"/>
      <c r="D128" s="49" t="s">
        <v>330</v>
      </c>
      <c r="E128" s="50"/>
      <c r="F128" s="50"/>
      <c r="G128" s="102">
        <v>72100</v>
      </c>
      <c r="H128" s="102"/>
      <c r="I128" s="102"/>
      <c r="J128" s="102">
        <v>32594</v>
      </c>
      <c r="K128" s="102"/>
      <c r="L128" s="102"/>
      <c r="M128" s="102">
        <v>39506</v>
      </c>
      <c r="N128" s="102"/>
      <c r="O128" s="119"/>
    </row>
    <row r="129" spans="2:15" x14ac:dyDescent="0.25">
      <c r="B129" s="50"/>
      <c r="C129" s="50"/>
      <c r="D129" s="49" t="s">
        <v>331</v>
      </c>
      <c r="E129" s="50"/>
      <c r="F129" s="50"/>
      <c r="G129" s="102">
        <v>12085</v>
      </c>
      <c r="H129" s="102"/>
      <c r="I129" s="102"/>
      <c r="J129" s="102">
        <v>8043</v>
      </c>
      <c r="K129" s="102"/>
      <c r="L129" s="102"/>
      <c r="M129" s="102">
        <v>4042</v>
      </c>
      <c r="N129" s="102"/>
      <c r="O129" s="119"/>
    </row>
    <row r="130" spans="2:15" x14ac:dyDescent="0.25">
      <c r="B130" s="50"/>
      <c r="C130" s="50"/>
      <c r="D130" s="49" t="s">
        <v>332</v>
      </c>
      <c r="E130" s="50"/>
      <c r="F130" s="50"/>
      <c r="G130" s="93">
        <v>12650</v>
      </c>
      <c r="H130" s="93"/>
      <c r="I130" s="93"/>
      <c r="J130" s="93">
        <v>10346</v>
      </c>
      <c r="K130" s="93"/>
      <c r="L130" s="93"/>
      <c r="M130" s="93">
        <v>2304</v>
      </c>
      <c r="N130" s="102"/>
      <c r="O130" s="119"/>
    </row>
    <row r="131" spans="2:15" x14ac:dyDescent="0.25">
      <c r="B131" s="50"/>
      <c r="C131" s="50"/>
      <c r="D131" s="49" t="s">
        <v>547</v>
      </c>
      <c r="E131" s="50"/>
      <c r="F131" s="50"/>
      <c r="G131" s="94">
        <v>3800000</v>
      </c>
      <c r="H131" s="102"/>
      <c r="I131" s="102"/>
      <c r="J131" s="94">
        <v>3800000</v>
      </c>
      <c r="K131" s="102"/>
      <c r="L131" s="102"/>
      <c r="M131" s="113">
        <v>0</v>
      </c>
      <c r="N131" s="102"/>
      <c r="O131" s="119"/>
    </row>
    <row r="132" spans="2:15" x14ac:dyDescent="0.25">
      <c r="B132" s="50"/>
      <c r="C132" s="50"/>
      <c r="D132" s="50"/>
      <c r="E132" s="49" t="s">
        <v>333</v>
      </c>
      <c r="F132" s="50"/>
      <c r="G132" s="94">
        <f>SUM(G125:G131)</f>
        <v>3983670</v>
      </c>
      <c r="H132" s="102"/>
      <c r="I132" s="102"/>
      <c r="J132" s="94">
        <f>SUM(J125:J131)</f>
        <v>3925364</v>
      </c>
      <c r="K132" s="102"/>
      <c r="L132" s="102"/>
      <c r="M132" s="94">
        <f>G132-J132</f>
        <v>58306</v>
      </c>
      <c r="N132" s="102"/>
      <c r="O132" s="119"/>
    </row>
    <row r="133" spans="2:15" x14ac:dyDescent="0.25">
      <c r="B133" s="50"/>
      <c r="C133" s="50"/>
      <c r="D133" s="50"/>
      <c r="E133" s="49" t="s">
        <v>39</v>
      </c>
      <c r="F133" s="50"/>
      <c r="G133" s="827">
        <f>+G132+G122+G116+G86+G53+G44</f>
        <v>5393903</v>
      </c>
      <c r="H133" s="102"/>
      <c r="I133" s="102"/>
      <c r="J133" s="827">
        <f>+J132+J122+J116+J86+J53+J44</f>
        <v>5259559.8640000001</v>
      </c>
      <c r="K133" s="102"/>
      <c r="L133" s="102"/>
      <c r="M133" s="94">
        <f>+M132+M122+M116+M86+M53+M44</f>
        <v>70354.135999999999</v>
      </c>
      <c r="N133" s="102"/>
      <c r="O133" s="119"/>
    </row>
    <row r="134" spans="2:15" ht="7.5" customHeight="1" x14ac:dyDescent="0.25">
      <c r="B134" s="50"/>
      <c r="C134" s="50"/>
      <c r="D134" s="50"/>
      <c r="E134" s="49"/>
      <c r="F134" s="50"/>
      <c r="G134" s="93"/>
      <c r="H134" s="102"/>
      <c r="I134" s="102"/>
      <c r="J134" s="93"/>
      <c r="K134" s="102"/>
      <c r="L134" s="102"/>
      <c r="M134" s="93"/>
      <c r="N134" s="102"/>
      <c r="O134" s="119"/>
    </row>
    <row r="135" spans="2:15" x14ac:dyDescent="0.25">
      <c r="B135" s="50"/>
      <c r="C135" s="50"/>
      <c r="D135" s="50" t="s">
        <v>584</v>
      </c>
      <c r="E135" s="49"/>
      <c r="F135" s="50"/>
      <c r="G135" s="806">
        <f t="shared" ref="G135:M135" si="0">G32-G133</f>
        <v>-3805178</v>
      </c>
      <c r="H135" s="93">
        <f t="shared" si="0"/>
        <v>0</v>
      </c>
      <c r="I135" s="93">
        <f t="shared" si="0"/>
        <v>0</v>
      </c>
      <c r="J135" s="806">
        <f t="shared" si="0"/>
        <v>-3695426.8640000001</v>
      </c>
      <c r="K135" s="93">
        <f t="shared" si="0"/>
        <v>0</v>
      </c>
      <c r="L135" s="93">
        <f t="shared" si="0"/>
        <v>0</v>
      </c>
      <c r="M135" s="93">
        <f t="shared" si="0"/>
        <v>-107776.136</v>
      </c>
      <c r="N135" s="102"/>
      <c r="O135" s="119"/>
    </row>
    <row r="136" spans="2:15" ht="6.75" customHeight="1" x14ac:dyDescent="0.25">
      <c r="B136" s="50"/>
      <c r="C136" s="50"/>
      <c r="D136" s="50"/>
      <c r="E136" s="49"/>
      <c r="F136" s="50"/>
      <c r="G136" s="93"/>
      <c r="H136" s="102"/>
      <c r="I136" s="102"/>
      <c r="J136" s="93"/>
      <c r="K136" s="102"/>
      <c r="L136" s="102"/>
      <c r="M136" s="93"/>
      <c r="N136" s="102"/>
      <c r="O136" s="119"/>
    </row>
    <row r="137" spans="2:15" x14ac:dyDescent="0.25">
      <c r="B137" s="49" t="s">
        <v>139</v>
      </c>
      <c r="C137" s="50"/>
      <c r="D137" s="50"/>
      <c r="E137" s="50"/>
      <c r="F137" s="50"/>
      <c r="G137" s="50"/>
      <c r="H137" s="50"/>
      <c r="I137" s="50"/>
      <c r="J137" s="50"/>
      <c r="K137" s="50"/>
      <c r="L137" s="50"/>
      <c r="M137" s="50"/>
      <c r="N137" s="119"/>
      <c r="O137" s="119"/>
    </row>
    <row r="138" spans="2:15" x14ac:dyDescent="0.25">
      <c r="B138" s="49"/>
      <c r="C138" s="50" t="s">
        <v>433</v>
      </c>
      <c r="D138" s="50"/>
      <c r="E138" s="50"/>
      <c r="F138" s="50"/>
      <c r="G138" s="50"/>
      <c r="H138" s="50"/>
      <c r="I138" s="50"/>
      <c r="J138" s="50"/>
      <c r="K138" s="50"/>
      <c r="L138" s="50"/>
      <c r="M138" s="50"/>
      <c r="N138" s="119"/>
      <c r="O138" s="119"/>
    </row>
    <row r="139" spans="2:15" x14ac:dyDescent="0.25">
      <c r="B139" s="49"/>
      <c r="C139" s="50"/>
      <c r="D139" s="120" t="s">
        <v>559</v>
      </c>
      <c r="E139" s="50"/>
      <c r="F139" s="50"/>
      <c r="G139" s="50">
        <v>-4827</v>
      </c>
      <c r="H139" s="50"/>
      <c r="I139" s="50"/>
      <c r="J139" s="50">
        <v>-4827</v>
      </c>
      <c r="K139" s="50"/>
      <c r="L139" s="50"/>
      <c r="M139" s="121">
        <v>0</v>
      </c>
      <c r="N139" s="119"/>
      <c r="O139" s="119"/>
    </row>
    <row r="140" spans="2:15" x14ac:dyDescent="0.25">
      <c r="B140" s="49"/>
      <c r="C140" s="50" t="s">
        <v>543</v>
      </c>
      <c r="D140" s="50"/>
      <c r="E140" s="50"/>
      <c r="F140" s="50"/>
      <c r="G140" s="107">
        <v>3800000</v>
      </c>
      <c r="H140" s="50"/>
      <c r="I140" s="50"/>
      <c r="J140" s="107">
        <v>3650000</v>
      </c>
      <c r="K140" s="50"/>
      <c r="L140" s="50"/>
      <c r="M140" s="107">
        <v>150000</v>
      </c>
      <c r="N140" s="119"/>
      <c r="O140" s="119"/>
    </row>
    <row r="141" spans="2:15" x14ac:dyDescent="0.25">
      <c r="B141" s="50"/>
      <c r="C141" s="50"/>
      <c r="D141" s="50"/>
      <c r="E141" s="49" t="s">
        <v>263</v>
      </c>
      <c r="F141" s="50"/>
      <c r="G141" s="50"/>
      <c r="H141" s="50"/>
      <c r="I141" s="50"/>
      <c r="J141" s="50"/>
      <c r="K141" s="50"/>
      <c r="L141" s="50"/>
      <c r="M141" s="50"/>
      <c r="N141" s="119"/>
      <c r="O141" s="119"/>
    </row>
    <row r="142" spans="2:15" x14ac:dyDescent="0.25">
      <c r="B142" s="50"/>
      <c r="C142" s="50"/>
      <c r="D142" s="50"/>
      <c r="E142" s="49" t="s">
        <v>334</v>
      </c>
      <c r="F142" s="50"/>
      <c r="G142" s="96">
        <f>SUM(G139:G140)</f>
        <v>3795173</v>
      </c>
      <c r="H142" s="50"/>
      <c r="I142" s="50"/>
      <c r="J142" s="96">
        <f>SUM(J139:J140)</f>
        <v>3645173</v>
      </c>
      <c r="K142" s="50"/>
      <c r="L142" s="50"/>
      <c r="M142" s="96">
        <f>SUM(M139:M140)</f>
        <v>150000</v>
      </c>
      <c r="N142" s="119"/>
      <c r="O142" s="119"/>
    </row>
    <row r="143" spans="2:15" x14ac:dyDescent="0.25">
      <c r="B143" s="49" t="s">
        <v>881</v>
      </c>
      <c r="C143" s="50"/>
      <c r="D143" s="50"/>
      <c r="E143" s="50"/>
      <c r="F143" s="50"/>
      <c r="G143" s="50"/>
      <c r="H143" s="50"/>
      <c r="I143" s="50"/>
      <c r="J143" s="50"/>
      <c r="K143" s="50"/>
      <c r="L143" s="50"/>
      <c r="M143" s="50"/>
      <c r="N143" s="119"/>
      <c r="O143" s="119"/>
    </row>
    <row r="144" spans="2:15" ht="13.8" thickBot="1" x14ac:dyDescent="0.3">
      <c r="B144" s="49" t="s">
        <v>335</v>
      </c>
      <c r="C144" s="50"/>
      <c r="D144" s="50"/>
      <c r="E144" s="50"/>
      <c r="F144" s="49"/>
      <c r="G144" s="122">
        <f>+G32+G142-G133</f>
        <v>-10005</v>
      </c>
      <c r="H144" s="102"/>
      <c r="I144" s="123"/>
      <c r="J144" s="809">
        <f>+J32+J142-J133</f>
        <v>-50253.86400000006</v>
      </c>
      <c r="K144" s="102"/>
      <c r="L144" s="123"/>
      <c r="M144" s="122">
        <f>+J144-G144</f>
        <v>-40248.86400000006</v>
      </c>
      <c r="N144" s="124"/>
      <c r="O144" s="119"/>
    </row>
    <row r="145" spans="2:15" ht="13.8" thickTop="1" x14ac:dyDescent="0.25">
      <c r="B145" s="49"/>
      <c r="C145" s="50"/>
      <c r="D145" s="50"/>
      <c r="E145" s="50"/>
      <c r="F145" s="49"/>
      <c r="G145" s="746"/>
      <c r="H145" s="102"/>
      <c r="I145" s="123"/>
      <c r="J145" s="93"/>
      <c r="K145" s="102"/>
      <c r="L145" s="123"/>
      <c r="M145" s="116" t="s">
        <v>709</v>
      </c>
      <c r="N145" s="124"/>
      <c r="O145" s="119"/>
    </row>
    <row r="146" spans="2:15" x14ac:dyDescent="0.25">
      <c r="B146" s="50"/>
      <c r="C146" s="50"/>
      <c r="D146" s="50"/>
      <c r="E146" s="50"/>
      <c r="F146" s="50"/>
      <c r="G146" s="50"/>
      <c r="H146" s="50"/>
      <c r="I146" s="50"/>
      <c r="J146" s="50"/>
      <c r="K146" s="50"/>
      <c r="L146" s="50"/>
      <c r="M146" s="50"/>
      <c r="N146" s="119"/>
      <c r="O146" s="119"/>
    </row>
    <row r="147" spans="2:15" x14ac:dyDescent="0.25">
      <c r="B147" s="125" t="s">
        <v>281</v>
      </c>
      <c r="C147" s="50"/>
      <c r="D147" s="50"/>
      <c r="E147" s="50"/>
      <c r="F147" s="50"/>
      <c r="G147" s="102"/>
      <c r="H147" s="102"/>
      <c r="I147" s="102"/>
      <c r="J147" s="102"/>
      <c r="K147" s="102"/>
      <c r="L147" s="102"/>
      <c r="N147" s="124"/>
      <c r="O147" s="119"/>
    </row>
    <row r="148" spans="2:15" x14ac:dyDescent="0.25">
      <c r="B148" s="125" t="s">
        <v>282</v>
      </c>
      <c r="C148" s="50"/>
      <c r="D148" s="50"/>
      <c r="E148" s="50"/>
      <c r="F148" s="50"/>
      <c r="G148" s="102"/>
      <c r="H148" s="102"/>
      <c r="I148" s="102"/>
      <c r="J148" s="102"/>
      <c r="K148" s="102"/>
      <c r="L148" s="102"/>
      <c r="M148" s="102"/>
      <c r="N148" s="124"/>
      <c r="O148" s="119"/>
    </row>
    <row r="149" spans="2:15" x14ac:dyDescent="0.25">
      <c r="B149" s="50"/>
      <c r="C149" s="50"/>
      <c r="D149" s="50"/>
      <c r="E149" s="50"/>
      <c r="F149" s="50"/>
      <c r="G149" s="50"/>
      <c r="H149" s="50"/>
      <c r="I149" s="50"/>
      <c r="J149" s="50"/>
      <c r="K149" s="50"/>
      <c r="L149" s="50"/>
      <c r="M149" s="50"/>
      <c r="N149" s="119"/>
      <c r="O149" s="119"/>
    </row>
    <row r="150" spans="2:15" x14ac:dyDescent="0.25">
      <c r="B150" s="49" t="s">
        <v>881</v>
      </c>
      <c r="C150" s="50"/>
      <c r="D150" s="50"/>
      <c r="E150" s="50"/>
      <c r="F150" s="50"/>
      <c r="G150" s="50"/>
      <c r="H150" s="50"/>
      <c r="I150" s="50"/>
      <c r="J150" s="50"/>
      <c r="K150" s="50"/>
      <c r="L150" s="50"/>
      <c r="M150" s="50"/>
      <c r="N150" s="119"/>
      <c r="O150" s="119"/>
    </row>
    <row r="151" spans="2:15" x14ac:dyDescent="0.25">
      <c r="B151" s="49" t="s">
        <v>335</v>
      </c>
      <c r="C151" s="50"/>
      <c r="D151" s="50"/>
      <c r="E151" s="50"/>
      <c r="F151" s="50"/>
      <c r="G151" s="50"/>
      <c r="H151" s="50"/>
      <c r="I151" s="50"/>
      <c r="J151" s="883">
        <f>J144</f>
        <v>-50253.86400000006</v>
      </c>
      <c r="K151" s="50"/>
      <c r="L151" s="50"/>
      <c r="M151" s="50"/>
      <c r="N151" s="119"/>
      <c r="O151" s="119"/>
    </row>
    <row r="152" spans="2:15" x14ac:dyDescent="0.25">
      <c r="B152" s="50"/>
      <c r="C152" s="50"/>
      <c r="D152" s="50"/>
      <c r="E152" s="50"/>
      <c r="F152" s="50"/>
      <c r="G152" s="50"/>
      <c r="H152" s="50"/>
      <c r="I152" s="50"/>
      <c r="J152" s="50"/>
      <c r="K152" s="50"/>
      <c r="L152" s="50"/>
      <c r="M152" s="50"/>
      <c r="N152" s="119"/>
      <c r="O152" s="119"/>
    </row>
    <row r="153" spans="2:15" x14ac:dyDescent="0.25">
      <c r="B153" s="49" t="s">
        <v>283</v>
      </c>
      <c r="C153" s="50"/>
      <c r="D153" s="50"/>
      <c r="E153" s="50"/>
      <c r="F153" s="50"/>
      <c r="G153" s="50"/>
      <c r="H153" s="50"/>
      <c r="I153" s="50"/>
      <c r="J153" s="50"/>
      <c r="K153" s="50"/>
      <c r="L153" s="50"/>
      <c r="M153" s="50"/>
      <c r="N153" s="119"/>
      <c r="O153" s="119"/>
    </row>
    <row r="154" spans="2:15" x14ac:dyDescent="0.25">
      <c r="B154" s="50"/>
      <c r="C154" s="845" t="s">
        <v>136</v>
      </c>
      <c r="D154" s="844"/>
      <c r="E154" s="844"/>
      <c r="F154" s="844"/>
      <c r="G154" s="826"/>
      <c r="H154" s="826"/>
      <c r="I154" s="826"/>
      <c r="J154" s="826">
        <f>359725+9238</f>
        <v>368963</v>
      </c>
      <c r="K154" s="102"/>
      <c r="L154" s="102"/>
      <c r="M154" s="102"/>
      <c r="N154" s="124"/>
      <c r="O154" s="119"/>
    </row>
    <row r="155" spans="2:15" x14ac:dyDescent="0.25">
      <c r="B155" s="50"/>
      <c r="C155" s="49" t="s">
        <v>38</v>
      </c>
      <c r="D155" s="50"/>
      <c r="E155" s="50"/>
      <c r="F155" s="50"/>
      <c r="G155" s="102"/>
      <c r="H155" s="102"/>
      <c r="I155" s="102"/>
      <c r="J155" s="102">
        <f>125364+3800000</f>
        <v>3925364</v>
      </c>
      <c r="K155" s="102"/>
      <c r="L155" s="102"/>
      <c r="M155" s="102"/>
      <c r="N155" s="124"/>
      <c r="O155" s="119"/>
    </row>
    <row r="156" spans="2:15" x14ac:dyDescent="0.25">
      <c r="B156" s="50"/>
      <c r="C156" s="49" t="s">
        <v>546</v>
      </c>
      <c r="D156" s="50"/>
      <c r="E156" s="50"/>
      <c r="F156" s="50"/>
      <c r="G156" s="102"/>
      <c r="H156" s="102"/>
      <c r="I156" s="102"/>
      <c r="J156" s="102">
        <v>-2368954</v>
      </c>
      <c r="K156" s="102"/>
      <c r="L156" s="102"/>
      <c r="M156" s="102"/>
      <c r="N156" s="124"/>
      <c r="O156" s="119"/>
    </row>
    <row r="157" spans="2:15" x14ac:dyDescent="0.25">
      <c r="B157" s="50"/>
      <c r="C157" s="845" t="s">
        <v>876</v>
      </c>
      <c r="D157" s="844"/>
      <c r="E157" s="844"/>
      <c r="F157" s="844"/>
      <c r="G157" s="826"/>
      <c r="H157" s="826"/>
      <c r="I157" s="826"/>
      <c r="J157" s="826">
        <v>-191</v>
      </c>
      <c r="K157" s="102"/>
      <c r="L157" s="102"/>
      <c r="N157" s="124"/>
      <c r="O157" s="119"/>
    </row>
    <row r="158" spans="2:15" x14ac:dyDescent="0.25">
      <c r="B158" s="50"/>
      <c r="C158" s="845" t="s">
        <v>875</v>
      </c>
      <c r="D158" s="844"/>
      <c r="E158" s="844"/>
      <c r="F158" s="844"/>
      <c r="G158" s="844"/>
      <c r="H158" s="844"/>
      <c r="I158" s="844"/>
      <c r="J158" s="826">
        <v>169</v>
      </c>
      <c r="K158" s="102"/>
      <c r="L158" s="102"/>
      <c r="N158" s="124"/>
      <c r="O158" s="119"/>
    </row>
    <row r="159" spans="2:15" x14ac:dyDescent="0.25">
      <c r="B159" s="50"/>
      <c r="C159" s="49" t="s">
        <v>286</v>
      </c>
      <c r="D159" s="50"/>
      <c r="E159" s="50"/>
      <c r="F159" s="50"/>
      <c r="G159" s="102"/>
      <c r="H159" s="102"/>
      <c r="I159" s="102"/>
      <c r="J159" s="826">
        <f>-22925+244</f>
        <v>-22681</v>
      </c>
      <c r="K159" s="102"/>
      <c r="L159" s="102"/>
      <c r="M159" s="102"/>
      <c r="N159" s="124"/>
      <c r="O159" s="119"/>
    </row>
    <row r="160" spans="2:15" x14ac:dyDescent="0.25">
      <c r="B160" s="50"/>
      <c r="C160" s="49" t="s">
        <v>724</v>
      </c>
      <c r="D160" s="50"/>
      <c r="E160" s="50"/>
      <c r="F160" s="50"/>
      <c r="G160" s="102"/>
      <c r="H160" s="102"/>
      <c r="I160" s="102"/>
      <c r="J160" s="826">
        <f>93550+31487</f>
        <v>125037</v>
      </c>
      <c r="K160" s="102"/>
      <c r="L160" s="102"/>
      <c r="M160" s="102"/>
      <c r="N160" s="124"/>
      <c r="O160" s="119"/>
    </row>
    <row r="161" spans="2:25" x14ac:dyDescent="0.25">
      <c r="B161" s="50"/>
      <c r="C161" s="49" t="s">
        <v>725</v>
      </c>
      <c r="D161" s="50"/>
      <c r="E161" s="50"/>
      <c r="F161" s="50"/>
      <c r="G161" s="102"/>
      <c r="H161" s="102"/>
      <c r="I161" s="102"/>
      <c r="J161" s="102">
        <f>-'8-Cash Flow-Prop'!E74</f>
        <v>-97318.520000000019</v>
      </c>
      <c r="K161" s="102"/>
      <c r="L161" s="102"/>
      <c r="M161" s="102"/>
      <c r="N161" s="124"/>
      <c r="O161" s="119"/>
    </row>
    <row r="162" spans="2:25" x14ac:dyDescent="0.25">
      <c r="B162" s="50"/>
      <c r="C162" s="845" t="s">
        <v>880</v>
      </c>
      <c r="D162" s="844"/>
      <c r="E162" s="844"/>
      <c r="F162" s="844"/>
      <c r="G162" s="826"/>
      <c r="H162" s="826"/>
      <c r="I162" s="826"/>
      <c r="J162" s="826">
        <v>12830</v>
      </c>
      <c r="K162" s="102"/>
      <c r="L162" s="102"/>
      <c r="N162" s="124"/>
      <c r="O162" s="119"/>
    </row>
    <row r="163" spans="2:25" x14ac:dyDescent="0.25">
      <c r="B163" s="50"/>
      <c r="C163" s="49" t="s">
        <v>769</v>
      </c>
      <c r="D163" s="50"/>
      <c r="E163" s="50"/>
      <c r="F163" s="50"/>
      <c r="G163" s="102"/>
      <c r="H163" s="102"/>
      <c r="I163" s="102"/>
      <c r="J163" s="102">
        <v>-3515</v>
      </c>
      <c r="K163" s="102"/>
      <c r="L163" s="102"/>
      <c r="M163" s="102"/>
      <c r="N163" s="124"/>
      <c r="O163" s="119"/>
    </row>
    <row r="164" spans="2:25" x14ac:dyDescent="0.25">
      <c r="B164" s="50"/>
      <c r="C164" s="482" t="s">
        <v>877</v>
      </c>
      <c r="D164" s="742"/>
      <c r="E164" s="742"/>
      <c r="G164" s="102"/>
      <c r="H164" s="102"/>
      <c r="I164" s="102"/>
      <c r="J164" s="742">
        <v>-7943</v>
      </c>
      <c r="K164" s="102"/>
      <c r="L164" s="102"/>
      <c r="M164" s="102"/>
      <c r="N164" s="124"/>
      <c r="O164" s="119"/>
    </row>
    <row r="165" spans="2:25" x14ac:dyDescent="0.25">
      <c r="B165" s="50"/>
      <c r="C165" s="482" t="s">
        <v>878</v>
      </c>
      <c r="D165" s="742"/>
      <c r="E165" s="742"/>
      <c r="G165" s="102"/>
      <c r="H165" s="102"/>
      <c r="I165" s="102"/>
      <c r="J165" s="742">
        <f>-'8-Cash Flow-Prop'!E79</f>
        <v>-1915.9080000000004</v>
      </c>
      <c r="K165" s="102"/>
      <c r="L165" s="102"/>
      <c r="M165" s="102"/>
      <c r="N165" s="124"/>
      <c r="O165" s="119"/>
    </row>
    <row r="166" spans="2:25" x14ac:dyDescent="0.25">
      <c r="B166" s="50"/>
      <c r="C166" s="482" t="s">
        <v>879</v>
      </c>
      <c r="D166" s="742"/>
      <c r="E166" s="742"/>
      <c r="G166" s="102"/>
      <c r="H166" s="102"/>
      <c r="I166" s="102"/>
      <c r="J166" s="742">
        <f>-'8-Cash Flow-Prop'!E80</f>
        <v>-2366.2080000000001</v>
      </c>
      <c r="K166" s="102"/>
      <c r="L166" s="102"/>
      <c r="M166" s="102"/>
      <c r="N166" s="124"/>
      <c r="O166" s="119"/>
    </row>
    <row r="167" spans="2:25" x14ac:dyDescent="0.25">
      <c r="B167" s="50"/>
      <c r="C167" s="845" t="s">
        <v>863</v>
      </c>
      <c r="D167" s="844"/>
      <c r="E167" s="844"/>
      <c r="F167" s="844"/>
      <c r="G167" s="826"/>
      <c r="H167" s="826"/>
      <c r="I167" s="826"/>
      <c r="J167" s="826">
        <f>-251204-9431</f>
        <v>-260635</v>
      </c>
      <c r="K167" s="102"/>
      <c r="L167" s="102"/>
      <c r="M167" s="102"/>
      <c r="N167" s="124"/>
      <c r="O167" s="119"/>
    </row>
    <row r="168" spans="2:25" x14ac:dyDescent="0.25">
      <c r="B168" s="50"/>
      <c r="C168" s="49" t="s">
        <v>336</v>
      </c>
      <c r="D168" s="50"/>
      <c r="E168" s="50"/>
      <c r="F168" s="50"/>
      <c r="G168" s="50"/>
      <c r="H168" s="50"/>
      <c r="I168" s="50"/>
      <c r="J168" s="50"/>
      <c r="K168" s="50"/>
      <c r="L168" s="50"/>
      <c r="N168" s="119"/>
      <c r="O168" s="119"/>
    </row>
    <row r="169" spans="2:25" x14ac:dyDescent="0.25">
      <c r="B169" s="50"/>
      <c r="C169" s="49" t="s">
        <v>337</v>
      </c>
      <c r="D169" s="50"/>
      <c r="E169" s="50"/>
      <c r="F169" s="50"/>
      <c r="G169" s="102"/>
      <c r="H169" s="102"/>
      <c r="I169" s="102"/>
      <c r="J169" s="102">
        <v>-42386</v>
      </c>
      <c r="K169" s="102"/>
      <c r="L169" s="102"/>
      <c r="M169" s="102"/>
      <c r="N169" s="124"/>
      <c r="O169" s="119"/>
    </row>
    <row r="170" spans="2:25" x14ac:dyDescent="0.25">
      <c r="B170" s="50"/>
      <c r="C170" s="845" t="s">
        <v>882</v>
      </c>
      <c r="D170" s="844"/>
      <c r="E170" s="844"/>
      <c r="F170" s="50"/>
      <c r="G170" s="102"/>
      <c r="H170" s="102"/>
      <c r="I170" s="102"/>
      <c r="K170" s="102"/>
      <c r="L170" s="102"/>
      <c r="M170" s="102"/>
      <c r="N170" s="124"/>
      <c r="O170" s="119"/>
    </row>
    <row r="171" spans="2:25" x14ac:dyDescent="0.25">
      <c r="B171" s="50"/>
      <c r="C171" s="50"/>
      <c r="D171" s="846" t="s">
        <v>883</v>
      </c>
      <c r="E171" s="844"/>
      <c r="F171" s="844"/>
      <c r="G171" s="844"/>
      <c r="H171" s="102"/>
      <c r="I171" s="102"/>
      <c r="J171" s="826">
        <v>-890103</v>
      </c>
      <c r="K171" s="102"/>
      <c r="L171" s="102"/>
      <c r="M171" s="50"/>
      <c r="N171" s="124"/>
      <c r="O171" s="119"/>
    </row>
    <row r="172" spans="2:25" x14ac:dyDescent="0.25">
      <c r="B172" s="50"/>
      <c r="C172" s="50"/>
      <c r="D172" s="845" t="s">
        <v>38</v>
      </c>
      <c r="E172" s="844"/>
      <c r="F172" s="844"/>
      <c r="G172" s="844"/>
      <c r="H172" s="102"/>
      <c r="I172" s="102"/>
      <c r="J172" s="826">
        <v>1147613</v>
      </c>
      <c r="K172" s="102"/>
      <c r="L172" s="102"/>
      <c r="M172" s="50"/>
      <c r="N172" s="124"/>
      <c r="O172" s="119"/>
    </row>
    <row r="173" spans="2:25" x14ac:dyDescent="0.25">
      <c r="B173" s="50"/>
      <c r="C173" s="49" t="s">
        <v>181</v>
      </c>
      <c r="D173" s="50"/>
      <c r="E173" s="49" t="s">
        <v>338</v>
      </c>
      <c r="F173" s="50"/>
      <c r="G173" s="50"/>
      <c r="H173" s="50"/>
      <c r="I173" s="50"/>
      <c r="J173" s="127">
        <f>SUM(J154:J172)</f>
        <v>1881967.3639999998</v>
      </c>
      <c r="K173" s="50"/>
      <c r="L173" s="50"/>
      <c r="M173" s="50"/>
      <c r="N173" s="119"/>
      <c r="O173" s="119"/>
      <c r="Q173" s="41"/>
      <c r="W173" s="313"/>
    </row>
    <row r="174" spans="2:25" x14ac:dyDescent="0.25">
      <c r="B174" s="50"/>
      <c r="C174" s="50"/>
      <c r="D174" s="50"/>
      <c r="E174" s="50"/>
      <c r="F174" s="50"/>
      <c r="G174" s="50"/>
      <c r="H174" s="50"/>
      <c r="I174" s="50"/>
      <c r="J174" s="50"/>
      <c r="K174" s="50"/>
      <c r="L174" s="50"/>
      <c r="M174" s="50"/>
      <c r="N174" s="119"/>
      <c r="O174" s="119"/>
      <c r="P174" s="313"/>
      <c r="W174" s="313"/>
      <c r="Y174" s="313"/>
    </row>
    <row r="175" spans="2:25" ht="13.8" thickBot="1" x14ac:dyDescent="0.3">
      <c r="B175" s="49" t="s">
        <v>639</v>
      </c>
      <c r="C175" s="50"/>
      <c r="D175" s="50"/>
      <c r="E175" s="50"/>
      <c r="F175" s="50"/>
      <c r="G175" s="102"/>
      <c r="H175" s="102"/>
      <c r="I175" s="123"/>
      <c r="J175" s="122">
        <f>+J173+J151</f>
        <v>1831713.4999999998</v>
      </c>
      <c r="K175" s="102"/>
      <c r="L175" s="102"/>
      <c r="M175" s="117"/>
      <c r="N175" s="124"/>
      <c r="O175" s="119"/>
      <c r="P175" s="313">
        <f>J175-'7-Rev, Exp-Prop'!D44</f>
        <v>0</v>
      </c>
    </row>
    <row r="176" spans="2:25" ht="13.8" thickTop="1" x14ac:dyDescent="0.25">
      <c r="B176" s="50"/>
      <c r="C176" s="50"/>
      <c r="D176" s="50"/>
      <c r="E176" s="50"/>
      <c r="F176" s="50"/>
      <c r="G176" s="102"/>
      <c r="H176" s="102"/>
      <c r="I176" s="102"/>
      <c r="J176" s="102"/>
      <c r="K176" s="102"/>
      <c r="L176" s="102"/>
      <c r="M176" s="102"/>
      <c r="N176" s="124"/>
      <c r="O176" s="119"/>
    </row>
    <row r="177" spans="2:15" x14ac:dyDescent="0.25">
      <c r="B177" s="119"/>
      <c r="C177" s="119"/>
      <c r="D177" s="119"/>
      <c r="E177" s="119"/>
      <c r="F177" s="119"/>
      <c r="G177" s="124"/>
      <c r="H177" s="124"/>
      <c r="I177" s="124"/>
      <c r="J177" s="124"/>
      <c r="K177" s="124"/>
      <c r="L177" s="124"/>
      <c r="M177" s="124"/>
      <c r="N177" s="124"/>
      <c r="O177" s="119"/>
    </row>
    <row r="178" spans="2:15" x14ac:dyDescent="0.25">
      <c r="B178" s="119"/>
      <c r="C178" s="119"/>
      <c r="D178" s="119"/>
      <c r="E178" s="119"/>
      <c r="F178" s="119"/>
      <c r="G178" s="124"/>
      <c r="H178" s="124"/>
      <c r="I178" s="124"/>
      <c r="J178" s="124"/>
      <c r="K178" s="124"/>
      <c r="L178" s="124"/>
      <c r="M178" s="124"/>
      <c r="N178" s="124"/>
      <c r="O178" s="119"/>
    </row>
    <row r="179" spans="2:15" x14ac:dyDescent="0.25">
      <c r="B179" s="119"/>
      <c r="C179" s="119"/>
      <c r="D179" s="119"/>
      <c r="E179" s="119"/>
      <c r="F179" s="119"/>
      <c r="G179" s="119"/>
      <c r="H179" s="119"/>
      <c r="I179" s="119"/>
      <c r="J179" s="119"/>
      <c r="K179" s="119"/>
      <c r="L179" s="119"/>
      <c r="M179" s="119"/>
      <c r="N179" s="119"/>
      <c r="O179" s="119"/>
    </row>
    <row r="180" spans="2:15" x14ac:dyDescent="0.25">
      <c r="B180" s="119"/>
      <c r="C180" s="119"/>
      <c r="D180" s="119"/>
      <c r="E180" s="119"/>
      <c r="F180" s="119"/>
      <c r="G180" s="119"/>
      <c r="H180" s="119"/>
      <c r="I180" s="119"/>
      <c r="J180" s="119"/>
      <c r="K180" s="119"/>
      <c r="L180" s="119"/>
      <c r="M180" s="119"/>
      <c r="N180" s="119"/>
      <c r="O180" s="119"/>
    </row>
  </sheetData>
  <customSheetViews>
    <customSheetView guid="{AB48C5D7-99F4-4378-A0F9-05018B348977}">
      <selection activeCell="B39" sqref="B39"/>
      <rowBreaks count="3" manualBreakCount="3">
        <brk id="51" max="16383" man="1"/>
        <brk id="91" max="16383" man="1"/>
        <brk id="141" max="16383" man="1"/>
      </rowBreaks>
      <pageMargins left="0.75" right="0.75" top="1" bottom="1" header="0.5" footer="0.5"/>
      <pageSetup scale="79" firstPageNumber="106" fitToHeight="0" orientation="portrait" useFirstPageNumber="1" r:id="rId1"/>
      <headerFooter alignWithMargins="0"/>
    </customSheetView>
  </customSheetViews>
  <phoneticPr fontId="0" type="noConversion"/>
  <printOptions horizontalCentered="1"/>
  <pageMargins left="0.7" right="0.7" top="0.75" bottom="0.75" header="0.3" footer="0.3"/>
  <pageSetup scale="98" firstPageNumber="106" fitToHeight="4" orientation="portrait" r:id="rId2"/>
  <rowBreaks count="3" manualBreakCount="3">
    <brk id="55" min="1" max="12" man="1"/>
    <brk id="95" min="1" max="12" man="1"/>
    <brk id="145" min="1" max="12"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FF00"/>
    <pageSetUpPr fitToPage="1"/>
  </sheetPr>
  <dimension ref="B2:O53"/>
  <sheetViews>
    <sheetView workbookViewId="0"/>
  </sheetViews>
  <sheetFormatPr defaultColWidth="9.109375" defaultRowHeight="13.2" x14ac:dyDescent="0.25"/>
  <cols>
    <col min="1" max="1" width="9.109375" style="17"/>
    <col min="2" max="4" width="2.44140625" style="17" customWidth="1"/>
    <col min="5" max="5" width="22.5546875" style="17" customWidth="1"/>
    <col min="6" max="6" width="1.5546875" style="17" customWidth="1"/>
    <col min="7" max="7" width="10.88671875" style="17" bestFit="1" customWidth="1"/>
    <col min="8" max="8" width="1.5546875" style="17" customWidth="1"/>
    <col min="9" max="9" width="10.6640625" style="17" customWidth="1"/>
    <col min="10" max="10" width="1.5546875" style="17" customWidth="1"/>
    <col min="11" max="11" width="10.88671875" style="17" customWidth="1"/>
    <col min="12" max="12" width="1.5546875" style="17" customWidth="1"/>
    <col min="13" max="13" width="10.88671875" style="17" bestFit="1" customWidth="1"/>
    <col min="14" max="14" width="1.44140625" style="17" customWidth="1"/>
    <col min="15" max="15" width="12.44140625" style="17" customWidth="1"/>
    <col min="16" max="16384" width="9.109375" style="17"/>
  </cols>
  <sheetData>
    <row r="2" spans="2:15" s="132" customFormat="1" x14ac:dyDescent="0.25">
      <c r="B2" s="212" t="s">
        <v>142</v>
      </c>
      <c r="C2" s="212"/>
      <c r="D2" s="212"/>
      <c r="E2" s="212"/>
      <c r="F2" s="212"/>
      <c r="G2" s="212"/>
      <c r="H2" s="212"/>
      <c r="I2" s="212"/>
      <c r="J2" s="212"/>
      <c r="K2" s="212"/>
      <c r="L2" s="212"/>
      <c r="M2" s="212"/>
      <c r="N2" s="212"/>
      <c r="O2" s="212"/>
    </row>
    <row r="3" spans="2:15" s="132" customFormat="1" x14ac:dyDescent="0.25">
      <c r="B3" s="212" t="s">
        <v>339</v>
      </c>
      <c r="C3" s="212"/>
      <c r="D3" s="212"/>
      <c r="E3" s="212"/>
      <c r="F3" s="212"/>
      <c r="G3" s="212"/>
      <c r="H3" s="212"/>
      <c r="I3" s="212"/>
      <c r="J3" s="212"/>
      <c r="K3" s="212"/>
      <c r="L3" s="212"/>
      <c r="M3" s="212"/>
      <c r="N3" s="212"/>
      <c r="O3" s="212"/>
    </row>
    <row r="4" spans="2:15" s="132" customFormat="1" x14ac:dyDescent="0.25">
      <c r="B4" s="1078" t="s">
        <v>340</v>
      </c>
      <c r="C4" s="1078"/>
      <c r="D4" s="1078"/>
      <c r="E4" s="1078"/>
      <c r="F4" s="1078"/>
      <c r="G4" s="1078"/>
      <c r="H4" s="1078"/>
      <c r="I4" s="1078"/>
      <c r="J4" s="1078"/>
      <c r="K4" s="1078"/>
      <c r="L4" s="1078"/>
      <c r="M4" s="1078"/>
      <c r="N4" s="1078"/>
      <c r="O4" s="1078"/>
    </row>
    <row r="5" spans="2:15" s="132" customFormat="1" x14ac:dyDescent="0.25">
      <c r="B5" s="212" t="str">
        <f>'CPBud-Act'!B6</f>
        <v>From Inception and For the Fiscal Year Ended June 30, 2023</v>
      </c>
      <c r="C5" s="212"/>
      <c r="D5" s="212"/>
      <c r="E5" s="212"/>
      <c r="F5" s="212"/>
      <c r="G5" s="212"/>
      <c r="H5" s="212"/>
      <c r="I5" s="212"/>
      <c r="J5" s="212"/>
      <c r="K5" s="212"/>
      <c r="L5" s="212"/>
      <c r="M5" s="212"/>
      <c r="N5" s="212"/>
      <c r="O5" s="212"/>
    </row>
    <row r="6" spans="2:15" ht="13.8" thickBot="1" x14ac:dyDescent="0.3">
      <c r="B6" s="213"/>
      <c r="C6" s="213"/>
      <c r="D6" s="213"/>
      <c r="E6" s="213"/>
      <c r="F6" s="213"/>
      <c r="G6" s="213"/>
      <c r="H6" s="213"/>
      <c r="I6" s="213"/>
      <c r="J6" s="213"/>
      <c r="K6" s="213"/>
      <c r="L6" s="213"/>
      <c r="M6" s="213"/>
      <c r="N6" s="213"/>
      <c r="O6" s="213"/>
    </row>
    <row r="7" spans="2:15" x14ac:dyDescent="0.25">
      <c r="B7" s="53"/>
      <c r="C7" s="53"/>
      <c r="D7" s="53"/>
      <c r="E7" s="53"/>
      <c r="F7" s="53"/>
      <c r="G7" s="53"/>
      <c r="H7" s="53"/>
      <c r="I7" s="53"/>
      <c r="J7" s="53"/>
      <c r="K7" s="53"/>
      <c r="L7" s="53"/>
      <c r="M7" s="53"/>
      <c r="N7" s="53"/>
      <c r="O7" s="53"/>
    </row>
    <row r="8" spans="2:15" x14ac:dyDescent="0.25">
      <c r="B8" s="53"/>
      <c r="C8" s="53"/>
      <c r="D8" s="53"/>
      <c r="E8" s="53"/>
      <c r="F8" s="53"/>
      <c r="G8" s="51" t="s">
        <v>174</v>
      </c>
      <c r="H8" s="53"/>
      <c r="I8" s="214" t="s">
        <v>175</v>
      </c>
      <c r="J8" s="214"/>
      <c r="K8" s="214"/>
      <c r="L8" s="214"/>
      <c r="M8" s="214"/>
      <c r="N8" s="215"/>
      <c r="O8" s="51" t="s">
        <v>176</v>
      </c>
    </row>
    <row r="9" spans="2:15" x14ac:dyDescent="0.25">
      <c r="B9" s="53"/>
      <c r="C9" s="53"/>
      <c r="D9" s="53"/>
      <c r="E9" s="53"/>
      <c r="F9" s="53"/>
      <c r="G9" s="51" t="s">
        <v>341</v>
      </c>
      <c r="H9" s="53"/>
      <c r="I9" s="51" t="s">
        <v>178</v>
      </c>
      <c r="J9" s="53"/>
      <c r="K9" s="51" t="s">
        <v>179</v>
      </c>
      <c r="L9" s="53"/>
      <c r="M9" s="51" t="s">
        <v>180</v>
      </c>
      <c r="N9" s="51"/>
      <c r="O9" s="51" t="s">
        <v>500</v>
      </c>
    </row>
    <row r="10" spans="2:15" x14ac:dyDescent="0.25">
      <c r="B10" s="53"/>
      <c r="C10" s="53" t="s">
        <v>181</v>
      </c>
      <c r="D10" s="53"/>
      <c r="E10" s="53"/>
      <c r="F10" s="53"/>
      <c r="G10" s="52" t="s">
        <v>182</v>
      </c>
      <c r="H10" s="53"/>
      <c r="I10" s="52" t="s">
        <v>183</v>
      </c>
      <c r="J10" s="53"/>
      <c r="K10" s="52" t="s">
        <v>184</v>
      </c>
      <c r="L10" s="53"/>
      <c r="M10" s="52" t="s">
        <v>162</v>
      </c>
      <c r="N10" s="52"/>
      <c r="O10" s="52" t="s">
        <v>501</v>
      </c>
    </row>
    <row r="11" spans="2:15" x14ac:dyDescent="0.25">
      <c r="B11" s="53"/>
      <c r="C11" s="53"/>
      <c r="D11" s="53"/>
      <c r="E11" s="53"/>
      <c r="F11" s="53"/>
      <c r="G11" s="53"/>
      <c r="H11" s="53"/>
      <c r="I11" s="53"/>
      <c r="J11" s="53"/>
      <c r="K11" s="53"/>
      <c r="L11" s="53"/>
      <c r="M11" s="53"/>
      <c r="N11" s="53"/>
      <c r="O11" s="53"/>
    </row>
    <row r="12" spans="2:15" x14ac:dyDescent="0.25">
      <c r="B12" s="53" t="s">
        <v>342</v>
      </c>
      <c r="C12" s="53"/>
      <c r="D12" s="53"/>
      <c r="E12" s="53"/>
      <c r="F12" s="53"/>
      <c r="G12" s="53"/>
      <c r="H12" s="53"/>
      <c r="I12" s="53"/>
      <c r="J12" s="53"/>
      <c r="K12" s="53"/>
      <c r="L12" s="53"/>
      <c r="M12" s="53"/>
      <c r="N12" s="53"/>
      <c r="O12" s="53"/>
    </row>
    <row r="13" spans="2:15" x14ac:dyDescent="0.25">
      <c r="B13" s="53"/>
      <c r="C13" s="53" t="s">
        <v>204</v>
      </c>
      <c r="D13" s="53"/>
      <c r="E13" s="53"/>
      <c r="F13" s="53"/>
      <c r="G13" s="53"/>
      <c r="H13" s="53"/>
      <c r="I13" s="53"/>
      <c r="J13" s="53"/>
      <c r="K13" s="53"/>
      <c r="L13" s="53"/>
      <c r="M13" s="53"/>
      <c r="N13" s="53"/>
      <c r="O13" s="216"/>
    </row>
    <row r="14" spans="2:15" x14ac:dyDescent="0.25">
      <c r="B14" s="53"/>
      <c r="C14" s="53"/>
      <c r="D14" s="217" t="s">
        <v>343</v>
      </c>
      <c r="E14" s="53"/>
      <c r="F14" s="53"/>
      <c r="G14" s="218">
        <v>265000</v>
      </c>
      <c r="H14" s="216"/>
      <c r="I14" s="218">
        <v>501100</v>
      </c>
      <c r="J14" s="216"/>
      <c r="K14" s="218">
        <v>12900</v>
      </c>
      <c r="L14" s="216"/>
      <c r="M14" s="218">
        <f>+K14+I14</f>
        <v>514000</v>
      </c>
      <c r="N14" s="218"/>
      <c r="O14" s="218">
        <f>+M14-G14</f>
        <v>249000</v>
      </c>
    </row>
    <row r="15" spans="2:15" x14ac:dyDescent="0.25">
      <c r="B15" s="53"/>
      <c r="C15" s="53"/>
      <c r="D15" s="217" t="s">
        <v>524</v>
      </c>
      <c r="E15" s="53"/>
      <c r="F15" s="53"/>
      <c r="G15" s="216">
        <v>35000</v>
      </c>
      <c r="H15" s="216"/>
      <c r="I15" s="219">
        <v>0</v>
      </c>
      <c r="J15" s="216"/>
      <c r="K15" s="219">
        <v>35000</v>
      </c>
      <c r="L15" s="216"/>
      <c r="M15" s="220">
        <f>+K15+I15</f>
        <v>35000</v>
      </c>
      <c r="N15" s="219"/>
      <c r="O15" s="219">
        <f>+M15-G15</f>
        <v>0</v>
      </c>
    </row>
    <row r="16" spans="2:15" x14ac:dyDescent="0.25">
      <c r="B16" s="53"/>
      <c r="C16" s="53" t="s">
        <v>31</v>
      </c>
      <c r="D16" s="53"/>
      <c r="E16" s="53"/>
      <c r="F16" s="53"/>
      <c r="G16" s="221">
        <v>40000</v>
      </c>
      <c r="H16" s="216"/>
      <c r="I16" s="221">
        <v>28014</v>
      </c>
      <c r="J16" s="216"/>
      <c r="K16" s="221">
        <v>12016</v>
      </c>
      <c r="L16" s="216"/>
      <c r="M16" s="221">
        <f>+K16+I16</f>
        <v>40030</v>
      </c>
      <c r="N16" s="222"/>
      <c r="O16" s="223">
        <f>+M16-G16</f>
        <v>30</v>
      </c>
    </row>
    <row r="17" spans="2:15" x14ac:dyDescent="0.25">
      <c r="B17" s="53"/>
      <c r="C17" s="53"/>
      <c r="D17" s="53"/>
      <c r="E17" s="53" t="s">
        <v>196</v>
      </c>
      <c r="F17" s="53"/>
      <c r="G17" s="221">
        <f>SUM(G14:G16)</f>
        <v>340000</v>
      </c>
      <c r="H17" s="216"/>
      <c r="I17" s="221">
        <f>SUM(I14:I16)</f>
        <v>529114</v>
      </c>
      <c r="J17" s="216"/>
      <c r="K17" s="221">
        <f>SUM(K14:K16)</f>
        <v>59916</v>
      </c>
      <c r="L17" s="216"/>
      <c r="M17" s="221">
        <f>SUM(M14:M16)</f>
        <v>589030</v>
      </c>
      <c r="N17" s="222"/>
      <c r="O17" s="221">
        <f>+M17-G17</f>
        <v>249030</v>
      </c>
    </row>
    <row r="18" spans="2:15" x14ac:dyDescent="0.25">
      <c r="B18" s="53"/>
      <c r="C18" s="53"/>
      <c r="D18" s="53"/>
      <c r="E18" s="53"/>
      <c r="F18" s="53"/>
      <c r="G18" s="216"/>
      <c r="H18" s="216"/>
      <c r="I18" s="216"/>
      <c r="J18" s="216"/>
      <c r="K18" s="216"/>
      <c r="L18" s="216"/>
      <c r="M18" s="216"/>
      <c r="N18" s="216"/>
      <c r="O18" s="216"/>
    </row>
    <row r="19" spans="2:15" x14ac:dyDescent="0.25">
      <c r="B19" s="53" t="s">
        <v>344</v>
      </c>
      <c r="C19" s="53"/>
      <c r="D19" s="53"/>
      <c r="E19" s="53"/>
      <c r="F19" s="53"/>
      <c r="G19" s="216"/>
      <c r="H19" s="216"/>
      <c r="I19" s="216"/>
      <c r="J19" s="216"/>
      <c r="K19" s="216"/>
      <c r="L19" s="216"/>
      <c r="M19" s="216"/>
      <c r="N19" s="216"/>
      <c r="O19" s="216"/>
    </row>
    <row r="20" spans="2:15" x14ac:dyDescent="0.25">
      <c r="B20" s="53"/>
      <c r="C20" s="53" t="s">
        <v>204</v>
      </c>
      <c r="D20" s="53"/>
      <c r="E20" s="53"/>
      <c r="F20" s="53"/>
      <c r="G20" s="216"/>
      <c r="H20" s="53"/>
      <c r="I20" s="53"/>
      <c r="J20" s="53"/>
      <c r="K20" s="53"/>
      <c r="L20" s="53"/>
      <c r="M20" s="53"/>
      <c r="N20" s="53"/>
      <c r="O20" s="216"/>
    </row>
    <row r="21" spans="2:15" x14ac:dyDescent="0.25">
      <c r="B21" s="53"/>
      <c r="C21" s="53"/>
      <c r="D21" s="53" t="s">
        <v>343</v>
      </c>
      <c r="E21" s="53"/>
      <c r="F21" s="53"/>
      <c r="G21" s="216">
        <v>265000</v>
      </c>
      <c r="H21" s="216"/>
      <c r="I21" s="224">
        <v>0</v>
      </c>
      <c r="J21" s="216"/>
      <c r="K21" s="216">
        <v>45048</v>
      </c>
      <c r="L21" s="53"/>
      <c r="M21" s="216">
        <f>+K21+I21</f>
        <v>45048</v>
      </c>
      <c r="N21" s="216"/>
      <c r="O21" s="220">
        <f>+M21-G21</f>
        <v>-219952</v>
      </c>
    </row>
    <row r="22" spans="2:15" x14ac:dyDescent="0.25">
      <c r="B22" s="53"/>
      <c r="C22" s="53"/>
      <c r="D22" s="53" t="s">
        <v>256</v>
      </c>
      <c r="E22" s="53"/>
      <c r="F22" s="53"/>
      <c r="G22" s="216">
        <v>35000</v>
      </c>
      <c r="H22" s="216"/>
      <c r="I22" s="224">
        <v>0</v>
      </c>
      <c r="J22" s="216"/>
      <c r="K22" s="216">
        <v>35000</v>
      </c>
      <c r="L22" s="53"/>
      <c r="M22" s="216">
        <f>+K22+I22</f>
        <v>35000</v>
      </c>
      <c r="N22" s="216"/>
      <c r="O22" s="220">
        <f>+M22-G22</f>
        <v>0</v>
      </c>
    </row>
    <row r="23" spans="2:15" x14ac:dyDescent="0.25">
      <c r="B23" s="53"/>
      <c r="C23" s="53"/>
      <c r="D23" s="53" t="s">
        <v>94</v>
      </c>
      <c r="E23" s="53"/>
      <c r="F23" s="53"/>
      <c r="G23" s="222">
        <v>100000</v>
      </c>
      <c r="H23" s="222"/>
      <c r="I23" s="222">
        <v>100000</v>
      </c>
      <c r="J23" s="222"/>
      <c r="K23" s="225">
        <v>0</v>
      </c>
      <c r="L23" s="226"/>
      <c r="M23" s="222">
        <f>+K23+I23</f>
        <v>100000</v>
      </c>
      <c r="N23" s="222"/>
      <c r="O23" s="225">
        <f>+M23-G23</f>
        <v>0</v>
      </c>
    </row>
    <row r="24" spans="2:15" x14ac:dyDescent="0.25">
      <c r="B24" s="53"/>
      <c r="C24" s="53" t="s">
        <v>31</v>
      </c>
      <c r="D24" s="53"/>
      <c r="E24" s="53"/>
      <c r="F24" s="53"/>
      <c r="G24" s="227">
        <v>50000</v>
      </c>
      <c r="H24" s="216"/>
      <c r="I24" s="227">
        <v>0</v>
      </c>
      <c r="J24" s="216"/>
      <c r="K24" s="228">
        <v>20146</v>
      </c>
      <c r="L24" s="53"/>
      <c r="M24" s="227">
        <f>+K24+I24</f>
        <v>20146</v>
      </c>
      <c r="N24" s="216"/>
      <c r="O24" s="228">
        <f>+M24-G24</f>
        <v>-29854</v>
      </c>
    </row>
    <row r="25" spans="2:15" x14ac:dyDescent="0.25">
      <c r="B25" s="53"/>
      <c r="C25" s="53"/>
      <c r="D25" s="53"/>
      <c r="E25" s="53" t="s">
        <v>1</v>
      </c>
      <c r="F25" s="53"/>
      <c r="G25" s="221">
        <f>SUM(G21:G24)</f>
        <v>450000</v>
      </c>
      <c r="H25" s="216"/>
      <c r="I25" s="221">
        <f>SUM(I21:I24)</f>
        <v>100000</v>
      </c>
      <c r="J25" s="216"/>
      <c r="K25" s="221">
        <f>SUM(K21:K24)</f>
        <v>100194</v>
      </c>
      <c r="L25" s="216"/>
      <c r="M25" s="221">
        <f>SUM(M21:M24)</f>
        <v>200194</v>
      </c>
      <c r="N25" s="222"/>
      <c r="O25" s="221">
        <f>SUM(O21:O24)</f>
        <v>-249806</v>
      </c>
    </row>
    <row r="26" spans="2:15" x14ac:dyDescent="0.25">
      <c r="B26" s="53"/>
      <c r="C26" s="53"/>
      <c r="D26" s="53"/>
      <c r="E26" s="53" t="s">
        <v>345</v>
      </c>
      <c r="F26" s="53"/>
      <c r="G26" s="221">
        <f>+G25+G17</f>
        <v>790000</v>
      </c>
      <c r="H26" s="216"/>
      <c r="I26" s="221">
        <f>+I25+I17</f>
        <v>629114</v>
      </c>
      <c r="J26" s="216"/>
      <c r="K26" s="221">
        <f>+K25+K17</f>
        <v>160110</v>
      </c>
      <c r="L26" s="216"/>
      <c r="M26" s="221">
        <f>+M25+M17</f>
        <v>789224</v>
      </c>
      <c r="N26" s="222"/>
      <c r="O26" s="229">
        <f>+O17+O25</f>
        <v>-776</v>
      </c>
    </row>
    <row r="27" spans="2:15" x14ac:dyDescent="0.25">
      <c r="B27" s="53"/>
      <c r="C27" s="53"/>
      <c r="D27" s="53"/>
      <c r="E27" s="53"/>
      <c r="F27" s="53"/>
      <c r="G27" s="216"/>
      <c r="H27" s="216"/>
      <c r="I27" s="216"/>
      <c r="J27" s="216"/>
      <c r="K27" s="216"/>
      <c r="L27" s="216"/>
      <c r="M27" s="216"/>
      <c r="N27" s="216"/>
      <c r="O27" s="220"/>
    </row>
    <row r="28" spans="2:15" x14ac:dyDescent="0.25">
      <c r="B28" s="53" t="s">
        <v>346</v>
      </c>
      <c r="C28" s="53"/>
      <c r="D28" s="53"/>
      <c r="E28" s="53"/>
      <c r="F28" s="53"/>
      <c r="G28" s="216"/>
      <c r="H28" s="216"/>
      <c r="I28" s="216"/>
      <c r="J28" s="216"/>
      <c r="K28" s="216"/>
      <c r="L28" s="216"/>
      <c r="M28" s="216"/>
      <c r="N28" s="216"/>
      <c r="O28" s="220"/>
    </row>
    <row r="29" spans="2:15" x14ac:dyDescent="0.25">
      <c r="B29" s="53"/>
      <c r="C29" s="53" t="s">
        <v>347</v>
      </c>
      <c r="D29" s="53"/>
      <c r="E29" s="53"/>
      <c r="F29" s="53"/>
      <c r="G29" s="216">
        <v>135500</v>
      </c>
      <c r="H29" s="216"/>
      <c r="I29" s="216">
        <v>127500</v>
      </c>
      <c r="J29" s="216"/>
      <c r="K29" s="216">
        <v>8000</v>
      </c>
      <c r="L29" s="216"/>
      <c r="M29" s="216">
        <f>+K29+I29</f>
        <v>135500</v>
      </c>
      <c r="N29" s="216"/>
      <c r="O29" s="220">
        <f>+G29-M29</f>
        <v>0</v>
      </c>
    </row>
    <row r="30" spans="2:15" x14ac:dyDescent="0.25">
      <c r="B30" s="53"/>
      <c r="C30" s="53" t="s">
        <v>189</v>
      </c>
      <c r="D30" s="53"/>
      <c r="E30" s="53"/>
      <c r="F30" s="53"/>
      <c r="G30" s="221">
        <v>1604500</v>
      </c>
      <c r="H30" s="216"/>
      <c r="I30" s="221">
        <v>1176936</v>
      </c>
      <c r="J30" s="216"/>
      <c r="K30" s="221">
        <v>424064</v>
      </c>
      <c r="L30" s="216"/>
      <c r="M30" s="221">
        <f>+K30+I30</f>
        <v>1601000</v>
      </c>
      <c r="N30" s="222"/>
      <c r="O30" s="228">
        <f>+G30-M30</f>
        <v>3500</v>
      </c>
    </row>
    <row r="31" spans="2:15" x14ac:dyDescent="0.25">
      <c r="B31" s="53"/>
      <c r="C31" s="53"/>
      <c r="D31" s="53"/>
      <c r="E31" s="53" t="s">
        <v>196</v>
      </c>
      <c r="F31" s="53"/>
      <c r="G31" s="221">
        <f>SUM(G29:G30)</f>
        <v>1740000</v>
      </c>
      <c r="H31" s="216"/>
      <c r="I31" s="221">
        <f>SUM(I29:I30)</f>
        <v>1304436</v>
      </c>
      <c r="J31" s="216"/>
      <c r="K31" s="221">
        <f>SUM(K29:K30)</f>
        <v>432064</v>
      </c>
      <c r="L31" s="216"/>
      <c r="M31" s="221">
        <f>SUM(M29:M30)</f>
        <v>1736500</v>
      </c>
      <c r="N31" s="222"/>
      <c r="O31" s="221">
        <f>SUM(O29:O30)</f>
        <v>3500</v>
      </c>
    </row>
    <row r="32" spans="2:15" x14ac:dyDescent="0.25">
      <c r="B32" s="53"/>
      <c r="C32" s="53"/>
      <c r="D32" s="53"/>
      <c r="E32" s="53"/>
      <c r="F32" s="53"/>
      <c r="G32" s="216"/>
      <c r="H32" s="216"/>
      <c r="I32" s="216"/>
      <c r="J32" s="216"/>
      <c r="K32" s="216"/>
      <c r="L32" s="216"/>
      <c r="M32" s="216"/>
      <c r="N32" s="222"/>
      <c r="O32" s="220"/>
    </row>
    <row r="33" spans="2:15" x14ac:dyDescent="0.25">
      <c r="B33" s="53" t="s">
        <v>348</v>
      </c>
      <c r="C33" s="53"/>
      <c r="D33" s="53"/>
      <c r="E33" s="53"/>
      <c r="F33" s="53"/>
      <c r="G33" s="216"/>
      <c r="H33" s="216"/>
      <c r="I33" s="216"/>
      <c r="J33" s="216"/>
      <c r="K33" s="216"/>
      <c r="L33" s="216"/>
      <c r="M33" s="216"/>
      <c r="N33" s="216"/>
      <c r="O33" s="220"/>
    </row>
    <row r="34" spans="2:15" x14ac:dyDescent="0.25">
      <c r="B34" s="53"/>
      <c r="C34" s="53" t="s">
        <v>347</v>
      </c>
      <c r="D34" s="53"/>
      <c r="E34" s="53"/>
      <c r="F34" s="53"/>
      <c r="G34" s="216">
        <v>195000</v>
      </c>
      <c r="H34" s="216"/>
      <c r="I34" s="224">
        <v>0</v>
      </c>
      <c r="J34" s="216"/>
      <c r="K34" s="216">
        <v>87814</v>
      </c>
      <c r="L34" s="216"/>
      <c r="M34" s="216">
        <f>+K34+I34</f>
        <v>87814</v>
      </c>
      <c r="N34" s="216"/>
      <c r="O34" s="220">
        <v>107186</v>
      </c>
    </row>
    <row r="35" spans="2:15" x14ac:dyDescent="0.25">
      <c r="B35" s="53"/>
      <c r="C35" s="53" t="s">
        <v>349</v>
      </c>
      <c r="D35" s="53"/>
      <c r="E35" s="53"/>
      <c r="F35" s="53"/>
      <c r="G35" s="216">
        <v>90000</v>
      </c>
      <c r="H35" s="216"/>
      <c r="I35" s="224">
        <v>0</v>
      </c>
      <c r="J35" s="216"/>
      <c r="K35" s="216">
        <v>90000</v>
      </c>
      <c r="L35" s="216"/>
      <c r="M35" s="216">
        <f>+K35+I35</f>
        <v>90000</v>
      </c>
      <c r="N35" s="216"/>
      <c r="O35" s="220">
        <v>0</v>
      </c>
    </row>
    <row r="36" spans="2:15" x14ac:dyDescent="0.25">
      <c r="B36" s="53"/>
      <c r="C36" s="53" t="s">
        <v>189</v>
      </c>
      <c r="D36" s="53"/>
      <c r="E36" s="53"/>
      <c r="F36" s="53"/>
      <c r="G36" s="221">
        <v>2783550</v>
      </c>
      <c r="H36" s="216"/>
      <c r="I36" s="230">
        <v>0</v>
      </c>
      <c r="J36" s="216"/>
      <c r="K36" s="221">
        <v>537735</v>
      </c>
      <c r="L36" s="216"/>
      <c r="M36" s="221">
        <f>+K36+I36</f>
        <v>537735</v>
      </c>
      <c r="N36" s="222"/>
      <c r="O36" s="221">
        <v>2245815</v>
      </c>
    </row>
    <row r="37" spans="2:15" x14ac:dyDescent="0.25">
      <c r="B37" s="53"/>
      <c r="C37" s="53"/>
      <c r="D37" s="53"/>
      <c r="E37" s="53" t="s">
        <v>196</v>
      </c>
      <c r="F37" s="53"/>
      <c r="G37" s="221">
        <f>SUM(G34:G36)</f>
        <v>3068550</v>
      </c>
      <c r="H37" s="216"/>
      <c r="I37" s="221">
        <f>SUM(I34:I36)</f>
        <v>0</v>
      </c>
      <c r="J37" s="216"/>
      <c r="K37" s="221">
        <f>SUM(K34:K36)</f>
        <v>715549</v>
      </c>
      <c r="L37" s="216"/>
      <c r="M37" s="221">
        <f>SUM(M34:M36)</f>
        <v>715549</v>
      </c>
      <c r="N37" s="222"/>
      <c r="O37" s="221">
        <f>SUM(O34:O36)</f>
        <v>2353001</v>
      </c>
    </row>
    <row r="38" spans="2:15" x14ac:dyDescent="0.25">
      <c r="B38" s="53"/>
      <c r="C38" s="53"/>
      <c r="D38" s="53"/>
      <c r="E38" s="53" t="s">
        <v>39</v>
      </c>
      <c r="F38" s="53"/>
      <c r="G38" s="221">
        <f>+G37+G31</f>
        <v>4808550</v>
      </c>
      <c r="H38" s="216"/>
      <c r="I38" s="221">
        <f>+I37+I31</f>
        <v>1304436</v>
      </c>
      <c r="J38" s="216"/>
      <c r="K38" s="221">
        <f>+K37+K31</f>
        <v>1147613</v>
      </c>
      <c r="L38" s="216"/>
      <c r="M38" s="221">
        <f>+M37+M31</f>
        <v>2452049</v>
      </c>
      <c r="N38" s="222"/>
      <c r="O38" s="221">
        <f>+O37+O31</f>
        <v>2356501</v>
      </c>
    </row>
    <row r="39" spans="2:15" x14ac:dyDescent="0.25">
      <c r="B39" s="53"/>
      <c r="C39" s="53"/>
      <c r="D39" s="53"/>
      <c r="E39" s="53"/>
      <c r="F39" s="53"/>
      <c r="G39" s="216"/>
      <c r="H39" s="216"/>
      <c r="I39" s="216"/>
      <c r="J39" s="216"/>
      <c r="K39" s="216"/>
      <c r="L39" s="216"/>
      <c r="M39" s="216"/>
      <c r="N39" s="222"/>
      <c r="O39" s="216"/>
    </row>
    <row r="40" spans="2:15" x14ac:dyDescent="0.25">
      <c r="B40" s="53" t="s">
        <v>260</v>
      </c>
      <c r="C40" s="53"/>
      <c r="D40" s="53"/>
      <c r="E40" s="53"/>
      <c r="F40" s="53"/>
      <c r="G40" s="221">
        <f>+G26-G38</f>
        <v>-4018550</v>
      </c>
      <c r="H40" s="53"/>
      <c r="I40" s="221">
        <f>+I26-I38</f>
        <v>-675322</v>
      </c>
      <c r="J40" s="53"/>
      <c r="K40" s="221">
        <f>+K26-K38</f>
        <v>-987503</v>
      </c>
      <c r="L40" s="53"/>
      <c r="M40" s="221">
        <f>+M26-M38</f>
        <v>-1662825</v>
      </c>
      <c r="N40" s="222"/>
      <c r="O40" s="221">
        <f>-O38-O26</f>
        <v>-2355725</v>
      </c>
    </row>
    <row r="41" spans="2:15" x14ac:dyDescent="0.25">
      <c r="B41" s="53"/>
      <c r="C41" s="53"/>
      <c r="D41" s="53"/>
      <c r="E41" s="53"/>
      <c r="F41" s="53"/>
      <c r="G41" s="216"/>
      <c r="H41" s="53"/>
      <c r="I41" s="216"/>
      <c r="J41" s="216"/>
      <c r="K41" s="216"/>
      <c r="L41" s="216"/>
      <c r="M41" s="216"/>
      <c r="N41" s="222"/>
      <c r="O41" s="216"/>
    </row>
    <row r="42" spans="2:15" x14ac:dyDescent="0.25">
      <c r="B42" s="53" t="s">
        <v>350</v>
      </c>
      <c r="C42" s="53"/>
      <c r="D42" s="53"/>
      <c r="E42" s="53"/>
      <c r="F42" s="53"/>
      <c r="G42" s="216"/>
      <c r="H42" s="216"/>
      <c r="I42" s="216"/>
      <c r="J42" s="216"/>
      <c r="K42" s="216"/>
      <c r="L42" s="216"/>
      <c r="M42" s="216"/>
      <c r="N42" s="216"/>
      <c r="O42" s="216"/>
    </row>
    <row r="43" spans="2:15" x14ac:dyDescent="0.25">
      <c r="B43" s="53"/>
      <c r="C43" s="53" t="s">
        <v>492</v>
      </c>
      <c r="D43" s="53"/>
      <c r="E43" s="53"/>
      <c r="F43" s="53"/>
      <c r="G43" s="216"/>
      <c r="H43" s="216"/>
      <c r="I43" s="216"/>
      <c r="J43" s="216"/>
      <c r="K43" s="216"/>
      <c r="L43" s="216"/>
      <c r="M43" s="216"/>
      <c r="N43" s="216"/>
      <c r="O43" s="216"/>
    </row>
    <row r="44" spans="2:15" x14ac:dyDescent="0.25">
      <c r="B44" s="53"/>
      <c r="C44" s="53"/>
      <c r="D44" s="53" t="s">
        <v>436</v>
      </c>
      <c r="E44" s="53"/>
      <c r="F44" s="53"/>
      <c r="G44" s="216">
        <f>470000+30000</f>
        <v>500000</v>
      </c>
      <c r="H44" s="216"/>
      <c r="I44" s="220">
        <v>30000</v>
      </c>
      <c r="J44" s="216"/>
      <c r="K44" s="216">
        <v>97400</v>
      </c>
      <c r="L44" s="216"/>
      <c r="M44" s="216">
        <f>+K44+I44</f>
        <v>127400</v>
      </c>
      <c r="N44" s="216"/>
      <c r="O44" s="220">
        <f>+M44-G44</f>
        <v>-372600</v>
      </c>
    </row>
    <row r="45" spans="2:15" x14ac:dyDescent="0.25">
      <c r="B45" s="53"/>
      <c r="C45" s="1077" t="s">
        <v>505</v>
      </c>
      <c r="D45" s="1077"/>
      <c r="E45" s="1077"/>
      <c r="F45" s="226"/>
      <c r="G45" s="222">
        <v>2518550</v>
      </c>
      <c r="H45" s="222"/>
      <c r="I45" s="222">
        <v>1518550</v>
      </c>
      <c r="J45" s="222"/>
      <c r="K45" s="231">
        <v>0</v>
      </c>
      <c r="L45" s="222"/>
      <c r="M45" s="222">
        <v>1518550</v>
      </c>
      <c r="N45" s="222"/>
      <c r="O45" s="220">
        <f>+M45-G45</f>
        <v>-1000000</v>
      </c>
    </row>
    <row r="46" spans="2:15" x14ac:dyDescent="0.25">
      <c r="B46" s="53"/>
      <c r="C46" s="353" t="s">
        <v>506</v>
      </c>
      <c r="D46" s="353"/>
      <c r="E46" s="353"/>
      <c r="F46" s="226"/>
      <c r="G46" s="222">
        <v>1000000</v>
      </c>
      <c r="H46" s="222"/>
      <c r="I46" s="222">
        <v>1000000</v>
      </c>
      <c r="J46" s="222"/>
      <c r="K46" s="231">
        <v>0</v>
      </c>
      <c r="L46" s="222"/>
      <c r="M46" s="222">
        <v>1000000</v>
      </c>
      <c r="N46" s="222"/>
      <c r="O46" s="220"/>
    </row>
    <row r="47" spans="2:15" x14ac:dyDescent="0.25">
      <c r="B47" s="53"/>
      <c r="C47" s="353"/>
      <c r="D47" s="353"/>
      <c r="E47" s="353" t="s">
        <v>351</v>
      </c>
      <c r="F47" s="226"/>
      <c r="G47" s="376">
        <f>SUM(G44:G46)</f>
        <v>4018550</v>
      </c>
      <c r="H47" s="222"/>
      <c r="I47" s="376">
        <f>SUM(I44:I46)</f>
        <v>2548550</v>
      </c>
      <c r="J47" s="222"/>
      <c r="K47" s="377">
        <f>SUM(K44:K46)</f>
        <v>97400</v>
      </c>
      <c r="L47" s="231">
        <f>SUM(L44:L46)</f>
        <v>0</v>
      </c>
      <c r="M47" s="377">
        <f>SUM(M44:M46)</f>
        <v>2645950</v>
      </c>
      <c r="N47" s="231">
        <f>SUM(N44:N46)</f>
        <v>0</v>
      </c>
      <c r="O47" s="377">
        <f>SUM(O44:O46)</f>
        <v>-1372600</v>
      </c>
    </row>
    <row r="48" spans="2:15" x14ac:dyDescent="0.25">
      <c r="B48" s="53"/>
      <c r="C48" s="353"/>
      <c r="D48" s="353"/>
      <c r="E48" s="353"/>
      <c r="F48" s="226"/>
      <c r="G48" s="222"/>
      <c r="H48" s="222"/>
      <c r="I48" s="222"/>
      <c r="J48" s="222"/>
      <c r="K48" s="231"/>
      <c r="L48" s="231"/>
      <c r="M48" s="231"/>
      <c r="N48" s="231"/>
      <c r="O48" s="231"/>
    </row>
    <row r="49" spans="2:15" x14ac:dyDescent="0.25">
      <c r="B49" s="226" t="s">
        <v>352</v>
      </c>
      <c r="C49" s="226"/>
      <c r="D49" s="375"/>
      <c r="E49" s="360"/>
      <c r="F49" s="360"/>
      <c r="G49" s="360"/>
      <c r="H49" s="360"/>
      <c r="I49" s="360"/>
      <c r="J49" s="360"/>
      <c r="K49" s="360"/>
      <c r="L49" s="226"/>
      <c r="M49" s="53"/>
      <c r="N49" s="53"/>
      <c r="O49" s="53"/>
    </row>
    <row r="50" spans="2:15" ht="13.8" thickBot="1" x14ac:dyDescent="0.3">
      <c r="B50" s="226" t="s">
        <v>353</v>
      </c>
      <c r="C50" s="226"/>
      <c r="D50" s="360"/>
      <c r="E50" s="360"/>
      <c r="F50" s="360"/>
      <c r="G50" s="689">
        <f>G47+G40</f>
        <v>0</v>
      </c>
      <c r="H50" s="360"/>
      <c r="I50" s="379">
        <f>I47+I40</f>
        <v>1873228</v>
      </c>
      <c r="J50" s="360"/>
      <c r="K50" s="381">
        <f>K40+K47</f>
        <v>-890103</v>
      </c>
      <c r="L50" s="222"/>
      <c r="M50" s="232">
        <f>M47+M40</f>
        <v>983125</v>
      </c>
      <c r="N50" s="232"/>
      <c r="O50" s="232">
        <f>O47-O40</f>
        <v>983125</v>
      </c>
    </row>
    <row r="51" spans="2:15" ht="13.8" thickTop="1" x14ac:dyDescent="0.25">
      <c r="B51" s="226"/>
      <c r="C51" s="226"/>
      <c r="D51" s="360"/>
      <c r="E51" s="360"/>
      <c r="F51" s="360"/>
      <c r="G51" s="360"/>
      <c r="H51" s="360"/>
      <c r="I51" s="380"/>
      <c r="J51" s="360"/>
      <c r="K51" s="382"/>
      <c r="L51" s="222"/>
      <c r="M51" s="216"/>
      <c r="N51" s="216"/>
      <c r="O51" s="216"/>
    </row>
    <row r="52" spans="2:15" x14ac:dyDescent="0.25">
      <c r="B52" s="48"/>
      <c r="C52" s="48"/>
      <c r="D52" s="360"/>
      <c r="E52" s="367" t="s">
        <v>297</v>
      </c>
      <c r="F52" s="360"/>
      <c r="G52" s="360"/>
      <c r="H52" s="360"/>
      <c r="I52" s="360"/>
      <c r="J52" s="360"/>
      <c r="K52" s="360"/>
      <c r="L52" s="48"/>
      <c r="M52" s="41"/>
      <c r="N52" s="41"/>
      <c r="O52" s="41"/>
    </row>
    <row r="53" spans="2:15" x14ac:dyDescent="0.25">
      <c r="B53" s="161"/>
      <c r="C53" s="161"/>
      <c r="D53" s="161"/>
      <c r="E53" s="161"/>
      <c r="F53" s="161"/>
      <c r="G53" s="161"/>
      <c r="H53" s="161"/>
      <c r="I53" s="161"/>
      <c r="J53" s="161"/>
      <c r="K53" s="161"/>
      <c r="L53" s="161"/>
    </row>
  </sheetData>
  <customSheetViews>
    <customSheetView guid="{AB48C5D7-99F4-4378-A0F9-05018B348977}">
      <selection activeCell="B39" sqref="B39"/>
      <pageMargins left="0.75" right="0.75" top="1" bottom="1" header="0.5" footer="0.5"/>
      <pageSetup scale="79" firstPageNumber="105" orientation="portrait" useFirstPageNumber="1" r:id="rId1"/>
      <headerFooter alignWithMargins="0"/>
    </customSheetView>
  </customSheetViews>
  <mergeCells count="2">
    <mergeCell ref="C45:E45"/>
    <mergeCell ref="B4:O4"/>
  </mergeCells>
  <phoneticPr fontId="0" type="noConversion"/>
  <printOptions horizontalCentered="1"/>
  <pageMargins left="0.7" right="0.7" top="0.75" bottom="0.75" header="0.3" footer="0.3"/>
  <pageSetup scale="97" firstPageNumber="105" fitToHeight="0" orientation="portrait"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ransitionEvaluation="1">
    <tabColor rgb="FF00FF00"/>
    <pageSetUpPr fitToPage="1"/>
  </sheetPr>
  <dimension ref="B2:M131"/>
  <sheetViews>
    <sheetView workbookViewId="0"/>
  </sheetViews>
  <sheetFormatPr defaultColWidth="8.44140625" defaultRowHeight="13.2" x14ac:dyDescent="0.25"/>
  <cols>
    <col min="1" max="1" width="8.44140625" style="194"/>
    <col min="2" max="4" width="2.44140625" style="194" customWidth="1"/>
    <col min="5" max="5" width="31" style="194" customWidth="1"/>
    <col min="6" max="6" width="11" style="194" customWidth="1"/>
    <col min="7" max="7" width="2.44140625" style="194" customWidth="1"/>
    <col min="8" max="8" width="10.5546875" style="194" customWidth="1"/>
    <col min="9" max="9" width="2.44140625" style="194" customWidth="1"/>
    <col min="10" max="10" width="12.44140625" style="194" customWidth="1"/>
    <col min="11" max="11" width="2.44140625" style="194" customWidth="1"/>
    <col min="12" max="12" width="1.5546875" style="194" customWidth="1"/>
    <col min="13" max="13" width="4.109375" style="194" customWidth="1"/>
    <col min="14" max="16384" width="8.44140625" style="194"/>
  </cols>
  <sheetData>
    <row r="2" spans="2:13" s="191" customFormat="1" x14ac:dyDescent="0.25">
      <c r="B2" s="44" t="s">
        <v>142</v>
      </c>
      <c r="C2" s="44"/>
      <c r="D2" s="44"/>
      <c r="E2" s="44"/>
      <c r="F2" s="44"/>
      <c r="G2" s="44"/>
      <c r="H2" s="44"/>
      <c r="I2" s="44"/>
      <c r="J2" s="44"/>
      <c r="K2" s="190"/>
      <c r="L2" s="190"/>
    </row>
    <row r="3" spans="2:13" s="191" customFormat="1" x14ac:dyDescent="0.25">
      <c r="B3" s="44" t="s">
        <v>354</v>
      </c>
      <c r="C3" s="44"/>
      <c r="D3" s="44"/>
      <c r="E3" s="44"/>
      <c r="F3" s="44"/>
      <c r="G3" s="44"/>
      <c r="H3" s="44"/>
      <c r="I3" s="44"/>
      <c r="J3" s="44"/>
      <c r="K3" s="190"/>
      <c r="L3" s="190"/>
    </row>
    <row r="4" spans="2:13" s="191" customFormat="1" x14ac:dyDescent="0.25">
      <c r="B4" s="1079" t="s">
        <v>355</v>
      </c>
      <c r="C4" s="1079"/>
      <c r="D4" s="1079"/>
      <c r="E4" s="1079"/>
      <c r="F4" s="1079"/>
      <c r="G4" s="1079"/>
      <c r="H4" s="1079"/>
      <c r="I4" s="1079"/>
      <c r="J4" s="1079"/>
      <c r="K4" s="190"/>
      <c r="L4" s="190"/>
    </row>
    <row r="5" spans="2:13" s="191" customFormat="1" x14ac:dyDescent="0.25">
      <c r="B5" s="44" t="str">
        <f>'5-GASB34GovtFundsBudget'!E5</f>
        <v>For the Year Ended June 30, 2023</v>
      </c>
      <c r="C5" s="44"/>
      <c r="D5" s="44"/>
      <c r="E5" s="44"/>
      <c r="F5" s="44"/>
      <c r="G5" s="44"/>
      <c r="H5" s="44"/>
      <c r="I5" s="44"/>
      <c r="J5" s="44"/>
      <c r="K5" s="190"/>
      <c r="L5" s="190"/>
    </row>
    <row r="6" spans="2:13" x14ac:dyDescent="0.25">
      <c r="B6" s="192"/>
      <c r="C6" s="192"/>
      <c r="D6" s="192"/>
      <c r="E6" s="192"/>
      <c r="F6" s="192"/>
      <c r="G6" s="192"/>
      <c r="H6" s="192"/>
      <c r="I6" s="192"/>
      <c r="J6" s="192"/>
      <c r="K6" s="193"/>
      <c r="L6" s="193"/>
    </row>
    <row r="7" spans="2:13" ht="13.8" thickBot="1" x14ac:dyDescent="0.3">
      <c r="B7" s="195"/>
      <c r="C7" s="195"/>
      <c r="D7" s="195"/>
      <c r="E7" s="195"/>
      <c r="F7" s="195"/>
      <c r="G7" s="195"/>
      <c r="H7" s="195"/>
      <c r="I7" s="195"/>
      <c r="J7" s="195"/>
      <c r="K7" s="196"/>
      <c r="L7" s="196"/>
    </row>
    <row r="8" spans="2:13" x14ac:dyDescent="0.25">
      <c r="B8" s="197"/>
      <c r="C8" s="197"/>
      <c r="D8" s="197"/>
      <c r="E8" s="197"/>
      <c r="F8" s="197"/>
      <c r="G8" s="197"/>
      <c r="H8" s="197"/>
      <c r="I8" s="197"/>
      <c r="J8" s="37" t="s">
        <v>266</v>
      </c>
      <c r="K8" s="198"/>
      <c r="L8" s="196"/>
    </row>
    <row r="9" spans="2:13" x14ac:dyDescent="0.25">
      <c r="B9" s="197"/>
      <c r="C9" s="197"/>
      <c r="D9" s="197"/>
      <c r="E9" s="197"/>
      <c r="F9" s="37" t="s">
        <v>356</v>
      </c>
      <c r="G9" s="197"/>
      <c r="H9" s="197"/>
      <c r="I9" s="197"/>
      <c r="J9" s="37" t="s">
        <v>500</v>
      </c>
      <c r="K9" s="198"/>
      <c r="L9" s="196"/>
    </row>
    <row r="10" spans="2:13" x14ac:dyDescent="0.25">
      <c r="B10" s="197"/>
      <c r="C10" s="39" t="s">
        <v>181</v>
      </c>
      <c r="D10" s="197"/>
      <c r="E10" s="197"/>
      <c r="F10" s="199" t="s">
        <v>357</v>
      </c>
      <c r="G10" s="197"/>
      <c r="H10" s="38" t="s">
        <v>175</v>
      </c>
      <c r="I10" s="197"/>
      <c r="J10" s="38" t="s">
        <v>501</v>
      </c>
      <c r="K10" s="198"/>
      <c r="L10" s="196"/>
    </row>
    <row r="11" spans="2:13" x14ac:dyDescent="0.25">
      <c r="B11" s="39" t="s">
        <v>133</v>
      </c>
      <c r="C11" s="197"/>
      <c r="D11" s="197"/>
      <c r="E11" s="197"/>
      <c r="F11" s="197"/>
      <c r="G11" s="197"/>
      <c r="H11" s="197"/>
      <c r="I11" s="197"/>
      <c r="J11" s="197"/>
    </row>
    <row r="12" spans="2:13" x14ac:dyDescent="0.25">
      <c r="B12" s="197"/>
      <c r="C12" s="39" t="s">
        <v>267</v>
      </c>
      <c r="D12" s="197"/>
      <c r="E12" s="197"/>
      <c r="F12" s="197"/>
      <c r="G12" s="197"/>
      <c r="H12" s="197"/>
      <c r="I12" s="197"/>
      <c r="J12" s="197"/>
    </row>
    <row r="13" spans="2:13" x14ac:dyDescent="0.25">
      <c r="B13" s="197"/>
      <c r="C13" s="197"/>
      <c r="D13" s="39" t="s">
        <v>30</v>
      </c>
      <c r="E13" s="197"/>
      <c r="F13" s="200">
        <f>31600+1500+600</f>
        <v>33700</v>
      </c>
      <c r="G13" s="200"/>
      <c r="H13" s="200">
        <f>31930+600+400</f>
        <v>32930</v>
      </c>
      <c r="I13" s="201"/>
      <c r="J13" s="202">
        <f>+H13-F13</f>
        <v>-770</v>
      </c>
      <c r="K13" s="203"/>
      <c r="M13" s="204"/>
    </row>
    <row r="14" spans="2:13" x14ac:dyDescent="0.25">
      <c r="B14" s="197"/>
      <c r="C14" s="197"/>
      <c r="D14" s="197"/>
      <c r="E14" s="197"/>
      <c r="F14" s="201"/>
      <c r="G14" s="201"/>
      <c r="H14" s="201"/>
      <c r="I14" s="201"/>
      <c r="J14" s="201"/>
      <c r="K14" s="203"/>
      <c r="M14" s="204"/>
    </row>
    <row r="15" spans="2:13" x14ac:dyDescent="0.25">
      <c r="B15" s="197"/>
      <c r="C15" s="39" t="s">
        <v>271</v>
      </c>
      <c r="D15" s="197"/>
      <c r="E15" s="197"/>
      <c r="F15" s="205"/>
      <c r="G15" s="205"/>
      <c r="H15" s="205"/>
      <c r="I15" s="205"/>
      <c r="J15" s="205"/>
      <c r="K15" s="204"/>
      <c r="M15" s="204"/>
    </row>
    <row r="16" spans="2:13" x14ac:dyDescent="0.25">
      <c r="B16" s="197"/>
      <c r="C16" s="197"/>
      <c r="D16" s="39" t="s">
        <v>272</v>
      </c>
      <c r="E16" s="197"/>
      <c r="F16" s="206">
        <v>800</v>
      </c>
      <c r="G16" s="205"/>
      <c r="H16" s="206">
        <v>700</v>
      </c>
      <c r="I16" s="205"/>
      <c r="J16" s="206">
        <f>+H16-F16</f>
        <v>-100</v>
      </c>
      <c r="K16" s="204"/>
      <c r="M16" s="204"/>
    </row>
    <row r="17" spans="2:13" ht="15" customHeight="1" x14ac:dyDescent="0.25">
      <c r="B17" s="197"/>
      <c r="C17" s="197"/>
      <c r="D17" s="197"/>
      <c r="E17" s="39" t="s">
        <v>32</v>
      </c>
      <c r="F17" s="206">
        <f>+F16+F13</f>
        <v>34500</v>
      </c>
      <c r="G17" s="205"/>
      <c r="H17" s="206">
        <f>+H16+H13</f>
        <v>33630</v>
      </c>
      <c r="I17" s="205"/>
      <c r="J17" s="206">
        <f>+J16+J13</f>
        <v>-870</v>
      </c>
      <c r="K17" s="204"/>
      <c r="M17" s="204"/>
    </row>
    <row r="18" spans="2:13" x14ac:dyDescent="0.25">
      <c r="B18" s="197"/>
      <c r="C18" s="197"/>
      <c r="D18" s="197"/>
      <c r="E18" s="197"/>
      <c r="F18" s="205"/>
      <c r="G18" s="205"/>
      <c r="H18" s="205"/>
      <c r="I18" s="205"/>
      <c r="J18" s="205"/>
      <c r="K18" s="204"/>
      <c r="M18" s="204"/>
    </row>
    <row r="19" spans="2:13" x14ac:dyDescent="0.25">
      <c r="B19" s="39" t="s">
        <v>134</v>
      </c>
      <c r="C19" s="197"/>
      <c r="D19" s="197"/>
      <c r="E19" s="197"/>
      <c r="F19" s="205"/>
      <c r="G19" s="205"/>
      <c r="H19" s="205"/>
      <c r="I19" s="205"/>
      <c r="J19" s="205"/>
      <c r="K19" s="204"/>
      <c r="M19" s="204"/>
    </row>
    <row r="20" spans="2:13" x14ac:dyDescent="0.25">
      <c r="B20" s="197"/>
      <c r="C20" s="39" t="s">
        <v>215</v>
      </c>
      <c r="D20" s="197"/>
      <c r="E20" s="197"/>
      <c r="F20" s="205">
        <f>19000+1500+300</f>
        <v>20800</v>
      </c>
      <c r="G20" s="205"/>
      <c r="H20" s="205">
        <f>18000+(120000+45050)*0.6*0.02+(155804*0.605*0.02)</f>
        <v>21865.828399999999</v>
      </c>
      <c r="I20" s="205"/>
      <c r="J20" s="205">
        <f>+F20-H20</f>
        <v>-1065.8283999999985</v>
      </c>
      <c r="K20" s="204"/>
      <c r="M20" s="204"/>
    </row>
    <row r="21" spans="2:13" x14ac:dyDescent="0.25">
      <c r="B21" s="197"/>
      <c r="C21" s="39" t="s">
        <v>273</v>
      </c>
      <c r="D21" s="197"/>
      <c r="E21" s="197"/>
      <c r="F21" s="205">
        <v>4500</v>
      </c>
      <c r="G21" s="205"/>
      <c r="H21" s="205">
        <v>4300</v>
      </c>
      <c r="I21" s="205"/>
      <c r="J21" s="205">
        <f>+F21-H21</f>
        <v>200</v>
      </c>
      <c r="K21" s="204"/>
      <c r="M21" s="204"/>
    </row>
    <row r="22" spans="2:13" x14ac:dyDescent="0.25">
      <c r="B22" s="197"/>
      <c r="C22" s="39" t="s">
        <v>218</v>
      </c>
      <c r="D22" s="197"/>
      <c r="E22" s="197"/>
      <c r="F22" s="205">
        <v>2500</v>
      </c>
      <c r="G22" s="205"/>
      <c r="H22" s="205">
        <f>2000+434-9</f>
        <v>2425</v>
      </c>
      <c r="I22" s="205"/>
      <c r="J22" s="205">
        <f>+F22-H22</f>
        <v>75</v>
      </c>
      <c r="K22" s="204"/>
      <c r="M22" s="204"/>
    </row>
    <row r="23" spans="2:13" x14ac:dyDescent="0.25">
      <c r="B23" s="197"/>
      <c r="C23" s="39" t="s">
        <v>468</v>
      </c>
      <c r="D23" s="197"/>
      <c r="E23" s="197"/>
      <c r="F23" s="205"/>
      <c r="G23" s="205"/>
      <c r="H23" s="205"/>
      <c r="I23" s="205"/>
      <c r="J23" s="205"/>
      <c r="K23" s="204"/>
      <c r="M23" s="204"/>
    </row>
    <row r="24" spans="2:13" x14ac:dyDescent="0.25">
      <c r="B24" s="197"/>
      <c r="C24" s="197"/>
      <c r="D24" s="39" t="s">
        <v>279</v>
      </c>
      <c r="E24" s="197"/>
      <c r="F24" s="206">
        <f>6400+300</f>
        <v>6700</v>
      </c>
      <c r="G24" s="205"/>
      <c r="H24" s="206">
        <v>1000</v>
      </c>
      <c r="I24" s="205"/>
      <c r="J24" s="207">
        <f>+F24-H24</f>
        <v>5700</v>
      </c>
      <c r="K24" s="204"/>
      <c r="M24" s="204"/>
    </row>
    <row r="25" spans="2:13" ht="15" customHeight="1" x14ac:dyDescent="0.25">
      <c r="B25" s="197"/>
      <c r="C25" s="197"/>
      <c r="D25" s="197"/>
      <c r="E25" s="39" t="s">
        <v>39</v>
      </c>
      <c r="F25" s="206">
        <f>SUM(F20:F24)</f>
        <v>34500</v>
      </c>
      <c r="G25" s="205"/>
      <c r="H25" s="206">
        <f>SUM(H20:H24)</f>
        <v>29590.828399999999</v>
      </c>
      <c r="I25" s="205"/>
      <c r="J25" s="206">
        <f>SUM(J20:J24)</f>
        <v>4909.1716000000015</v>
      </c>
      <c r="K25" s="204"/>
      <c r="M25" s="204"/>
    </row>
    <row r="26" spans="2:13" x14ac:dyDescent="0.25">
      <c r="B26" s="197"/>
      <c r="C26" s="197"/>
      <c r="D26" s="197"/>
      <c r="E26" s="197"/>
      <c r="F26" s="205"/>
      <c r="G26" s="205"/>
      <c r="H26" s="205"/>
      <c r="I26" s="205"/>
      <c r="J26" s="205"/>
      <c r="K26" s="204"/>
      <c r="M26" s="204"/>
    </row>
    <row r="27" spans="2:13" ht="13.8" thickBot="1" x14ac:dyDescent="0.3">
      <c r="B27" s="39" t="s">
        <v>192</v>
      </c>
      <c r="C27" s="197"/>
      <c r="D27" s="197"/>
      <c r="E27" s="197"/>
      <c r="F27" s="208">
        <f>F17-F25</f>
        <v>0</v>
      </c>
      <c r="G27" s="205"/>
      <c r="H27" s="201">
        <f>+H17-H25</f>
        <v>4039.1716000000015</v>
      </c>
      <c r="I27" s="205"/>
      <c r="J27" s="209">
        <f>+J25+J17</f>
        <v>4039.1716000000015</v>
      </c>
      <c r="K27" s="204"/>
      <c r="M27" s="204"/>
    </row>
    <row r="28" spans="2:13" ht="13.8" thickTop="1" x14ac:dyDescent="0.25">
      <c r="B28" s="197"/>
      <c r="C28" s="197"/>
      <c r="D28" s="197"/>
      <c r="E28" s="197"/>
      <c r="F28" s="205"/>
      <c r="G28" s="205"/>
      <c r="H28" s="205"/>
      <c r="I28" s="205"/>
      <c r="J28" s="205"/>
      <c r="K28" s="204"/>
      <c r="M28" s="204"/>
    </row>
    <row r="29" spans="2:13" x14ac:dyDescent="0.25">
      <c r="B29" s="210" t="s">
        <v>358</v>
      </c>
      <c r="C29" s="197"/>
      <c r="D29" s="197"/>
      <c r="E29" s="197"/>
      <c r="F29" s="205"/>
      <c r="G29" s="205"/>
      <c r="H29" s="205"/>
      <c r="I29" s="205"/>
      <c r="J29" s="205"/>
      <c r="K29" s="204"/>
      <c r="M29" s="204"/>
    </row>
    <row r="30" spans="2:13" x14ac:dyDescent="0.25">
      <c r="B30" s="210" t="s">
        <v>359</v>
      </c>
      <c r="C30" s="197"/>
      <c r="D30" s="197"/>
      <c r="E30" s="197"/>
      <c r="F30" s="197"/>
      <c r="G30" s="197"/>
      <c r="H30" s="197"/>
      <c r="I30" s="197"/>
      <c r="J30" s="197"/>
    </row>
    <row r="31" spans="2:13" x14ac:dyDescent="0.25">
      <c r="B31" s="197"/>
      <c r="C31" s="197"/>
      <c r="D31" s="197"/>
      <c r="E31" s="197"/>
      <c r="F31" s="197"/>
      <c r="G31" s="197"/>
      <c r="H31" s="197"/>
      <c r="I31" s="197"/>
      <c r="J31" s="197"/>
    </row>
    <row r="32" spans="2:13" x14ac:dyDescent="0.25">
      <c r="B32" s="39" t="s">
        <v>283</v>
      </c>
      <c r="C32" s="197"/>
      <c r="D32" s="197"/>
      <c r="E32" s="197"/>
      <c r="F32" s="197"/>
      <c r="G32" s="197"/>
      <c r="H32" s="197"/>
      <c r="I32" s="197"/>
      <c r="J32" s="197"/>
    </row>
    <row r="33" spans="2:13" x14ac:dyDescent="0.25">
      <c r="B33" s="197"/>
      <c r="C33" s="39" t="s">
        <v>38</v>
      </c>
      <c r="D33" s="197"/>
      <c r="E33" s="197"/>
      <c r="F33" s="205"/>
      <c r="G33" s="205"/>
      <c r="H33" s="205">
        <v>1000</v>
      </c>
      <c r="I33" s="205"/>
      <c r="J33" s="205"/>
      <c r="K33" s="204"/>
      <c r="M33" s="204"/>
    </row>
    <row r="34" spans="2:13" x14ac:dyDescent="0.25">
      <c r="B34" s="197"/>
      <c r="C34" s="39" t="s">
        <v>58</v>
      </c>
      <c r="D34" s="197"/>
      <c r="E34" s="197"/>
      <c r="F34" s="205"/>
      <c r="G34" s="205"/>
      <c r="H34" s="205">
        <v>-4766</v>
      </c>
      <c r="I34" s="205"/>
      <c r="J34" s="205"/>
      <c r="K34" s="204"/>
      <c r="M34" s="204"/>
    </row>
    <row r="35" spans="2:13" x14ac:dyDescent="0.25">
      <c r="B35" s="197"/>
      <c r="C35" s="39" t="s">
        <v>286</v>
      </c>
      <c r="D35" s="197"/>
      <c r="E35" s="197"/>
      <c r="F35" s="205"/>
      <c r="G35" s="205"/>
      <c r="H35" s="201">
        <f>-500-2</f>
        <v>-502</v>
      </c>
      <c r="I35" s="205"/>
      <c r="J35" s="205"/>
      <c r="K35" s="204"/>
      <c r="M35" s="204"/>
    </row>
    <row r="36" spans="2:13" x14ac:dyDescent="0.25">
      <c r="B36" s="197"/>
      <c r="C36" s="482" t="s">
        <v>724</v>
      </c>
      <c r="D36" s="197"/>
      <c r="E36" s="197"/>
      <c r="F36" s="205"/>
      <c r="G36" s="205"/>
      <c r="H36" s="201">
        <f>-'8-Cash Flow-Prop'!I72</f>
        <v>3582.1324</v>
      </c>
      <c r="I36" s="205"/>
      <c r="J36" s="205"/>
      <c r="K36" s="204"/>
      <c r="M36" s="204"/>
    </row>
    <row r="37" spans="2:13" x14ac:dyDescent="0.25">
      <c r="B37" s="197"/>
      <c r="C37" s="482" t="s">
        <v>725</v>
      </c>
      <c r="D37" s="197"/>
      <c r="E37" s="197"/>
      <c r="F37" s="205"/>
      <c r="G37" s="205"/>
      <c r="H37" s="201">
        <f>-'8-Cash Flow-Prop'!I74</f>
        <v>-3726.4370000000004</v>
      </c>
      <c r="I37" s="205"/>
      <c r="J37" s="205"/>
      <c r="K37" s="204"/>
      <c r="M37" s="204"/>
    </row>
    <row r="38" spans="2:13" x14ac:dyDescent="0.25">
      <c r="B38" s="197"/>
      <c r="C38" s="482" t="s">
        <v>726</v>
      </c>
      <c r="D38" s="197"/>
      <c r="E38" s="197"/>
      <c r="F38" s="205"/>
      <c r="G38" s="205"/>
      <c r="H38" s="201">
        <f>-'8-Cash Flow-Prop'!I75</f>
        <v>134.60039999999998</v>
      </c>
      <c r="I38" s="205"/>
      <c r="J38" s="205"/>
      <c r="K38" s="204"/>
      <c r="M38" s="204"/>
    </row>
    <row r="39" spans="2:13" x14ac:dyDescent="0.25">
      <c r="B39" s="197"/>
      <c r="C39" s="482" t="s">
        <v>785</v>
      </c>
      <c r="D39" s="742"/>
      <c r="E39" s="742"/>
      <c r="F39" s="742"/>
      <c r="G39" s="742"/>
      <c r="H39" s="742">
        <f>-'8-Cash Flow-Prop'!I73</f>
        <v>-301.63200000000001</v>
      </c>
      <c r="I39" s="576"/>
      <c r="K39" s="204"/>
      <c r="M39" s="204"/>
    </row>
    <row r="40" spans="2:13" x14ac:dyDescent="0.25">
      <c r="B40" s="197"/>
      <c r="C40" s="482" t="s">
        <v>786</v>
      </c>
      <c r="D40" s="742"/>
      <c r="E40" s="742"/>
      <c r="F40" s="742"/>
      <c r="G40" s="742"/>
      <c r="H40" s="742">
        <f>-'8-Cash Flow-Prop'!I79</f>
        <v>-72.756</v>
      </c>
      <c r="I40" s="576"/>
      <c r="K40" s="204"/>
      <c r="M40" s="204"/>
    </row>
    <row r="41" spans="2:13" x14ac:dyDescent="0.25">
      <c r="B41" s="197"/>
      <c r="C41" s="482" t="s">
        <v>784</v>
      </c>
      <c r="D41" s="742"/>
      <c r="E41" s="742"/>
      <c r="F41" s="742"/>
      <c r="G41" s="742"/>
      <c r="H41" s="742">
        <f>-'8-Cash Flow-Prop'!I80</f>
        <v>-89.856000000000009</v>
      </c>
      <c r="I41" s="576"/>
      <c r="K41" s="204"/>
      <c r="M41" s="204"/>
    </row>
    <row r="42" spans="2:13" ht="15" customHeight="1" x14ac:dyDescent="0.25">
      <c r="B42" s="197"/>
      <c r="C42" s="197"/>
      <c r="D42" s="39" t="s">
        <v>338</v>
      </c>
      <c r="E42" s="197"/>
      <c r="F42" s="197"/>
      <c r="G42" s="197"/>
      <c r="H42" s="206">
        <f>SUM(H33:H41)</f>
        <v>-4741.9481999999998</v>
      </c>
      <c r="I42" s="197"/>
      <c r="J42" s="197"/>
    </row>
    <row r="43" spans="2:13" x14ac:dyDescent="0.25">
      <c r="B43" s="197"/>
      <c r="C43" s="197"/>
      <c r="D43" s="197"/>
      <c r="E43" s="197"/>
      <c r="F43" s="197"/>
      <c r="G43" s="197"/>
      <c r="H43" s="197"/>
      <c r="I43" s="197"/>
      <c r="J43" s="197"/>
    </row>
    <row r="44" spans="2:13" ht="13.8" thickBot="1" x14ac:dyDescent="0.3">
      <c r="B44" s="39" t="s">
        <v>639</v>
      </c>
      <c r="C44" s="197"/>
      <c r="D44" s="197"/>
      <c r="E44" s="197"/>
      <c r="F44" s="205"/>
      <c r="G44" s="205"/>
      <c r="H44" s="211">
        <f>+H42+H27</f>
        <v>-702.77659999999833</v>
      </c>
      <c r="I44" s="205"/>
      <c r="J44" s="205"/>
      <c r="K44" s="204"/>
      <c r="M44" s="204"/>
    </row>
    <row r="45" spans="2:13" ht="13.8" thickTop="1" x14ac:dyDescent="0.25">
      <c r="B45" s="197"/>
      <c r="C45" s="197"/>
      <c r="D45" s="197"/>
      <c r="E45" s="197"/>
      <c r="F45" s="205"/>
      <c r="G45" s="205"/>
      <c r="H45" s="205"/>
      <c r="I45" s="205"/>
      <c r="J45" s="205"/>
      <c r="K45" s="204"/>
      <c r="M45" s="204"/>
    </row>
    <row r="46" spans="2:13" x14ac:dyDescent="0.25">
      <c r="B46" s="197"/>
      <c r="C46" s="197"/>
      <c r="D46" s="197"/>
      <c r="E46" s="197"/>
      <c r="F46" s="197"/>
      <c r="G46" s="197"/>
      <c r="H46" s="197"/>
      <c r="I46" s="197"/>
      <c r="J46" s="197"/>
    </row>
    <row r="47" spans="2:13" ht="13.8" thickBot="1" x14ac:dyDescent="0.3">
      <c r="B47" s="197"/>
      <c r="C47" s="258"/>
      <c r="D47" s="258"/>
      <c r="E47" s="258"/>
      <c r="F47" s="201"/>
      <c r="G47" s="201"/>
      <c r="H47" s="201"/>
      <c r="I47" s="201"/>
      <c r="J47" s="201"/>
      <c r="K47" s="203"/>
      <c r="L47" s="196"/>
      <c r="M47" s="203"/>
    </row>
    <row r="48" spans="2:13" ht="18" customHeight="1" x14ac:dyDescent="0.25">
      <c r="B48" s="197"/>
      <c r="C48" s="258"/>
      <c r="D48" s="1080" t="s">
        <v>703</v>
      </c>
      <c r="E48" s="1081"/>
      <c r="F48" s="1081"/>
      <c r="G48" s="1081"/>
      <c r="H48" s="1081"/>
      <c r="I48" s="1081"/>
      <c r="J48" s="1082"/>
      <c r="K48" s="203"/>
      <c r="L48" s="203"/>
      <c r="M48" s="203"/>
    </row>
    <row r="49" spans="2:13" ht="18" customHeight="1" x14ac:dyDescent="0.25">
      <c r="B49" s="197"/>
      <c r="C49" s="258"/>
      <c r="D49" s="1083"/>
      <c r="E49" s="1084"/>
      <c r="F49" s="1084"/>
      <c r="G49" s="1084"/>
      <c r="H49" s="1084"/>
      <c r="I49" s="1084"/>
      <c r="J49" s="1085"/>
      <c r="K49" s="352"/>
      <c r="L49" s="196"/>
      <c r="M49" s="203"/>
    </row>
    <row r="50" spans="2:13" ht="18" customHeight="1" thickBot="1" x14ac:dyDescent="0.3">
      <c r="B50" s="197"/>
      <c r="C50" s="258"/>
      <c r="D50" s="1086"/>
      <c r="E50" s="1087"/>
      <c r="F50" s="1087"/>
      <c r="G50" s="1087"/>
      <c r="H50" s="1087"/>
      <c r="I50" s="1087"/>
      <c r="J50" s="1088"/>
      <c r="K50" s="352"/>
      <c r="L50" s="196"/>
      <c r="M50" s="196"/>
    </row>
    <row r="51" spans="2:13" x14ac:dyDescent="0.25">
      <c r="B51" s="197"/>
      <c r="C51" s="258"/>
      <c r="D51" s="383"/>
      <c r="E51" s="349"/>
      <c r="F51" s="351"/>
      <c r="G51" s="351"/>
      <c r="H51" s="351"/>
      <c r="I51" s="351"/>
      <c r="J51" s="351"/>
      <c r="K51" s="352"/>
      <c r="L51" s="196"/>
      <c r="M51" s="203"/>
    </row>
    <row r="52" spans="2:13" x14ac:dyDescent="0.25">
      <c r="B52" s="258"/>
      <c r="C52" s="258"/>
      <c r="D52" s="347"/>
      <c r="E52" s="360"/>
      <c r="F52" s="360"/>
      <c r="G52" s="360"/>
      <c r="H52" s="360"/>
      <c r="I52" s="360"/>
      <c r="J52" s="360"/>
      <c r="K52" s="360"/>
      <c r="L52" s="196"/>
      <c r="M52" s="204"/>
    </row>
    <row r="53" spans="2:13" x14ac:dyDescent="0.25">
      <c r="B53" s="258"/>
      <c r="C53" s="258"/>
      <c r="D53" s="360"/>
      <c r="E53" s="360"/>
      <c r="F53" s="360"/>
      <c r="G53" s="360"/>
      <c r="H53" s="360"/>
      <c r="I53" s="360"/>
      <c r="J53" s="360"/>
      <c r="K53" s="360"/>
      <c r="L53" s="196"/>
      <c r="M53" s="204"/>
    </row>
    <row r="54" spans="2:13" x14ac:dyDescent="0.25">
      <c r="B54" s="258"/>
      <c r="C54" s="258"/>
      <c r="D54" s="360"/>
      <c r="E54" s="360"/>
      <c r="F54" s="360"/>
      <c r="G54" s="360"/>
      <c r="H54" s="360"/>
      <c r="I54" s="360"/>
      <c r="J54" s="360"/>
      <c r="K54" s="360"/>
      <c r="L54" s="196"/>
      <c r="M54" s="204"/>
    </row>
    <row r="55" spans="2:13" x14ac:dyDescent="0.25">
      <c r="B55" s="196"/>
      <c r="C55" s="196"/>
      <c r="D55" s="360"/>
      <c r="E55" s="360"/>
      <c r="F55" s="360"/>
      <c r="G55" s="360"/>
      <c r="H55" s="360"/>
      <c r="I55" s="360"/>
      <c r="J55" s="360"/>
      <c r="K55" s="360"/>
      <c r="L55" s="196"/>
      <c r="M55" s="204"/>
    </row>
    <row r="56" spans="2:13" x14ac:dyDescent="0.25">
      <c r="B56" s="196"/>
      <c r="C56" s="196"/>
      <c r="D56" s="196"/>
      <c r="E56" s="196"/>
      <c r="F56" s="203"/>
      <c r="G56" s="203"/>
      <c r="H56" s="203"/>
      <c r="I56" s="203"/>
      <c r="J56" s="203"/>
      <c r="K56" s="203"/>
      <c r="L56" s="196"/>
      <c r="M56" s="204"/>
    </row>
    <row r="57" spans="2:13" x14ac:dyDescent="0.25">
      <c r="F57" s="204"/>
      <c r="G57" s="204"/>
      <c r="H57" s="204"/>
      <c r="I57" s="204"/>
      <c r="J57" s="204"/>
      <c r="K57" s="204"/>
      <c r="M57" s="204"/>
    </row>
    <row r="58" spans="2:13" x14ac:dyDescent="0.25">
      <c r="F58" s="204"/>
      <c r="G58" s="204"/>
      <c r="H58" s="204"/>
      <c r="I58" s="204"/>
      <c r="J58" s="204"/>
      <c r="K58" s="204"/>
      <c r="M58" s="204"/>
    </row>
    <row r="59" spans="2:13" x14ac:dyDescent="0.25">
      <c r="F59" s="204"/>
      <c r="G59" s="204"/>
      <c r="H59" s="204"/>
      <c r="I59" s="204"/>
      <c r="J59" s="204"/>
      <c r="K59" s="204"/>
      <c r="M59" s="204"/>
    </row>
    <row r="60" spans="2:13" x14ac:dyDescent="0.25">
      <c r="F60" s="204"/>
      <c r="G60" s="204"/>
      <c r="H60" s="204"/>
      <c r="I60" s="204"/>
      <c r="J60" s="204"/>
      <c r="K60" s="204"/>
      <c r="M60" s="204"/>
    </row>
    <row r="61" spans="2:13" x14ac:dyDescent="0.25">
      <c r="F61" s="204"/>
      <c r="G61" s="204"/>
      <c r="H61" s="204"/>
      <c r="I61" s="204"/>
      <c r="J61" s="204"/>
      <c r="K61" s="204"/>
      <c r="M61" s="204"/>
    </row>
    <row r="62" spans="2:13" x14ac:dyDescent="0.25">
      <c r="F62" s="204"/>
      <c r="G62" s="204"/>
      <c r="H62" s="204"/>
      <c r="I62" s="204"/>
      <c r="J62" s="204"/>
      <c r="K62" s="204"/>
      <c r="M62" s="204"/>
    </row>
    <row r="63" spans="2:13" x14ac:dyDescent="0.25">
      <c r="F63" s="204"/>
      <c r="G63" s="204"/>
      <c r="H63" s="204"/>
      <c r="I63" s="204"/>
      <c r="J63" s="204"/>
      <c r="K63" s="204"/>
      <c r="M63" s="204"/>
    </row>
    <row r="64" spans="2:13" x14ac:dyDescent="0.25">
      <c r="F64" s="204"/>
      <c r="G64" s="204"/>
      <c r="H64" s="204"/>
      <c r="I64" s="204"/>
      <c r="J64" s="204"/>
      <c r="K64" s="204"/>
      <c r="M64" s="204"/>
    </row>
    <row r="65" spans="6:13" x14ac:dyDescent="0.25">
      <c r="F65" s="204"/>
      <c r="G65" s="204"/>
      <c r="H65" s="204"/>
      <c r="I65" s="204"/>
      <c r="J65" s="204"/>
      <c r="K65" s="204"/>
      <c r="M65" s="204"/>
    </row>
    <row r="66" spans="6:13" x14ac:dyDescent="0.25">
      <c r="F66" s="204"/>
      <c r="G66" s="204"/>
      <c r="H66" s="204"/>
      <c r="I66" s="204"/>
      <c r="J66" s="204"/>
      <c r="K66" s="204"/>
      <c r="M66" s="204"/>
    </row>
    <row r="67" spans="6:13" x14ac:dyDescent="0.25">
      <c r="F67" s="204"/>
      <c r="G67" s="204"/>
      <c r="H67" s="204"/>
      <c r="I67" s="204"/>
      <c r="J67" s="204"/>
      <c r="K67" s="204"/>
      <c r="M67" s="204"/>
    </row>
    <row r="68" spans="6:13" x14ac:dyDescent="0.25">
      <c r="F68" s="204"/>
      <c r="G68" s="204"/>
      <c r="H68" s="204"/>
      <c r="I68" s="204"/>
      <c r="J68" s="204"/>
      <c r="K68" s="204"/>
      <c r="M68" s="204"/>
    </row>
    <row r="69" spans="6:13" x14ac:dyDescent="0.25">
      <c r="F69" s="204"/>
      <c r="G69" s="204"/>
      <c r="H69" s="204"/>
      <c r="I69" s="204"/>
      <c r="J69" s="204"/>
      <c r="K69" s="204"/>
      <c r="M69" s="204"/>
    </row>
    <row r="70" spans="6:13" x14ac:dyDescent="0.25">
      <c r="F70" s="204"/>
      <c r="G70" s="204"/>
      <c r="H70" s="204"/>
      <c r="I70" s="204"/>
      <c r="J70" s="204"/>
      <c r="K70" s="204"/>
      <c r="M70" s="204"/>
    </row>
    <row r="71" spans="6:13" x14ac:dyDescent="0.25">
      <c r="F71" s="204"/>
      <c r="G71" s="204"/>
      <c r="H71" s="204"/>
      <c r="I71" s="204"/>
      <c r="J71" s="204"/>
      <c r="K71" s="204"/>
      <c r="M71" s="204"/>
    </row>
    <row r="72" spans="6:13" x14ac:dyDescent="0.25">
      <c r="F72" s="204"/>
      <c r="G72" s="204"/>
      <c r="H72" s="204"/>
      <c r="I72" s="204"/>
      <c r="J72" s="204"/>
      <c r="K72" s="204"/>
      <c r="M72" s="204"/>
    </row>
    <row r="73" spans="6:13" x14ac:dyDescent="0.25">
      <c r="F73" s="204"/>
      <c r="G73" s="204"/>
      <c r="H73" s="204"/>
      <c r="I73" s="204"/>
      <c r="J73" s="204"/>
      <c r="K73" s="204"/>
      <c r="M73" s="204"/>
    </row>
    <row r="74" spans="6:13" x14ac:dyDescent="0.25">
      <c r="F74" s="204"/>
      <c r="G74" s="204"/>
      <c r="H74" s="204"/>
      <c r="I74" s="204"/>
      <c r="J74" s="204"/>
      <c r="K74" s="204"/>
      <c r="M74" s="204"/>
    </row>
    <row r="75" spans="6:13" x14ac:dyDescent="0.25">
      <c r="F75" s="204"/>
      <c r="G75" s="204"/>
      <c r="H75" s="204"/>
      <c r="I75" s="204"/>
      <c r="J75" s="204"/>
      <c r="K75" s="204"/>
      <c r="M75" s="204"/>
    </row>
    <row r="76" spans="6:13" x14ac:dyDescent="0.25">
      <c r="F76" s="204"/>
      <c r="G76" s="204"/>
      <c r="H76" s="204"/>
      <c r="I76" s="204"/>
      <c r="J76" s="204"/>
      <c r="K76" s="204"/>
      <c r="M76" s="204"/>
    </row>
    <row r="77" spans="6:13" x14ac:dyDescent="0.25">
      <c r="F77" s="204"/>
      <c r="G77" s="204"/>
      <c r="H77" s="204"/>
      <c r="I77" s="204"/>
      <c r="J77" s="204"/>
      <c r="K77" s="204"/>
      <c r="M77" s="204"/>
    </row>
    <row r="78" spans="6:13" x14ac:dyDescent="0.25">
      <c r="F78" s="204"/>
      <c r="G78" s="204"/>
      <c r="H78" s="204"/>
      <c r="I78" s="204"/>
      <c r="J78" s="204"/>
      <c r="K78" s="204"/>
      <c r="M78" s="204"/>
    </row>
    <row r="79" spans="6:13" x14ac:dyDescent="0.25">
      <c r="F79" s="204"/>
      <c r="G79" s="204"/>
      <c r="H79" s="204"/>
      <c r="I79" s="204"/>
      <c r="J79" s="204"/>
      <c r="K79" s="204"/>
      <c r="M79" s="204"/>
    </row>
    <row r="80" spans="6:13" x14ac:dyDescent="0.25">
      <c r="F80" s="204"/>
      <c r="G80" s="204"/>
      <c r="H80" s="204"/>
      <c r="I80" s="204"/>
      <c r="J80" s="204"/>
      <c r="K80" s="204"/>
      <c r="M80" s="204"/>
    </row>
    <row r="81" spans="6:13" x14ac:dyDescent="0.25">
      <c r="F81" s="204"/>
      <c r="G81" s="204"/>
      <c r="H81" s="204"/>
      <c r="I81" s="204"/>
      <c r="J81" s="204"/>
      <c r="K81" s="204"/>
      <c r="M81" s="204"/>
    </row>
    <row r="82" spans="6:13" x14ac:dyDescent="0.25">
      <c r="F82" s="204"/>
      <c r="G82" s="204"/>
      <c r="H82" s="204"/>
      <c r="I82" s="204"/>
      <c r="J82" s="204"/>
      <c r="K82" s="204"/>
      <c r="M82" s="204"/>
    </row>
    <row r="83" spans="6:13" x14ac:dyDescent="0.25">
      <c r="F83" s="204"/>
      <c r="G83" s="204"/>
      <c r="H83" s="204"/>
      <c r="I83" s="204"/>
      <c r="J83" s="204"/>
      <c r="K83" s="204"/>
      <c r="M83" s="204"/>
    </row>
    <row r="84" spans="6:13" x14ac:dyDescent="0.25">
      <c r="F84" s="204"/>
      <c r="G84" s="204"/>
      <c r="H84" s="204"/>
      <c r="I84" s="204"/>
      <c r="J84" s="204"/>
      <c r="K84" s="204"/>
      <c r="M84" s="204"/>
    </row>
    <row r="85" spans="6:13" x14ac:dyDescent="0.25">
      <c r="F85" s="204"/>
      <c r="G85" s="204"/>
      <c r="H85" s="204"/>
      <c r="I85" s="204"/>
      <c r="J85" s="204"/>
      <c r="K85" s="204"/>
      <c r="M85" s="204"/>
    </row>
    <row r="86" spans="6:13" x14ac:dyDescent="0.25">
      <c r="F86" s="204"/>
      <c r="G86" s="204"/>
      <c r="H86" s="204"/>
      <c r="I86" s="204"/>
      <c r="J86" s="204"/>
      <c r="K86" s="204"/>
      <c r="M86" s="204"/>
    </row>
    <row r="87" spans="6:13" x14ac:dyDescent="0.25">
      <c r="F87" s="204"/>
      <c r="G87" s="204"/>
      <c r="H87" s="204"/>
      <c r="I87" s="204"/>
      <c r="J87" s="204"/>
      <c r="K87" s="204"/>
      <c r="M87" s="204"/>
    </row>
    <row r="88" spans="6:13" x14ac:dyDescent="0.25">
      <c r="F88" s="204"/>
      <c r="G88" s="204"/>
      <c r="H88" s="204"/>
      <c r="I88" s="204"/>
      <c r="J88" s="204"/>
      <c r="K88" s="204"/>
      <c r="M88" s="204"/>
    </row>
    <row r="89" spans="6:13" x14ac:dyDescent="0.25">
      <c r="F89" s="204"/>
      <c r="G89" s="204"/>
      <c r="H89" s="204"/>
      <c r="I89" s="204"/>
      <c r="J89" s="204"/>
      <c r="K89" s="204"/>
      <c r="M89" s="204"/>
    </row>
    <row r="90" spans="6:13" x14ac:dyDescent="0.25">
      <c r="F90" s="204"/>
      <c r="G90" s="204"/>
      <c r="H90" s="204"/>
      <c r="I90" s="204"/>
      <c r="J90" s="204"/>
      <c r="K90" s="204"/>
      <c r="M90" s="204"/>
    </row>
    <row r="91" spans="6:13" x14ac:dyDescent="0.25">
      <c r="F91" s="204"/>
      <c r="G91" s="204"/>
      <c r="H91" s="204"/>
      <c r="I91" s="204"/>
      <c r="J91" s="204"/>
      <c r="K91" s="204"/>
      <c r="M91" s="204"/>
    </row>
    <row r="92" spans="6:13" x14ac:dyDescent="0.25">
      <c r="F92" s="204"/>
      <c r="G92" s="204"/>
      <c r="H92" s="204"/>
      <c r="I92" s="204"/>
      <c r="J92" s="204"/>
      <c r="K92" s="204"/>
      <c r="M92" s="204"/>
    </row>
    <row r="93" spans="6:13" x14ac:dyDescent="0.25">
      <c r="F93" s="204"/>
      <c r="G93" s="204"/>
      <c r="H93" s="204"/>
      <c r="I93" s="204"/>
      <c r="J93" s="204"/>
      <c r="K93" s="204"/>
      <c r="M93" s="204"/>
    </row>
    <row r="94" spans="6:13" x14ac:dyDescent="0.25">
      <c r="F94" s="204"/>
      <c r="G94" s="204"/>
      <c r="H94" s="204"/>
      <c r="I94" s="204"/>
      <c r="J94" s="204"/>
      <c r="K94" s="204"/>
      <c r="M94" s="204"/>
    </row>
    <row r="95" spans="6:13" x14ac:dyDescent="0.25">
      <c r="F95" s="204"/>
      <c r="G95" s="204"/>
      <c r="H95" s="204"/>
      <c r="I95" s="204"/>
      <c r="J95" s="204"/>
      <c r="K95" s="204"/>
      <c r="M95" s="204"/>
    </row>
    <row r="96" spans="6:13" x14ac:dyDescent="0.25">
      <c r="F96" s="204"/>
      <c r="G96" s="204"/>
      <c r="H96" s="204"/>
      <c r="I96" s="204"/>
      <c r="J96" s="204"/>
      <c r="K96" s="204"/>
      <c r="M96" s="204"/>
    </row>
    <row r="97" spans="6:13" x14ac:dyDescent="0.25">
      <c r="F97" s="204"/>
      <c r="G97" s="204"/>
      <c r="H97" s="204"/>
      <c r="I97" s="204"/>
      <c r="J97" s="204"/>
      <c r="K97" s="204"/>
      <c r="M97" s="204"/>
    </row>
    <row r="98" spans="6:13" x14ac:dyDescent="0.25">
      <c r="F98" s="204"/>
      <c r="G98" s="204"/>
      <c r="H98" s="204"/>
      <c r="I98" s="204"/>
      <c r="J98" s="204"/>
      <c r="K98" s="204"/>
      <c r="M98" s="204"/>
    </row>
    <row r="99" spans="6:13" x14ac:dyDescent="0.25">
      <c r="F99" s="204"/>
      <c r="G99" s="204"/>
      <c r="H99" s="204"/>
      <c r="I99" s="204"/>
      <c r="J99" s="204"/>
      <c r="K99" s="204"/>
      <c r="M99" s="204"/>
    </row>
    <row r="100" spans="6:13" x14ac:dyDescent="0.25">
      <c r="F100" s="204"/>
      <c r="G100" s="204"/>
      <c r="H100" s="204"/>
      <c r="I100" s="204"/>
      <c r="J100" s="204"/>
      <c r="K100" s="204"/>
      <c r="M100" s="204"/>
    </row>
    <row r="101" spans="6:13" x14ac:dyDescent="0.25">
      <c r="F101" s="204"/>
      <c r="G101" s="204"/>
      <c r="H101" s="204"/>
      <c r="I101" s="204"/>
      <c r="J101" s="204"/>
      <c r="K101" s="204"/>
      <c r="M101" s="204"/>
    </row>
    <row r="102" spans="6:13" x14ac:dyDescent="0.25">
      <c r="F102" s="204"/>
      <c r="G102" s="204"/>
      <c r="H102" s="204"/>
      <c r="I102" s="204"/>
      <c r="J102" s="204"/>
      <c r="K102" s="204"/>
      <c r="M102" s="204"/>
    </row>
    <row r="103" spans="6:13" x14ac:dyDescent="0.25">
      <c r="F103" s="204"/>
      <c r="G103" s="204"/>
      <c r="H103" s="204"/>
      <c r="I103" s="204"/>
      <c r="J103" s="204"/>
      <c r="K103" s="204"/>
      <c r="M103" s="204"/>
    </row>
    <row r="104" spans="6:13" x14ac:dyDescent="0.25">
      <c r="F104" s="204"/>
      <c r="G104" s="204"/>
      <c r="H104" s="204"/>
      <c r="I104" s="204"/>
      <c r="J104" s="204"/>
      <c r="K104" s="204"/>
      <c r="M104" s="204"/>
    </row>
    <row r="105" spans="6:13" x14ac:dyDescent="0.25">
      <c r="F105" s="204"/>
      <c r="G105" s="204"/>
      <c r="H105" s="204"/>
      <c r="I105" s="204"/>
      <c r="J105" s="204"/>
      <c r="K105" s="204"/>
      <c r="M105" s="204"/>
    </row>
    <row r="106" spans="6:13" x14ac:dyDescent="0.25">
      <c r="F106" s="204"/>
      <c r="G106" s="204"/>
      <c r="H106" s="204"/>
      <c r="I106" s="204"/>
      <c r="J106" s="204"/>
      <c r="K106" s="204"/>
      <c r="M106" s="204"/>
    </row>
    <row r="107" spans="6:13" x14ac:dyDescent="0.25">
      <c r="F107" s="204"/>
      <c r="G107" s="204"/>
      <c r="H107" s="204"/>
      <c r="I107" s="204"/>
      <c r="J107" s="204"/>
      <c r="K107" s="204"/>
      <c r="M107" s="204"/>
    </row>
    <row r="108" spans="6:13" x14ac:dyDescent="0.25">
      <c r="F108" s="204"/>
      <c r="G108" s="204"/>
      <c r="H108" s="204"/>
      <c r="I108" s="204"/>
      <c r="J108" s="204"/>
      <c r="K108" s="204"/>
      <c r="M108" s="204"/>
    </row>
    <row r="109" spans="6:13" x14ac:dyDescent="0.25">
      <c r="F109" s="204"/>
      <c r="G109" s="204"/>
      <c r="H109" s="204"/>
      <c r="I109" s="204"/>
      <c r="J109" s="204"/>
      <c r="K109" s="204"/>
      <c r="M109" s="204"/>
    </row>
    <row r="110" spans="6:13" x14ac:dyDescent="0.25">
      <c r="F110" s="204"/>
      <c r="G110" s="204"/>
      <c r="H110" s="204"/>
      <c r="I110" s="204"/>
      <c r="J110" s="204"/>
      <c r="K110" s="204"/>
      <c r="M110" s="204"/>
    </row>
    <row r="111" spans="6:13" x14ac:dyDescent="0.25">
      <c r="F111" s="204"/>
      <c r="G111" s="204"/>
      <c r="H111" s="204"/>
      <c r="I111" s="204"/>
      <c r="J111" s="204"/>
      <c r="K111" s="204"/>
      <c r="M111" s="204"/>
    </row>
    <row r="112" spans="6:13" x14ac:dyDescent="0.25">
      <c r="F112" s="204"/>
      <c r="G112" s="204"/>
      <c r="H112" s="204"/>
      <c r="I112" s="204"/>
      <c r="J112" s="204"/>
      <c r="K112" s="204"/>
    </row>
    <row r="113" spans="6:11" x14ac:dyDescent="0.25">
      <c r="F113" s="204"/>
      <c r="G113" s="204"/>
      <c r="H113" s="204"/>
      <c r="I113" s="204"/>
      <c r="J113" s="204"/>
      <c r="K113" s="204"/>
    </row>
    <row r="114" spans="6:11" x14ac:dyDescent="0.25">
      <c r="F114" s="204"/>
      <c r="G114" s="204"/>
      <c r="H114" s="204"/>
      <c r="I114" s="204"/>
      <c r="J114" s="204"/>
      <c r="K114" s="204"/>
    </row>
    <row r="115" spans="6:11" x14ac:dyDescent="0.25">
      <c r="F115" s="204"/>
      <c r="G115" s="204"/>
      <c r="H115" s="204"/>
      <c r="I115" s="204"/>
      <c r="J115" s="204"/>
      <c r="K115" s="204"/>
    </row>
    <row r="116" spans="6:11" x14ac:dyDescent="0.25">
      <c r="F116" s="204"/>
      <c r="G116" s="204"/>
      <c r="H116" s="204"/>
      <c r="I116" s="204"/>
      <c r="J116" s="204"/>
      <c r="K116" s="204"/>
    </row>
    <row r="117" spans="6:11" x14ac:dyDescent="0.25">
      <c r="F117" s="204"/>
      <c r="G117" s="204"/>
      <c r="H117" s="204"/>
      <c r="I117" s="204"/>
      <c r="J117" s="204"/>
      <c r="K117" s="204"/>
    </row>
    <row r="118" spans="6:11" x14ac:dyDescent="0.25">
      <c r="F118" s="204"/>
      <c r="G118" s="204"/>
      <c r="H118" s="204"/>
      <c r="I118" s="204"/>
      <c r="J118" s="204"/>
      <c r="K118" s="204"/>
    </row>
    <row r="119" spans="6:11" x14ac:dyDescent="0.25">
      <c r="F119" s="204"/>
      <c r="G119" s="204"/>
      <c r="H119" s="204"/>
      <c r="I119" s="204"/>
      <c r="J119" s="204"/>
      <c r="K119" s="204"/>
    </row>
    <row r="120" spans="6:11" x14ac:dyDescent="0.25">
      <c r="F120" s="204"/>
      <c r="G120" s="204"/>
      <c r="H120" s="204"/>
      <c r="I120" s="204"/>
      <c r="J120" s="204"/>
      <c r="K120" s="204"/>
    </row>
    <row r="121" spans="6:11" x14ac:dyDescent="0.25">
      <c r="F121" s="204"/>
      <c r="G121" s="204"/>
      <c r="H121" s="204"/>
      <c r="I121" s="204"/>
      <c r="J121" s="204"/>
      <c r="K121" s="204"/>
    </row>
    <row r="122" spans="6:11" x14ac:dyDescent="0.25">
      <c r="F122" s="204"/>
      <c r="G122" s="204"/>
      <c r="H122" s="204"/>
      <c r="I122" s="204"/>
      <c r="J122" s="204"/>
      <c r="K122" s="204"/>
    </row>
    <row r="123" spans="6:11" x14ac:dyDescent="0.25">
      <c r="F123" s="204"/>
      <c r="G123" s="204"/>
      <c r="H123" s="204"/>
      <c r="I123" s="204"/>
      <c r="J123" s="204"/>
      <c r="K123" s="204"/>
    </row>
    <row r="124" spans="6:11" x14ac:dyDescent="0.25">
      <c r="F124" s="204"/>
      <c r="G124" s="204"/>
      <c r="H124" s="204"/>
      <c r="I124" s="204"/>
      <c r="J124" s="204"/>
      <c r="K124" s="204"/>
    </row>
    <row r="125" spans="6:11" x14ac:dyDescent="0.25">
      <c r="F125" s="204"/>
      <c r="G125" s="204"/>
      <c r="H125" s="204"/>
      <c r="I125" s="204"/>
      <c r="J125" s="204"/>
      <c r="K125" s="204"/>
    </row>
    <row r="126" spans="6:11" x14ac:dyDescent="0.25">
      <c r="F126" s="204"/>
      <c r="G126" s="204"/>
      <c r="H126" s="204"/>
      <c r="I126" s="204"/>
      <c r="J126" s="204"/>
      <c r="K126" s="204"/>
    </row>
    <row r="127" spans="6:11" x14ac:dyDescent="0.25">
      <c r="F127" s="204"/>
      <c r="G127" s="204"/>
      <c r="H127" s="204"/>
      <c r="I127" s="204"/>
      <c r="J127" s="204"/>
      <c r="K127" s="204"/>
    </row>
    <row r="128" spans="6:11" x14ac:dyDescent="0.25">
      <c r="F128" s="204"/>
      <c r="G128" s="204"/>
      <c r="H128" s="204"/>
      <c r="I128" s="204"/>
      <c r="J128" s="204"/>
      <c r="K128" s="204"/>
    </row>
    <row r="129" spans="6:11" x14ac:dyDescent="0.25">
      <c r="F129" s="204"/>
      <c r="G129" s="204"/>
      <c r="H129" s="204"/>
      <c r="I129" s="204"/>
      <c r="J129" s="204"/>
      <c r="K129" s="204"/>
    </row>
    <row r="130" spans="6:11" x14ac:dyDescent="0.25">
      <c r="F130" s="204"/>
      <c r="G130" s="204"/>
      <c r="H130" s="204"/>
      <c r="I130" s="204"/>
      <c r="J130" s="204"/>
      <c r="K130" s="204"/>
    </row>
    <row r="131" spans="6:11" x14ac:dyDescent="0.25">
      <c r="F131" s="204"/>
      <c r="G131" s="204"/>
      <c r="H131" s="204"/>
      <c r="I131" s="204"/>
      <c r="J131" s="204"/>
      <c r="K131" s="204"/>
    </row>
  </sheetData>
  <customSheetViews>
    <customSheetView guid="{AB48C5D7-99F4-4378-A0F9-05018B348977}" showPageBreaks="1" topLeftCell="A19">
      <selection activeCell="B39" sqref="B39"/>
      <pageMargins left="0.75" right="0.75" top="1" bottom="1" header="0.5" footer="0.5"/>
      <pageSetup scale="79" firstPageNumber="106" orientation="portrait" useFirstPageNumber="1" r:id="rId1"/>
      <headerFooter alignWithMargins="0"/>
    </customSheetView>
  </customSheetViews>
  <mergeCells count="2">
    <mergeCell ref="B4:J4"/>
    <mergeCell ref="D48:J50"/>
  </mergeCells>
  <phoneticPr fontId="12" type="noConversion"/>
  <printOptions horizontalCentered="1"/>
  <pageMargins left="0.7" right="0.7" top="0.75" bottom="0.75" header="0.3" footer="0.3"/>
  <pageSetup firstPageNumber="106" fitToWidth="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pageSetUpPr fitToPage="1"/>
  </sheetPr>
  <dimension ref="B2:K105"/>
  <sheetViews>
    <sheetView topLeftCell="B19" workbookViewId="0">
      <selection activeCell="F32" sqref="F32"/>
    </sheetView>
  </sheetViews>
  <sheetFormatPr defaultColWidth="9.109375" defaultRowHeight="13.2" x14ac:dyDescent="0.25"/>
  <cols>
    <col min="1" max="1" width="9.109375" style="17"/>
    <col min="2" max="2" width="37" style="17" customWidth="1"/>
    <col min="3" max="5" width="15.6640625" style="17" customWidth="1"/>
    <col min="6" max="6" width="15.33203125" style="17" customWidth="1"/>
    <col min="7" max="7" width="15.6640625" style="17" customWidth="1"/>
    <col min="8" max="8" width="13.33203125" style="17" bestFit="1" customWidth="1"/>
    <col min="9" max="9" width="12.109375" style="17" bestFit="1" customWidth="1"/>
    <col min="10" max="10" width="12.33203125" style="17" customWidth="1"/>
    <col min="11" max="16384" width="9.109375" style="17"/>
  </cols>
  <sheetData>
    <row r="2" spans="2:10" x14ac:dyDescent="0.25">
      <c r="G2" s="82" t="s">
        <v>25</v>
      </c>
    </row>
    <row r="3" spans="2:10" x14ac:dyDescent="0.25">
      <c r="B3" s="896" t="s">
        <v>0</v>
      </c>
      <c r="C3" s="896"/>
      <c r="D3" s="896"/>
      <c r="E3" s="896"/>
      <c r="F3" s="896"/>
      <c r="G3" s="896"/>
    </row>
    <row r="4" spans="2:10" x14ac:dyDescent="0.25">
      <c r="B4" s="896" t="s">
        <v>14</v>
      </c>
      <c r="C4" s="896"/>
      <c r="D4" s="896"/>
      <c r="E4" s="896"/>
      <c r="F4" s="896"/>
      <c r="G4" s="896"/>
    </row>
    <row r="5" spans="2:10" x14ac:dyDescent="0.25">
      <c r="B5" s="896" t="s">
        <v>15</v>
      </c>
      <c r="C5" s="896"/>
      <c r="D5" s="896"/>
      <c r="E5" s="896"/>
      <c r="F5" s="896"/>
      <c r="G5" s="896"/>
    </row>
    <row r="6" spans="2:10" s="41" customFormat="1" x14ac:dyDescent="0.25">
      <c r="B6" s="897" t="str">
        <f>'1-GWNetPos'!B5:F5</f>
        <v>June 30, 2023</v>
      </c>
      <c r="C6" s="896"/>
      <c r="D6" s="896"/>
      <c r="E6" s="896"/>
      <c r="F6" s="896"/>
      <c r="G6" s="896"/>
    </row>
    <row r="7" spans="2:10" x14ac:dyDescent="0.25">
      <c r="B7" s="314"/>
      <c r="C7" s="86"/>
      <c r="D7" s="86"/>
      <c r="E7" s="86"/>
      <c r="F7" s="86"/>
      <c r="G7" s="86"/>
    </row>
    <row r="8" spans="2:10" x14ac:dyDescent="0.25">
      <c r="C8" s="328"/>
      <c r="D8" s="329" t="s">
        <v>490</v>
      </c>
      <c r="E8" s="330"/>
      <c r="F8" s="324"/>
      <c r="G8" s="325"/>
    </row>
    <row r="9" spans="2:10" ht="39.6" x14ac:dyDescent="0.25">
      <c r="C9" s="326" t="s">
        <v>16</v>
      </c>
      <c r="D9" s="81" t="s">
        <v>125</v>
      </c>
      <c r="E9" s="81" t="s">
        <v>82</v>
      </c>
      <c r="F9" s="24" t="s">
        <v>520</v>
      </c>
      <c r="G9" s="327" t="s">
        <v>17</v>
      </c>
      <c r="J9" s="56"/>
    </row>
    <row r="10" spans="2:10" x14ac:dyDescent="0.25">
      <c r="B10" s="132" t="s">
        <v>2</v>
      </c>
    </row>
    <row r="11" spans="2:10" x14ac:dyDescent="0.25">
      <c r="B11" s="17" t="s">
        <v>3</v>
      </c>
      <c r="C11" s="790">
        <v>552318</v>
      </c>
      <c r="D11" s="637">
        <v>8000</v>
      </c>
      <c r="E11" s="637">
        <v>23400</v>
      </c>
      <c r="F11" s="637">
        <v>25251</v>
      </c>
      <c r="G11" s="637">
        <f t="shared" ref="G11:G22" si="0">SUM(C11:F11)</f>
        <v>608969</v>
      </c>
      <c r="H11" s="313"/>
      <c r="I11" s="313"/>
    </row>
    <row r="12" spans="2:10" x14ac:dyDescent="0.25">
      <c r="B12" s="17" t="s">
        <v>577</v>
      </c>
      <c r="C12" s="658">
        <f>30453+4084+23459</f>
        <v>57996</v>
      </c>
      <c r="D12" s="639">
        <v>0</v>
      </c>
      <c r="E12" s="639">
        <v>0</v>
      </c>
      <c r="F12" s="639">
        <v>0</v>
      </c>
      <c r="G12" s="639">
        <f t="shared" si="0"/>
        <v>57996</v>
      </c>
      <c r="H12" s="313"/>
    </row>
    <row r="13" spans="2:10" x14ac:dyDescent="0.25">
      <c r="B13" s="17" t="s">
        <v>121</v>
      </c>
      <c r="C13" s="638"/>
      <c r="D13" s="638"/>
      <c r="E13" s="638"/>
      <c r="F13" s="638"/>
      <c r="G13" s="638"/>
    </row>
    <row r="14" spans="2:10" x14ac:dyDescent="0.25">
      <c r="B14" s="58" t="s">
        <v>65</v>
      </c>
      <c r="C14" s="638">
        <v>63235</v>
      </c>
      <c r="D14" s="638">
        <v>0</v>
      </c>
      <c r="E14" s="638">
        <v>0</v>
      </c>
      <c r="F14" s="638">
        <v>0</v>
      </c>
      <c r="G14" s="638">
        <f>SUM(C14:F14)</f>
        <v>63235</v>
      </c>
    </row>
    <row r="15" spans="2:10" x14ac:dyDescent="0.25">
      <c r="B15" s="58" t="s">
        <v>122</v>
      </c>
      <c r="C15" s="638">
        <v>874</v>
      </c>
      <c r="D15" s="638">
        <v>4415</v>
      </c>
      <c r="E15" s="638">
        <v>0</v>
      </c>
      <c r="F15" s="638">
        <v>4670</v>
      </c>
      <c r="G15" s="638">
        <f>SUM(C15:F15)</f>
        <v>9959</v>
      </c>
    </row>
    <row r="16" spans="2:10" x14ac:dyDescent="0.25">
      <c r="B16" s="58" t="s">
        <v>523</v>
      </c>
      <c r="C16" s="798">
        <v>127</v>
      </c>
      <c r="D16" s="638">
        <v>0</v>
      </c>
      <c r="E16" s="638">
        <v>0</v>
      </c>
      <c r="F16" s="638">
        <v>0</v>
      </c>
      <c r="G16" s="638">
        <f>SUM(C16:F16)</f>
        <v>127</v>
      </c>
    </row>
    <row r="17" spans="2:10" x14ac:dyDescent="0.25">
      <c r="B17" s="17" t="s">
        <v>170</v>
      </c>
      <c r="C17" s="639">
        <f>82300</f>
        <v>82300</v>
      </c>
      <c r="D17" s="638">
        <v>10000</v>
      </c>
      <c r="E17" s="638">
        <v>0</v>
      </c>
      <c r="F17" s="638">
        <v>5000</v>
      </c>
      <c r="G17" s="638">
        <f t="shared" si="0"/>
        <v>97300</v>
      </c>
    </row>
    <row r="18" spans="2:10" x14ac:dyDescent="0.25">
      <c r="B18" s="17" t="s">
        <v>465</v>
      </c>
      <c r="C18" s="639">
        <v>3000</v>
      </c>
      <c r="D18" s="639">
        <v>0</v>
      </c>
      <c r="E18" s="639">
        <v>0</v>
      </c>
      <c r="F18" s="639">
        <v>0</v>
      </c>
      <c r="G18" s="639">
        <f t="shared" si="0"/>
        <v>3000</v>
      </c>
    </row>
    <row r="19" spans="2:10" x14ac:dyDescent="0.25">
      <c r="B19" s="612" t="s">
        <v>696</v>
      </c>
      <c r="C19" s="639">
        <v>27000</v>
      </c>
      <c r="D19" s="639">
        <v>0</v>
      </c>
      <c r="E19" s="639">
        <v>0</v>
      </c>
      <c r="F19" s="639">
        <v>0</v>
      </c>
      <c r="G19" s="639">
        <f t="shared" si="0"/>
        <v>27000</v>
      </c>
    </row>
    <row r="20" spans="2:10" x14ac:dyDescent="0.25">
      <c r="B20" s="17" t="s">
        <v>123</v>
      </c>
      <c r="C20" s="638">
        <v>3700</v>
      </c>
      <c r="D20" s="638">
        <v>0</v>
      </c>
      <c r="E20" s="638">
        <v>0</v>
      </c>
      <c r="F20" s="638">
        <v>0</v>
      </c>
      <c r="G20" s="638">
        <f t="shared" si="0"/>
        <v>3700</v>
      </c>
    </row>
    <row r="21" spans="2:10" x14ac:dyDescent="0.25">
      <c r="B21" s="17" t="s">
        <v>842</v>
      </c>
      <c r="C21" s="798">
        <f>53190-127</f>
        <v>53063</v>
      </c>
      <c r="D21" s="638">
        <v>0</v>
      </c>
      <c r="E21" s="638">
        <v>0</v>
      </c>
      <c r="F21" s="638">
        <v>0</v>
      </c>
      <c r="G21" s="638">
        <f t="shared" si="0"/>
        <v>53063</v>
      </c>
    </row>
    <row r="22" spans="2:10" x14ac:dyDescent="0.25">
      <c r="B22" s="17" t="s">
        <v>4</v>
      </c>
      <c r="C22" s="643">
        <v>1245</v>
      </c>
      <c r="D22" s="643">
        <v>0</v>
      </c>
      <c r="E22" s="643">
        <v>0</v>
      </c>
      <c r="F22" s="643">
        <v>0</v>
      </c>
      <c r="G22" s="643">
        <f t="shared" si="0"/>
        <v>1245</v>
      </c>
    </row>
    <row r="23" spans="2:10" ht="13.8" thickBot="1" x14ac:dyDescent="0.3">
      <c r="B23" s="23" t="s">
        <v>5</v>
      </c>
      <c r="C23" s="659">
        <f>SUM(C11:C22)</f>
        <v>844858</v>
      </c>
      <c r="D23" s="659">
        <f>SUM(D11:D22)</f>
        <v>22415</v>
      </c>
      <c r="E23" s="659">
        <f>SUM(E11:E22)</f>
        <v>23400</v>
      </c>
      <c r="F23" s="659">
        <f>SUM(F11:F22)</f>
        <v>34921</v>
      </c>
      <c r="G23" s="659">
        <f>SUM(G11:G22)</f>
        <v>925594</v>
      </c>
      <c r="J23" s="56"/>
    </row>
    <row r="24" spans="2:10" ht="13.8" thickTop="1" x14ac:dyDescent="0.25"/>
    <row r="26" spans="2:10" x14ac:dyDescent="0.25">
      <c r="B26" s="132" t="s">
        <v>6</v>
      </c>
      <c r="I26" s="313"/>
      <c r="J26" s="55"/>
    </row>
    <row r="27" spans="2:10" x14ac:dyDescent="0.25">
      <c r="B27" s="22" t="s">
        <v>126</v>
      </c>
      <c r="C27" s="811">
        <f>103874+136</f>
        <v>104010</v>
      </c>
      <c r="D27" s="648">
        <v>17000</v>
      </c>
      <c r="E27" s="638">
        <v>0</v>
      </c>
      <c r="F27" s="648">
        <v>5000</v>
      </c>
      <c r="G27" s="648">
        <f>SUM(C27:F27)</f>
        <v>126010</v>
      </c>
    </row>
    <row r="28" spans="2:10" x14ac:dyDescent="0.25">
      <c r="B28" s="58" t="s">
        <v>20</v>
      </c>
      <c r="C28" s="638">
        <v>2200</v>
      </c>
      <c r="D28" s="638">
        <v>0</v>
      </c>
      <c r="E28" s="638">
        <v>0</v>
      </c>
      <c r="F28" s="638">
        <v>0</v>
      </c>
      <c r="G28" s="638">
        <f>SUM(C28:F28)</f>
        <v>2200</v>
      </c>
      <c r="J28" s="55"/>
    </row>
    <row r="29" spans="2:10" x14ac:dyDescent="0.25">
      <c r="B29" s="58" t="s">
        <v>478</v>
      </c>
      <c r="C29" s="638">
        <v>6055</v>
      </c>
      <c r="D29" s="638">
        <v>0</v>
      </c>
      <c r="E29" s="638">
        <v>0</v>
      </c>
      <c r="F29" s="638">
        <v>0</v>
      </c>
      <c r="G29" s="638">
        <f>SUM(C29:F29)</f>
        <v>6055</v>
      </c>
    </row>
    <row r="30" spans="2:10" x14ac:dyDescent="0.25">
      <c r="B30" s="23" t="s">
        <v>7</v>
      </c>
      <c r="C30" s="642">
        <f>SUM(C27:C29)</f>
        <v>112265</v>
      </c>
      <c r="D30" s="642">
        <f>SUM(D27:D29)</f>
        <v>17000</v>
      </c>
      <c r="E30" s="642">
        <f>SUM(E27:E29)</f>
        <v>0</v>
      </c>
      <c r="F30" s="642">
        <f>SUM(F27:F29)</f>
        <v>5000</v>
      </c>
      <c r="G30" s="642">
        <f>SUM(G27:G29)</f>
        <v>134265</v>
      </c>
    </row>
    <row r="31" spans="2:10" x14ac:dyDescent="0.25">
      <c r="B31" s="23"/>
      <c r="C31" s="640"/>
      <c r="D31" s="640"/>
      <c r="E31" s="640"/>
      <c r="F31" s="640"/>
      <c r="G31" s="640"/>
    </row>
    <row r="32" spans="2:10" s="432" customFormat="1" x14ac:dyDescent="0.25">
      <c r="B32" s="132" t="s">
        <v>632</v>
      </c>
      <c r="C32" s="641"/>
      <c r="D32" s="641"/>
      <c r="E32" s="641"/>
      <c r="F32" s="641"/>
      <c r="G32" s="641"/>
    </row>
    <row r="33" spans="2:9" s="432" customFormat="1" x14ac:dyDescent="0.25">
      <c r="B33" s="456" t="s">
        <v>666</v>
      </c>
      <c r="C33" s="641">
        <v>57180</v>
      </c>
      <c r="D33" s="641">
        <v>0</v>
      </c>
      <c r="E33" s="641">
        <v>0</v>
      </c>
      <c r="F33" s="641">
        <v>0</v>
      </c>
      <c r="G33" s="639">
        <f>SUM(C33:F33)</f>
        <v>57180</v>
      </c>
    </row>
    <row r="34" spans="2:9" s="432" customFormat="1" x14ac:dyDescent="0.25">
      <c r="B34" s="456" t="s">
        <v>847</v>
      </c>
      <c r="C34" s="641">
        <v>53002</v>
      </c>
      <c r="D34" s="641">
        <v>0</v>
      </c>
      <c r="E34" s="641">
        <v>0</v>
      </c>
      <c r="F34" s="641">
        <v>0</v>
      </c>
      <c r="G34" s="639">
        <f>SUM(C34:F34)</f>
        <v>53002</v>
      </c>
    </row>
    <row r="35" spans="2:9" s="432" customFormat="1" x14ac:dyDescent="0.25">
      <c r="B35" s="456" t="s">
        <v>643</v>
      </c>
      <c r="C35" s="641">
        <v>15502</v>
      </c>
      <c r="D35" s="641">
        <v>0</v>
      </c>
      <c r="E35" s="641">
        <v>0</v>
      </c>
      <c r="F35" s="641">
        <v>0</v>
      </c>
      <c r="G35" s="639">
        <f>SUM(C35:F35)</f>
        <v>15502</v>
      </c>
    </row>
    <row r="36" spans="2:9" s="432" customFormat="1" x14ac:dyDescent="0.25">
      <c r="B36" s="456" t="s">
        <v>633</v>
      </c>
      <c r="C36" s="647">
        <f>SUM(C33:C35)</f>
        <v>125684</v>
      </c>
      <c r="D36" s="647">
        <f>SUM(D33:D35)</f>
        <v>0</v>
      </c>
      <c r="E36" s="647">
        <f>SUM(E33:E35)</f>
        <v>0</v>
      </c>
      <c r="F36" s="647">
        <f>SUM(F33:F35)</f>
        <v>0</v>
      </c>
      <c r="G36" s="647">
        <f>SUM(C36:F36)</f>
        <v>125684</v>
      </c>
    </row>
    <row r="37" spans="2:9" x14ac:dyDescent="0.25">
      <c r="B37" s="23"/>
      <c r="C37" s="640"/>
      <c r="D37" s="640"/>
      <c r="E37" s="640"/>
      <c r="F37" s="640"/>
      <c r="G37" s="640"/>
    </row>
    <row r="38" spans="2:9" x14ac:dyDescent="0.25">
      <c r="I38" s="56"/>
    </row>
    <row r="39" spans="2:9" x14ac:dyDescent="0.25">
      <c r="B39" s="132" t="s">
        <v>653</v>
      </c>
      <c r="I39" s="56"/>
    </row>
    <row r="40" spans="2:9" x14ac:dyDescent="0.25">
      <c r="B40" s="26" t="s">
        <v>593</v>
      </c>
    </row>
    <row r="41" spans="2:9" x14ac:dyDescent="0.25">
      <c r="B41" s="23" t="s">
        <v>4</v>
      </c>
      <c r="C41" s="639">
        <v>1245</v>
      </c>
      <c r="D41" s="639">
        <v>0</v>
      </c>
      <c r="E41" s="639">
        <v>0</v>
      </c>
      <c r="F41" s="639">
        <v>0</v>
      </c>
      <c r="G41" s="639">
        <f t="shared" ref="G41:G53" si="1">SUM(C41:F41)</f>
        <v>1245</v>
      </c>
    </row>
    <row r="42" spans="2:9" x14ac:dyDescent="0.25">
      <c r="B42" s="895" t="s">
        <v>899</v>
      </c>
      <c r="C42" s="639">
        <v>61</v>
      </c>
      <c r="D42" s="639">
        <v>0</v>
      </c>
      <c r="E42" s="639">
        <v>0</v>
      </c>
      <c r="F42" s="639">
        <v>0</v>
      </c>
      <c r="G42" s="639">
        <f t="shared" si="1"/>
        <v>61</v>
      </c>
    </row>
    <row r="43" spans="2:9" x14ac:dyDescent="0.25">
      <c r="B43" s="23" t="s">
        <v>521</v>
      </c>
      <c r="C43" s="639">
        <v>0</v>
      </c>
      <c r="D43" s="639">
        <v>0</v>
      </c>
      <c r="E43" s="639">
        <v>0</v>
      </c>
      <c r="F43" s="639">
        <v>25056</v>
      </c>
      <c r="G43" s="639">
        <f t="shared" si="1"/>
        <v>25056</v>
      </c>
    </row>
    <row r="44" spans="2:9" x14ac:dyDescent="0.25">
      <c r="B44" s="26" t="s">
        <v>595</v>
      </c>
      <c r="C44" s="639"/>
      <c r="D44" s="639"/>
      <c r="E44" s="639"/>
      <c r="F44" s="639"/>
      <c r="G44" s="639"/>
      <c r="I44" s="694"/>
    </row>
    <row r="45" spans="2:9" x14ac:dyDescent="0.25">
      <c r="B45" s="23" t="s">
        <v>609</v>
      </c>
      <c r="C45" s="639">
        <v>133379</v>
      </c>
      <c r="D45" s="639">
        <v>0</v>
      </c>
      <c r="E45" s="639">
        <v>0</v>
      </c>
      <c r="F45" s="639">
        <v>0</v>
      </c>
      <c r="G45" s="639">
        <f t="shared" si="1"/>
        <v>133379</v>
      </c>
    </row>
    <row r="46" spans="2:9" x14ac:dyDescent="0.25">
      <c r="B46" s="23" t="s">
        <v>596</v>
      </c>
      <c r="C46" s="639">
        <v>4084</v>
      </c>
      <c r="D46" s="639">
        <v>0</v>
      </c>
      <c r="E46" s="639">
        <v>0</v>
      </c>
      <c r="F46" s="639">
        <v>0</v>
      </c>
      <c r="G46" s="639">
        <f t="shared" si="1"/>
        <v>4084</v>
      </c>
    </row>
    <row r="47" spans="2:9" x14ac:dyDescent="0.25">
      <c r="B47" s="18" t="s">
        <v>597</v>
      </c>
      <c r="C47" s="639">
        <v>0</v>
      </c>
      <c r="D47" s="639">
        <v>5415</v>
      </c>
      <c r="E47" s="639">
        <v>0</v>
      </c>
      <c r="F47" s="639">
        <v>0</v>
      </c>
      <c r="G47" s="639">
        <f t="shared" si="1"/>
        <v>5415</v>
      </c>
      <c r="I47" s="639"/>
    </row>
    <row r="48" spans="2:9" x14ac:dyDescent="0.25">
      <c r="B48" s="438" t="s">
        <v>600</v>
      </c>
      <c r="C48" s="639">
        <f>30453+23459</f>
        <v>53912</v>
      </c>
      <c r="D48" s="639">
        <v>0</v>
      </c>
      <c r="E48" s="639">
        <v>0</v>
      </c>
      <c r="F48" s="639">
        <v>0</v>
      </c>
      <c r="G48" s="639">
        <f>SUM(C48:F48)</f>
        <v>53912</v>
      </c>
      <c r="H48" s="682"/>
      <c r="I48" s="680"/>
    </row>
    <row r="49" spans="2:11" x14ac:dyDescent="0.25">
      <c r="B49" s="438" t="s">
        <v>834</v>
      </c>
      <c r="C49" s="639">
        <v>0</v>
      </c>
      <c r="D49" s="639">
        <v>0</v>
      </c>
      <c r="E49" s="639">
        <v>0</v>
      </c>
      <c r="F49" s="639">
        <v>4295</v>
      </c>
      <c r="G49" s="639">
        <f>SUM(C49:F49)</f>
        <v>4295</v>
      </c>
      <c r="H49" s="682"/>
      <c r="I49" s="680"/>
    </row>
    <row r="50" spans="2:11" x14ac:dyDescent="0.25">
      <c r="B50" s="71" t="s">
        <v>594</v>
      </c>
      <c r="C50" s="639"/>
      <c r="D50" s="639"/>
      <c r="E50" s="639"/>
      <c r="F50" s="639"/>
      <c r="G50" s="639"/>
      <c r="I50" s="55"/>
      <c r="K50" s="55"/>
    </row>
    <row r="51" spans="2:11" ht="15.75" customHeight="1" x14ac:dyDescent="0.25">
      <c r="B51" s="58" t="s">
        <v>67</v>
      </c>
      <c r="C51" s="639">
        <v>0</v>
      </c>
      <c r="D51" s="639">
        <v>0</v>
      </c>
      <c r="E51" s="639">
        <v>23400</v>
      </c>
      <c r="F51" s="639">
        <v>0</v>
      </c>
      <c r="G51" s="639">
        <f t="shared" si="1"/>
        <v>23400</v>
      </c>
    </row>
    <row r="52" spans="2:11" x14ac:dyDescent="0.25">
      <c r="B52" s="425" t="s">
        <v>606</v>
      </c>
      <c r="C52" s="639">
        <v>76541</v>
      </c>
      <c r="D52" s="639">
        <v>0</v>
      </c>
      <c r="E52" s="639">
        <v>0</v>
      </c>
      <c r="F52" s="639">
        <v>0</v>
      </c>
      <c r="G52" s="639">
        <f t="shared" si="1"/>
        <v>76541</v>
      </c>
    </row>
    <row r="53" spans="2:11" x14ac:dyDescent="0.25">
      <c r="B53" s="426" t="s">
        <v>598</v>
      </c>
      <c r="C53" s="791">
        <f>C23-C30-C36-SUM(C41:C52)</f>
        <v>337687</v>
      </c>
      <c r="D53" s="639">
        <v>0</v>
      </c>
      <c r="E53" s="639">
        <v>0</v>
      </c>
      <c r="F53" s="639">
        <v>0</v>
      </c>
      <c r="G53" s="639">
        <f t="shared" si="1"/>
        <v>337687</v>
      </c>
      <c r="H53" s="682"/>
    </row>
    <row r="54" spans="2:11" x14ac:dyDescent="0.25">
      <c r="B54" s="57" t="s">
        <v>22</v>
      </c>
      <c r="C54" s="647">
        <f>SUM(C41:C53)</f>
        <v>606909</v>
      </c>
      <c r="D54" s="647">
        <f>SUM(D41:D53)</f>
        <v>5415</v>
      </c>
      <c r="E54" s="647">
        <f>SUM(E41:E53)</f>
        <v>23400</v>
      </c>
      <c r="F54" s="647">
        <f>SUM(F41:F53)</f>
        <v>29351</v>
      </c>
      <c r="G54" s="656">
        <f>SUM(G41:G53)</f>
        <v>665075</v>
      </c>
      <c r="I54" s="56"/>
    </row>
    <row r="55" spans="2:11" s="432" customFormat="1" ht="27" thickBot="1" x14ac:dyDescent="0.3">
      <c r="B55" s="310" t="s">
        <v>644</v>
      </c>
      <c r="C55" s="650">
        <f>+C30+C54+C36</f>
        <v>844858</v>
      </c>
      <c r="D55" s="650">
        <f>+D30+D54</f>
        <v>22415</v>
      </c>
      <c r="E55" s="650">
        <f>+E30+E54</f>
        <v>23400</v>
      </c>
      <c r="F55" s="660">
        <f>+F30+F54</f>
        <v>34351</v>
      </c>
      <c r="G55" s="661"/>
    </row>
    <row r="56" spans="2:11" ht="13.8" thickTop="1" x14ac:dyDescent="0.25">
      <c r="C56" s="662"/>
      <c r="D56" s="662"/>
      <c r="E56" s="662"/>
      <c r="F56" s="662"/>
      <c r="G56" s="662" t="s">
        <v>733</v>
      </c>
    </row>
    <row r="57" spans="2:11" x14ac:dyDescent="0.25">
      <c r="C57" s="662"/>
      <c r="D57" s="662"/>
      <c r="E57" s="662"/>
      <c r="F57" s="662"/>
      <c r="G57" s="662"/>
    </row>
    <row r="58" spans="2:11" x14ac:dyDescent="0.25">
      <c r="C58" s="662"/>
      <c r="D58" s="662"/>
      <c r="E58" s="662"/>
      <c r="F58" s="662"/>
      <c r="G58" s="662"/>
    </row>
    <row r="59" spans="2:11" x14ac:dyDescent="0.25">
      <c r="C59" s="662"/>
      <c r="D59" s="662"/>
      <c r="E59" s="662"/>
      <c r="F59" s="662"/>
      <c r="G59" s="662"/>
    </row>
    <row r="60" spans="2:11" x14ac:dyDescent="0.25">
      <c r="C60" s="662"/>
      <c r="D60" s="662"/>
      <c r="E60" s="662"/>
      <c r="F60" s="662"/>
      <c r="G60" s="662"/>
    </row>
    <row r="61" spans="2:11" x14ac:dyDescent="0.25">
      <c r="C61" s="662"/>
      <c r="D61" s="662"/>
      <c r="E61" s="662"/>
      <c r="F61" s="662"/>
      <c r="G61" s="662"/>
    </row>
    <row r="62" spans="2:11" x14ac:dyDescent="0.25">
      <c r="C62" s="662"/>
      <c r="D62" s="662"/>
      <c r="E62" s="662"/>
      <c r="F62" s="662"/>
      <c r="G62" s="662"/>
    </row>
    <row r="63" spans="2:11" x14ac:dyDescent="0.25">
      <c r="C63" s="662"/>
      <c r="D63" s="662"/>
      <c r="E63" s="662"/>
      <c r="F63" s="662"/>
      <c r="G63" s="662"/>
    </row>
    <row r="64" spans="2:11" x14ac:dyDescent="0.25">
      <c r="C64" s="662"/>
      <c r="D64" s="663"/>
      <c r="E64" s="662"/>
      <c r="F64" s="662"/>
      <c r="G64" s="331"/>
    </row>
    <row r="65" spans="2:7" x14ac:dyDescent="0.25">
      <c r="C65" s="17" t="s">
        <v>181</v>
      </c>
      <c r="D65" s="86"/>
      <c r="G65" s="132" t="s">
        <v>25</v>
      </c>
    </row>
    <row r="66" spans="2:7" x14ac:dyDescent="0.25">
      <c r="D66" s="86" t="s">
        <v>0</v>
      </c>
      <c r="G66" s="41" t="s">
        <v>733</v>
      </c>
    </row>
    <row r="67" spans="2:7" s="26" customFormat="1" ht="15" customHeight="1" x14ac:dyDescent="0.25">
      <c r="C67" s="71" t="s">
        <v>181</v>
      </c>
      <c r="D67" s="86" t="s">
        <v>14</v>
      </c>
      <c r="E67" s="71"/>
      <c r="F67" s="71"/>
    </row>
    <row r="68" spans="2:7" s="26" customFormat="1" ht="12.75" customHeight="1" x14ac:dyDescent="0.25">
      <c r="C68" s="71"/>
      <c r="D68" s="86" t="s">
        <v>15</v>
      </c>
      <c r="E68" s="71"/>
      <c r="F68" s="71"/>
      <c r="G68" s="664"/>
    </row>
    <row r="69" spans="2:7" s="26" customFormat="1" ht="12.75" customHeight="1" x14ac:dyDescent="0.25">
      <c r="C69" s="71"/>
      <c r="D69" s="418" t="str">
        <f>B6</f>
        <v>June 30, 2023</v>
      </c>
      <c r="E69" s="71"/>
      <c r="F69" s="71"/>
      <c r="G69" s="664"/>
    </row>
    <row r="70" spans="2:7" s="26" customFormat="1" ht="12.75" customHeight="1" x14ac:dyDescent="0.25">
      <c r="C70" s="71"/>
      <c r="D70" s="71"/>
      <c r="E70" s="71"/>
      <c r="F70" s="71"/>
      <c r="G70" s="664"/>
    </row>
    <row r="71" spans="2:7" ht="26.25" customHeight="1" x14ac:dyDescent="0.25">
      <c r="C71" s="910" t="s">
        <v>654</v>
      </c>
      <c r="D71" s="911"/>
      <c r="E71" s="911"/>
      <c r="F71" s="911"/>
    </row>
    <row r="72" spans="2:7" ht="13.5" customHeight="1" x14ac:dyDescent="0.25">
      <c r="C72" s="910" t="s">
        <v>603</v>
      </c>
      <c r="D72" s="910"/>
      <c r="E72" s="910"/>
      <c r="F72" s="910"/>
      <c r="G72" s="690">
        <f>G54</f>
        <v>665075</v>
      </c>
    </row>
    <row r="73" spans="2:7" ht="12.75" customHeight="1" x14ac:dyDescent="0.25">
      <c r="C73" s="912" t="s">
        <v>24</v>
      </c>
      <c r="D73" s="912"/>
      <c r="E73" s="912"/>
      <c r="F73" s="912"/>
      <c r="G73" s="638"/>
    </row>
    <row r="74" spans="2:7" ht="12.75" customHeight="1" x14ac:dyDescent="0.25">
      <c r="C74" s="912"/>
      <c r="D74" s="912"/>
      <c r="E74" s="912"/>
      <c r="F74" s="912"/>
      <c r="G74" s="638"/>
    </row>
    <row r="75" spans="2:7" ht="17.25" customHeight="1" x14ac:dyDescent="0.25">
      <c r="C75" s="913" t="s">
        <v>551</v>
      </c>
      <c r="D75" s="913"/>
      <c r="E75" s="913"/>
      <c r="F75" s="873">
        <f>7817894</f>
        <v>7817894</v>
      </c>
      <c r="G75" s="638"/>
    </row>
    <row r="76" spans="2:7" ht="12.75" customHeight="1" x14ac:dyDescent="0.25">
      <c r="B76" s="17" t="s">
        <v>181</v>
      </c>
      <c r="C76" s="913" t="s">
        <v>550</v>
      </c>
      <c r="D76" s="913"/>
      <c r="E76" s="18"/>
      <c r="F76" s="793">
        <v>-3463814</v>
      </c>
      <c r="G76" s="638"/>
    </row>
    <row r="77" spans="2:7" ht="41.25" customHeight="1" x14ac:dyDescent="0.25">
      <c r="C77" s="914" t="s">
        <v>682</v>
      </c>
      <c r="D77" s="913"/>
      <c r="E77" s="913"/>
      <c r="F77" s="332"/>
      <c r="G77" s="638"/>
    </row>
    <row r="78" spans="2:7" x14ac:dyDescent="0.25">
      <c r="C78" s="913"/>
      <c r="D78" s="913"/>
      <c r="E78" s="913"/>
      <c r="F78" s="333">
        <v>-24670</v>
      </c>
      <c r="G78" s="638">
        <f>SUM(F75:F78)</f>
        <v>4329410</v>
      </c>
    </row>
    <row r="79" spans="2:7" ht="3.75" customHeight="1" x14ac:dyDescent="0.25">
      <c r="C79" s="315"/>
      <c r="D79" s="315"/>
      <c r="E79" s="315"/>
      <c r="F79" s="334"/>
      <c r="G79" s="638"/>
    </row>
    <row r="80" spans="2:7" x14ac:dyDescent="0.25">
      <c r="C80" s="912" t="s">
        <v>851</v>
      </c>
      <c r="D80" s="912"/>
      <c r="E80" s="912"/>
      <c r="F80" s="912"/>
      <c r="G80" s="638"/>
    </row>
    <row r="81" spans="2:11" x14ac:dyDescent="0.25">
      <c r="C81" s="912"/>
      <c r="D81" s="912"/>
      <c r="E81" s="912"/>
      <c r="F81" s="912"/>
      <c r="G81" s="638"/>
    </row>
    <row r="82" spans="2:11" x14ac:dyDescent="0.25">
      <c r="C82" s="913" t="s">
        <v>848</v>
      </c>
      <c r="D82" s="913"/>
      <c r="E82" s="913"/>
      <c r="F82" s="792">
        <v>168135</v>
      </c>
      <c r="G82" s="638"/>
    </row>
    <row r="83" spans="2:11" x14ac:dyDescent="0.25">
      <c r="C83" s="913" t="s">
        <v>843</v>
      </c>
      <c r="D83" s="913"/>
      <c r="E83" s="18"/>
      <c r="F83" s="794">
        <v>-58624</v>
      </c>
      <c r="G83" s="789">
        <f>F82+F83</f>
        <v>109511</v>
      </c>
    </row>
    <row r="84" spans="2:11" ht="26.4" customHeight="1" x14ac:dyDescent="0.25">
      <c r="C84" s="915" t="s">
        <v>730</v>
      </c>
      <c r="D84" s="916"/>
      <c r="E84" s="916"/>
      <c r="F84" s="332"/>
      <c r="G84" s="791">
        <f>366897-6914</f>
        <v>359983</v>
      </c>
      <c r="H84" s="634"/>
      <c r="J84" s="55"/>
      <c r="K84" s="55"/>
    </row>
    <row r="85" spans="2:11" ht="26.4" customHeight="1" x14ac:dyDescent="0.25">
      <c r="C85" s="915" t="s">
        <v>773</v>
      </c>
      <c r="D85" s="916"/>
      <c r="E85" s="916"/>
      <c r="F85" s="332"/>
      <c r="G85" s="791">
        <f>'1-GWNetPos'!C37-776</f>
        <v>38330.99</v>
      </c>
      <c r="J85" s="55"/>
      <c r="K85" s="55"/>
    </row>
    <row r="86" spans="2:11" ht="45.75" customHeight="1" x14ac:dyDescent="0.25">
      <c r="C86" s="917" t="s">
        <v>683</v>
      </c>
      <c r="D86" s="912"/>
      <c r="E86" s="912"/>
      <c r="F86" s="912"/>
      <c r="G86" s="639">
        <f>12949-800+800+69-69</f>
        <v>12949</v>
      </c>
    </row>
    <row r="87" spans="2:11" ht="78.599999999999994" customHeight="1" x14ac:dyDescent="0.25">
      <c r="C87" s="917" t="s">
        <v>670</v>
      </c>
      <c r="D87" s="912"/>
      <c r="E87" s="912"/>
      <c r="F87" s="793">
        <v>32704</v>
      </c>
      <c r="G87" s="638"/>
    </row>
    <row r="88" spans="2:11" ht="38.25" customHeight="1" x14ac:dyDescent="0.25">
      <c r="B88" s="17" t="s">
        <v>181</v>
      </c>
      <c r="C88" s="916" t="s">
        <v>562</v>
      </c>
      <c r="D88" s="916"/>
      <c r="E88" s="916"/>
      <c r="F88" s="333">
        <v>-300</v>
      </c>
      <c r="G88" s="638">
        <f>SUM(F87:F88)</f>
        <v>32404</v>
      </c>
    </row>
    <row r="89" spans="2:11" ht="28.5" customHeight="1" x14ac:dyDescent="0.25">
      <c r="C89" s="917" t="s">
        <v>684</v>
      </c>
      <c r="D89" s="912"/>
      <c r="E89" s="912"/>
      <c r="F89" s="58"/>
      <c r="G89" s="638">
        <f>63235-6055</f>
        <v>57180</v>
      </c>
    </row>
    <row r="90" spans="2:11" ht="32.25" customHeight="1" x14ac:dyDescent="0.25">
      <c r="C90" s="912" t="s">
        <v>611</v>
      </c>
      <c r="D90" s="912"/>
      <c r="E90" s="912"/>
      <c r="F90" s="912"/>
    </row>
    <row r="91" spans="2:11" ht="39.6" customHeight="1" x14ac:dyDescent="0.25">
      <c r="B91" s="17" t="s">
        <v>181</v>
      </c>
      <c r="C91" s="914" t="s">
        <v>655</v>
      </c>
      <c r="D91" s="913"/>
      <c r="E91" s="911"/>
      <c r="F91" s="793">
        <f>-542161+2400</f>
        <v>-539761</v>
      </c>
    </row>
    <row r="92" spans="2:11" x14ac:dyDescent="0.25">
      <c r="C92" s="457" t="s">
        <v>719</v>
      </c>
      <c r="D92" s="315"/>
      <c r="E92" s="338"/>
      <c r="F92" s="874">
        <f>-'1-GWNetPos'!E53*0.605+7923</f>
        <v>-388210.43</v>
      </c>
    </row>
    <row r="93" spans="2:11" x14ac:dyDescent="0.25">
      <c r="C93" s="457" t="s">
        <v>739</v>
      </c>
      <c r="D93" s="315"/>
      <c r="E93" s="338"/>
      <c r="F93" s="334">
        <f>-'1-GWNetPos'!C54</f>
        <v>-219382</v>
      </c>
    </row>
    <row r="94" spans="2:11" x14ac:dyDescent="0.25">
      <c r="C94" s="457" t="s">
        <v>788</v>
      </c>
      <c r="D94" s="315"/>
      <c r="E94" s="338"/>
      <c r="F94" s="874">
        <f>-'1-GWNetPos'!C55+14368</f>
        <v>-710011.20499999996</v>
      </c>
      <c r="G94" s="640">
        <f>SUM(F91:F94)</f>
        <v>-1857364.6349999998</v>
      </c>
    </row>
    <row r="95" spans="2:11" ht="26.4" customHeight="1" x14ac:dyDescent="0.25">
      <c r="C95" s="918" t="s">
        <v>731</v>
      </c>
      <c r="D95" s="916"/>
      <c r="E95" s="916"/>
      <c r="F95" s="916"/>
      <c r="G95" s="787">
        <f>-'1-GWNetPos'!C63+166</f>
        <v>-12289.339999999993</v>
      </c>
      <c r="I95" s="611"/>
    </row>
    <row r="96" spans="2:11" ht="26.4" customHeight="1" x14ac:dyDescent="0.25">
      <c r="C96" s="918" t="s">
        <v>774</v>
      </c>
      <c r="D96" s="916"/>
      <c r="E96" s="916"/>
      <c r="F96" s="916"/>
      <c r="G96" s="787">
        <f>-'1-GWNetPos'!C64+73</f>
        <v>-3595.1149999999998</v>
      </c>
      <c r="I96" s="611"/>
      <c r="J96" s="653"/>
    </row>
    <row r="97" spans="2:10" ht="32.25" customHeight="1" x14ac:dyDescent="0.25">
      <c r="C97" s="912" t="s">
        <v>610</v>
      </c>
      <c r="D97" s="912"/>
      <c r="E97" s="912"/>
      <c r="F97" s="912"/>
      <c r="G97" s="875">
        <v>-2489</v>
      </c>
    </row>
    <row r="98" spans="2:10" ht="17.25" customHeight="1" thickBot="1" x14ac:dyDescent="0.3">
      <c r="C98" s="422" t="s">
        <v>656</v>
      </c>
      <c r="D98" s="58"/>
      <c r="G98" s="665">
        <f>SUM(G71:G97)</f>
        <v>3729104.9000000004</v>
      </c>
      <c r="H98" s="313"/>
      <c r="I98" s="313">
        <f>G98-'1-GWNetPos'!C76</f>
        <v>6.5000000409781933E-2</v>
      </c>
      <c r="J98" s="313"/>
    </row>
    <row r="99" spans="2:10" ht="14.4" thickTop="1" thickBot="1" x14ac:dyDescent="0.3">
      <c r="H99" s="610"/>
      <c r="J99" s="313"/>
    </row>
    <row r="100" spans="2:10" x14ac:dyDescent="0.25">
      <c r="B100" s="899" t="s">
        <v>714</v>
      </c>
      <c r="C100" s="900"/>
      <c r="D100" s="900"/>
      <c r="E100" s="900"/>
      <c r="F100" s="900"/>
      <c r="G100" s="901"/>
      <c r="H100" s="610"/>
    </row>
    <row r="101" spans="2:10" x14ac:dyDescent="0.25">
      <c r="B101" s="902"/>
      <c r="C101" s="903"/>
      <c r="D101" s="903"/>
      <c r="E101" s="903"/>
      <c r="F101" s="903"/>
      <c r="G101" s="904"/>
    </row>
    <row r="102" spans="2:10" ht="13.8" thickBot="1" x14ac:dyDescent="0.3">
      <c r="B102" s="905"/>
      <c r="C102" s="906"/>
      <c r="D102" s="906"/>
      <c r="E102" s="906"/>
      <c r="F102" s="906"/>
      <c r="G102" s="907"/>
    </row>
    <row r="103" spans="2:10" x14ac:dyDescent="0.25">
      <c r="B103" s="593"/>
      <c r="C103" s="593"/>
      <c r="D103" s="593"/>
      <c r="E103" s="593"/>
      <c r="F103" s="311"/>
      <c r="G103" s="311"/>
    </row>
    <row r="104" spans="2:10" x14ac:dyDescent="0.25">
      <c r="B104" s="17" t="s">
        <v>8</v>
      </c>
      <c r="G104" s="313"/>
      <c r="H104" s="610"/>
    </row>
    <row r="105" spans="2:10" x14ac:dyDescent="0.25">
      <c r="G105" s="666"/>
    </row>
  </sheetData>
  <mergeCells count="25">
    <mergeCell ref="C95:F95"/>
    <mergeCell ref="C97:F97"/>
    <mergeCell ref="B100:G102"/>
    <mergeCell ref="C87:E87"/>
    <mergeCell ref="C88:E88"/>
    <mergeCell ref="C89:E89"/>
    <mergeCell ref="C90:F90"/>
    <mergeCell ref="C91:E91"/>
    <mergeCell ref="C96:F96"/>
    <mergeCell ref="C84:E84"/>
    <mergeCell ref="C86:F86"/>
    <mergeCell ref="C85:E85"/>
    <mergeCell ref="C80:F81"/>
    <mergeCell ref="C82:E82"/>
    <mergeCell ref="C83:D83"/>
    <mergeCell ref="C72:F72"/>
    <mergeCell ref="C73:F74"/>
    <mergeCell ref="C75:E75"/>
    <mergeCell ref="C76:D76"/>
    <mergeCell ref="C77:E78"/>
    <mergeCell ref="B3:G3"/>
    <mergeCell ref="B4:G4"/>
    <mergeCell ref="B5:G5"/>
    <mergeCell ref="B6:G6"/>
    <mergeCell ref="C71:F71"/>
  </mergeCells>
  <printOptions horizontalCentered="1"/>
  <pageMargins left="0.7" right="0.7" top="0.75" bottom="0.75" header="0.3" footer="0.3"/>
  <pageSetup scale="83" fitToHeight="0" orientation="portrait" r:id="rId1"/>
  <rowBreaks count="2" manualBreakCount="2">
    <brk id="64" min="1" max="6" man="1"/>
    <brk id="104" min="1" max="7" man="1"/>
  </rowBreaks>
  <colBreaks count="1" manualBreakCount="1">
    <brk id="6" min="1" max="88"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FF00"/>
    <pageSetUpPr fitToPage="1"/>
  </sheetPr>
  <dimension ref="B2:S49"/>
  <sheetViews>
    <sheetView workbookViewId="0">
      <selection activeCell="M14" sqref="M14"/>
    </sheetView>
  </sheetViews>
  <sheetFormatPr defaultColWidth="9.109375" defaultRowHeight="13.2" x14ac:dyDescent="0.25"/>
  <cols>
    <col min="1" max="1" width="9.109375" style="402"/>
    <col min="2" max="2" width="9.88671875" style="402" customWidth="1"/>
    <col min="3" max="3" width="4.109375" style="402" customWidth="1"/>
    <col min="4" max="4" width="2" style="402" customWidth="1"/>
    <col min="5" max="5" width="12.88671875" style="402" customWidth="1"/>
    <col min="6" max="6" width="4" style="402" customWidth="1"/>
    <col min="7" max="7" width="2" style="402" customWidth="1"/>
    <col min="8" max="8" width="12.44140625" style="402" customWidth="1"/>
    <col min="9" max="9" width="4.109375" style="402" customWidth="1"/>
    <col min="10" max="10" width="2" style="402" customWidth="1"/>
    <col min="11" max="11" width="12.44140625" style="402" customWidth="1"/>
    <col min="12" max="12" width="3.109375" style="402" customWidth="1"/>
    <col min="13" max="13" width="2" style="402" customWidth="1"/>
    <col min="14" max="14" width="12.88671875" style="402" customWidth="1"/>
    <col min="15" max="15" width="3.109375" style="402" customWidth="1"/>
    <col min="16" max="16384" width="9.109375" style="402"/>
  </cols>
  <sheetData>
    <row r="2" spans="2:17" s="411" customFormat="1" x14ac:dyDescent="0.25">
      <c r="B2" s="166" t="s">
        <v>142</v>
      </c>
      <c r="C2" s="166"/>
      <c r="D2" s="166"/>
      <c r="E2" s="166"/>
      <c r="F2" s="166"/>
      <c r="G2" s="166"/>
      <c r="H2" s="166"/>
      <c r="I2" s="166"/>
      <c r="J2" s="166"/>
      <c r="K2" s="166"/>
      <c r="L2" s="166"/>
      <c r="M2" s="166"/>
      <c r="N2" s="166"/>
      <c r="O2" s="167"/>
    </row>
    <row r="3" spans="2:17" s="411" customFormat="1" x14ac:dyDescent="0.25">
      <c r="B3" s="166" t="s">
        <v>360</v>
      </c>
      <c r="C3" s="166"/>
      <c r="D3" s="166"/>
      <c r="E3" s="166"/>
      <c r="F3" s="166"/>
      <c r="G3" s="166"/>
      <c r="H3" s="166"/>
      <c r="I3" s="166"/>
      <c r="J3" s="166"/>
      <c r="K3" s="166"/>
      <c r="L3" s="166"/>
      <c r="M3" s="166"/>
      <c r="N3" s="166"/>
      <c r="O3" s="167"/>
    </row>
    <row r="4" spans="2:17" s="411" customFormat="1" x14ac:dyDescent="0.25">
      <c r="B4" s="440">
        <v>45107</v>
      </c>
      <c r="C4" s="166"/>
      <c r="D4" s="166"/>
      <c r="E4" s="166"/>
      <c r="F4" s="166"/>
      <c r="G4" s="166"/>
      <c r="H4" s="166"/>
      <c r="I4" s="166"/>
      <c r="J4" s="166"/>
      <c r="K4" s="166"/>
      <c r="L4" s="166"/>
      <c r="M4" s="166"/>
      <c r="N4" s="166"/>
      <c r="O4" s="167"/>
    </row>
    <row r="5" spans="2:17" ht="13.8" thickBot="1" x14ac:dyDescent="0.3">
      <c r="B5" s="168"/>
      <c r="C5" s="168"/>
      <c r="D5" s="168"/>
      <c r="E5" s="168"/>
      <c r="F5" s="168"/>
      <c r="G5" s="168"/>
      <c r="H5" s="168"/>
      <c r="I5" s="168"/>
      <c r="J5" s="168"/>
      <c r="K5" s="168"/>
      <c r="L5" s="168"/>
      <c r="M5" s="168"/>
      <c r="N5" s="168"/>
      <c r="O5" s="165"/>
    </row>
    <row r="6" spans="2:17" x14ac:dyDescent="0.25">
      <c r="B6" s="165"/>
      <c r="C6" s="165"/>
      <c r="D6" s="169"/>
      <c r="E6" s="165"/>
      <c r="F6" s="165"/>
      <c r="G6" s="169"/>
      <c r="H6" s="165"/>
      <c r="I6" s="165"/>
      <c r="J6" s="169"/>
      <c r="K6" s="165"/>
      <c r="L6" s="165"/>
      <c r="M6" s="169"/>
      <c r="N6" s="165"/>
      <c r="O6" s="165"/>
    </row>
    <row r="7" spans="2:17" x14ac:dyDescent="0.25">
      <c r="B7" s="165"/>
      <c r="C7" s="165"/>
      <c r="D7" s="169"/>
      <c r="E7" s="169" t="s">
        <v>361</v>
      </c>
      <c r="F7" s="165"/>
      <c r="G7" s="169"/>
      <c r="H7" s="165"/>
      <c r="I7" s="165"/>
      <c r="J7" s="169"/>
      <c r="K7" s="165"/>
      <c r="L7" s="165"/>
      <c r="M7" s="169"/>
      <c r="N7" s="169" t="s">
        <v>361</v>
      </c>
      <c r="O7" s="165"/>
    </row>
    <row r="8" spans="2:17" x14ac:dyDescent="0.25">
      <c r="B8" s="165"/>
      <c r="C8" s="165"/>
      <c r="D8" s="169"/>
      <c r="E8" s="169" t="s">
        <v>362</v>
      </c>
      <c r="F8" s="165"/>
      <c r="G8" s="169"/>
      <c r="H8" s="165"/>
      <c r="I8" s="165"/>
      <c r="J8" s="169"/>
      <c r="K8" s="169" t="s">
        <v>363</v>
      </c>
      <c r="L8" s="165"/>
      <c r="M8" s="169"/>
      <c r="N8" s="169" t="s">
        <v>362</v>
      </c>
      <c r="O8" s="165"/>
    </row>
    <row r="9" spans="2:17" x14ac:dyDescent="0.25">
      <c r="B9" s="170" t="s">
        <v>364</v>
      </c>
      <c r="C9" s="165"/>
      <c r="D9" s="169"/>
      <c r="E9" s="439">
        <v>44012</v>
      </c>
      <c r="F9" s="165"/>
      <c r="G9" s="169"/>
      <c r="H9" s="171" t="s">
        <v>365</v>
      </c>
      <c r="I9" s="165"/>
      <c r="J9" s="169"/>
      <c r="K9" s="171" t="s">
        <v>366</v>
      </c>
      <c r="L9" s="165"/>
      <c r="M9" s="169"/>
      <c r="N9" s="439">
        <v>44377</v>
      </c>
      <c r="O9" s="165"/>
    </row>
    <row r="10" spans="2:17" x14ac:dyDescent="0.25">
      <c r="B10" s="165"/>
      <c r="C10" s="165"/>
      <c r="D10" s="169"/>
      <c r="E10" s="165"/>
      <c r="F10" s="165"/>
      <c r="G10" s="169"/>
      <c r="H10" s="165"/>
      <c r="I10" s="165"/>
      <c r="J10" s="169"/>
      <c r="K10" s="165"/>
      <c r="L10" s="165"/>
      <c r="M10" s="169"/>
      <c r="N10" s="165"/>
      <c r="O10" s="165"/>
    </row>
    <row r="11" spans="2:17" x14ac:dyDescent="0.25">
      <c r="B11" s="556" t="s">
        <v>836</v>
      </c>
      <c r="C11" s="165"/>
      <c r="D11" s="172" t="s">
        <v>367</v>
      </c>
      <c r="E11" s="173" t="s">
        <v>368</v>
      </c>
      <c r="F11" s="160"/>
      <c r="G11" s="172" t="s">
        <v>367</v>
      </c>
      <c r="H11" s="884">
        <f>AnalysisTaxLevy!L21</f>
        <v>975882.92599999998</v>
      </c>
      <c r="I11" s="174" t="s">
        <v>163</v>
      </c>
      <c r="J11" s="172" t="s">
        <v>367</v>
      </c>
      <c r="K11" s="884">
        <f>AnalysisTaxLevy!L25</f>
        <v>950907.92599999998</v>
      </c>
      <c r="L11" s="174" t="s">
        <v>164</v>
      </c>
      <c r="M11" s="172" t="s">
        <v>367</v>
      </c>
      <c r="N11" s="160">
        <f>-AnalysisTaxLevy!L23</f>
        <v>24975</v>
      </c>
      <c r="O11" s="54" t="s">
        <v>167</v>
      </c>
      <c r="Q11" s="557"/>
    </row>
    <row r="12" spans="2:17" x14ac:dyDescent="0.25">
      <c r="B12" s="556" t="s">
        <v>802</v>
      </c>
      <c r="C12" s="165"/>
      <c r="D12" s="172"/>
      <c r="E12" s="160">
        <f>24912+2000</f>
        <v>26912</v>
      </c>
      <c r="F12" s="160"/>
      <c r="G12" s="172"/>
      <c r="H12" s="173" t="s">
        <v>368</v>
      </c>
      <c r="I12" s="160"/>
      <c r="J12" s="172"/>
      <c r="K12" s="160">
        <v>12632</v>
      </c>
      <c r="L12" s="160"/>
      <c r="M12" s="172"/>
      <c r="N12" s="160">
        <f>E12-K12</f>
        <v>14280</v>
      </c>
      <c r="O12" s="165"/>
    </row>
    <row r="13" spans="2:17" x14ac:dyDescent="0.25">
      <c r="B13" s="556" t="s">
        <v>801</v>
      </c>
      <c r="C13" s="165"/>
      <c r="D13" s="172"/>
      <c r="E13" s="160">
        <f>17713+1117</f>
        <v>18830</v>
      </c>
      <c r="F13" s="160"/>
      <c r="G13" s="172"/>
      <c r="H13" s="173" t="s">
        <v>368</v>
      </c>
      <c r="I13" s="160"/>
      <c r="J13" s="172"/>
      <c r="K13" s="160">
        <v>7697</v>
      </c>
      <c r="L13" s="160"/>
      <c r="M13" s="172"/>
      <c r="N13" s="160">
        <f t="shared" ref="N13:N19" si="0">E13-K13</f>
        <v>11133</v>
      </c>
      <c r="O13" s="165"/>
    </row>
    <row r="14" spans="2:17" x14ac:dyDescent="0.25">
      <c r="B14" s="556" t="s">
        <v>767</v>
      </c>
      <c r="C14" s="165"/>
      <c r="D14" s="172"/>
      <c r="E14" s="160">
        <f>8777+3107</f>
        <v>11884</v>
      </c>
      <c r="F14" s="160"/>
      <c r="G14" s="172"/>
      <c r="H14" s="173" t="s">
        <v>368</v>
      </c>
      <c r="I14" s="160"/>
      <c r="J14" s="172"/>
      <c r="K14" s="160">
        <f>2965+2000</f>
        <v>4965</v>
      </c>
      <c r="L14" s="160"/>
      <c r="M14" s="172"/>
      <c r="N14" s="160">
        <f t="shared" si="0"/>
        <v>6919</v>
      </c>
      <c r="O14" s="165"/>
    </row>
    <row r="15" spans="2:17" x14ac:dyDescent="0.25">
      <c r="B15" s="556" t="s">
        <v>765</v>
      </c>
      <c r="C15" s="165"/>
      <c r="D15" s="172"/>
      <c r="E15" s="160">
        <f>6818+3239</f>
        <v>10057</v>
      </c>
      <c r="F15" s="160"/>
      <c r="G15" s="172"/>
      <c r="H15" s="173" t="s">
        <v>368</v>
      </c>
      <c r="I15" s="160"/>
      <c r="J15" s="172"/>
      <c r="K15" s="160">
        <f>1612+1243</f>
        <v>2855</v>
      </c>
      <c r="L15" s="160"/>
      <c r="M15" s="172"/>
      <c r="N15" s="160">
        <f t="shared" si="0"/>
        <v>7202</v>
      </c>
      <c r="O15" s="165"/>
    </row>
    <row r="16" spans="2:17" x14ac:dyDescent="0.25">
      <c r="B16" s="556" t="s">
        <v>763</v>
      </c>
      <c r="C16" s="165"/>
      <c r="D16" s="172"/>
      <c r="E16" s="160">
        <f>6189+2867</f>
        <v>9056</v>
      </c>
      <c r="F16" s="160"/>
      <c r="G16" s="172"/>
      <c r="H16" s="173" t="s">
        <v>368</v>
      </c>
      <c r="I16" s="160"/>
      <c r="J16" s="172"/>
      <c r="K16" s="160">
        <v>1223</v>
      </c>
      <c r="L16" s="160"/>
      <c r="M16" s="172"/>
      <c r="N16" s="160">
        <f t="shared" si="0"/>
        <v>7833</v>
      </c>
      <c r="O16" s="165"/>
    </row>
    <row r="17" spans="2:19" x14ac:dyDescent="0.25">
      <c r="B17" s="556" t="s">
        <v>704</v>
      </c>
      <c r="C17" s="165"/>
      <c r="D17" s="172"/>
      <c r="E17" s="160">
        <f>5704+691</f>
        <v>6395</v>
      </c>
      <c r="F17" s="160"/>
      <c r="G17" s="172"/>
      <c r="H17" s="173" t="s">
        <v>368</v>
      </c>
      <c r="I17" s="160"/>
      <c r="J17" s="172"/>
      <c r="K17" s="160">
        <v>871</v>
      </c>
      <c r="L17" s="160"/>
      <c r="M17" s="172"/>
      <c r="N17" s="160">
        <f t="shared" si="0"/>
        <v>5524</v>
      </c>
      <c r="O17" s="165"/>
    </row>
    <row r="18" spans="2:19" x14ac:dyDescent="0.25">
      <c r="B18" s="556" t="s">
        <v>667</v>
      </c>
      <c r="C18" s="165"/>
      <c r="D18" s="172"/>
      <c r="E18" s="160">
        <v>3502</v>
      </c>
      <c r="F18" s="160"/>
      <c r="G18" s="172"/>
      <c r="H18" s="173" t="s">
        <v>368</v>
      </c>
      <c r="I18" s="160"/>
      <c r="J18" s="172"/>
      <c r="K18" s="160">
        <v>521</v>
      </c>
      <c r="L18" s="160"/>
      <c r="M18" s="172"/>
      <c r="N18" s="160">
        <f t="shared" si="0"/>
        <v>2981</v>
      </c>
      <c r="O18" s="165"/>
    </row>
    <row r="19" spans="2:19" x14ac:dyDescent="0.25">
      <c r="B19" s="556" t="s">
        <v>658</v>
      </c>
      <c r="C19" s="165"/>
      <c r="D19" s="172"/>
      <c r="E19" s="160">
        <v>1520</v>
      </c>
      <c r="F19" s="160"/>
      <c r="G19" s="172"/>
      <c r="H19" s="173" t="s">
        <v>368</v>
      </c>
      <c r="I19" s="160"/>
      <c r="J19" s="172"/>
      <c r="K19" s="160">
        <v>100</v>
      </c>
      <c r="L19" s="160"/>
      <c r="M19" s="172"/>
      <c r="N19" s="160">
        <f t="shared" si="0"/>
        <v>1420</v>
      </c>
      <c r="O19" s="165"/>
      <c r="S19" s="557"/>
    </row>
    <row r="20" spans="2:19" x14ac:dyDescent="0.25">
      <c r="B20" s="556" t="s">
        <v>628</v>
      </c>
      <c r="C20" s="165"/>
      <c r="D20" s="172"/>
      <c r="E20" s="176">
        <v>3651</v>
      </c>
      <c r="F20" s="160"/>
      <c r="G20" s="172"/>
      <c r="H20" s="177" t="s">
        <v>368</v>
      </c>
      <c r="I20" s="160"/>
      <c r="J20" s="172"/>
      <c r="K20" s="176">
        <v>3651</v>
      </c>
      <c r="L20" s="160"/>
      <c r="M20" s="172"/>
      <c r="N20" s="176">
        <v>0</v>
      </c>
      <c r="O20" s="165"/>
    </row>
    <row r="21" spans="2:19" x14ac:dyDescent="0.25">
      <c r="B21" s="175"/>
      <c r="C21" s="165"/>
      <c r="D21" s="172"/>
      <c r="F21" s="160"/>
      <c r="G21" s="172"/>
      <c r="I21" s="160"/>
      <c r="J21" s="172"/>
      <c r="L21" s="160"/>
      <c r="M21" s="172"/>
      <c r="O21" s="165"/>
    </row>
    <row r="22" spans="2:19" ht="13.8" thickBot="1" x14ac:dyDescent="0.3">
      <c r="B22" s="165"/>
      <c r="C22" s="165"/>
      <c r="D22" s="172" t="s">
        <v>367</v>
      </c>
      <c r="E22" s="178">
        <f>SUM(E11:E20)</f>
        <v>91807</v>
      </c>
      <c r="F22" s="160"/>
      <c r="G22" s="172" t="s">
        <v>169</v>
      </c>
      <c r="H22" s="178">
        <f>SUM(H11:H20)</f>
        <v>975882.92599999998</v>
      </c>
      <c r="I22" s="160"/>
      <c r="J22" s="172" t="s">
        <v>169</v>
      </c>
      <c r="K22" s="178">
        <f>SUM(K11:K20)</f>
        <v>985422.92599999998</v>
      </c>
      <c r="L22" s="174" t="s">
        <v>369</v>
      </c>
      <c r="M22" s="172"/>
      <c r="N22" s="176">
        <f>SUM(N11:N20)</f>
        <v>82267</v>
      </c>
      <c r="O22" s="165"/>
      <c r="P22" s="557"/>
    </row>
    <row r="23" spans="2:19" ht="13.8" thickTop="1" x14ac:dyDescent="0.25">
      <c r="B23" s="165"/>
      <c r="C23" s="165"/>
      <c r="D23" s="172"/>
      <c r="E23" s="138"/>
      <c r="F23" s="160"/>
      <c r="G23" s="172"/>
      <c r="H23" s="138"/>
      <c r="I23" s="160"/>
      <c r="J23" s="172"/>
      <c r="K23" s="138"/>
      <c r="L23" s="174"/>
      <c r="M23" s="172"/>
      <c r="N23" s="138"/>
      <c r="O23" s="165"/>
    </row>
    <row r="24" spans="2:19" x14ac:dyDescent="0.25">
      <c r="B24" s="165"/>
      <c r="C24" s="165"/>
      <c r="D24" s="169"/>
      <c r="E24" s="54" t="s">
        <v>370</v>
      </c>
      <c r="F24" s="165"/>
      <c r="G24" s="172"/>
      <c r="H24" s="160"/>
      <c r="I24" s="160"/>
      <c r="J24" s="172"/>
      <c r="K24" s="160"/>
      <c r="L24" s="160"/>
      <c r="M24" s="172"/>
      <c r="N24" s="165"/>
      <c r="O24" s="165"/>
      <c r="R24" s="557"/>
    </row>
    <row r="25" spans="2:19" x14ac:dyDescent="0.25">
      <c r="B25" s="165"/>
      <c r="C25" s="165"/>
      <c r="D25" s="169"/>
      <c r="E25" s="54" t="s">
        <v>371</v>
      </c>
      <c r="F25" s="165"/>
      <c r="G25" s="169"/>
      <c r="H25" s="165"/>
      <c r="I25" s="165"/>
      <c r="J25" s="169"/>
      <c r="K25" s="165"/>
      <c r="L25" s="165"/>
      <c r="M25" s="169"/>
      <c r="N25" s="176">
        <f>23032-3000</f>
        <v>20032</v>
      </c>
      <c r="O25" s="165"/>
    </row>
    <row r="26" spans="2:19" x14ac:dyDescent="0.25">
      <c r="B26" s="165"/>
      <c r="C26" s="165"/>
      <c r="D26" s="169"/>
      <c r="E26" s="165"/>
      <c r="F26" s="165"/>
      <c r="G26" s="169"/>
      <c r="H26" s="165"/>
      <c r="I26" s="165"/>
      <c r="J26" s="169"/>
      <c r="K26" s="165"/>
      <c r="L26" s="165"/>
      <c r="M26" s="169"/>
      <c r="N26" s="165"/>
      <c r="O26" s="165"/>
    </row>
    <row r="27" spans="2:19" ht="13.8" thickBot="1" x14ac:dyDescent="0.3">
      <c r="B27" s="165"/>
      <c r="C27" s="165"/>
      <c r="D27" s="169"/>
      <c r="E27" s="174" t="s">
        <v>372</v>
      </c>
      <c r="F27" s="165"/>
      <c r="G27" s="172"/>
      <c r="H27" s="165"/>
      <c r="I27" s="160"/>
      <c r="J27" s="172"/>
      <c r="K27" s="160"/>
      <c r="L27" s="160"/>
      <c r="M27" s="172" t="s">
        <v>169</v>
      </c>
      <c r="N27" s="178">
        <f>N22-N25</f>
        <v>62235</v>
      </c>
      <c r="O27" s="165"/>
    </row>
    <row r="28" spans="2:19" ht="13.8" thickTop="1" x14ac:dyDescent="0.25">
      <c r="B28" s="165"/>
      <c r="C28" s="165"/>
      <c r="D28" s="169"/>
      <c r="E28" s="160"/>
      <c r="F28" s="160"/>
      <c r="G28" s="172"/>
      <c r="H28" s="160"/>
      <c r="I28" s="160"/>
      <c r="J28" s="172"/>
      <c r="K28" s="160"/>
      <c r="L28" s="160"/>
      <c r="M28" s="172"/>
      <c r="N28" s="160"/>
      <c r="O28" s="160"/>
      <c r="R28" s="557"/>
    </row>
    <row r="29" spans="2:19" x14ac:dyDescent="0.25">
      <c r="B29" s="165"/>
      <c r="C29" s="165"/>
      <c r="D29" s="169"/>
      <c r="E29" s="179" t="s">
        <v>669</v>
      </c>
      <c r="F29" s="160"/>
      <c r="G29" s="172"/>
      <c r="H29" s="160"/>
      <c r="I29" s="160"/>
      <c r="J29" s="172"/>
      <c r="K29" s="160"/>
      <c r="L29" s="160"/>
      <c r="M29" s="172"/>
      <c r="N29" s="160"/>
      <c r="O29" s="160"/>
    </row>
    <row r="30" spans="2:19" ht="8.25" customHeight="1" x14ac:dyDescent="0.25">
      <c r="B30" s="165"/>
      <c r="C30" s="165"/>
      <c r="D30" s="169"/>
      <c r="E30" s="165"/>
      <c r="F30" s="165"/>
      <c r="G30" s="169"/>
      <c r="H30" s="165"/>
      <c r="I30" s="165"/>
      <c r="J30" s="169"/>
      <c r="K30" s="165"/>
      <c r="L30" s="165"/>
      <c r="M30" s="169"/>
      <c r="N30" s="165"/>
      <c r="O30" s="165"/>
    </row>
    <row r="31" spans="2:19" x14ac:dyDescent="0.25">
      <c r="B31" s="165"/>
      <c r="C31" s="165"/>
      <c r="D31" s="169"/>
      <c r="E31" s="54" t="s">
        <v>373</v>
      </c>
      <c r="F31" s="160"/>
      <c r="G31" s="172"/>
      <c r="H31" s="160"/>
      <c r="I31" s="160"/>
      <c r="J31" s="172"/>
      <c r="K31" s="160"/>
      <c r="L31" s="160"/>
      <c r="M31" s="172" t="s">
        <v>169</v>
      </c>
      <c r="N31" s="884">
        <v>969504</v>
      </c>
      <c r="O31" s="165"/>
    </row>
    <row r="32" spans="2:19" ht="26.4" customHeight="1" x14ac:dyDescent="0.25">
      <c r="B32" s="165"/>
      <c r="C32" s="165"/>
      <c r="D32" s="169"/>
      <c r="E32" s="1099" t="s">
        <v>833</v>
      </c>
      <c r="F32" s="1099"/>
      <c r="G32" s="1099"/>
      <c r="H32" s="1099"/>
      <c r="I32" s="1099"/>
      <c r="J32" s="172"/>
      <c r="K32" s="160"/>
      <c r="L32" s="160"/>
      <c r="M32" s="172"/>
      <c r="N32" s="160">
        <v>2510</v>
      </c>
      <c r="O32" s="165"/>
    </row>
    <row r="33" spans="2:15" x14ac:dyDescent="0.25">
      <c r="B33" s="165"/>
      <c r="C33" s="165"/>
      <c r="D33" s="169"/>
      <c r="E33" s="54" t="s">
        <v>374</v>
      </c>
      <c r="F33" s="165"/>
      <c r="G33" s="169"/>
      <c r="H33" s="165"/>
      <c r="I33" s="165"/>
      <c r="J33" s="169"/>
      <c r="K33" s="165"/>
      <c r="L33" s="165"/>
      <c r="M33" s="169"/>
      <c r="N33" s="165"/>
      <c r="O33" s="165"/>
    </row>
    <row r="34" spans="2:15" x14ac:dyDescent="0.25">
      <c r="B34" s="165"/>
      <c r="C34" s="165"/>
      <c r="D34" s="169"/>
      <c r="E34" s="54" t="s">
        <v>375</v>
      </c>
      <c r="F34" s="165"/>
      <c r="G34" s="169"/>
      <c r="H34" s="165"/>
      <c r="I34" s="165"/>
      <c r="J34" s="169"/>
      <c r="K34" s="165"/>
      <c r="L34" s="165"/>
      <c r="M34" s="169"/>
      <c r="N34" s="160">
        <v>-1097</v>
      </c>
      <c r="O34" s="165"/>
    </row>
    <row r="35" spans="2:15" x14ac:dyDescent="0.25">
      <c r="B35" s="165"/>
      <c r="C35" s="165"/>
      <c r="D35" s="169"/>
      <c r="E35" s="54" t="s">
        <v>376</v>
      </c>
      <c r="F35" s="165"/>
      <c r="G35" s="169"/>
      <c r="H35" s="165"/>
      <c r="I35" s="165"/>
      <c r="J35" s="169"/>
      <c r="K35" s="165"/>
      <c r="L35" s="165"/>
      <c r="M35" s="169"/>
      <c r="N35" s="160">
        <v>10855</v>
      </c>
      <c r="O35" s="165"/>
    </row>
    <row r="36" spans="2:15" x14ac:dyDescent="0.25">
      <c r="B36" s="165"/>
      <c r="C36" s="165"/>
      <c r="D36" s="169"/>
      <c r="E36" s="54" t="s">
        <v>377</v>
      </c>
      <c r="F36" s="160"/>
      <c r="G36" s="172"/>
      <c r="H36" s="160"/>
      <c r="I36" s="160"/>
      <c r="J36" s="172"/>
      <c r="K36" s="160"/>
      <c r="L36" s="160"/>
      <c r="M36" s="172"/>
      <c r="N36" s="176">
        <v>3651</v>
      </c>
      <c r="O36" s="165"/>
    </row>
    <row r="37" spans="2:15" x14ac:dyDescent="0.25">
      <c r="B37" s="165"/>
      <c r="C37" s="165"/>
      <c r="D37" s="169"/>
      <c r="E37" s="54" t="s">
        <v>378</v>
      </c>
      <c r="F37" s="160"/>
      <c r="G37" s="172"/>
      <c r="H37" s="160"/>
      <c r="I37" s="160"/>
      <c r="J37" s="172"/>
      <c r="K37" s="160"/>
      <c r="L37" s="160"/>
      <c r="M37" s="172"/>
      <c r="N37" s="176">
        <f>SUM(N34:N36)</f>
        <v>13409</v>
      </c>
      <c r="O37" s="165"/>
    </row>
    <row r="38" spans="2:15" ht="13.8" thickBot="1" x14ac:dyDescent="0.3">
      <c r="B38" s="165"/>
      <c r="C38" s="165"/>
      <c r="D38" s="169"/>
      <c r="E38" s="54" t="s">
        <v>379</v>
      </c>
      <c r="F38" s="160"/>
      <c r="G38" s="172"/>
      <c r="H38" s="160"/>
      <c r="I38" s="160"/>
      <c r="J38" s="172"/>
      <c r="K38" s="160"/>
      <c r="L38" s="160"/>
      <c r="M38" s="172" t="s">
        <v>169</v>
      </c>
      <c r="N38" s="178">
        <f>SUM(N31:N32)+N37</f>
        <v>985423</v>
      </c>
      <c r="O38" s="54" t="s">
        <v>369</v>
      </c>
    </row>
    <row r="39" spans="2:15" ht="14.4" thickTop="1" thickBot="1" x14ac:dyDescent="0.3">
      <c r="B39" s="165"/>
      <c r="C39" s="165"/>
      <c r="D39" s="169"/>
      <c r="E39" s="54"/>
      <c r="F39" s="160"/>
      <c r="G39" s="172"/>
      <c r="H39" s="160"/>
      <c r="I39" s="160"/>
      <c r="J39" s="172"/>
      <c r="K39" s="160"/>
      <c r="L39" s="160"/>
      <c r="M39" s="172"/>
      <c r="N39" s="138"/>
      <c r="O39" s="54"/>
    </row>
    <row r="40" spans="2:15" x14ac:dyDescent="0.25">
      <c r="B40" s="1089" t="s">
        <v>700</v>
      </c>
      <c r="C40" s="1090"/>
      <c r="D40" s="1090"/>
      <c r="E40" s="1090"/>
      <c r="F40" s="1090"/>
      <c r="G40" s="1090"/>
      <c r="H40" s="1090"/>
      <c r="I40" s="1090"/>
      <c r="J40" s="1090"/>
      <c r="K40" s="1090"/>
      <c r="L40" s="1090"/>
      <c r="M40" s="1090"/>
      <c r="N40" s="1091"/>
      <c r="O40" s="138"/>
    </row>
    <row r="41" spans="2:15" x14ac:dyDescent="0.25">
      <c r="B41" s="1092"/>
      <c r="C41" s="1093"/>
      <c r="D41" s="1093"/>
      <c r="E41" s="1093"/>
      <c r="F41" s="1093"/>
      <c r="G41" s="1093"/>
      <c r="H41" s="1093"/>
      <c r="I41" s="1093"/>
      <c r="J41" s="1093"/>
      <c r="K41" s="1093"/>
      <c r="L41" s="1093"/>
      <c r="M41" s="1093"/>
      <c r="N41" s="1094"/>
      <c r="O41" s="138"/>
    </row>
    <row r="42" spans="2:15" x14ac:dyDescent="0.25">
      <c r="B42" s="1092"/>
      <c r="C42" s="1093"/>
      <c r="D42" s="1093"/>
      <c r="E42" s="1093"/>
      <c r="F42" s="1093"/>
      <c r="G42" s="1093"/>
      <c r="H42" s="1093"/>
      <c r="I42" s="1093"/>
      <c r="J42" s="1093"/>
      <c r="K42" s="1093"/>
      <c r="L42" s="1093"/>
      <c r="M42" s="1093"/>
      <c r="N42" s="1094"/>
      <c r="O42" s="138"/>
    </row>
    <row r="43" spans="2:15" ht="16.5" customHeight="1" x14ac:dyDescent="0.25">
      <c r="B43" s="779"/>
      <c r="C43" s="780"/>
      <c r="D43" s="780"/>
      <c r="E43" s="781"/>
      <c r="F43" s="781"/>
      <c r="G43" s="781"/>
      <c r="H43" s="781"/>
      <c r="I43" s="781"/>
      <c r="J43" s="781"/>
      <c r="K43" s="781"/>
      <c r="L43" s="781"/>
      <c r="M43" s="781"/>
      <c r="N43" s="782"/>
      <c r="O43" s="138"/>
    </row>
    <row r="44" spans="2:15" ht="14.4" customHeight="1" x14ac:dyDescent="0.25">
      <c r="B44" s="1095" t="s">
        <v>808</v>
      </c>
      <c r="C44" s="1096"/>
      <c r="D44" s="1096"/>
      <c r="E44" s="1096"/>
      <c r="F44" s="1096"/>
      <c r="G44" s="1096"/>
      <c r="H44" s="1096"/>
      <c r="I44" s="1096"/>
      <c r="J44" s="1096"/>
      <c r="K44" s="1096"/>
      <c r="L44" s="1096"/>
      <c r="M44" s="1096"/>
      <c r="N44" s="1097"/>
      <c r="O44" s="138"/>
    </row>
    <row r="45" spans="2:15" x14ac:dyDescent="0.25">
      <c r="B45" s="1098"/>
      <c r="C45" s="1096"/>
      <c r="D45" s="1096"/>
      <c r="E45" s="1096"/>
      <c r="F45" s="1096"/>
      <c r="G45" s="1096"/>
      <c r="H45" s="1096"/>
      <c r="I45" s="1096"/>
      <c r="J45" s="1096"/>
      <c r="K45" s="1096"/>
      <c r="L45" s="1096"/>
      <c r="M45" s="1096"/>
      <c r="N45" s="1097"/>
      <c r="O45" s="138"/>
    </row>
    <row r="46" spans="2:15" ht="13.8" thickBot="1" x14ac:dyDescent="0.3">
      <c r="B46" s="905"/>
      <c r="C46" s="906"/>
      <c r="D46" s="906"/>
      <c r="E46" s="906"/>
      <c r="F46" s="906"/>
      <c r="G46" s="906"/>
      <c r="H46" s="906"/>
      <c r="I46" s="906"/>
      <c r="J46" s="906"/>
      <c r="K46" s="906"/>
      <c r="L46" s="906"/>
      <c r="M46" s="906"/>
      <c r="N46" s="907"/>
      <c r="O46" s="136"/>
    </row>
    <row r="47" spans="2:15" x14ac:dyDescent="0.25">
      <c r="B47" s="136"/>
      <c r="C47" s="136"/>
      <c r="D47" s="137"/>
      <c r="E47" s="136"/>
      <c r="F47" s="136"/>
      <c r="G47" s="137"/>
      <c r="H47" s="136"/>
      <c r="I47" s="136"/>
      <c r="J47" s="137"/>
      <c r="K47" s="136"/>
      <c r="L47" s="136"/>
      <c r="M47" s="137"/>
      <c r="N47" s="136"/>
      <c r="O47" s="136"/>
    </row>
    <row r="48" spans="2:15" x14ac:dyDescent="0.25">
      <c r="B48" s="180"/>
      <c r="C48" s="181"/>
      <c r="D48" s="182"/>
      <c r="E48" s="183"/>
      <c r="F48" s="183"/>
      <c r="G48" s="184"/>
      <c r="H48" s="183"/>
      <c r="I48" s="183"/>
      <c r="J48" s="184"/>
      <c r="K48" s="183"/>
      <c r="L48" s="183"/>
      <c r="M48" s="184"/>
      <c r="N48" s="183"/>
      <c r="O48" s="185"/>
    </row>
    <row r="49" spans="2:15" x14ac:dyDescent="0.25">
      <c r="B49" s="186"/>
      <c r="C49" s="186"/>
      <c r="D49" s="187"/>
      <c r="E49" s="188"/>
      <c r="F49" s="188"/>
      <c r="G49" s="189"/>
      <c r="H49" s="188"/>
      <c r="I49" s="188"/>
      <c r="J49" s="189"/>
      <c r="K49" s="188"/>
      <c r="L49" s="188"/>
      <c r="M49" s="189"/>
      <c r="N49" s="188"/>
      <c r="O49" s="188"/>
    </row>
  </sheetData>
  <mergeCells count="3">
    <mergeCell ref="B40:N42"/>
    <mergeCell ref="B44:N46"/>
    <mergeCell ref="E32:I32"/>
  </mergeCells>
  <printOptions horizontalCentered="1"/>
  <pageMargins left="0.7" right="0.7" top="0.75" bottom="0.75" header="0.3" footer="0.3"/>
  <pageSetup firstPageNumber="110" fitToWidth="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FF00"/>
    <pageSetUpPr fitToPage="1"/>
  </sheetPr>
  <dimension ref="B2:AC50"/>
  <sheetViews>
    <sheetView workbookViewId="0">
      <selection activeCell="B4" sqref="B4:P4"/>
    </sheetView>
  </sheetViews>
  <sheetFormatPr defaultColWidth="9.109375" defaultRowHeight="13.2" x14ac:dyDescent="0.25"/>
  <cols>
    <col min="1" max="1" width="9.109375" style="402"/>
    <col min="2" max="3" width="2.44140625" style="402" customWidth="1"/>
    <col min="4" max="4" width="26.5546875" style="402" customWidth="1"/>
    <col min="5" max="5" width="1.5546875" style="402" customWidth="1"/>
    <col min="6" max="6" width="13.109375" style="402" customWidth="1"/>
    <col min="7" max="7" width="1.44140625" style="402" customWidth="1"/>
    <col min="8" max="8" width="0.88671875" style="402" customWidth="1"/>
    <col min="9" max="9" width="4.109375" style="402" customWidth="1"/>
    <col min="10" max="11" width="1.5546875" style="402" customWidth="1"/>
    <col min="12" max="12" width="10" style="402" customWidth="1"/>
    <col min="13" max="13" width="2.6640625" style="402" customWidth="1"/>
    <col min="14" max="14" width="11.109375" style="402" customWidth="1"/>
    <col min="15" max="15" width="2.44140625" style="402" customWidth="1"/>
    <col min="16" max="16" width="9.33203125" style="402" customWidth="1"/>
    <col min="17" max="17" width="2.44140625" style="402" customWidth="1"/>
    <col min="18" max="19" width="10" style="402" bestFit="1" customWidth="1"/>
    <col min="20" max="20" width="9.109375" style="402"/>
    <col min="21" max="21" width="15.44140625" style="402" bestFit="1" customWidth="1"/>
    <col min="22" max="22" width="15" style="402" bestFit="1" customWidth="1"/>
    <col min="23" max="23" width="11.44140625" style="402" bestFit="1" customWidth="1"/>
    <col min="24" max="16384" width="9.109375" style="402"/>
  </cols>
  <sheetData>
    <row r="2" spans="2:23" s="411" customFormat="1" x14ac:dyDescent="0.25">
      <c r="B2" s="1116" t="s">
        <v>142</v>
      </c>
      <c r="C2" s="1116"/>
      <c r="D2" s="1116"/>
      <c r="E2" s="1116"/>
      <c r="F2" s="1116"/>
      <c r="G2" s="1116"/>
      <c r="H2" s="1116"/>
      <c r="I2" s="1116"/>
      <c r="J2" s="1116"/>
      <c r="K2" s="1116"/>
      <c r="L2" s="1116"/>
      <c r="M2" s="1116"/>
      <c r="N2" s="1116"/>
      <c r="O2" s="1116"/>
      <c r="P2" s="1116"/>
    </row>
    <row r="3" spans="2:23" s="411" customFormat="1" x14ac:dyDescent="0.25">
      <c r="B3" s="1116" t="s">
        <v>380</v>
      </c>
      <c r="C3" s="1116"/>
      <c r="D3" s="1116"/>
      <c r="E3" s="1116"/>
      <c r="F3" s="1116"/>
      <c r="G3" s="1116"/>
      <c r="H3" s="1116"/>
      <c r="I3" s="1116"/>
      <c r="J3" s="1116"/>
      <c r="K3" s="1116"/>
      <c r="L3" s="1116"/>
      <c r="M3" s="1116"/>
      <c r="N3" s="1116"/>
      <c r="O3" s="1116"/>
      <c r="P3" s="1116"/>
    </row>
    <row r="4" spans="2:23" s="411" customFormat="1" x14ac:dyDescent="0.25">
      <c r="B4" s="1116" t="s">
        <v>381</v>
      </c>
      <c r="C4" s="1116"/>
      <c r="D4" s="1116"/>
      <c r="E4" s="1116"/>
      <c r="F4" s="1116"/>
      <c r="G4" s="1116"/>
      <c r="H4" s="1116"/>
      <c r="I4" s="1116"/>
      <c r="J4" s="1116"/>
      <c r="K4" s="1116"/>
      <c r="L4" s="1116"/>
      <c r="M4" s="1116"/>
      <c r="N4" s="1116"/>
      <c r="O4" s="1116"/>
      <c r="P4" s="1116"/>
    </row>
    <row r="5" spans="2:23" s="411" customFormat="1" x14ac:dyDescent="0.25">
      <c r="B5" s="1117">
        <f>TaxesRec!B4</f>
        <v>45107</v>
      </c>
      <c r="C5" s="1117"/>
      <c r="D5" s="1117"/>
      <c r="E5" s="1117"/>
      <c r="F5" s="1117"/>
      <c r="G5" s="1117"/>
      <c r="H5" s="1117"/>
      <c r="I5" s="1117"/>
      <c r="J5" s="1117"/>
      <c r="K5" s="1117"/>
      <c r="L5" s="1117"/>
      <c r="M5" s="1117"/>
      <c r="N5" s="1117"/>
      <c r="O5" s="1117"/>
      <c r="P5" s="1117"/>
    </row>
    <row r="6" spans="2:23" ht="13.8" thickBot="1" x14ac:dyDescent="0.3">
      <c r="B6" s="149"/>
      <c r="C6" s="149"/>
      <c r="D6" s="149"/>
      <c r="E6" s="149"/>
      <c r="F6" s="149"/>
      <c r="G6" s="149"/>
      <c r="H6" s="149"/>
      <c r="I6" s="149"/>
      <c r="J6" s="149"/>
      <c r="K6" s="149"/>
      <c r="L6" s="149"/>
      <c r="M6" s="150"/>
      <c r="N6" s="150"/>
      <c r="O6" s="150"/>
      <c r="P6" s="150"/>
    </row>
    <row r="7" spans="2:23" x14ac:dyDescent="0.25">
      <c r="B7" s="151"/>
      <c r="C7" s="151"/>
      <c r="D7" s="151"/>
      <c r="E7" s="151"/>
      <c r="F7" s="151"/>
      <c r="G7" s="151"/>
      <c r="H7" s="151"/>
      <c r="I7" s="151"/>
      <c r="J7" s="151"/>
      <c r="K7" s="151"/>
      <c r="L7" s="151"/>
      <c r="M7" s="151"/>
      <c r="N7" s="1118" t="s">
        <v>382</v>
      </c>
      <c r="O7" s="1118"/>
      <c r="P7" s="1118"/>
    </row>
    <row r="8" spans="2:23" x14ac:dyDescent="0.25">
      <c r="B8" s="151"/>
      <c r="C8" s="151"/>
      <c r="D8" s="62"/>
      <c r="E8" s="151"/>
      <c r="F8" s="151"/>
      <c r="G8" s="151"/>
      <c r="H8" s="151"/>
      <c r="I8" s="151"/>
      <c r="J8" s="151"/>
      <c r="K8" s="151"/>
      <c r="L8" s="151"/>
      <c r="M8" s="151"/>
      <c r="N8" s="152" t="s">
        <v>383</v>
      </c>
      <c r="O8" s="151"/>
      <c r="P8" s="151"/>
    </row>
    <row r="9" spans="2:23" x14ac:dyDescent="0.25">
      <c r="B9" s="60"/>
      <c r="C9" s="60"/>
      <c r="D9" s="60"/>
      <c r="E9" s="60"/>
      <c r="F9" s="60"/>
      <c r="G9" s="60"/>
      <c r="H9" s="60"/>
      <c r="I9" s="60"/>
      <c r="J9" s="60"/>
      <c r="K9" s="60"/>
      <c r="L9" s="60"/>
      <c r="M9" s="60"/>
      <c r="N9" s="152" t="s">
        <v>384</v>
      </c>
      <c r="O9" s="60"/>
      <c r="P9" s="60"/>
    </row>
    <row r="10" spans="2:23" x14ac:dyDescent="0.25">
      <c r="B10" s="60"/>
      <c r="C10" s="60"/>
      <c r="D10" s="60"/>
      <c r="E10" s="60"/>
      <c r="F10" s="1122" t="s">
        <v>385</v>
      </c>
      <c r="G10" s="1122"/>
      <c r="H10" s="1122"/>
      <c r="I10" s="1122"/>
      <c r="J10" s="1122"/>
      <c r="K10" s="1122"/>
      <c r="L10" s="1122"/>
      <c r="M10" s="60"/>
      <c r="N10" s="152" t="s">
        <v>386</v>
      </c>
      <c r="O10" s="60"/>
      <c r="P10" s="60" t="s">
        <v>386</v>
      </c>
    </row>
    <row r="11" spans="2:23" x14ac:dyDescent="0.25">
      <c r="B11" s="60"/>
      <c r="C11" s="60"/>
      <c r="D11" s="60"/>
      <c r="E11" s="60"/>
      <c r="F11" s="152" t="s">
        <v>383</v>
      </c>
      <c r="G11" s="60"/>
      <c r="H11" s="60"/>
      <c r="I11" s="60"/>
      <c r="J11" s="60"/>
      <c r="K11" s="60"/>
      <c r="L11" s="152" t="s">
        <v>1</v>
      </c>
      <c r="M11" s="60"/>
      <c r="N11" s="152" t="s">
        <v>387</v>
      </c>
      <c r="O11" s="60"/>
      <c r="P11" s="152" t="s">
        <v>387</v>
      </c>
    </row>
    <row r="12" spans="2:23" x14ac:dyDescent="0.25">
      <c r="B12" s="60"/>
      <c r="C12" s="60"/>
      <c r="D12" s="60"/>
      <c r="E12" s="60"/>
      <c r="F12" s="154" t="s">
        <v>157</v>
      </c>
      <c r="G12" s="60"/>
      <c r="H12" s="60"/>
      <c r="I12" s="154" t="s">
        <v>388</v>
      </c>
      <c r="J12" s="60"/>
      <c r="K12" s="60"/>
      <c r="L12" s="154" t="s">
        <v>389</v>
      </c>
      <c r="M12" s="60"/>
      <c r="N12" s="153" t="s">
        <v>390</v>
      </c>
      <c r="O12" s="60"/>
      <c r="P12" s="153" t="s">
        <v>390</v>
      </c>
      <c r="U12" s="557"/>
    </row>
    <row r="13" spans="2:23" x14ac:dyDescent="0.25">
      <c r="B13" s="61" t="s">
        <v>391</v>
      </c>
      <c r="C13" s="61"/>
      <c r="D13" s="60"/>
      <c r="E13" s="60"/>
      <c r="F13" s="60"/>
      <c r="G13" s="60"/>
      <c r="H13" s="60"/>
      <c r="I13" s="60"/>
      <c r="J13" s="60"/>
      <c r="K13" s="60"/>
      <c r="L13" s="60"/>
      <c r="M13" s="60"/>
      <c r="N13" s="60"/>
      <c r="O13" s="60"/>
      <c r="P13" s="60"/>
      <c r="U13" s="557"/>
      <c r="V13" s="557"/>
    </row>
    <row r="14" spans="2:23" x14ac:dyDescent="0.25">
      <c r="B14" s="60"/>
      <c r="C14" s="61" t="s">
        <v>668</v>
      </c>
      <c r="D14" s="60"/>
      <c r="E14" s="60"/>
      <c r="F14" s="62">
        <f>161311321</f>
        <v>161311321</v>
      </c>
      <c r="G14" s="60"/>
      <c r="H14" s="60"/>
      <c r="I14" s="63" t="s">
        <v>392</v>
      </c>
      <c r="J14" s="60"/>
      <c r="K14" s="60"/>
      <c r="L14" s="885">
        <f>F14*I14/100</f>
        <v>967867.92599999998</v>
      </c>
      <c r="M14" s="60"/>
      <c r="N14" s="885">
        <f>L14*0.964376</f>
        <v>933388.59900417598</v>
      </c>
      <c r="O14" s="60"/>
      <c r="P14" s="885">
        <f>L14-N14</f>
        <v>34479.326995823998</v>
      </c>
      <c r="U14" s="557"/>
      <c r="W14" s="558"/>
    </row>
    <row r="15" spans="2:23" x14ac:dyDescent="0.25">
      <c r="B15" s="60"/>
      <c r="C15" s="60"/>
      <c r="D15" s="60"/>
      <c r="E15" s="60"/>
      <c r="F15" s="60"/>
      <c r="G15" s="60"/>
      <c r="H15" s="60"/>
      <c r="I15" s="60"/>
      <c r="J15" s="60"/>
      <c r="K15" s="60"/>
      <c r="L15" s="60"/>
      <c r="M15" s="60"/>
      <c r="N15" s="60"/>
      <c r="O15" s="60"/>
      <c r="P15" s="60"/>
    </row>
    <row r="16" spans="2:23" x14ac:dyDescent="0.25">
      <c r="B16" s="61" t="s">
        <v>729</v>
      </c>
      <c r="C16" s="60"/>
      <c r="D16" s="60"/>
      <c r="E16" s="60"/>
      <c r="F16" s="155">
        <v>367800</v>
      </c>
      <c r="G16" s="60"/>
      <c r="H16" s="60"/>
      <c r="I16" s="61"/>
      <c r="J16" s="60"/>
      <c r="K16" s="60"/>
      <c r="L16" s="155">
        <f>2207+5637+1612</f>
        <v>9456</v>
      </c>
      <c r="M16" s="60"/>
      <c r="N16" s="517">
        <f>2142+5637+1612</f>
        <v>9391</v>
      </c>
      <c r="O16" s="60"/>
      <c r="P16" s="560">
        <v>65</v>
      </c>
      <c r="W16" s="559"/>
    </row>
    <row r="17" spans="2:23" x14ac:dyDescent="0.25">
      <c r="B17" s="60"/>
      <c r="C17" s="60"/>
      <c r="D17" s="60"/>
      <c r="E17" s="60"/>
      <c r="F17" s="155"/>
      <c r="G17" s="60"/>
      <c r="H17" s="60"/>
      <c r="I17" s="60"/>
      <c r="J17" s="155"/>
      <c r="K17" s="60"/>
      <c r="L17" s="60"/>
      <c r="M17" s="60"/>
      <c r="N17" s="60"/>
      <c r="O17" s="60"/>
      <c r="P17" s="60"/>
      <c r="V17" s="715"/>
    </row>
    <row r="18" spans="2:23" x14ac:dyDescent="0.25">
      <c r="B18" s="61" t="s">
        <v>723</v>
      </c>
      <c r="C18" s="60"/>
      <c r="D18" s="60"/>
      <c r="E18" s="60"/>
      <c r="F18" s="156">
        <v>-240200</v>
      </c>
      <c r="G18" s="60"/>
      <c r="H18" s="60"/>
      <c r="I18" s="60"/>
      <c r="J18" s="155"/>
      <c r="K18" s="60"/>
      <c r="L18" s="156">
        <v>-1441</v>
      </c>
      <c r="M18" s="60"/>
      <c r="N18" s="156">
        <v>-1441</v>
      </c>
      <c r="O18" s="60"/>
      <c r="P18" s="561">
        <v>0</v>
      </c>
    </row>
    <row r="19" spans="2:23" ht="13.8" thickBot="1" x14ac:dyDescent="0.3">
      <c r="B19" s="61" t="s">
        <v>393</v>
      </c>
      <c r="C19" s="60"/>
      <c r="D19" s="60"/>
      <c r="E19" s="61" t="s">
        <v>169</v>
      </c>
      <c r="F19" s="157">
        <f>F14+F16+F18</f>
        <v>161438921</v>
      </c>
      <c r="G19" s="60"/>
      <c r="H19" s="60"/>
      <c r="I19" s="60"/>
      <c r="J19" s="155"/>
      <c r="K19" s="60"/>
      <c r="L19" s="60"/>
      <c r="M19" s="60"/>
      <c r="N19" s="60"/>
      <c r="O19" s="60"/>
      <c r="P19" s="60"/>
    </row>
    <row r="20" spans="2:23" ht="13.8" thickTop="1" x14ac:dyDescent="0.25">
      <c r="B20" s="60"/>
      <c r="C20" s="60"/>
      <c r="D20" s="60"/>
      <c r="E20" s="60"/>
      <c r="F20" s="60"/>
      <c r="G20" s="60"/>
      <c r="H20" s="60"/>
      <c r="I20" s="60"/>
      <c r="J20" s="60"/>
      <c r="K20" s="60"/>
      <c r="L20" s="60"/>
      <c r="M20" s="60"/>
      <c r="N20" s="60"/>
      <c r="O20" s="60"/>
      <c r="P20" s="60"/>
    </row>
    <row r="21" spans="2:23" x14ac:dyDescent="0.25">
      <c r="B21" s="61" t="s">
        <v>394</v>
      </c>
      <c r="C21" s="60"/>
      <c r="D21" s="60"/>
      <c r="E21" s="60"/>
      <c r="F21" s="155"/>
      <c r="G21" s="60"/>
      <c r="H21" s="60"/>
      <c r="I21" s="60"/>
      <c r="J21" s="155"/>
      <c r="K21" s="60"/>
      <c r="L21" s="886">
        <f>P21+N21</f>
        <v>975882.92599999998</v>
      </c>
      <c r="M21" s="61" t="s">
        <v>163</v>
      </c>
      <c r="N21" s="886">
        <f>SUM(N14:N18)</f>
        <v>941338.59900417598</v>
      </c>
      <c r="O21" s="60"/>
      <c r="P21" s="886">
        <f>P14+P16</f>
        <v>34544.326995823998</v>
      </c>
      <c r="U21" s="562"/>
    </row>
    <row r="22" spans="2:23" x14ac:dyDescent="0.25">
      <c r="B22" s="61"/>
      <c r="C22" s="60"/>
      <c r="D22" s="60"/>
      <c r="E22" s="60"/>
      <c r="F22" s="155"/>
      <c r="G22" s="60"/>
      <c r="H22" s="60"/>
      <c r="I22" s="60"/>
      <c r="J22" s="155"/>
      <c r="K22" s="60"/>
      <c r="L22" s="155"/>
      <c r="M22" s="61"/>
      <c r="N22" s="60"/>
      <c r="O22" s="60"/>
      <c r="P22" s="60"/>
      <c r="U22" s="562"/>
    </row>
    <row r="23" spans="2:23" x14ac:dyDescent="0.25">
      <c r="B23" s="1120" t="s">
        <v>891</v>
      </c>
      <c r="C23" s="1121"/>
      <c r="D23" s="1121"/>
      <c r="E23" s="60"/>
      <c r="F23" s="155"/>
      <c r="G23" s="60"/>
      <c r="H23" s="60"/>
      <c r="I23" s="60"/>
      <c r="J23" s="155"/>
      <c r="K23" s="60"/>
      <c r="L23" s="156">
        <f>P23+N23</f>
        <v>-24975</v>
      </c>
      <c r="M23" s="61" t="s">
        <v>167</v>
      </c>
      <c r="N23" s="522">
        <v>-24878</v>
      </c>
      <c r="O23" s="517"/>
      <c r="P23" s="522">
        <v>-97</v>
      </c>
      <c r="U23" s="563"/>
    </row>
    <row r="24" spans="2:23" x14ac:dyDescent="0.25">
      <c r="B24" s="1121"/>
      <c r="C24" s="1121"/>
      <c r="D24" s="1121"/>
      <c r="E24" s="60"/>
      <c r="F24" s="155"/>
      <c r="G24" s="60"/>
      <c r="H24" s="60"/>
      <c r="I24" s="60"/>
      <c r="J24" s="155"/>
      <c r="K24" s="60"/>
      <c r="L24" s="155"/>
      <c r="M24" s="60"/>
      <c r="N24" s="60"/>
      <c r="O24" s="60"/>
      <c r="P24" s="60"/>
    </row>
    <row r="25" spans="2:23" ht="13.8" thickBot="1" x14ac:dyDescent="0.3">
      <c r="B25" s="61" t="s">
        <v>395</v>
      </c>
      <c r="C25" s="60"/>
      <c r="D25" s="60"/>
      <c r="E25" s="60"/>
      <c r="F25" s="155"/>
      <c r="G25" s="60"/>
      <c r="H25" s="60"/>
      <c r="I25" s="60"/>
      <c r="J25" s="155"/>
      <c r="K25" s="60"/>
      <c r="L25" s="158">
        <f>P25+N25</f>
        <v>950907.92599999998</v>
      </c>
      <c r="M25" s="61" t="s">
        <v>164</v>
      </c>
      <c r="N25" s="158">
        <f>SUM(N21:N23)</f>
        <v>916460.59900417598</v>
      </c>
      <c r="O25" s="60"/>
      <c r="P25" s="158">
        <f>SUM(P21:P23)</f>
        <v>34447.326995823998</v>
      </c>
      <c r="S25" s="558"/>
    </row>
    <row r="26" spans="2:23" ht="13.8" thickTop="1" x14ac:dyDescent="0.25">
      <c r="B26" s="60"/>
      <c r="C26" s="60"/>
      <c r="D26" s="60"/>
      <c r="E26" s="60"/>
      <c r="F26" s="155"/>
      <c r="G26" s="60"/>
      <c r="H26" s="60"/>
      <c r="I26" s="60"/>
      <c r="J26" s="155"/>
      <c r="K26" s="60"/>
      <c r="L26" s="155"/>
      <c r="M26" s="60"/>
      <c r="N26" s="60"/>
      <c r="O26" s="60"/>
      <c r="P26" s="60"/>
      <c r="S26" s="557"/>
    </row>
    <row r="27" spans="2:23" ht="13.8" thickBot="1" x14ac:dyDescent="0.3">
      <c r="B27" s="61" t="s">
        <v>396</v>
      </c>
      <c r="C27" s="60"/>
      <c r="D27" s="60"/>
      <c r="E27" s="60"/>
      <c r="F27" s="155"/>
      <c r="G27" s="60"/>
      <c r="H27" s="60"/>
      <c r="I27" s="60"/>
      <c r="J27" s="155"/>
      <c r="K27" s="60"/>
      <c r="L27" s="159">
        <f>L25/L21</f>
        <v>0.97440779079682349</v>
      </c>
      <c r="M27" s="60"/>
      <c r="N27" s="159">
        <f>N25/N21</f>
        <v>0.97357167758092789</v>
      </c>
      <c r="O27" s="60"/>
      <c r="P27" s="159">
        <f>P25/P21</f>
        <v>0.99719201361162058</v>
      </c>
      <c r="S27" s="557"/>
    </row>
    <row r="28" spans="2:23" ht="14.4" thickTop="1" thickBot="1" x14ac:dyDescent="0.3">
      <c r="B28" s="60"/>
      <c r="C28" s="60"/>
      <c r="D28" s="60"/>
      <c r="E28" s="60"/>
      <c r="F28" s="60"/>
      <c r="G28" s="60"/>
      <c r="H28" s="60"/>
      <c r="I28" s="60"/>
      <c r="J28" s="60"/>
      <c r="K28" s="60"/>
      <c r="L28" s="60"/>
      <c r="M28" s="60"/>
      <c r="N28" s="60"/>
      <c r="O28" s="60"/>
      <c r="P28" s="60"/>
      <c r="S28" s="557"/>
    </row>
    <row r="29" spans="2:23" ht="21.75" customHeight="1" x14ac:dyDescent="0.25">
      <c r="B29" s="60"/>
      <c r="C29" s="60"/>
      <c r="D29" s="1119" t="s">
        <v>790</v>
      </c>
      <c r="E29" s="1009"/>
      <c r="F29" s="1009"/>
      <c r="G29" s="1009"/>
      <c r="H29" s="1009"/>
      <c r="I29" s="1009"/>
      <c r="J29" s="1009"/>
      <c r="K29" s="1009"/>
      <c r="L29" s="1009"/>
      <c r="M29" s="1009"/>
      <c r="N29" s="1009"/>
      <c r="O29" s="1009"/>
      <c r="P29" s="1019"/>
      <c r="S29" s="557"/>
    </row>
    <row r="30" spans="2:23" ht="21.75" customHeight="1" thickBot="1" x14ac:dyDescent="0.3">
      <c r="B30" s="60"/>
      <c r="C30" s="60"/>
      <c r="D30" s="1020"/>
      <c r="E30" s="1021"/>
      <c r="F30" s="1021"/>
      <c r="G30" s="1021"/>
      <c r="H30" s="1021"/>
      <c r="I30" s="1021"/>
      <c r="J30" s="1021"/>
      <c r="K30" s="1021"/>
      <c r="L30" s="1021"/>
      <c r="M30" s="1021"/>
      <c r="N30" s="1021"/>
      <c r="O30" s="1021"/>
      <c r="P30" s="1022"/>
      <c r="S30" s="557"/>
    </row>
    <row r="31" spans="2:23" ht="13.8" thickBot="1" x14ac:dyDescent="0.3">
      <c r="B31" s="60"/>
      <c r="C31" s="60"/>
      <c r="D31" s="771"/>
      <c r="E31" s="771"/>
      <c r="F31" s="771"/>
      <c r="G31" s="771"/>
      <c r="H31" s="771"/>
      <c r="I31" s="771"/>
      <c r="J31" s="771"/>
      <c r="K31" s="771"/>
      <c r="L31" s="771"/>
      <c r="M31" s="771"/>
      <c r="N31" s="771"/>
      <c r="O31" s="771"/>
      <c r="P31" s="771"/>
      <c r="S31" s="557"/>
    </row>
    <row r="32" spans="2:23" ht="16.95" customHeight="1" x14ac:dyDescent="0.25">
      <c r="B32" s="136"/>
      <c r="C32" s="136"/>
      <c r="D32" s="1123" t="s">
        <v>721</v>
      </c>
      <c r="E32" s="1124"/>
      <c r="F32" s="1124"/>
      <c r="G32" s="1124"/>
      <c r="H32" s="1124"/>
      <c r="I32" s="1124"/>
      <c r="J32" s="1124"/>
      <c r="K32" s="1124"/>
      <c r="L32" s="1124"/>
      <c r="M32" s="1124"/>
      <c r="N32" s="1124"/>
      <c r="O32" s="1124"/>
      <c r="P32" s="1125"/>
      <c r="S32" s="557"/>
      <c r="T32" s="562"/>
      <c r="U32" s="563"/>
      <c r="W32" s="562"/>
    </row>
    <row r="33" spans="2:29" ht="16.95" customHeight="1" x14ac:dyDescent="0.25">
      <c r="B33" s="424"/>
      <c r="C33" s="424"/>
      <c r="D33" s="1126"/>
      <c r="E33" s="1127"/>
      <c r="F33" s="1127"/>
      <c r="G33" s="1127"/>
      <c r="H33" s="1127"/>
      <c r="I33" s="1127"/>
      <c r="J33" s="1127"/>
      <c r="K33" s="1127"/>
      <c r="L33" s="1127"/>
      <c r="M33" s="1127"/>
      <c r="N33" s="1127"/>
      <c r="O33" s="1127"/>
      <c r="P33" s="1128"/>
      <c r="R33" s="416"/>
      <c r="S33" s="564"/>
      <c r="T33" s="416"/>
      <c r="U33" s="416"/>
      <c r="V33" s="416"/>
      <c r="W33" s="416"/>
      <c r="X33" s="416"/>
      <c r="Y33" s="416"/>
      <c r="Z33" s="416"/>
      <c r="AA33" s="416"/>
      <c r="AB33" s="416"/>
      <c r="AC33" s="416"/>
    </row>
    <row r="34" spans="2:29" ht="16.95" customHeight="1" thickBot="1" x14ac:dyDescent="0.3">
      <c r="B34" s="424"/>
      <c r="C34" s="424"/>
      <c r="D34" s="1129"/>
      <c r="E34" s="1130"/>
      <c r="F34" s="1130"/>
      <c r="G34" s="1130"/>
      <c r="H34" s="1130"/>
      <c r="I34" s="1130"/>
      <c r="J34" s="1130"/>
      <c r="K34" s="1130"/>
      <c r="L34" s="1130"/>
      <c r="M34" s="1130"/>
      <c r="N34" s="1130"/>
      <c r="O34" s="1130"/>
      <c r="P34" s="1131"/>
      <c r="R34" s="163"/>
      <c r="S34" s="163"/>
      <c r="T34" s="163"/>
      <c r="U34" s="163"/>
      <c r="V34" s="163"/>
      <c r="W34" s="163"/>
      <c r="X34" s="163"/>
      <c r="Y34" s="163"/>
      <c r="Z34" s="163"/>
      <c r="AA34" s="163"/>
      <c r="AB34" s="163"/>
      <c r="AC34" s="163"/>
    </row>
    <row r="35" spans="2:29" s="621" customFormat="1" ht="13.8" thickBot="1" x14ac:dyDescent="0.3">
      <c r="B35" s="620"/>
      <c r="C35" s="620"/>
      <c r="D35" s="620"/>
      <c r="E35" s="620"/>
      <c r="F35" s="620"/>
      <c r="G35" s="620"/>
      <c r="H35" s="620"/>
      <c r="I35" s="620"/>
      <c r="J35" s="620"/>
      <c r="K35" s="620"/>
      <c r="L35" s="620"/>
      <c r="M35" s="620"/>
      <c r="N35" s="620"/>
      <c r="O35" s="620"/>
      <c r="P35" s="783"/>
      <c r="R35" s="622"/>
      <c r="S35" s="622"/>
      <c r="T35" s="622"/>
      <c r="U35" s="622"/>
      <c r="V35" s="622"/>
      <c r="W35" s="622"/>
      <c r="X35" s="622"/>
      <c r="Y35" s="622"/>
      <c r="Z35" s="622"/>
      <c r="AA35" s="622"/>
      <c r="AB35" s="622"/>
      <c r="AC35" s="622"/>
    </row>
    <row r="36" spans="2:29" s="621" customFormat="1" ht="13.2" customHeight="1" x14ac:dyDescent="0.25">
      <c r="B36" s="620"/>
      <c r="C36" s="620"/>
      <c r="D36" s="1107" t="s">
        <v>804</v>
      </c>
      <c r="E36" s="1108"/>
      <c r="F36" s="1108"/>
      <c r="G36" s="1108"/>
      <c r="H36" s="1108"/>
      <c r="I36" s="1108"/>
      <c r="J36" s="1108"/>
      <c r="K36" s="1108"/>
      <c r="L36" s="1108"/>
      <c r="M36" s="1108"/>
      <c r="N36" s="1108"/>
      <c r="O36" s="1108"/>
      <c r="P36" s="1109"/>
      <c r="R36" s="622"/>
      <c r="S36" s="622"/>
      <c r="T36" s="622"/>
      <c r="U36" s="622"/>
      <c r="V36" s="622"/>
      <c r="W36" s="622"/>
      <c r="X36" s="622"/>
      <c r="Y36" s="622"/>
      <c r="Z36" s="622"/>
      <c r="AA36" s="622"/>
      <c r="AB36" s="622"/>
      <c r="AC36" s="622"/>
    </row>
    <row r="37" spans="2:29" s="621" customFormat="1" x14ac:dyDescent="0.25">
      <c r="B37" s="620"/>
      <c r="C37" s="620"/>
      <c r="D37" s="1110"/>
      <c r="E37" s="1111"/>
      <c r="F37" s="1111"/>
      <c r="G37" s="1111"/>
      <c r="H37" s="1111"/>
      <c r="I37" s="1111"/>
      <c r="J37" s="1111"/>
      <c r="K37" s="1111"/>
      <c r="L37" s="1111"/>
      <c r="M37" s="1111"/>
      <c r="N37" s="1111"/>
      <c r="O37" s="1111"/>
      <c r="P37" s="1112"/>
      <c r="R37" s="622"/>
      <c r="S37" s="622"/>
      <c r="T37" s="622"/>
      <c r="U37" s="622"/>
      <c r="V37" s="622"/>
      <c r="W37" s="622"/>
      <c r="X37" s="622"/>
      <c r="Y37" s="622"/>
      <c r="Z37" s="622"/>
      <c r="AA37" s="622"/>
      <c r="AB37" s="622"/>
      <c r="AC37" s="622"/>
    </row>
    <row r="38" spans="2:29" s="621" customFormat="1" ht="13.8" thickBot="1" x14ac:dyDescent="0.3">
      <c r="B38" s="620"/>
      <c r="C38" s="620"/>
      <c r="D38" s="1113"/>
      <c r="E38" s="1114"/>
      <c r="F38" s="1114"/>
      <c r="G38" s="1114"/>
      <c r="H38" s="1114"/>
      <c r="I38" s="1114"/>
      <c r="J38" s="1114"/>
      <c r="K38" s="1114"/>
      <c r="L38" s="1114"/>
      <c r="M38" s="1114"/>
      <c r="N38" s="1114"/>
      <c r="O38" s="1114"/>
      <c r="P38" s="1115"/>
      <c r="R38" s="622"/>
      <c r="S38" s="622"/>
      <c r="T38" s="622"/>
      <c r="U38" s="622"/>
      <c r="V38" s="622"/>
      <c r="W38" s="622"/>
      <c r="X38" s="622"/>
      <c r="Y38" s="622"/>
      <c r="Z38" s="622"/>
      <c r="AA38" s="622"/>
      <c r="AB38" s="622"/>
      <c r="AC38" s="622"/>
    </row>
    <row r="39" spans="2:29" s="621" customFormat="1" ht="13.8" thickBot="1" x14ac:dyDescent="0.3">
      <c r="B39" s="620"/>
      <c r="C39" s="620"/>
      <c r="D39" s="623"/>
      <c r="E39" s="623"/>
      <c r="F39" s="623"/>
      <c r="G39" s="623"/>
      <c r="H39" s="623"/>
      <c r="I39" s="623"/>
      <c r="J39" s="623"/>
      <c r="K39" s="623"/>
      <c r="L39" s="623"/>
      <c r="M39" s="623"/>
      <c r="N39" s="623"/>
      <c r="O39" s="623"/>
      <c r="P39" s="623"/>
      <c r="R39" s="622"/>
      <c r="S39" s="622"/>
      <c r="T39" s="622"/>
      <c r="U39" s="622"/>
      <c r="V39" s="622"/>
      <c r="W39" s="622"/>
      <c r="X39" s="622"/>
      <c r="Y39" s="622"/>
      <c r="Z39" s="622"/>
      <c r="AA39" s="622"/>
      <c r="AB39" s="622"/>
      <c r="AC39" s="622"/>
    </row>
    <row r="40" spans="2:29" ht="18" customHeight="1" x14ac:dyDescent="0.25">
      <c r="B40" s="424"/>
      <c r="C40" s="424"/>
      <c r="D40" s="1132" t="s">
        <v>892</v>
      </c>
      <c r="E40" s="1133"/>
      <c r="F40" s="1133"/>
      <c r="G40" s="1133"/>
      <c r="H40" s="1133"/>
      <c r="I40" s="1133"/>
      <c r="J40" s="1133"/>
      <c r="K40" s="1133"/>
      <c r="L40" s="1133"/>
      <c r="M40" s="1133"/>
      <c r="N40" s="1133"/>
      <c r="O40" s="1133"/>
      <c r="P40" s="1134"/>
      <c r="R40" s="164"/>
      <c r="S40" s="164"/>
      <c r="T40" s="164"/>
      <c r="U40" s="164"/>
      <c r="V40" s="164"/>
      <c r="W40" s="164"/>
      <c r="X40" s="164"/>
      <c r="Y40" s="164"/>
      <c r="Z40" s="164"/>
      <c r="AA40" s="164"/>
      <c r="AB40" s="164"/>
      <c r="AC40" s="164"/>
    </row>
    <row r="41" spans="2:29" x14ac:dyDescent="0.25">
      <c r="B41" s="424"/>
      <c r="C41" s="424"/>
      <c r="D41" s="1103"/>
      <c r="E41" s="1101"/>
      <c r="F41" s="1101"/>
      <c r="G41" s="1101"/>
      <c r="H41" s="1101"/>
      <c r="I41" s="1101"/>
      <c r="J41" s="1101"/>
      <c r="K41" s="1101"/>
      <c r="L41" s="1101"/>
      <c r="M41" s="1101"/>
      <c r="N41" s="1101"/>
      <c r="O41" s="1101"/>
      <c r="P41" s="1102"/>
      <c r="R41" s="164"/>
      <c r="S41" s="164"/>
      <c r="T41" s="164"/>
      <c r="U41" s="164"/>
      <c r="V41" s="164"/>
      <c r="W41" s="164"/>
      <c r="X41" s="164"/>
      <c r="Y41" s="164"/>
      <c r="Z41" s="164"/>
      <c r="AA41" s="164"/>
      <c r="AB41" s="164"/>
      <c r="AC41" s="164"/>
    </row>
    <row r="42" spans="2:29" x14ac:dyDescent="0.25">
      <c r="B42" s="424"/>
      <c r="C42" s="424"/>
      <c r="D42" s="1103"/>
      <c r="E42" s="1101"/>
      <c r="F42" s="1101"/>
      <c r="G42" s="1101"/>
      <c r="H42" s="1101"/>
      <c r="I42" s="1101"/>
      <c r="J42" s="1101"/>
      <c r="K42" s="1101"/>
      <c r="L42" s="1101"/>
      <c r="M42" s="1101"/>
      <c r="N42" s="1101"/>
      <c r="O42" s="1101"/>
      <c r="P42" s="1102"/>
      <c r="R42" s="164"/>
      <c r="S42" s="164"/>
      <c r="T42" s="164"/>
      <c r="U42" s="164"/>
      <c r="V42" s="164"/>
      <c r="W42" s="164"/>
      <c r="X42" s="164"/>
      <c r="Y42" s="164"/>
      <c r="Z42" s="164"/>
      <c r="AA42" s="164"/>
      <c r="AB42" s="164"/>
      <c r="AC42" s="164"/>
    </row>
    <row r="43" spans="2:29" x14ac:dyDescent="0.25">
      <c r="B43" s="424"/>
      <c r="C43" s="424"/>
      <c r="D43" s="1100" t="s">
        <v>803</v>
      </c>
      <c r="E43" s="1101"/>
      <c r="F43" s="1101"/>
      <c r="G43" s="1101"/>
      <c r="H43" s="1101"/>
      <c r="I43" s="1101"/>
      <c r="J43" s="1101"/>
      <c r="K43" s="1101"/>
      <c r="L43" s="1101"/>
      <c r="M43" s="1101"/>
      <c r="N43" s="1101"/>
      <c r="O43" s="1101"/>
      <c r="P43" s="1102"/>
      <c r="R43" s="164"/>
      <c r="S43" s="164"/>
      <c r="T43" s="164"/>
      <c r="U43" s="164"/>
      <c r="V43" s="164"/>
      <c r="W43" s="164"/>
      <c r="X43" s="164"/>
      <c r="Y43" s="164"/>
      <c r="Z43" s="164"/>
      <c r="AA43" s="164"/>
      <c r="AB43" s="164"/>
      <c r="AC43" s="164"/>
    </row>
    <row r="44" spans="2:29" ht="14.4" customHeight="1" x14ac:dyDescent="0.25">
      <c r="B44" s="424"/>
      <c r="C44" s="424"/>
      <c r="D44" s="1103"/>
      <c r="E44" s="1101"/>
      <c r="F44" s="1101"/>
      <c r="G44" s="1101"/>
      <c r="H44" s="1101"/>
      <c r="I44" s="1101"/>
      <c r="J44" s="1101"/>
      <c r="K44" s="1101"/>
      <c r="L44" s="1101"/>
      <c r="M44" s="1101"/>
      <c r="N44" s="1101"/>
      <c r="O44" s="1101"/>
      <c r="P44" s="1102"/>
      <c r="R44" s="164"/>
      <c r="S44" s="164"/>
      <c r="T44" s="164"/>
      <c r="U44" s="164"/>
      <c r="V44" s="164"/>
      <c r="W44" s="164"/>
      <c r="X44" s="164"/>
      <c r="Y44" s="164"/>
      <c r="Z44" s="164"/>
      <c r="AA44" s="164"/>
      <c r="AB44" s="164"/>
      <c r="AC44" s="164"/>
    </row>
    <row r="45" spans="2:29" x14ac:dyDescent="0.25">
      <c r="B45" s="416"/>
      <c r="C45" s="416"/>
      <c r="D45" s="1103"/>
      <c r="E45" s="1101"/>
      <c r="F45" s="1101"/>
      <c r="G45" s="1101"/>
      <c r="H45" s="1101"/>
      <c r="I45" s="1101"/>
      <c r="J45" s="1101"/>
      <c r="K45" s="1101"/>
      <c r="L45" s="1101"/>
      <c r="M45" s="1101"/>
      <c r="N45" s="1101"/>
      <c r="O45" s="1101"/>
      <c r="P45" s="1102"/>
    </row>
    <row r="46" spans="2:29" ht="17.399999999999999" customHeight="1" x14ac:dyDescent="0.25">
      <c r="B46" s="416"/>
      <c r="C46" s="416"/>
      <c r="D46" s="1100" t="s">
        <v>722</v>
      </c>
      <c r="E46" s="1101"/>
      <c r="F46" s="1101"/>
      <c r="G46" s="1101"/>
      <c r="H46" s="1101"/>
      <c r="I46" s="1101"/>
      <c r="J46" s="1101"/>
      <c r="K46" s="1101"/>
      <c r="L46" s="1101"/>
      <c r="M46" s="1101"/>
      <c r="N46" s="1101"/>
      <c r="O46" s="1101"/>
      <c r="P46" s="1102"/>
    </row>
    <row r="47" spans="2:29" x14ac:dyDescent="0.25">
      <c r="B47" s="416"/>
      <c r="C47" s="416"/>
      <c r="D47" s="1103"/>
      <c r="E47" s="1101"/>
      <c r="F47" s="1101"/>
      <c r="G47" s="1101"/>
      <c r="H47" s="1101"/>
      <c r="I47" s="1101"/>
      <c r="J47" s="1101"/>
      <c r="K47" s="1101"/>
      <c r="L47" s="1101"/>
      <c r="M47" s="1101"/>
      <c r="N47" s="1101"/>
      <c r="O47" s="1101"/>
      <c r="P47" s="1102"/>
    </row>
    <row r="48" spans="2:29" x14ac:dyDescent="0.25">
      <c r="D48" s="1103"/>
      <c r="E48" s="1101"/>
      <c r="F48" s="1101"/>
      <c r="G48" s="1101"/>
      <c r="H48" s="1101"/>
      <c r="I48" s="1101"/>
      <c r="J48" s="1101"/>
      <c r="K48" s="1101"/>
      <c r="L48" s="1101"/>
      <c r="M48" s="1101"/>
      <c r="N48" s="1101"/>
      <c r="O48" s="1101"/>
      <c r="P48" s="1102"/>
    </row>
    <row r="49" spans="4:16" ht="17.399999999999999" customHeight="1" x14ac:dyDescent="0.25">
      <c r="D49" s="1103"/>
      <c r="E49" s="1101"/>
      <c r="F49" s="1101"/>
      <c r="G49" s="1101"/>
      <c r="H49" s="1101"/>
      <c r="I49" s="1101"/>
      <c r="J49" s="1101"/>
      <c r="K49" s="1101"/>
      <c r="L49" s="1101"/>
      <c r="M49" s="1101"/>
      <c r="N49" s="1101"/>
      <c r="O49" s="1101"/>
      <c r="P49" s="1102"/>
    </row>
    <row r="50" spans="4:16" ht="18" customHeight="1" thickBot="1" x14ac:dyDescent="0.3">
      <c r="D50" s="1104"/>
      <c r="E50" s="1105"/>
      <c r="F50" s="1105"/>
      <c r="G50" s="1105"/>
      <c r="H50" s="1105"/>
      <c r="I50" s="1105"/>
      <c r="J50" s="1105"/>
      <c r="K50" s="1105"/>
      <c r="L50" s="1105"/>
      <c r="M50" s="1105"/>
      <c r="N50" s="1105"/>
      <c r="O50" s="1105"/>
      <c r="P50" s="1106"/>
    </row>
  </sheetData>
  <mergeCells count="13">
    <mergeCell ref="D43:P45"/>
    <mergeCell ref="D46:P50"/>
    <mergeCell ref="D36:P38"/>
    <mergeCell ref="B2:P2"/>
    <mergeCell ref="B3:P3"/>
    <mergeCell ref="B4:P4"/>
    <mergeCell ref="B5:P5"/>
    <mergeCell ref="N7:P7"/>
    <mergeCell ref="D29:P30"/>
    <mergeCell ref="B23:D24"/>
    <mergeCell ref="F10:L10"/>
    <mergeCell ref="D32:P34"/>
    <mergeCell ref="D40:P42"/>
  </mergeCells>
  <printOptions horizontalCentered="1"/>
  <pageMargins left="0.7" right="0.7" top="0.75" bottom="0.75" header="0.3" footer="0.3"/>
  <pageSetup firstPageNumber="111" fitToWidth="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FF00"/>
    <pageSetUpPr fitToPage="1"/>
  </sheetPr>
  <dimension ref="B2:L94"/>
  <sheetViews>
    <sheetView workbookViewId="0"/>
  </sheetViews>
  <sheetFormatPr defaultColWidth="9.109375" defaultRowHeight="13.2" x14ac:dyDescent="0.25"/>
  <cols>
    <col min="1" max="1" width="9.109375" style="17"/>
    <col min="2" max="2" width="40" style="17" customWidth="1"/>
    <col min="3" max="3" width="15.6640625" style="17" customWidth="1"/>
    <col min="4" max="4" width="16.44140625" style="17" customWidth="1"/>
    <col min="5" max="5" width="15.6640625" style="17" customWidth="1"/>
    <col min="6" max="6" width="9.109375" style="17"/>
    <col min="7" max="7" width="11.44140625" style="17" bestFit="1" customWidth="1"/>
    <col min="8" max="8" width="9.5546875" style="17" bestFit="1" customWidth="1"/>
    <col min="9" max="16384" width="9.109375" style="17"/>
  </cols>
  <sheetData>
    <row r="2" spans="2:8" x14ac:dyDescent="0.25">
      <c r="B2" s="896" t="s">
        <v>0</v>
      </c>
      <c r="C2" s="896"/>
      <c r="D2" s="896"/>
      <c r="E2" s="896"/>
    </row>
    <row r="3" spans="2:8" s="41" customFormat="1" x14ac:dyDescent="0.25">
      <c r="B3" s="896" t="s">
        <v>642</v>
      </c>
      <c r="C3" s="896"/>
      <c r="D3" s="896"/>
      <c r="E3" s="896"/>
    </row>
    <row r="4" spans="2:8" x14ac:dyDescent="0.25">
      <c r="B4" s="896" t="s">
        <v>580</v>
      </c>
      <c r="C4" s="896"/>
      <c r="D4" s="896"/>
      <c r="E4" s="896"/>
    </row>
    <row r="5" spans="2:8" s="41" customFormat="1" x14ac:dyDescent="0.25">
      <c r="B5" s="1117">
        <f>AnalysisTaxLevy!B5</f>
        <v>45107</v>
      </c>
      <c r="C5" s="1117"/>
      <c r="D5" s="1117"/>
      <c r="E5" s="1117"/>
    </row>
    <row r="7" spans="2:8" x14ac:dyDescent="0.25">
      <c r="C7" s="81" t="s">
        <v>581</v>
      </c>
      <c r="D7" s="81" t="s">
        <v>404</v>
      </c>
      <c r="E7" s="81" t="s">
        <v>1</v>
      </c>
    </row>
    <row r="8" spans="2:8" x14ac:dyDescent="0.25">
      <c r="B8" s="309" t="s">
        <v>2</v>
      </c>
    </row>
    <row r="9" spans="2:8" x14ac:dyDescent="0.25">
      <c r="B9" s="21" t="s">
        <v>44</v>
      </c>
    </row>
    <row r="10" spans="2:8" x14ac:dyDescent="0.25">
      <c r="B10" s="338" t="s">
        <v>3</v>
      </c>
      <c r="C10" s="887">
        <f>0.51*'6-Net Pos-Prop'!C11</f>
        <v>69523.812000000005</v>
      </c>
      <c r="D10" s="887">
        <f>0.49*'6-Net Pos-Prop'!C11</f>
        <v>66797.388000000006</v>
      </c>
      <c r="E10" s="339">
        <f t="shared" ref="E10:E17" si="0">SUM(C10:D10)</f>
        <v>136321.20000000001</v>
      </c>
      <c r="G10" s="565"/>
      <c r="H10" s="565"/>
    </row>
    <row r="11" spans="2:8" x14ac:dyDescent="0.25">
      <c r="B11" s="338" t="s">
        <v>113</v>
      </c>
      <c r="C11" s="340">
        <v>49861</v>
      </c>
      <c r="D11" s="340">
        <v>28475</v>
      </c>
      <c r="E11" s="340">
        <f t="shared" si="0"/>
        <v>78336</v>
      </c>
    </row>
    <row r="12" spans="2:8" x14ac:dyDescent="0.25">
      <c r="B12" s="338" t="s">
        <v>114</v>
      </c>
      <c r="C12" s="340">
        <v>12635</v>
      </c>
      <c r="D12" s="340">
        <v>8837</v>
      </c>
      <c r="E12" s="340">
        <f t="shared" si="0"/>
        <v>21472</v>
      </c>
    </row>
    <row r="13" spans="2:8" x14ac:dyDescent="0.25">
      <c r="B13" s="849" t="s">
        <v>839</v>
      </c>
      <c r="C13" s="847">
        <v>13463</v>
      </c>
      <c r="D13" s="847">
        <v>0</v>
      </c>
      <c r="E13" s="847">
        <f t="shared" si="0"/>
        <v>13463</v>
      </c>
    </row>
    <row r="14" spans="2:8" x14ac:dyDescent="0.25">
      <c r="B14" s="849" t="s">
        <v>862</v>
      </c>
      <c r="C14" s="847">
        <v>868</v>
      </c>
      <c r="D14" s="847">
        <v>0</v>
      </c>
      <c r="E14" s="847">
        <f t="shared" si="0"/>
        <v>868</v>
      </c>
    </row>
    <row r="15" spans="2:8" x14ac:dyDescent="0.25">
      <c r="B15" s="338" t="s">
        <v>4</v>
      </c>
      <c r="C15" s="340">
        <v>63287</v>
      </c>
      <c r="D15" s="340">
        <v>46994</v>
      </c>
      <c r="E15" s="340">
        <f t="shared" si="0"/>
        <v>110281</v>
      </c>
    </row>
    <row r="16" spans="2:8" x14ac:dyDescent="0.25">
      <c r="B16" s="338" t="s">
        <v>115</v>
      </c>
      <c r="C16" s="341">
        <v>1986</v>
      </c>
      <c r="D16" s="341">
        <v>579</v>
      </c>
      <c r="E16" s="341">
        <f t="shared" si="0"/>
        <v>2565</v>
      </c>
    </row>
    <row r="17" spans="2:11" x14ac:dyDescent="0.25">
      <c r="B17" s="338" t="s">
        <v>577</v>
      </c>
      <c r="C17" s="343">
        <f>580345+8570</f>
        <v>588915</v>
      </c>
      <c r="D17" s="343">
        <f>1077780+8360</f>
        <v>1086140</v>
      </c>
      <c r="E17" s="343">
        <f t="shared" si="0"/>
        <v>1675055</v>
      </c>
    </row>
    <row r="18" spans="2:11" x14ac:dyDescent="0.25">
      <c r="B18" s="338" t="s">
        <v>45</v>
      </c>
      <c r="C18" s="342">
        <f>SUM(C10:C17)</f>
        <v>800538.81200000003</v>
      </c>
      <c r="D18" s="342">
        <f>SUM(D10:D17)</f>
        <v>1237822.388</v>
      </c>
      <c r="E18" s="342">
        <f>SUM(E10:E17)</f>
        <v>2038361.2</v>
      </c>
    </row>
    <row r="19" spans="2:11" x14ac:dyDescent="0.25">
      <c r="B19" s="21"/>
      <c r="C19" s="340"/>
      <c r="D19" s="340"/>
      <c r="E19" s="340"/>
      <c r="K19" s="775"/>
    </row>
    <row r="20" spans="2:11" x14ac:dyDescent="0.25">
      <c r="B20" s="21" t="s">
        <v>46</v>
      </c>
      <c r="C20" s="340"/>
      <c r="D20" s="340"/>
      <c r="E20" s="340"/>
    </row>
    <row r="21" spans="2:11" x14ac:dyDescent="0.25">
      <c r="B21" s="850" t="s">
        <v>839</v>
      </c>
      <c r="C21" s="847">
        <v>44269</v>
      </c>
      <c r="D21" s="847">
        <v>0</v>
      </c>
      <c r="E21" s="848">
        <f>+C21+D21</f>
        <v>44269</v>
      </c>
    </row>
    <row r="22" spans="2:11" x14ac:dyDescent="0.25">
      <c r="B22" s="338" t="s">
        <v>487</v>
      </c>
      <c r="C22" s="341"/>
      <c r="D22" s="341"/>
      <c r="E22" s="341"/>
      <c r="F22" s="161"/>
    </row>
    <row r="23" spans="2:11" x14ac:dyDescent="0.25">
      <c r="B23" s="338" t="s">
        <v>573</v>
      </c>
      <c r="C23" s="341">
        <v>1899750</v>
      </c>
      <c r="D23" s="341">
        <v>878799</v>
      </c>
      <c r="E23" s="341">
        <f>+C23+D23</f>
        <v>2778549</v>
      </c>
    </row>
    <row r="24" spans="2:11" x14ac:dyDescent="0.25">
      <c r="B24" s="338" t="s">
        <v>459</v>
      </c>
      <c r="C24" s="341">
        <f>5239654</f>
        <v>5239654</v>
      </c>
      <c r="D24" s="89">
        <v>4541802</v>
      </c>
      <c r="E24" s="341">
        <f>+C24+D24</f>
        <v>9781456</v>
      </c>
    </row>
    <row r="25" spans="2:11" x14ac:dyDescent="0.25">
      <c r="B25" s="888" t="s">
        <v>894</v>
      </c>
      <c r="C25" s="851">
        <v>28291</v>
      </c>
      <c r="D25" s="25"/>
      <c r="E25" s="848">
        <f>+C25+D25</f>
        <v>28291</v>
      </c>
    </row>
    <row r="26" spans="2:11" x14ac:dyDescent="0.25">
      <c r="B26" s="871" t="s">
        <v>895</v>
      </c>
      <c r="C26" s="851">
        <f>C23+C24+C25</f>
        <v>7167695</v>
      </c>
      <c r="D26" s="851">
        <f>D23+D24+D25</f>
        <v>5420601</v>
      </c>
      <c r="E26" s="851">
        <f>E23+E24+E25</f>
        <v>12588296</v>
      </c>
    </row>
    <row r="27" spans="2:11" x14ac:dyDescent="0.25">
      <c r="B27" s="338" t="s">
        <v>47</v>
      </c>
      <c r="C27" s="889">
        <f>+C26</f>
        <v>7167695</v>
      </c>
      <c r="D27" s="889">
        <f>+D26</f>
        <v>5420601</v>
      </c>
      <c r="E27" s="889">
        <f>E21++E26</f>
        <v>12632565</v>
      </c>
    </row>
    <row r="28" spans="2:11" x14ac:dyDescent="0.25">
      <c r="B28" s="338" t="s">
        <v>5</v>
      </c>
      <c r="C28" s="342">
        <f>+C27+C18</f>
        <v>7968233.8119999999</v>
      </c>
      <c r="D28" s="342">
        <f>+D27+D18</f>
        <v>6658423.3880000003</v>
      </c>
      <c r="E28" s="342">
        <f>+E27+E18</f>
        <v>14670926.199999999</v>
      </c>
    </row>
    <row r="29" spans="2:11" x14ac:dyDescent="0.25">
      <c r="B29" s="338"/>
      <c r="C29" s="341"/>
      <c r="D29" s="341"/>
      <c r="E29" s="341"/>
    </row>
    <row r="30" spans="2:11" x14ac:dyDescent="0.25">
      <c r="B30" s="309" t="s">
        <v>650</v>
      </c>
      <c r="C30" s="341"/>
      <c r="D30" s="341"/>
      <c r="E30" s="341"/>
    </row>
    <row r="31" spans="2:11" x14ac:dyDescent="0.25">
      <c r="B31" s="310" t="s">
        <v>701</v>
      </c>
      <c r="C31" s="341">
        <f>'6-Net Pos-Prop'!C33*0.51</f>
        <v>92069.741040000008</v>
      </c>
      <c r="D31" s="341">
        <f>'6-Net Pos-Prop'!C33*0.49</f>
        <v>88459.162960000001</v>
      </c>
      <c r="E31" s="341">
        <f>SUM(C31:D31)</f>
        <v>180528.90400000001</v>
      </c>
      <c r="G31" s="669"/>
    </row>
    <row r="32" spans="2:11" x14ac:dyDescent="0.25">
      <c r="B32" s="310" t="s">
        <v>772</v>
      </c>
      <c r="C32" s="459">
        <f>'6-Net Pos-Prop'!$C$34*0.51</f>
        <v>10411.344000000001</v>
      </c>
      <c r="D32" s="459">
        <f>'6-Net Pos-Prop'!$C$34*0.49</f>
        <v>10003.056</v>
      </c>
      <c r="E32" s="459">
        <f>SUM(C32:D32)</f>
        <v>20414.400000000001</v>
      </c>
      <c r="G32" s="669"/>
    </row>
    <row r="33" spans="2:5" x14ac:dyDescent="0.25">
      <c r="B33" s="21" t="s">
        <v>661</v>
      </c>
      <c r="C33" s="459">
        <f>157614*0.35</f>
        <v>55164.899999999994</v>
      </c>
      <c r="D33" s="459">
        <f>157614-C33</f>
        <v>102449.1</v>
      </c>
      <c r="E33" s="459">
        <f>SUM(C33:D33)</f>
        <v>157614</v>
      </c>
    </row>
    <row r="34" spans="2:5" x14ac:dyDescent="0.25">
      <c r="B34" s="338" t="s">
        <v>649</v>
      </c>
      <c r="C34" s="342">
        <f>SUM(C31:C33)</f>
        <v>157645.98504</v>
      </c>
      <c r="D34" s="342">
        <f>SUM(D31:D33)</f>
        <v>200911.31896</v>
      </c>
      <c r="E34" s="460">
        <f>SUM(C34:D34)</f>
        <v>358557.304</v>
      </c>
    </row>
    <row r="35" spans="2:5" x14ac:dyDescent="0.25">
      <c r="B35" s="310"/>
      <c r="C35" s="340"/>
      <c r="D35" s="340"/>
      <c r="E35" s="340"/>
    </row>
    <row r="36" spans="2:5" x14ac:dyDescent="0.25">
      <c r="B36" s="309" t="s">
        <v>6</v>
      </c>
      <c r="C36" s="340"/>
      <c r="D36" s="340"/>
      <c r="E36" s="340"/>
    </row>
    <row r="37" spans="2:5" x14ac:dyDescent="0.25">
      <c r="B37" s="21" t="s">
        <v>48</v>
      </c>
      <c r="C37" s="340"/>
      <c r="D37" s="340"/>
      <c r="E37" s="340"/>
    </row>
    <row r="38" spans="2:5" x14ac:dyDescent="0.25">
      <c r="B38" s="338" t="s">
        <v>126</v>
      </c>
      <c r="C38" s="847">
        <f>36125</f>
        <v>36125</v>
      </c>
      <c r="D38" s="340">
        <v>25885</v>
      </c>
      <c r="E38" s="340">
        <f t="shared" ref="E38:E45" si="1">SUM(C38:D38)</f>
        <v>62010</v>
      </c>
    </row>
    <row r="39" spans="2:5" x14ac:dyDescent="0.25">
      <c r="B39" s="872" t="s">
        <v>475</v>
      </c>
      <c r="C39" s="847">
        <v>528</v>
      </c>
      <c r="D39" s="340">
        <v>0</v>
      </c>
      <c r="E39" s="847">
        <f t="shared" si="1"/>
        <v>528</v>
      </c>
    </row>
    <row r="40" spans="2:5" x14ac:dyDescent="0.25">
      <c r="B40" s="338" t="s">
        <v>20</v>
      </c>
      <c r="C40" s="340">
        <f>'6-Net Pos-Prop'!C42*0.51</f>
        <v>1652.4</v>
      </c>
      <c r="D40" s="340">
        <f>0.49*'6-Net Pos-Prop'!C42</f>
        <v>1587.6</v>
      </c>
      <c r="E40" s="340">
        <f t="shared" si="1"/>
        <v>3240</v>
      </c>
    </row>
    <row r="41" spans="2:5" x14ac:dyDescent="0.25">
      <c r="B41" s="890" t="s">
        <v>118</v>
      </c>
      <c r="C41" s="891">
        <v>0</v>
      </c>
      <c r="D41" s="848">
        <v>675000</v>
      </c>
      <c r="E41" s="848">
        <f t="shared" ref="E41" si="2">SUM(C41:D41)</f>
        <v>675000</v>
      </c>
    </row>
    <row r="42" spans="2:5" x14ac:dyDescent="0.25">
      <c r="B42" s="338" t="s">
        <v>583</v>
      </c>
      <c r="C42" s="340">
        <v>4500</v>
      </c>
      <c r="D42" s="340">
        <v>4500</v>
      </c>
      <c r="E42" s="340">
        <f t="shared" si="1"/>
        <v>9000</v>
      </c>
    </row>
    <row r="43" spans="2:5" x14ac:dyDescent="0.25">
      <c r="B43" s="840" t="s">
        <v>860</v>
      </c>
      <c r="C43" s="847">
        <v>9423</v>
      </c>
      <c r="D43" s="847">
        <v>0</v>
      </c>
      <c r="E43" s="847">
        <f t="shared" si="1"/>
        <v>9423</v>
      </c>
    </row>
    <row r="44" spans="2:5" x14ac:dyDescent="0.25">
      <c r="B44" s="338" t="s">
        <v>563</v>
      </c>
      <c r="C44" s="340">
        <f>140350+48022*0.35</f>
        <v>157157.70000000001</v>
      </c>
      <c r="D44" s="340">
        <f>260650+48022*0.65</f>
        <v>291864.3</v>
      </c>
      <c r="E44" s="340">
        <f t="shared" si="1"/>
        <v>449022</v>
      </c>
    </row>
    <row r="45" spans="2:5" x14ac:dyDescent="0.25">
      <c r="B45" s="338" t="s">
        <v>117</v>
      </c>
      <c r="C45" s="340">
        <v>12019</v>
      </c>
      <c r="D45" s="340">
        <v>22320</v>
      </c>
      <c r="E45" s="340">
        <f t="shared" si="1"/>
        <v>34339</v>
      </c>
    </row>
    <row r="46" spans="2:5" x14ac:dyDescent="0.25">
      <c r="B46" s="338" t="s">
        <v>557</v>
      </c>
      <c r="C46" s="341"/>
      <c r="D46" s="341"/>
      <c r="E46" s="341"/>
    </row>
    <row r="47" spans="2:5" x14ac:dyDescent="0.25">
      <c r="B47" s="831" t="s">
        <v>19</v>
      </c>
      <c r="C47" s="341">
        <v>15557</v>
      </c>
      <c r="D47" s="341">
        <v>100000</v>
      </c>
      <c r="E47" s="341">
        <f>SUM(C47:D47)</f>
        <v>115557</v>
      </c>
    </row>
    <row r="48" spans="2:5" x14ac:dyDescent="0.25">
      <c r="B48" s="831" t="s">
        <v>884</v>
      </c>
      <c r="C48" s="340">
        <v>8570</v>
      </c>
      <c r="D48" s="340">
        <v>8360</v>
      </c>
      <c r="E48" s="340">
        <f>SUM(C48:D48)</f>
        <v>16930</v>
      </c>
    </row>
    <row r="49" spans="2:12" x14ac:dyDescent="0.25">
      <c r="B49" s="338" t="s">
        <v>50</v>
      </c>
      <c r="C49" s="342">
        <f>SUM(C38:C48)</f>
        <v>245532.1</v>
      </c>
      <c r="D49" s="342">
        <f>SUM(D38:D48)</f>
        <v>1129516.8999999999</v>
      </c>
      <c r="E49" s="342">
        <f>SUM(C49:D49)</f>
        <v>1375049</v>
      </c>
    </row>
    <row r="50" spans="2:12" ht="8.25" customHeight="1" x14ac:dyDescent="0.25">
      <c r="B50" s="338"/>
      <c r="C50" s="341"/>
      <c r="D50" s="341"/>
      <c r="E50" s="341"/>
    </row>
    <row r="51" spans="2:12" x14ac:dyDescent="0.25">
      <c r="B51" s="21" t="s">
        <v>51</v>
      </c>
      <c r="C51" s="341"/>
      <c r="D51" s="341"/>
      <c r="E51" s="341"/>
    </row>
    <row r="52" spans="2:12" x14ac:dyDescent="0.25">
      <c r="B52" s="338" t="s">
        <v>491</v>
      </c>
      <c r="C52" s="341"/>
      <c r="D52" s="341"/>
      <c r="E52" s="341"/>
    </row>
    <row r="53" spans="2:12" x14ac:dyDescent="0.25">
      <c r="B53" s="338" t="s">
        <v>695</v>
      </c>
      <c r="C53" s="341">
        <f>0.51*'6-Net Pos-Prop'!C54</f>
        <v>13770</v>
      </c>
      <c r="D53" s="341">
        <f>0.49*'6-Net Pos-Prop'!C54</f>
        <v>13230</v>
      </c>
      <c r="E53" s="341">
        <f>SUM(C53:D53)</f>
        <v>27000</v>
      </c>
    </row>
    <row r="54" spans="2:12" x14ac:dyDescent="0.25">
      <c r="B54" s="445" t="s">
        <v>771</v>
      </c>
      <c r="C54" s="341">
        <f>'6-Net Pos-Prop'!$C$58*0.51</f>
        <v>192960.12588000004</v>
      </c>
      <c r="D54" s="341">
        <f>'6-Net Pos-Prop'!$C$58*0.49</f>
        <v>185393.06212000005</v>
      </c>
      <c r="E54" s="341">
        <f>SUM(C54:D54)</f>
        <v>378353.18800000008</v>
      </c>
      <c r="H54" s="341"/>
      <c r="I54" s="341"/>
      <c r="J54" s="341"/>
    </row>
    <row r="55" spans="2:12" x14ac:dyDescent="0.25">
      <c r="B55" s="338" t="s">
        <v>49</v>
      </c>
      <c r="C55" s="340">
        <v>20950</v>
      </c>
      <c r="D55" s="340">
        <v>20950</v>
      </c>
      <c r="E55" s="341">
        <f t="shared" ref="E55:E71" si="3">SUM(C55:D55)</f>
        <v>41900</v>
      </c>
    </row>
    <row r="56" spans="2:12" x14ac:dyDescent="0.25">
      <c r="B56" s="840" t="s">
        <v>860</v>
      </c>
      <c r="C56" s="847">
        <v>19416</v>
      </c>
      <c r="D56" s="847">
        <v>0</v>
      </c>
      <c r="E56" s="848">
        <f t="shared" si="3"/>
        <v>19416</v>
      </c>
    </row>
    <row r="57" spans="2:12" x14ac:dyDescent="0.25">
      <c r="B57" s="445" t="s">
        <v>719</v>
      </c>
      <c r="C57" s="340">
        <f>'6-Net Pos-Prop'!$C$57*0.51</f>
        <v>105522.57204000001</v>
      </c>
      <c r="D57" s="340">
        <f>'6-Net Pos-Prop'!$C$57*0.49</f>
        <v>101384.43196</v>
      </c>
      <c r="E57" s="341">
        <f t="shared" si="3"/>
        <v>206907.00400000002</v>
      </c>
    </row>
    <row r="58" spans="2:12" x14ac:dyDescent="0.25">
      <c r="B58" s="338" t="s">
        <v>652</v>
      </c>
      <c r="C58" s="340">
        <f>840000+109592*0.35</f>
        <v>878357.2</v>
      </c>
      <c r="D58" s="340">
        <f>1560000+109592*0.65</f>
        <v>1631234.8</v>
      </c>
      <c r="E58" s="341">
        <f t="shared" si="3"/>
        <v>2509592</v>
      </c>
    </row>
    <row r="59" spans="2:12" x14ac:dyDescent="0.25">
      <c r="B59" s="338" t="s">
        <v>582</v>
      </c>
      <c r="C59" s="341">
        <v>305404</v>
      </c>
      <c r="D59" s="341">
        <v>567180</v>
      </c>
      <c r="E59" s="341">
        <f t="shared" si="3"/>
        <v>872584</v>
      </c>
      <c r="F59" s="161"/>
      <c r="G59" s="161"/>
      <c r="H59" s="161"/>
      <c r="I59" s="161"/>
      <c r="J59" s="161"/>
      <c r="K59" s="161"/>
      <c r="L59" s="161"/>
    </row>
    <row r="60" spans="2:12" x14ac:dyDescent="0.25">
      <c r="B60" s="445" t="s">
        <v>7</v>
      </c>
      <c r="C60" s="342">
        <f>SUM(C49:C59)</f>
        <v>1781911.99792</v>
      </c>
      <c r="D60" s="342">
        <f>SUM(D49:D59)</f>
        <v>3648889.1940799998</v>
      </c>
      <c r="E60" s="342">
        <f>SUM(C60:D60)</f>
        <v>5430801.1919999998</v>
      </c>
      <c r="F60" s="161"/>
      <c r="G60" s="161"/>
      <c r="H60" s="161"/>
      <c r="I60" s="161"/>
      <c r="J60" s="161"/>
      <c r="K60" s="161"/>
      <c r="L60" s="161"/>
    </row>
    <row r="61" spans="2:12" x14ac:dyDescent="0.25">
      <c r="B61" s="445"/>
      <c r="C61" s="341"/>
      <c r="D61" s="341"/>
      <c r="E61" s="341"/>
      <c r="F61" s="161"/>
      <c r="G61" s="161"/>
      <c r="H61" s="161"/>
      <c r="I61" s="161"/>
      <c r="J61" s="161"/>
      <c r="K61" s="161"/>
      <c r="L61" s="161"/>
    </row>
    <row r="62" spans="2:12" x14ac:dyDescent="0.25">
      <c r="B62" s="632" t="s">
        <v>632</v>
      </c>
      <c r="C62" s="341"/>
      <c r="D62" s="341"/>
      <c r="E62" s="341"/>
      <c r="F62" s="161"/>
      <c r="G62" s="161"/>
      <c r="H62" s="161"/>
      <c r="I62" s="161"/>
      <c r="J62" s="161"/>
      <c r="K62" s="161"/>
      <c r="L62" s="161"/>
    </row>
    <row r="63" spans="2:12" x14ac:dyDescent="0.25">
      <c r="B63" s="445" t="s">
        <v>681</v>
      </c>
      <c r="C63" s="341">
        <f>'6-Net Pos-Prop'!$C$65*0.51</f>
        <v>2209.3424399999981</v>
      </c>
      <c r="D63" s="341">
        <f>'6-Net Pos-Prop'!$C$65*0.49</f>
        <v>2122.7015599999982</v>
      </c>
      <c r="E63" s="341">
        <f>SUM(C63:D63)</f>
        <v>4332.0439999999962</v>
      </c>
      <c r="F63" s="161"/>
      <c r="G63" s="161"/>
      <c r="H63" s="161"/>
      <c r="I63" s="161"/>
      <c r="J63" s="161"/>
      <c r="K63" s="161"/>
      <c r="L63" s="161"/>
    </row>
    <row r="64" spans="2:12" x14ac:dyDescent="0.25">
      <c r="B64" s="445" t="s">
        <v>772</v>
      </c>
      <c r="C64" s="341">
        <f>'6-Net Pos-Prop'!$C$66*0.51</f>
        <v>977.1130800000002</v>
      </c>
      <c r="D64" s="341">
        <f>'6-Net Pos-Prop'!$C$66*0.49</f>
        <v>938.79492000000016</v>
      </c>
      <c r="E64" s="341">
        <f>SUM(C64:D64)</f>
        <v>1915.9080000000004</v>
      </c>
      <c r="F64" s="161"/>
      <c r="G64" s="161"/>
      <c r="H64" s="161"/>
      <c r="I64" s="161"/>
      <c r="J64" s="161"/>
      <c r="K64" s="161"/>
      <c r="L64" s="161"/>
    </row>
    <row r="65" spans="2:12" x14ac:dyDescent="0.25">
      <c r="B65" s="585" t="s">
        <v>847</v>
      </c>
      <c r="C65" s="848">
        <v>51321</v>
      </c>
      <c r="D65" s="848">
        <v>0</v>
      </c>
      <c r="E65" s="848">
        <f>SUM(C65:D65)</f>
        <v>51321</v>
      </c>
      <c r="F65" s="161"/>
      <c r="G65" s="161"/>
      <c r="H65" s="161"/>
      <c r="I65" s="161"/>
      <c r="J65" s="161"/>
      <c r="K65" s="161"/>
      <c r="L65" s="161"/>
    </row>
    <row r="66" spans="2:12" x14ac:dyDescent="0.25">
      <c r="B66" s="832" t="s">
        <v>633</v>
      </c>
      <c r="C66" s="342">
        <f>SUM(C63:C65)</f>
        <v>54507.455519999996</v>
      </c>
      <c r="D66" s="342">
        <f>SUM(D63:D65)</f>
        <v>3061.4964799999984</v>
      </c>
      <c r="E66" s="342">
        <f>SUM(C66:D66)</f>
        <v>57568.951999999997</v>
      </c>
      <c r="F66" s="161"/>
      <c r="G66" s="161"/>
      <c r="H66" s="161"/>
      <c r="I66" s="161"/>
      <c r="J66" s="161"/>
      <c r="K66" s="161"/>
      <c r="L66" s="161"/>
    </row>
    <row r="67" spans="2:12" x14ac:dyDescent="0.25">
      <c r="B67" s="445"/>
      <c r="C67" s="341"/>
      <c r="D67" s="341"/>
      <c r="E67" s="341"/>
      <c r="F67" s="161"/>
      <c r="G67" s="161"/>
      <c r="H67" s="161"/>
      <c r="I67" s="161"/>
      <c r="J67" s="161"/>
      <c r="K67" s="161"/>
      <c r="L67" s="161"/>
    </row>
    <row r="68" spans="2:12" x14ac:dyDescent="0.25">
      <c r="B68" s="461" t="s">
        <v>634</v>
      </c>
      <c r="C68" s="341"/>
      <c r="D68" s="384"/>
      <c r="E68" s="341"/>
      <c r="F68" s="360"/>
      <c r="G68" s="360"/>
      <c r="H68" s="360"/>
      <c r="I68" s="360"/>
      <c r="J68" s="360"/>
      <c r="K68" s="360"/>
      <c r="L68" s="161"/>
    </row>
    <row r="69" spans="2:12" x14ac:dyDescent="0.25">
      <c r="B69" s="441" t="s">
        <v>648</v>
      </c>
      <c r="C69" s="848">
        <f>6421976-78807-547</f>
        <v>6342622</v>
      </c>
      <c r="D69" s="892">
        <f>3413231-78807</f>
        <v>3334424</v>
      </c>
      <c r="E69" s="341">
        <f t="shared" si="3"/>
        <v>9677046</v>
      </c>
      <c r="F69" s="360"/>
      <c r="G69" s="360"/>
      <c r="H69" s="360"/>
      <c r="I69" s="360"/>
      <c r="J69" s="360"/>
      <c r="K69" s="360"/>
      <c r="L69" s="161"/>
    </row>
    <row r="70" spans="2:12" x14ac:dyDescent="0.25">
      <c r="B70" s="441" t="s">
        <v>728</v>
      </c>
      <c r="C70" s="341">
        <f>'6-Net Pos-Prop'!$C$72*0.51</f>
        <v>55959.75</v>
      </c>
      <c r="D70" s="341">
        <f>'6-Net Pos-Prop'!$C$72*0.49</f>
        <v>53765.25</v>
      </c>
      <c r="E70" s="341">
        <f t="shared" si="3"/>
        <v>109725</v>
      </c>
      <c r="F70" s="360"/>
      <c r="G70" s="360"/>
      <c r="H70" s="360"/>
      <c r="I70" s="360"/>
      <c r="J70" s="360"/>
      <c r="K70" s="360"/>
      <c r="L70" s="161"/>
    </row>
    <row r="71" spans="2:12" x14ac:dyDescent="0.25">
      <c r="B71" s="441" t="s">
        <v>53</v>
      </c>
      <c r="C71" s="848">
        <f>'6-Net Pos-Prop'!$C$73*0.51</f>
        <v>-125284.88640000031</v>
      </c>
      <c r="D71" s="848">
        <f>'6-Net Pos-Prop'!$C$73*0.49</f>
        <v>-120371.75360000029</v>
      </c>
      <c r="E71" s="341">
        <f t="shared" si="3"/>
        <v>-245656.6400000006</v>
      </c>
      <c r="F71" s="360"/>
      <c r="G71" s="609"/>
      <c r="H71" s="609"/>
      <c r="I71" s="360"/>
      <c r="J71" s="360"/>
      <c r="K71" s="360"/>
      <c r="L71" s="161"/>
    </row>
    <row r="72" spans="2:12" ht="13.8" thickBot="1" x14ac:dyDescent="0.3">
      <c r="B72" s="441" t="s">
        <v>635</v>
      </c>
      <c r="C72" s="344">
        <f>SUM(C69:C71)</f>
        <v>6273296.8635999998</v>
      </c>
      <c r="D72" s="344">
        <f>SUM(D69:D71)</f>
        <v>3267817.4963999996</v>
      </c>
      <c r="E72" s="344">
        <f>SUM(E69:E71)</f>
        <v>9541114.3599999994</v>
      </c>
      <c r="F72" s="360"/>
      <c r="G72" s="609"/>
      <c r="H72" s="360"/>
      <c r="I72" s="360"/>
      <c r="J72" s="360"/>
      <c r="K72" s="360"/>
      <c r="L72" s="161"/>
    </row>
    <row r="73" spans="2:12" ht="14.4" thickTop="1" thickBot="1" x14ac:dyDescent="0.3">
      <c r="B73" s="311"/>
      <c r="C73" s="345"/>
      <c r="D73" s="345"/>
      <c r="E73" s="345"/>
      <c r="F73" s="360"/>
      <c r="G73" s="360"/>
      <c r="H73" s="360"/>
      <c r="I73" s="360"/>
      <c r="J73" s="360"/>
      <c r="K73" s="360"/>
      <c r="L73" s="161"/>
    </row>
    <row r="74" spans="2:12" ht="12" customHeight="1" x14ac:dyDescent="0.25">
      <c r="B74" s="1135" t="s">
        <v>673</v>
      </c>
      <c r="C74" s="1136"/>
      <c r="D74" s="1136"/>
      <c r="E74" s="1137"/>
      <c r="F74" s="360"/>
      <c r="G74" s="360"/>
      <c r="H74" s="360"/>
      <c r="I74" s="360"/>
      <c r="J74" s="360"/>
      <c r="K74" s="360"/>
      <c r="L74" s="161"/>
    </row>
    <row r="75" spans="2:12" x14ac:dyDescent="0.25">
      <c r="B75" s="1138"/>
      <c r="C75" s="1139"/>
      <c r="D75" s="1139"/>
      <c r="E75" s="1140"/>
      <c r="F75" s="360"/>
      <c r="G75" s="360"/>
      <c r="H75" s="360"/>
      <c r="I75" s="360"/>
      <c r="J75" s="360"/>
      <c r="K75" s="360"/>
      <c r="L75" s="161"/>
    </row>
    <row r="76" spans="2:12" x14ac:dyDescent="0.25">
      <c r="B76" s="1138"/>
      <c r="C76" s="1139"/>
      <c r="D76" s="1139"/>
      <c r="E76" s="1140"/>
      <c r="F76" s="360"/>
      <c r="G76" s="360"/>
      <c r="H76" s="360"/>
      <c r="I76" s="360"/>
      <c r="J76" s="360"/>
      <c r="K76" s="360"/>
      <c r="L76" s="161"/>
    </row>
    <row r="77" spans="2:12" x14ac:dyDescent="0.25">
      <c r="B77" s="1138"/>
      <c r="C77" s="1139"/>
      <c r="D77" s="1139"/>
      <c r="E77" s="1140"/>
      <c r="F77" s="360"/>
      <c r="G77" s="360"/>
      <c r="H77" s="360"/>
      <c r="I77" s="360"/>
      <c r="J77" s="360"/>
      <c r="K77" s="360"/>
      <c r="L77" s="161"/>
    </row>
    <row r="78" spans="2:12" ht="28.5" customHeight="1" thickBot="1" x14ac:dyDescent="0.3">
      <c r="B78" s="1141"/>
      <c r="C78" s="1142"/>
      <c r="D78" s="1142"/>
      <c r="E78" s="1143"/>
      <c r="F78" s="360"/>
      <c r="G78" s="360"/>
      <c r="H78" s="360"/>
      <c r="I78" s="360"/>
      <c r="J78" s="360"/>
      <c r="K78" s="360"/>
      <c r="L78" s="161"/>
    </row>
    <row r="79" spans="2:12" x14ac:dyDescent="0.25">
      <c r="B79" s="311"/>
      <c r="C79" s="345"/>
      <c r="D79" s="345"/>
      <c r="E79" s="345"/>
      <c r="F79" s="360"/>
      <c r="G79" s="360"/>
      <c r="H79" s="360"/>
      <c r="I79" s="360"/>
      <c r="J79" s="360"/>
      <c r="K79" s="360"/>
      <c r="L79" s="161"/>
    </row>
    <row r="80" spans="2:12" x14ac:dyDescent="0.25">
      <c r="B80" s="311"/>
      <c r="C80" s="345"/>
      <c r="D80" s="345"/>
      <c r="E80" s="345"/>
      <c r="F80" s="360"/>
      <c r="G80" s="360"/>
      <c r="H80" s="360"/>
      <c r="I80" s="360"/>
      <c r="J80" s="360"/>
      <c r="K80" s="360"/>
      <c r="L80" s="161"/>
    </row>
    <row r="81" spans="2:12" x14ac:dyDescent="0.25">
      <c r="B81" s="311"/>
      <c r="C81" s="345"/>
      <c r="D81" s="345"/>
      <c r="E81" s="345"/>
      <c r="F81" s="360"/>
      <c r="G81" s="360"/>
      <c r="H81" s="360"/>
      <c r="I81" s="360"/>
      <c r="J81" s="360"/>
      <c r="K81" s="360"/>
      <c r="L81" s="161"/>
    </row>
    <row r="82" spans="2:12" x14ac:dyDescent="0.25">
      <c r="B82" s="311"/>
      <c r="C82" s="161"/>
      <c r="D82" s="161"/>
      <c r="E82" s="59"/>
      <c r="F82" s="161"/>
      <c r="G82" s="161"/>
      <c r="H82" s="161"/>
      <c r="I82" s="161"/>
      <c r="J82" s="161"/>
      <c r="K82" s="161"/>
      <c r="L82" s="161"/>
    </row>
    <row r="86" spans="2:12" x14ac:dyDescent="0.25">
      <c r="B86" s="290"/>
    </row>
    <row r="94" spans="2:12" x14ac:dyDescent="0.25">
      <c r="H94" s="587"/>
    </row>
  </sheetData>
  <customSheetViews>
    <customSheetView guid="{AB48C5D7-99F4-4378-A0F9-05018B348977}">
      <selection activeCell="B39" sqref="B39"/>
      <pageMargins left="0.75" right="0.75" top="1" bottom="1" header="0.5" footer="0.5"/>
      <pageSetup scale="79" firstPageNumber="112" orientation="portrait" useFirstPageNumber="1" r:id="rId1"/>
      <headerFooter alignWithMargins="0"/>
    </customSheetView>
  </customSheetViews>
  <mergeCells count="5">
    <mergeCell ref="B2:E2"/>
    <mergeCell ref="B3:E3"/>
    <mergeCell ref="B5:E5"/>
    <mergeCell ref="B4:E4"/>
    <mergeCell ref="B74:E78"/>
  </mergeCells>
  <phoneticPr fontId="0" type="noConversion"/>
  <printOptions horizontalCentered="1"/>
  <pageMargins left="0.7" right="0.7" top="0.75" bottom="0.75" header="0.3" footer="0.3"/>
  <pageSetup scale="72" firstPageNumber="112" fitToWidth="0" orientation="portrait" r:id="rId2"/>
  <rowBreaks count="1" manualBreakCount="1">
    <brk id="78" min="1" max="4"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FF00"/>
    <pageSetUpPr fitToPage="1"/>
  </sheetPr>
  <dimension ref="B2:L52"/>
  <sheetViews>
    <sheetView workbookViewId="0">
      <selection activeCell="F10" sqref="F10"/>
    </sheetView>
  </sheetViews>
  <sheetFormatPr defaultColWidth="9.109375" defaultRowHeight="13.2" x14ac:dyDescent="0.25"/>
  <cols>
    <col min="1" max="1" width="9.109375" style="17"/>
    <col min="2" max="2" width="30.6640625" style="17" customWidth="1"/>
    <col min="3" max="5" width="15.6640625" style="17" customWidth="1"/>
    <col min="6" max="6" width="2.33203125" style="17" customWidth="1"/>
    <col min="7" max="7" width="14.44140625" style="17" customWidth="1"/>
    <col min="8" max="8" width="10.5546875" style="17" customWidth="1"/>
    <col min="9" max="16384" width="9.109375" style="17"/>
  </cols>
  <sheetData>
    <row r="2" spans="2:5" x14ac:dyDescent="0.25">
      <c r="B2" s="896" t="s">
        <v>0</v>
      </c>
      <c r="C2" s="896"/>
      <c r="D2" s="896"/>
      <c r="E2" s="896"/>
    </row>
    <row r="3" spans="2:5" s="41" customFormat="1" x14ac:dyDescent="0.25">
      <c r="B3" s="896" t="s">
        <v>664</v>
      </c>
      <c r="C3" s="896"/>
      <c r="D3" s="896"/>
      <c r="E3" s="896"/>
    </row>
    <row r="4" spans="2:5" x14ac:dyDescent="0.25">
      <c r="B4" s="896" t="s">
        <v>580</v>
      </c>
      <c r="C4" s="896"/>
      <c r="D4" s="896"/>
      <c r="E4" s="896"/>
    </row>
    <row r="5" spans="2:5" s="41" customFormat="1" x14ac:dyDescent="0.25">
      <c r="B5" s="896" t="str">
        <f>'5-GASB34GovtFundsBudget'!E5</f>
        <v>For the Year Ended June 30, 2023</v>
      </c>
      <c r="C5" s="896"/>
      <c r="D5" s="896"/>
      <c r="E5" s="896"/>
    </row>
    <row r="7" spans="2:5" x14ac:dyDescent="0.25">
      <c r="C7" s="81" t="s">
        <v>581</v>
      </c>
      <c r="D7" s="81" t="s">
        <v>404</v>
      </c>
      <c r="E7" s="81" t="s">
        <v>1</v>
      </c>
    </row>
    <row r="8" spans="2:5" x14ac:dyDescent="0.25">
      <c r="B8" s="132" t="s">
        <v>55</v>
      </c>
    </row>
    <row r="9" spans="2:5" x14ac:dyDescent="0.25">
      <c r="B9" s="58" t="s">
        <v>30</v>
      </c>
      <c r="C9" s="893">
        <f>0.51*'7-Rev, Exp-Prop'!D11+119438</f>
        <v>900530.54</v>
      </c>
      <c r="D9" s="893">
        <f>0.49*'7-Rev, Exp-Prop'!$D$11-119438</f>
        <v>631023.46</v>
      </c>
      <c r="E9" s="345">
        <f>SUM(C9:D9)</f>
        <v>1531554</v>
      </c>
    </row>
    <row r="10" spans="2:5" x14ac:dyDescent="0.25">
      <c r="B10" s="58" t="s">
        <v>85</v>
      </c>
      <c r="C10" s="341">
        <v>7500</v>
      </c>
      <c r="D10" s="341">
        <v>4600</v>
      </c>
      <c r="E10" s="341">
        <f>SUM(C10:D10)</f>
        <v>12100</v>
      </c>
    </row>
    <row r="11" spans="2:5" x14ac:dyDescent="0.25">
      <c r="B11" s="58" t="s">
        <v>86</v>
      </c>
      <c r="C11" s="343">
        <v>330</v>
      </c>
      <c r="D11" s="343">
        <v>300</v>
      </c>
      <c r="E11" s="343">
        <f>SUM(C11:D11)</f>
        <v>630</v>
      </c>
    </row>
    <row r="12" spans="2:5" x14ac:dyDescent="0.25">
      <c r="B12" s="312" t="s">
        <v>56</v>
      </c>
      <c r="C12" s="342">
        <f>SUM(C9:C11)</f>
        <v>908360.54</v>
      </c>
      <c r="D12" s="342">
        <f>SUM(D9:D11)</f>
        <v>635923.46</v>
      </c>
      <c r="E12" s="342">
        <f>SUM(E9:E11)</f>
        <v>1544284</v>
      </c>
    </row>
    <row r="13" spans="2:5" x14ac:dyDescent="0.25">
      <c r="B13" s="58"/>
      <c r="C13" s="341"/>
      <c r="D13" s="341"/>
      <c r="E13" s="341"/>
    </row>
    <row r="14" spans="2:5" x14ac:dyDescent="0.25">
      <c r="B14" s="132" t="s">
        <v>57</v>
      </c>
      <c r="C14" s="340"/>
      <c r="D14" s="340"/>
      <c r="E14" s="340"/>
    </row>
    <row r="15" spans="2:5" x14ac:dyDescent="0.25">
      <c r="B15" s="58" t="s">
        <v>87</v>
      </c>
      <c r="C15" s="340">
        <f>0.51*'7-Rev, Exp-Prop'!D17</f>
        <v>182277.315</v>
      </c>
      <c r="D15" s="340">
        <f>0.49*'7-Rev, Exp-Prop'!D17</f>
        <v>175129.185</v>
      </c>
      <c r="E15" s="340">
        <f>SUM(C15:D15)</f>
        <v>357406.5</v>
      </c>
    </row>
    <row r="16" spans="2:5" x14ac:dyDescent="0.25">
      <c r="B16" s="58" t="s">
        <v>88</v>
      </c>
      <c r="C16" s="340">
        <f>0.51*'7-Rev, Exp-Prop'!D18</f>
        <v>41307.96</v>
      </c>
      <c r="D16" s="340">
        <f>0.49*'7-Rev, Exp-Prop'!D18</f>
        <v>39688.04</v>
      </c>
      <c r="E16" s="340">
        <f>SUM(C16:D16)</f>
        <v>80996</v>
      </c>
    </row>
    <row r="17" spans="2:5" x14ac:dyDescent="0.25">
      <c r="B17" s="58" t="s">
        <v>91</v>
      </c>
      <c r="C17" s="340">
        <f>56353+15678+74556+140000</f>
        <v>286587</v>
      </c>
      <c r="D17" s="340">
        <v>0</v>
      </c>
      <c r="E17" s="340">
        <f>SUM(C17:D17)</f>
        <v>286587</v>
      </c>
    </row>
    <row r="18" spans="2:5" x14ac:dyDescent="0.25">
      <c r="B18" s="58" t="s">
        <v>92</v>
      </c>
      <c r="C18" s="340">
        <v>0</v>
      </c>
      <c r="D18" s="340">
        <f>129744+11165-74556+125000</f>
        <v>191353</v>
      </c>
      <c r="E18" s="340">
        <f>SUM(C18:D18)</f>
        <v>191353</v>
      </c>
    </row>
    <row r="19" spans="2:5" x14ac:dyDescent="0.25">
      <c r="B19" s="58" t="s">
        <v>863</v>
      </c>
      <c r="C19" s="851">
        <f>190675+9431</f>
        <v>200106</v>
      </c>
      <c r="D19" s="343">
        <v>60529</v>
      </c>
      <c r="E19" s="343">
        <f>SUM(C19:D19)</f>
        <v>260635</v>
      </c>
    </row>
    <row r="20" spans="2:5" x14ac:dyDescent="0.25">
      <c r="B20" s="312" t="s">
        <v>509</v>
      </c>
      <c r="C20" s="342">
        <f>SUM(C15:C19)</f>
        <v>710278.27500000002</v>
      </c>
      <c r="D20" s="342">
        <f>SUM(D15:D19)</f>
        <v>466699.22499999998</v>
      </c>
      <c r="E20" s="342">
        <f>SUM(E15:E19)</f>
        <v>1176977.5</v>
      </c>
    </row>
    <row r="21" spans="2:5" x14ac:dyDescent="0.25">
      <c r="B21" s="312"/>
      <c r="C21" s="341"/>
      <c r="D21" s="341"/>
      <c r="E21" s="341"/>
    </row>
    <row r="22" spans="2:5" x14ac:dyDescent="0.25">
      <c r="B22" s="312" t="s">
        <v>59</v>
      </c>
      <c r="C22" s="343">
        <f>+C12-C20</f>
        <v>198082.26500000001</v>
      </c>
      <c r="D22" s="343">
        <f>+D12-D20</f>
        <v>169224.23499999999</v>
      </c>
      <c r="E22" s="343">
        <f>+E12-E20-1</f>
        <v>367305.5</v>
      </c>
    </row>
    <row r="23" spans="2:5" x14ac:dyDescent="0.25">
      <c r="C23" s="340"/>
      <c r="D23" s="340"/>
      <c r="E23" s="340"/>
    </row>
    <row r="24" spans="2:5" x14ac:dyDescent="0.25">
      <c r="B24" s="132" t="s">
        <v>60</v>
      </c>
      <c r="C24" s="340"/>
      <c r="D24" s="340"/>
      <c r="E24" s="340"/>
    </row>
    <row r="25" spans="2:5" x14ac:dyDescent="0.25">
      <c r="B25" s="797" t="s">
        <v>849</v>
      </c>
      <c r="C25" s="847">
        <v>12830</v>
      </c>
      <c r="D25" s="847">
        <v>0</v>
      </c>
      <c r="E25" s="847">
        <f>SUM(C25:D25)</f>
        <v>12830</v>
      </c>
    </row>
    <row r="26" spans="2:5" x14ac:dyDescent="0.25">
      <c r="B26" s="22" t="s">
        <v>31</v>
      </c>
      <c r="C26" s="847">
        <f>16935+868</f>
        <v>17803</v>
      </c>
      <c r="D26" s="340">
        <v>21187</v>
      </c>
      <c r="E26" s="847">
        <f>SUM(C26:D26)</f>
        <v>38990</v>
      </c>
    </row>
    <row r="27" spans="2:5" x14ac:dyDescent="0.25">
      <c r="B27" s="22" t="s">
        <v>37</v>
      </c>
      <c r="C27" s="847">
        <f>-20380-762+169</f>
        <v>-20973</v>
      </c>
      <c r="D27" s="340">
        <v>-58006</v>
      </c>
      <c r="E27" s="847">
        <f>SUM(C27:D27)</f>
        <v>-78979</v>
      </c>
    </row>
    <row r="28" spans="2:5" x14ac:dyDescent="0.25">
      <c r="B28" s="22" t="s">
        <v>93</v>
      </c>
      <c r="C28" s="340">
        <v>-2500</v>
      </c>
      <c r="D28" s="340">
        <v>-7500</v>
      </c>
      <c r="E28" s="340">
        <f>SUM(C28:D28)</f>
        <v>-10000</v>
      </c>
    </row>
    <row r="29" spans="2:5" ht="26.4" x14ac:dyDescent="0.25">
      <c r="B29" s="309" t="s">
        <v>61</v>
      </c>
      <c r="C29" s="342">
        <f>SUM(C25:C28)</f>
        <v>7160</v>
      </c>
      <c r="D29" s="342">
        <f>SUM(D26:D28)</f>
        <v>-44319</v>
      </c>
      <c r="E29" s="342">
        <f>SUM(E25:E28)</f>
        <v>-37159</v>
      </c>
    </row>
    <row r="30" spans="2:5" x14ac:dyDescent="0.25">
      <c r="B30" s="309"/>
      <c r="C30" s="341"/>
      <c r="D30" s="341"/>
      <c r="E30" s="341"/>
    </row>
    <row r="31" spans="2:5" ht="26.4" x14ac:dyDescent="0.25">
      <c r="B31" s="309" t="s">
        <v>62</v>
      </c>
      <c r="C31" s="340">
        <f>+C22+C29</f>
        <v>205242.26500000001</v>
      </c>
      <c r="D31" s="340">
        <f>+D22+D29</f>
        <v>124905.23499999999</v>
      </c>
      <c r="E31" s="340">
        <f>+E22+E29</f>
        <v>330146.5</v>
      </c>
    </row>
    <row r="32" spans="2:5" x14ac:dyDescent="0.25">
      <c r="B32" s="309"/>
      <c r="C32" s="340"/>
      <c r="D32" s="340"/>
      <c r="E32" s="340"/>
    </row>
    <row r="33" spans="2:12" x14ac:dyDescent="0.25">
      <c r="B33" s="22" t="s">
        <v>63</v>
      </c>
      <c r="C33" s="340">
        <v>86394</v>
      </c>
      <c r="D33" s="340">
        <v>41554</v>
      </c>
      <c r="E33" s="340">
        <f>SUM(C33:D33)</f>
        <v>127948</v>
      </c>
    </row>
    <row r="34" spans="2:12" ht="26.4" x14ac:dyDescent="0.25">
      <c r="B34" s="22" t="s">
        <v>544</v>
      </c>
      <c r="C34" s="340">
        <v>0</v>
      </c>
      <c r="D34" s="340">
        <v>1281046</v>
      </c>
      <c r="E34" s="340">
        <f>SUM(C34:D34)</f>
        <v>1281046</v>
      </c>
    </row>
    <row r="35" spans="2:12" x14ac:dyDescent="0.25">
      <c r="B35" s="22" t="s">
        <v>483</v>
      </c>
      <c r="C35" s="340">
        <v>48700</v>
      </c>
      <c r="D35" s="340">
        <v>48700</v>
      </c>
      <c r="E35" s="340">
        <f>SUM(C35:D35)</f>
        <v>97400</v>
      </c>
    </row>
    <row r="36" spans="2:12" x14ac:dyDescent="0.25">
      <c r="B36" s="22" t="s">
        <v>484</v>
      </c>
      <c r="C36" s="343">
        <v>-2414</v>
      </c>
      <c r="D36" s="343">
        <v>-2413</v>
      </c>
      <c r="E36" s="343">
        <f>SUM(C36:D36)</f>
        <v>-4827</v>
      </c>
    </row>
    <row r="37" spans="2:12" x14ac:dyDescent="0.25">
      <c r="B37" s="309"/>
      <c r="C37" s="346"/>
      <c r="D37" s="346"/>
      <c r="E37" s="346"/>
    </row>
    <row r="38" spans="2:12" x14ac:dyDescent="0.25">
      <c r="B38" s="309"/>
      <c r="C38" s="341"/>
      <c r="D38" s="341"/>
      <c r="E38" s="341"/>
    </row>
    <row r="39" spans="2:12" x14ac:dyDescent="0.25">
      <c r="B39" s="309" t="s">
        <v>639</v>
      </c>
      <c r="C39" s="847">
        <f>C31+C33+C34+C35+C36</f>
        <v>337922.26500000001</v>
      </c>
      <c r="D39" s="847">
        <f>D31+D33+D34+D35+D36</f>
        <v>1493792.2349999999</v>
      </c>
      <c r="E39" s="847">
        <f>E31+E33+E34+E35+E36</f>
        <v>1831713.5</v>
      </c>
    </row>
    <row r="40" spans="2:12" x14ac:dyDescent="0.25">
      <c r="B40" s="309"/>
      <c r="C40" s="340"/>
      <c r="D40" s="340"/>
      <c r="E40" s="340"/>
    </row>
    <row r="41" spans="2:12" x14ac:dyDescent="0.25">
      <c r="B41" s="309" t="s">
        <v>861</v>
      </c>
      <c r="C41" s="848">
        <f>(7709410*0.51)</f>
        <v>3931799.1</v>
      </c>
      <c r="D41" s="848">
        <f>(7709410*0.49)+0.61</f>
        <v>3777611.51</v>
      </c>
      <c r="E41" s="847">
        <f>SUM(C41:D41)</f>
        <v>7709410.6099999994</v>
      </c>
      <c r="G41" s="55"/>
    </row>
    <row r="42" spans="2:12" ht="13.8" thickBot="1" x14ac:dyDescent="0.3">
      <c r="B42" s="132" t="s">
        <v>640</v>
      </c>
      <c r="C42" s="852">
        <f>SUM(C39+C41)</f>
        <v>4269721.3650000002</v>
      </c>
      <c r="D42" s="852">
        <f>SUM(D39+D41)</f>
        <v>5271403.7449999992</v>
      </c>
      <c r="E42" s="852">
        <f>SUM(E39+E41)+0.4</f>
        <v>9541124.5099999998</v>
      </c>
      <c r="G42" s="313"/>
      <c r="H42" s="313"/>
    </row>
    <row r="43" spans="2:12" ht="13.8" thickTop="1" x14ac:dyDescent="0.25">
      <c r="C43" s="313"/>
      <c r="D43" s="313"/>
      <c r="E43" s="313"/>
      <c r="G43" s="313"/>
    </row>
    <row r="44" spans="2:12" ht="13.8" thickBot="1" x14ac:dyDescent="0.3">
      <c r="G44" s="610"/>
    </row>
    <row r="45" spans="2:12" ht="25.95" customHeight="1" x14ac:dyDescent="0.25">
      <c r="B45" s="1144" t="s">
        <v>673</v>
      </c>
      <c r="C45" s="1145"/>
      <c r="D45" s="1145"/>
      <c r="E45" s="1146"/>
    </row>
    <row r="46" spans="2:12" x14ac:dyDescent="0.25">
      <c r="B46" s="1147"/>
      <c r="C46" s="1148"/>
      <c r="D46" s="1148"/>
      <c r="E46" s="1149"/>
      <c r="F46" s="161"/>
      <c r="G46" s="161"/>
      <c r="H46" s="161"/>
      <c r="I46" s="161"/>
      <c r="J46" s="161"/>
      <c r="K46" s="161"/>
      <c r="L46" s="161"/>
    </row>
    <row r="47" spans="2:12" x14ac:dyDescent="0.25">
      <c r="B47" s="1147"/>
      <c r="C47" s="1148"/>
      <c r="D47" s="1148"/>
      <c r="E47" s="1149"/>
      <c r="F47" s="360"/>
      <c r="G47" s="360"/>
      <c r="H47" s="360"/>
      <c r="I47" s="360"/>
      <c r="J47" s="360"/>
      <c r="K47" s="360"/>
      <c r="L47" s="161"/>
    </row>
    <row r="48" spans="2:12" x14ac:dyDescent="0.25">
      <c r="B48" s="1147"/>
      <c r="C48" s="1148"/>
      <c r="D48" s="1148"/>
      <c r="E48" s="1149"/>
      <c r="F48" s="360"/>
      <c r="G48" s="360"/>
      <c r="H48" s="360"/>
      <c r="I48" s="360"/>
      <c r="J48" s="360"/>
      <c r="K48" s="360"/>
      <c r="L48" s="161"/>
    </row>
    <row r="49" spans="2:12" ht="15.6" customHeight="1" thickBot="1" x14ac:dyDescent="0.3">
      <c r="B49" s="1150"/>
      <c r="C49" s="1151"/>
      <c r="D49" s="1151"/>
      <c r="E49" s="1152"/>
      <c r="F49" s="360"/>
      <c r="G49" s="360"/>
      <c r="H49" s="360"/>
      <c r="I49" s="360"/>
      <c r="J49" s="360"/>
      <c r="K49" s="360"/>
      <c r="L49" s="161"/>
    </row>
    <row r="50" spans="2:12" x14ac:dyDescent="0.25">
      <c r="B50" s="161"/>
      <c r="C50" s="161"/>
      <c r="D50" s="360"/>
      <c r="E50" s="360"/>
      <c r="F50" s="360"/>
      <c r="G50" s="360"/>
      <c r="H50" s="360"/>
      <c r="I50" s="360"/>
      <c r="J50" s="360"/>
      <c r="K50" s="360"/>
      <c r="L50" s="161"/>
    </row>
    <row r="51" spans="2:12" x14ac:dyDescent="0.25">
      <c r="B51" s="161"/>
      <c r="C51" s="161"/>
      <c r="D51" s="161"/>
      <c r="E51" s="161"/>
      <c r="F51" s="161"/>
      <c r="G51" s="161"/>
      <c r="H51" s="161"/>
      <c r="I51" s="161"/>
      <c r="J51" s="161"/>
      <c r="K51" s="161"/>
      <c r="L51" s="161"/>
    </row>
    <row r="52" spans="2:12" x14ac:dyDescent="0.25">
      <c r="C52" s="313"/>
      <c r="D52" s="313"/>
      <c r="E52" s="313">
        <f>E42-'USDA-WSF SNP'!E72</f>
        <v>10.150000000372529</v>
      </c>
    </row>
  </sheetData>
  <customSheetViews>
    <customSheetView guid="{AB48C5D7-99F4-4378-A0F9-05018B348977}">
      <selection activeCell="B39" sqref="B39"/>
      <pageMargins left="0.75" right="0.75" top="1" bottom="1" header="0.5" footer="0.5"/>
      <pageSetup scale="79" firstPageNumber="113" orientation="portrait" useFirstPageNumber="1" r:id="rId1"/>
      <headerFooter alignWithMargins="0"/>
    </customSheetView>
  </customSheetViews>
  <mergeCells count="5">
    <mergeCell ref="B2:E2"/>
    <mergeCell ref="B3:E3"/>
    <mergeCell ref="B4:E4"/>
    <mergeCell ref="B5:E5"/>
    <mergeCell ref="B45:E49"/>
  </mergeCells>
  <phoneticPr fontId="0" type="noConversion"/>
  <printOptions horizontalCentered="1"/>
  <pageMargins left="0.7" right="0.7" top="0.75" bottom="0.75" header="0.3" footer="0.3"/>
  <pageSetup firstPageNumber="113" fitToWidth="0" orientation="portrait"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FF00"/>
    <pageSetUpPr fitToPage="1"/>
  </sheetPr>
  <dimension ref="B2:L77"/>
  <sheetViews>
    <sheetView workbookViewId="0"/>
  </sheetViews>
  <sheetFormatPr defaultColWidth="9.109375" defaultRowHeight="13.2" x14ac:dyDescent="0.25"/>
  <cols>
    <col min="1" max="1" width="9.109375" style="17"/>
    <col min="2" max="2" width="49" style="17" customWidth="1"/>
    <col min="3" max="3" width="12.6640625" style="17" customWidth="1"/>
    <col min="4" max="4" width="2.44140625" style="17" customWidth="1"/>
    <col min="5" max="5" width="11.44140625" style="17" customWidth="1"/>
    <col min="6" max="6" width="2.6640625" style="17" customWidth="1"/>
    <col min="7" max="7" width="11.44140625" style="17" customWidth="1"/>
    <col min="8" max="8" width="2.44140625" style="17" customWidth="1"/>
    <col min="9" max="9" width="11.33203125" style="17" customWidth="1"/>
    <col min="10" max="16384" width="9.109375" style="17"/>
  </cols>
  <sheetData>
    <row r="2" spans="2:7" x14ac:dyDescent="0.25">
      <c r="B2" s="84" t="s">
        <v>0</v>
      </c>
      <c r="C2" s="84"/>
      <c r="D2" s="84"/>
      <c r="E2" s="84"/>
      <c r="F2" s="84"/>
      <c r="G2" s="84"/>
    </row>
    <row r="3" spans="2:7" x14ac:dyDescent="0.25">
      <c r="B3" s="84" t="s">
        <v>585</v>
      </c>
      <c r="C3" s="84"/>
      <c r="D3" s="84"/>
      <c r="E3" s="84"/>
      <c r="F3" s="84"/>
      <c r="G3" s="84"/>
    </row>
    <row r="4" spans="2:7" x14ac:dyDescent="0.25">
      <c r="B4" s="84" t="s">
        <v>580</v>
      </c>
      <c r="C4" s="84"/>
      <c r="D4" s="84"/>
      <c r="E4" s="84"/>
      <c r="F4" s="84"/>
      <c r="G4" s="84"/>
    </row>
    <row r="5" spans="2:7" s="41" customFormat="1" x14ac:dyDescent="0.25">
      <c r="B5" s="84" t="str">
        <f>'5-GASB34GovtFundsBudget'!E5</f>
        <v>For the Year Ended June 30, 2023</v>
      </c>
      <c r="C5" s="84"/>
      <c r="D5" s="84"/>
      <c r="E5" s="84"/>
      <c r="F5" s="84"/>
      <c r="G5" s="84"/>
    </row>
    <row r="6" spans="2:7" x14ac:dyDescent="0.25">
      <c r="B6" s="84"/>
      <c r="C6" s="84"/>
      <c r="D6" s="84"/>
      <c r="E6" s="84"/>
      <c r="F6" s="84"/>
      <c r="G6" s="84"/>
    </row>
    <row r="7" spans="2:7" x14ac:dyDescent="0.25">
      <c r="B7" s="132"/>
      <c r="C7" s="83" t="s">
        <v>581</v>
      </c>
      <c r="D7" s="86"/>
      <c r="E7" s="83" t="s">
        <v>404</v>
      </c>
      <c r="F7" s="83"/>
      <c r="G7" s="83" t="s">
        <v>1</v>
      </c>
    </row>
    <row r="9" spans="2:7" x14ac:dyDescent="0.25">
      <c r="B9" s="309" t="s">
        <v>407</v>
      </c>
    </row>
    <row r="10" spans="2:7" x14ac:dyDescent="0.25">
      <c r="B10" s="310" t="s">
        <v>466</v>
      </c>
      <c r="C10" s="877">
        <f>'8-Cash Flow-Prop'!E14*0.51+119373</f>
        <v>909999.99</v>
      </c>
      <c r="E10" s="877">
        <f>'8-Cash Flow-Prop'!$E$14*0.49-119373</f>
        <v>640249.01</v>
      </c>
      <c r="G10" s="87">
        <f t="shared" ref="G10:G15" si="0">C10+E10</f>
        <v>1550249</v>
      </c>
    </row>
    <row r="11" spans="2:7" x14ac:dyDescent="0.25">
      <c r="B11" s="21" t="s">
        <v>408</v>
      </c>
      <c r="C11" s="56">
        <v>-105169</v>
      </c>
      <c r="D11" s="56"/>
      <c r="E11" s="56">
        <v>-99756</v>
      </c>
      <c r="F11" s="56"/>
      <c r="G11" s="56">
        <f t="shared" si="0"/>
        <v>-204925</v>
      </c>
    </row>
    <row r="12" spans="2:7" x14ac:dyDescent="0.25">
      <c r="B12" s="21" t="s">
        <v>409</v>
      </c>
      <c r="C12" s="56">
        <f>'8-Cash Flow-Prop'!E16*0.51-105780+174+1.5</f>
        <v>-493081.48800000001</v>
      </c>
      <c r="D12" s="56"/>
      <c r="E12" s="56">
        <f>'8-Cash Flow-Prop'!E16*0.49+105780-176-0.19</f>
        <v>-266678.00200000004</v>
      </c>
      <c r="F12" s="56"/>
      <c r="G12" s="56">
        <f t="shared" si="0"/>
        <v>-759759.49</v>
      </c>
    </row>
    <row r="13" spans="2:7" x14ac:dyDescent="0.25">
      <c r="B13" s="21" t="s">
        <v>410</v>
      </c>
      <c r="C13" s="56">
        <v>4587</v>
      </c>
      <c r="D13" s="56"/>
      <c r="E13" s="56">
        <v>703</v>
      </c>
      <c r="F13" s="56"/>
      <c r="G13" s="56">
        <f t="shared" si="0"/>
        <v>5290</v>
      </c>
    </row>
    <row r="14" spans="2:7" x14ac:dyDescent="0.25">
      <c r="B14" s="21" t="s">
        <v>411</v>
      </c>
      <c r="C14" s="56">
        <v>-5618</v>
      </c>
      <c r="D14" s="56"/>
      <c r="E14" s="56">
        <v>-2855</v>
      </c>
      <c r="F14" s="56"/>
      <c r="G14" s="56">
        <f t="shared" si="0"/>
        <v>-8473</v>
      </c>
    </row>
    <row r="15" spans="2:7" x14ac:dyDescent="0.25">
      <c r="B15" s="21" t="s">
        <v>86</v>
      </c>
      <c r="C15" s="25">
        <v>330</v>
      </c>
      <c r="D15" s="56"/>
      <c r="E15" s="25">
        <v>300</v>
      </c>
      <c r="F15" s="89"/>
      <c r="G15" s="56">
        <f t="shared" si="0"/>
        <v>630</v>
      </c>
    </row>
    <row r="16" spans="2:7" x14ac:dyDescent="0.25">
      <c r="B16" s="22" t="s">
        <v>412</v>
      </c>
      <c r="C16" s="88">
        <f>SUM(C10:C15)</f>
        <v>311048.50199999998</v>
      </c>
      <c r="D16" s="56"/>
      <c r="E16" s="88">
        <f>SUM(E10:E15)</f>
        <v>271963.00799999997</v>
      </c>
      <c r="F16" s="89"/>
      <c r="G16" s="88">
        <f>SUM(G10:G15)</f>
        <v>583011.51</v>
      </c>
    </row>
    <row r="17" spans="2:7" ht="5.0999999999999996" customHeight="1" x14ac:dyDescent="0.25">
      <c r="B17" s="21"/>
      <c r="C17" s="56"/>
      <c r="D17" s="56"/>
      <c r="E17" s="56"/>
      <c r="F17" s="56"/>
      <c r="G17" s="56"/>
    </row>
    <row r="18" spans="2:7" ht="26.4" x14ac:dyDescent="0.25">
      <c r="B18" s="309" t="s">
        <v>413</v>
      </c>
      <c r="C18" s="56"/>
      <c r="D18" s="56"/>
      <c r="E18" s="56"/>
      <c r="F18" s="56"/>
      <c r="G18" s="56"/>
    </row>
    <row r="19" spans="2:7" x14ac:dyDescent="0.25">
      <c r="B19" s="21" t="s">
        <v>561</v>
      </c>
      <c r="C19" s="56">
        <v>-10</v>
      </c>
      <c r="D19" s="56"/>
      <c r="E19" s="56">
        <v>0</v>
      </c>
      <c r="F19" s="56"/>
      <c r="G19" s="89">
        <f>C19+E19</f>
        <v>-10</v>
      </c>
    </row>
    <row r="20" spans="2:7" x14ac:dyDescent="0.25">
      <c r="B20" s="21" t="s">
        <v>702</v>
      </c>
      <c r="C20" s="56">
        <f>'8-Cash Flow-Prop'!E24*0.51</f>
        <v>15300</v>
      </c>
      <c r="D20" s="56"/>
      <c r="E20" s="56">
        <f>'8-Cash Flow-Prop'!E24*0.49</f>
        <v>14700</v>
      </c>
      <c r="F20" s="56"/>
      <c r="G20" s="89">
        <f>C20+E20</f>
        <v>30000</v>
      </c>
    </row>
    <row r="21" spans="2:7" x14ac:dyDescent="0.25">
      <c r="B21" s="21" t="s">
        <v>483</v>
      </c>
      <c r="C21" s="56">
        <v>48700</v>
      </c>
      <c r="D21" s="56"/>
      <c r="E21" s="89">
        <v>48700</v>
      </c>
      <c r="F21" s="56"/>
      <c r="G21" s="89">
        <f>C21+E21</f>
        <v>97400</v>
      </c>
    </row>
    <row r="22" spans="2:7" x14ac:dyDescent="0.25">
      <c r="B22" s="21" t="s">
        <v>484</v>
      </c>
      <c r="C22" s="25">
        <v>-2414</v>
      </c>
      <c r="D22" s="56"/>
      <c r="E22" s="25">
        <v>-2413</v>
      </c>
      <c r="F22" s="89"/>
      <c r="G22" s="25">
        <f>C22+E22</f>
        <v>-4827</v>
      </c>
    </row>
    <row r="23" spans="2:7" ht="26.4" x14ac:dyDescent="0.25">
      <c r="B23" s="21" t="s">
        <v>806</v>
      </c>
      <c r="C23" s="88">
        <f>SUM(C19:C22)</f>
        <v>61576</v>
      </c>
      <c r="D23" s="56"/>
      <c r="E23" s="88">
        <f>SUM(E19:E22)</f>
        <v>60987</v>
      </c>
      <c r="F23" s="89"/>
      <c r="G23" s="88">
        <f>SUM(G19:G22)</f>
        <v>122563</v>
      </c>
    </row>
    <row r="24" spans="2:7" ht="5.0999999999999996" customHeight="1" x14ac:dyDescent="0.25">
      <c r="B24" s="21"/>
      <c r="C24" s="89"/>
      <c r="D24" s="56"/>
      <c r="E24" s="89"/>
      <c r="F24" s="89"/>
      <c r="G24" s="89"/>
    </row>
    <row r="25" spans="2:7" ht="26.4" x14ac:dyDescent="0.25">
      <c r="B25" s="309" t="s">
        <v>414</v>
      </c>
      <c r="C25" s="56"/>
      <c r="D25" s="56"/>
      <c r="E25" s="56"/>
      <c r="F25" s="56"/>
      <c r="G25" s="56"/>
    </row>
    <row r="26" spans="2:7" x14ac:dyDescent="0.25">
      <c r="B26" s="21" t="s">
        <v>498</v>
      </c>
      <c r="C26" s="56">
        <v>0</v>
      </c>
      <c r="D26" s="56"/>
      <c r="E26" s="56">
        <v>675000</v>
      </c>
      <c r="F26" s="56"/>
      <c r="G26" s="89">
        <f t="shared" ref="G26:G34" si="1">C26+E26</f>
        <v>675000</v>
      </c>
    </row>
    <row r="27" spans="2:7" x14ac:dyDescent="0.25">
      <c r="B27" s="21" t="s">
        <v>415</v>
      </c>
      <c r="C27" s="56">
        <v>-436730</v>
      </c>
      <c r="D27" s="56"/>
      <c r="E27" s="56">
        <v>-4645579</v>
      </c>
      <c r="F27" s="56"/>
      <c r="G27" s="89">
        <f t="shared" si="1"/>
        <v>-5082309</v>
      </c>
    </row>
    <row r="28" spans="2:7" ht="18" customHeight="1" x14ac:dyDescent="0.25">
      <c r="B28" s="872" t="s">
        <v>871</v>
      </c>
      <c r="C28" s="853">
        <f>-141324-9238</f>
        <v>-150562</v>
      </c>
      <c r="D28" s="56"/>
      <c r="E28" s="56">
        <v>-176015</v>
      </c>
      <c r="F28" s="56"/>
      <c r="G28" s="855">
        <f t="shared" si="1"/>
        <v>-326577</v>
      </c>
    </row>
    <row r="29" spans="2:7" x14ac:dyDescent="0.25">
      <c r="B29" s="21" t="s">
        <v>93</v>
      </c>
      <c r="C29" s="56">
        <v>-2500</v>
      </c>
      <c r="D29" s="56"/>
      <c r="E29" s="56">
        <v>-7500</v>
      </c>
      <c r="F29" s="56"/>
      <c r="G29" s="89">
        <f t="shared" si="1"/>
        <v>-10000</v>
      </c>
    </row>
    <row r="30" spans="2:7" ht="18" customHeight="1" x14ac:dyDescent="0.25">
      <c r="B30" s="441" t="s">
        <v>872</v>
      </c>
      <c r="C30" s="853">
        <f>-22736-762</f>
        <v>-23498</v>
      </c>
      <c r="D30" s="56"/>
      <c r="E30" s="56">
        <v>-60362</v>
      </c>
      <c r="F30" s="56"/>
      <c r="G30" s="855">
        <f t="shared" si="1"/>
        <v>-83860</v>
      </c>
    </row>
    <row r="31" spans="2:7" x14ac:dyDescent="0.25">
      <c r="B31" s="585" t="s">
        <v>896</v>
      </c>
      <c r="C31" s="853">
        <v>13911</v>
      </c>
      <c r="D31" s="853"/>
      <c r="E31" s="853">
        <v>0</v>
      </c>
      <c r="F31" s="853"/>
      <c r="G31" s="853">
        <f t="shared" si="1"/>
        <v>13911</v>
      </c>
    </row>
    <row r="32" spans="2:7" ht="12.75" customHeight="1" x14ac:dyDescent="0.25">
      <c r="B32" s="311" t="s">
        <v>543</v>
      </c>
      <c r="C32" s="56">
        <v>0</v>
      </c>
      <c r="D32" s="56"/>
      <c r="E32" s="56">
        <v>3650000</v>
      </c>
      <c r="F32" s="56"/>
      <c r="G32" s="89">
        <f t="shared" si="1"/>
        <v>3650000</v>
      </c>
    </row>
    <row r="33" spans="2:8" x14ac:dyDescent="0.25">
      <c r="B33" s="21" t="s">
        <v>416</v>
      </c>
      <c r="C33" s="56">
        <v>51394</v>
      </c>
      <c r="D33" s="56"/>
      <c r="E33" s="56">
        <v>6554</v>
      </c>
      <c r="F33" s="56"/>
      <c r="G33" s="89">
        <f t="shared" si="1"/>
        <v>57948</v>
      </c>
    </row>
    <row r="34" spans="2:8" x14ac:dyDescent="0.25">
      <c r="B34" s="21" t="s">
        <v>417</v>
      </c>
      <c r="C34" s="25">
        <v>35000</v>
      </c>
      <c r="D34" s="56"/>
      <c r="E34" s="25">
        <v>35000</v>
      </c>
      <c r="F34" s="89"/>
      <c r="G34" s="89">
        <f t="shared" si="1"/>
        <v>70000</v>
      </c>
    </row>
    <row r="35" spans="2:8" ht="26.4" x14ac:dyDescent="0.25">
      <c r="B35" s="22" t="s">
        <v>418</v>
      </c>
      <c r="C35" s="88">
        <f>SUM(C26:C34)</f>
        <v>-512985</v>
      </c>
      <c r="D35" s="56"/>
      <c r="E35" s="88">
        <f>SUM(E26:E34)</f>
        <v>-522902</v>
      </c>
      <c r="F35" s="89"/>
      <c r="G35" s="88">
        <f>SUM(G26:G34)</f>
        <v>-1035887</v>
      </c>
    </row>
    <row r="36" spans="2:8" ht="5.0999999999999996" customHeight="1" x14ac:dyDescent="0.25">
      <c r="B36" s="21"/>
      <c r="C36" s="56"/>
      <c r="D36" s="56"/>
      <c r="E36" s="56"/>
      <c r="F36" s="56"/>
      <c r="G36" s="56"/>
    </row>
    <row r="37" spans="2:8" x14ac:dyDescent="0.25">
      <c r="B37" s="309" t="s">
        <v>419</v>
      </c>
      <c r="C37" s="56"/>
      <c r="D37" s="56"/>
      <c r="E37" s="56"/>
      <c r="F37" s="56"/>
      <c r="G37" s="56"/>
    </row>
    <row r="38" spans="2:8" x14ac:dyDescent="0.25">
      <c r="B38" s="21" t="s">
        <v>420</v>
      </c>
      <c r="C38" s="25">
        <f>16935</f>
        <v>16935</v>
      </c>
      <c r="D38" s="56"/>
      <c r="E38" s="25">
        <v>21187</v>
      </c>
      <c r="F38" s="89"/>
      <c r="G38" s="25">
        <f>C38+E38</f>
        <v>38122</v>
      </c>
    </row>
    <row r="39" spans="2:8" ht="18" customHeight="1" x14ac:dyDescent="0.25">
      <c r="B39" s="18" t="s">
        <v>421</v>
      </c>
      <c r="C39" s="56">
        <f>C16+C23+C35+C38</f>
        <v>-123425.49800000002</v>
      </c>
      <c r="D39" s="56"/>
      <c r="E39" s="56">
        <f>E16+E23+E35+E38</f>
        <v>-168764.99200000003</v>
      </c>
      <c r="F39" s="56"/>
      <c r="G39" s="56">
        <f>G16+G23+G35+G38</f>
        <v>-292190.49</v>
      </c>
    </row>
    <row r="40" spans="2:8" x14ac:dyDescent="0.25">
      <c r="B40" s="21" t="s">
        <v>527</v>
      </c>
      <c r="C40" s="830">
        <f>630784+50000-30000+63714</f>
        <v>714498</v>
      </c>
      <c r="D40" s="56"/>
      <c r="E40" s="25">
        <f>1339067+50000</f>
        <v>1389067</v>
      </c>
      <c r="F40" s="89"/>
      <c r="G40" s="25">
        <f>C40+E40+1</f>
        <v>2103566</v>
      </c>
    </row>
    <row r="41" spans="2:8" ht="13.8" thickBot="1" x14ac:dyDescent="0.3">
      <c r="B41" s="21" t="s">
        <v>528</v>
      </c>
      <c r="C41" s="90">
        <f>C39+C40</f>
        <v>591072.50199999998</v>
      </c>
      <c r="D41" s="87"/>
      <c r="E41" s="90">
        <f>E39+E40</f>
        <v>1220302.0079999999</v>
      </c>
      <c r="F41" s="130"/>
      <c r="G41" s="90">
        <f>G39+G40</f>
        <v>1811375.51</v>
      </c>
    </row>
    <row r="42" spans="2:8" ht="13.8" thickTop="1" x14ac:dyDescent="0.25">
      <c r="B42" s="21"/>
      <c r="C42" s="56"/>
      <c r="D42" s="56"/>
      <c r="E42" s="56"/>
      <c r="F42" s="56"/>
      <c r="G42" s="56"/>
    </row>
    <row r="43" spans="2:8" x14ac:dyDescent="0.25">
      <c r="B43" s="21"/>
      <c r="C43" s="56"/>
      <c r="D43" s="56"/>
      <c r="E43" s="56"/>
      <c r="F43" s="56"/>
      <c r="G43" s="17" t="s">
        <v>709</v>
      </c>
      <c r="H43" s="56"/>
    </row>
    <row r="44" spans="2:8" x14ac:dyDescent="0.25">
      <c r="B44" s="896" t="s">
        <v>0</v>
      </c>
      <c r="C44" s="896"/>
      <c r="D44" s="896"/>
      <c r="E44" s="896"/>
      <c r="F44" s="896"/>
      <c r="G44" s="896"/>
    </row>
    <row r="45" spans="2:8" x14ac:dyDescent="0.25">
      <c r="B45" s="896" t="s">
        <v>585</v>
      </c>
      <c r="C45" s="896"/>
      <c r="D45" s="896"/>
      <c r="E45" s="896"/>
      <c r="F45" s="896"/>
      <c r="G45" s="896"/>
    </row>
    <row r="46" spans="2:8" x14ac:dyDescent="0.25">
      <c r="B46" s="896" t="s">
        <v>580</v>
      </c>
      <c r="C46" s="896"/>
      <c r="D46" s="896"/>
      <c r="E46" s="896"/>
      <c r="F46" s="896"/>
      <c r="G46" s="896"/>
    </row>
    <row r="47" spans="2:8" x14ac:dyDescent="0.25">
      <c r="B47" s="896" t="str">
        <f>B5</f>
        <v>For the Year Ended June 30, 2023</v>
      </c>
      <c r="C47" s="896"/>
      <c r="D47" s="896"/>
      <c r="E47" s="896"/>
      <c r="F47" s="896"/>
      <c r="G47" s="896"/>
    </row>
    <row r="48" spans="2:8" ht="36.75" customHeight="1" x14ac:dyDescent="0.25">
      <c r="B48" s="21" t="s">
        <v>422</v>
      </c>
      <c r="C48" s="56"/>
      <c r="D48" s="56"/>
      <c r="E48" s="56"/>
      <c r="F48" s="56"/>
    </row>
    <row r="49" spans="2:12" ht="15.9" customHeight="1" x14ac:dyDescent="0.25">
      <c r="B49" s="22" t="s">
        <v>423</v>
      </c>
      <c r="C49" s="130">
        <f>'USDA-WSF SOA'!C22</f>
        <v>198082.26500000001</v>
      </c>
      <c r="D49" s="87"/>
      <c r="E49" s="130">
        <f>'USDA-WSF SOA'!D22</f>
        <v>169224.23499999999</v>
      </c>
      <c r="F49" s="130"/>
      <c r="G49" s="130">
        <f>E49+C49-0.01</f>
        <v>367306.49</v>
      </c>
      <c r="H49" s="87"/>
      <c r="I49" s="87"/>
    </row>
    <row r="50" spans="2:12" ht="26.4" x14ac:dyDescent="0.25">
      <c r="B50" s="21" t="s">
        <v>424</v>
      </c>
      <c r="C50" s="89"/>
      <c r="D50" s="89"/>
      <c r="E50" s="391"/>
      <c r="F50" s="391"/>
      <c r="G50" s="391"/>
      <c r="H50" s="161"/>
      <c r="I50" s="161"/>
      <c r="J50" s="161"/>
      <c r="K50" s="161"/>
      <c r="L50" s="161"/>
    </row>
    <row r="51" spans="2:12" x14ac:dyDescent="0.25">
      <c r="B51" s="585" t="s">
        <v>885</v>
      </c>
      <c r="C51" s="855">
        <f>190675+9431</f>
        <v>200106</v>
      </c>
      <c r="D51" s="89"/>
      <c r="E51" s="391">
        <v>60529</v>
      </c>
      <c r="F51" s="391"/>
      <c r="G51" s="391">
        <f t="shared" ref="G51:G61" si="2">C51+E51</f>
        <v>260635</v>
      </c>
      <c r="H51" s="161"/>
      <c r="I51" s="161"/>
      <c r="J51" s="161"/>
      <c r="K51" s="161"/>
      <c r="L51" s="161"/>
    </row>
    <row r="52" spans="2:12" ht="26.4" x14ac:dyDescent="0.25">
      <c r="B52" s="585" t="s">
        <v>718</v>
      </c>
      <c r="C52" s="89"/>
      <c r="D52" s="89"/>
      <c r="E52" s="391"/>
      <c r="F52" s="391"/>
      <c r="G52" s="391"/>
      <c r="H52" s="161"/>
      <c r="I52" s="161"/>
      <c r="J52" s="161"/>
      <c r="K52" s="161"/>
      <c r="L52" s="161"/>
    </row>
    <row r="53" spans="2:12" x14ac:dyDescent="0.25">
      <c r="B53" s="21" t="s">
        <v>590</v>
      </c>
      <c r="C53" s="89">
        <v>-56760</v>
      </c>
      <c r="D53" s="89"/>
      <c r="E53" s="391">
        <v>63018</v>
      </c>
      <c r="F53" s="391"/>
      <c r="G53" s="391">
        <f t="shared" si="2"/>
        <v>6258</v>
      </c>
      <c r="H53" s="161"/>
      <c r="I53" s="161"/>
      <c r="J53" s="161"/>
      <c r="K53" s="161"/>
      <c r="L53" s="161"/>
    </row>
    <row r="54" spans="2:12" x14ac:dyDescent="0.25">
      <c r="B54" s="348" t="s">
        <v>426</v>
      </c>
      <c r="C54" s="89">
        <f>-46</f>
        <v>-46</v>
      </c>
      <c r="D54" s="390"/>
      <c r="E54" s="392">
        <f>-107</f>
        <v>-107</v>
      </c>
      <c r="F54" s="392"/>
      <c r="G54" s="391">
        <f>C54+E54</f>
        <v>-153</v>
      </c>
      <c r="H54" s="360"/>
      <c r="I54" s="360"/>
      <c r="J54" s="360"/>
      <c r="K54" s="360"/>
      <c r="L54" s="161"/>
    </row>
    <row r="55" spans="2:12" x14ac:dyDescent="0.25">
      <c r="B55" s="348" t="s">
        <v>578</v>
      </c>
      <c r="C55" s="89">
        <v>676</v>
      </c>
      <c r="D55" s="360"/>
      <c r="E55" s="393">
        <v>1165</v>
      </c>
      <c r="F55" s="392"/>
      <c r="G55" s="391">
        <f t="shared" si="2"/>
        <v>1841</v>
      </c>
      <c r="H55" s="360"/>
      <c r="I55" s="360"/>
      <c r="J55" s="360"/>
      <c r="K55" s="360"/>
      <c r="L55" s="161"/>
    </row>
    <row r="56" spans="2:12" x14ac:dyDescent="0.25">
      <c r="B56" s="348" t="s">
        <v>579</v>
      </c>
      <c r="C56" s="89">
        <f>-111</f>
        <v>-111</v>
      </c>
      <c r="D56" s="360"/>
      <c r="E56" s="393">
        <v>-149</v>
      </c>
      <c r="F56" s="392"/>
      <c r="G56" s="391">
        <f t="shared" si="2"/>
        <v>-260</v>
      </c>
      <c r="H56" s="360"/>
      <c r="I56" s="360"/>
      <c r="J56" s="360"/>
      <c r="K56" s="360"/>
      <c r="L56" s="161"/>
    </row>
    <row r="57" spans="2:12" x14ac:dyDescent="0.25">
      <c r="B57" s="633" t="s">
        <v>724</v>
      </c>
      <c r="C57" s="577">
        <f>'8-Cash Flow-Prop'!E72*0.51</f>
        <v>-47710.451040000007</v>
      </c>
      <c r="D57" s="360"/>
      <c r="E57" s="577">
        <f>'8-Cash Flow-Prop'!E72*0.49</f>
        <v>-45839.452960000002</v>
      </c>
      <c r="F57" s="392"/>
      <c r="G57" s="391">
        <f t="shared" si="2"/>
        <v>-93549.90400000001</v>
      </c>
      <c r="H57" s="360"/>
      <c r="I57" s="360"/>
      <c r="J57" s="360"/>
      <c r="K57" s="360"/>
      <c r="L57" s="161"/>
    </row>
    <row r="58" spans="2:12" x14ac:dyDescent="0.25">
      <c r="B58" s="633" t="s">
        <v>725</v>
      </c>
      <c r="C58" s="577">
        <f>'8-Cash Flow-Prop'!E74*0.51</f>
        <v>49632.445200000009</v>
      </c>
      <c r="D58" s="360"/>
      <c r="E58" s="577">
        <f>'8-Cash Flow-Prop'!E74*0.49</f>
        <v>47686.074800000009</v>
      </c>
      <c r="F58" s="392"/>
      <c r="G58" s="391">
        <f t="shared" si="2"/>
        <v>97318.520000000019</v>
      </c>
      <c r="H58" s="360"/>
      <c r="I58" s="360"/>
      <c r="J58" s="360"/>
      <c r="K58" s="360"/>
      <c r="L58" s="161"/>
    </row>
    <row r="59" spans="2:12" x14ac:dyDescent="0.25">
      <c r="B59" s="633" t="s">
        <v>726</v>
      </c>
      <c r="C59" s="577">
        <f>'8-Cash Flow-Prop'!E75*0.51</f>
        <v>-1792.7438400000003</v>
      </c>
      <c r="D59" s="360"/>
      <c r="E59" s="577">
        <f>'8-Cash Flow-Prop'!E75*0.49</f>
        <v>-1722.4401600000003</v>
      </c>
      <c r="F59" s="392"/>
      <c r="G59" s="391">
        <f t="shared" si="2"/>
        <v>-3515.1840000000007</v>
      </c>
      <c r="H59" s="360"/>
      <c r="I59" s="360"/>
      <c r="J59" s="360"/>
      <c r="K59" s="360"/>
      <c r="L59" s="161"/>
    </row>
    <row r="60" spans="2:12" ht="26.4" x14ac:dyDescent="0.25">
      <c r="B60" s="348" t="s">
        <v>427</v>
      </c>
      <c r="C60" s="855">
        <f>-41098-6537+74-132</f>
        <v>-47693</v>
      </c>
      <c r="D60" s="856"/>
      <c r="E60" s="857">
        <f>-30681-6537+75</f>
        <v>-37143</v>
      </c>
      <c r="F60" s="392"/>
      <c r="G60" s="391">
        <f>C60+E60</f>
        <v>-84836</v>
      </c>
      <c r="H60" s="360"/>
      <c r="I60" s="360"/>
      <c r="J60" s="392"/>
      <c r="K60" s="360"/>
      <c r="L60" s="161"/>
    </row>
    <row r="61" spans="2:12" x14ac:dyDescent="0.25">
      <c r="B61" s="348" t="s">
        <v>499</v>
      </c>
      <c r="C61" s="89">
        <v>-1031</v>
      </c>
      <c r="D61" s="89"/>
      <c r="E61" s="391">
        <v>-2152</v>
      </c>
      <c r="F61" s="391"/>
      <c r="G61" s="391">
        <f t="shared" si="2"/>
        <v>-3183</v>
      </c>
      <c r="H61" s="161"/>
      <c r="I61" s="161"/>
      <c r="J61" s="161"/>
      <c r="K61" s="161"/>
      <c r="L61" s="161"/>
    </row>
    <row r="62" spans="2:12" x14ac:dyDescent="0.25">
      <c r="B62" s="22" t="s">
        <v>286</v>
      </c>
      <c r="C62" s="89">
        <f>5000+6462</f>
        <v>11462</v>
      </c>
      <c r="D62" s="89"/>
      <c r="E62" s="391">
        <f>5000+6463</f>
        <v>11463</v>
      </c>
      <c r="F62" s="391"/>
      <c r="G62" s="391">
        <f>C62+E62</f>
        <v>22925</v>
      </c>
    </row>
    <row r="63" spans="2:12" x14ac:dyDescent="0.25">
      <c r="B63" s="633" t="s">
        <v>785</v>
      </c>
      <c r="C63" s="449">
        <f>'8-Cash Flow-Prop'!$E$73*0.51</f>
        <v>4050.9177600000007</v>
      </c>
      <c r="D63" s="449"/>
      <c r="E63" s="449">
        <f>'8-Cash Flow-Prop'!$E$73*0.49</f>
        <v>3892.0582400000008</v>
      </c>
      <c r="F63" s="391"/>
      <c r="G63" s="391">
        <f>C63+E63</f>
        <v>7942.9760000000015</v>
      </c>
    </row>
    <row r="64" spans="2:12" x14ac:dyDescent="0.25">
      <c r="B64" s="633" t="s">
        <v>786</v>
      </c>
      <c r="C64" s="449">
        <f>'8-Cash Flow-Prop'!$E$79*0.51</f>
        <v>977.1130800000002</v>
      </c>
      <c r="D64" s="449"/>
      <c r="E64" s="449">
        <f>'8-Cash Flow-Prop'!$E$79*0.49</f>
        <v>938.79492000000016</v>
      </c>
      <c r="F64" s="391"/>
      <c r="G64" s="391">
        <f>C64+E64</f>
        <v>1915.9080000000004</v>
      </c>
    </row>
    <row r="65" spans="2:10" x14ac:dyDescent="0.25">
      <c r="B65" s="633" t="s">
        <v>784</v>
      </c>
      <c r="C65" s="449">
        <f>'8-Cash Flow-Prop'!$E$80*0.51</f>
        <v>1206.7660800000001</v>
      </c>
      <c r="D65" s="449"/>
      <c r="E65" s="449">
        <f>'8-Cash Flow-Prop'!$E$80*0.49</f>
        <v>1159.44192</v>
      </c>
      <c r="F65" s="391"/>
      <c r="G65" s="391">
        <f>C65+E65</f>
        <v>2366.2080000000001</v>
      </c>
    </row>
    <row r="66" spans="2:10" x14ac:dyDescent="0.25">
      <c r="B66" s="18" t="s">
        <v>428</v>
      </c>
      <c r="C66" s="88">
        <f>SUM(C50:C65)</f>
        <v>112967.04723999999</v>
      </c>
      <c r="D66" s="56"/>
      <c r="E66" s="88">
        <f>SUM(E50:E65)</f>
        <v>102738.47676000001</v>
      </c>
      <c r="F66" s="89"/>
      <c r="G66" s="88">
        <f>SUM(G50:G65)</f>
        <v>215705.52400000003</v>
      </c>
    </row>
    <row r="67" spans="2:10" ht="13.8" thickBot="1" x14ac:dyDescent="0.3">
      <c r="B67" s="26" t="s">
        <v>429</v>
      </c>
      <c r="C67" s="395">
        <f>C66+C49</f>
        <v>311049.31224</v>
      </c>
      <c r="D67" s="396"/>
      <c r="E67" s="395">
        <f>E66+E49</f>
        <v>271962.71175999998</v>
      </c>
      <c r="F67" s="397"/>
      <c r="G67" s="395">
        <f>G66+G49</f>
        <v>583012.01399999997</v>
      </c>
      <c r="H67" s="87"/>
      <c r="I67" s="87"/>
      <c r="J67" s="56"/>
    </row>
    <row r="68" spans="2:10" ht="13.8" thickTop="1" x14ac:dyDescent="0.25">
      <c r="B68" s="26"/>
      <c r="C68" s="396"/>
      <c r="D68" s="26"/>
      <c r="E68" s="396"/>
      <c r="F68" s="26"/>
      <c r="G68" s="26"/>
      <c r="I68" s="610"/>
    </row>
    <row r="69" spans="2:10" ht="13.8" thickBot="1" x14ac:dyDescent="0.3">
      <c r="B69" s="26"/>
      <c r="C69" s="396"/>
      <c r="D69" s="26"/>
      <c r="E69" s="396"/>
      <c r="F69" s="26"/>
      <c r="G69" s="396"/>
    </row>
    <row r="70" spans="2:10" ht="25.95" customHeight="1" x14ac:dyDescent="0.25">
      <c r="B70" s="1144" t="s">
        <v>673</v>
      </c>
      <c r="C70" s="1153"/>
      <c r="D70" s="1153"/>
      <c r="E70" s="1153"/>
      <c r="F70" s="1153"/>
      <c r="G70" s="1154"/>
    </row>
    <row r="71" spans="2:10" x14ac:dyDescent="0.25">
      <c r="B71" s="1155"/>
      <c r="C71" s="923"/>
      <c r="D71" s="923"/>
      <c r="E71" s="923"/>
      <c r="F71" s="923"/>
      <c r="G71" s="1156"/>
    </row>
    <row r="72" spans="2:10" x14ac:dyDescent="0.25">
      <c r="B72" s="1155"/>
      <c r="C72" s="923"/>
      <c r="D72" s="923"/>
      <c r="E72" s="923"/>
      <c r="F72" s="923"/>
      <c r="G72" s="1156"/>
    </row>
    <row r="73" spans="2:10" ht="13.8" thickBot="1" x14ac:dyDescent="0.3">
      <c r="B73" s="1157"/>
      <c r="C73" s="1158"/>
      <c r="D73" s="1158"/>
      <c r="E73" s="1158"/>
      <c r="F73" s="1158"/>
      <c r="G73" s="1159"/>
    </row>
    <row r="74" spans="2:10" x14ac:dyDescent="0.25">
      <c r="B74" s="484"/>
      <c r="C74" s="484"/>
      <c r="D74" s="484"/>
      <c r="E74" s="484"/>
      <c r="F74" s="26"/>
      <c r="G74" s="26"/>
    </row>
    <row r="75" spans="2:10" x14ac:dyDescent="0.25">
      <c r="B75" s="26"/>
      <c r="C75" s="26"/>
      <c r="D75" s="26"/>
      <c r="E75" s="26"/>
      <c r="F75" s="26"/>
      <c r="G75" s="26"/>
    </row>
    <row r="76" spans="2:10" x14ac:dyDescent="0.25">
      <c r="B76" s="26"/>
      <c r="C76" s="26"/>
      <c r="D76" s="26"/>
      <c r="E76" s="26"/>
      <c r="F76" s="26"/>
      <c r="G76" s="26"/>
    </row>
    <row r="77" spans="2:10" ht="21" x14ac:dyDescent="0.4">
      <c r="B77" s="394"/>
      <c r="C77" s="394"/>
      <c r="D77" s="394"/>
      <c r="E77" s="394"/>
      <c r="F77" s="394"/>
      <c r="G77" s="394"/>
    </row>
  </sheetData>
  <customSheetViews>
    <customSheetView guid="{AB48C5D7-99F4-4378-A0F9-05018B348977}">
      <selection activeCell="B39" sqref="B39"/>
      <rowBreaks count="1" manualBreakCount="1">
        <brk id="41" max="16383" man="1"/>
      </rowBreaks>
      <pageMargins left="0.75" right="0.75" top="1" bottom="1" header="0.5" footer="0.5"/>
      <pageSetup scale="79" firstPageNumber="119" fitToHeight="0" orientation="portrait" useFirstPageNumber="1" r:id="rId1"/>
      <headerFooter alignWithMargins="0"/>
    </customSheetView>
  </customSheetViews>
  <mergeCells count="5">
    <mergeCell ref="B70:G73"/>
    <mergeCell ref="B44:G44"/>
    <mergeCell ref="B45:G45"/>
    <mergeCell ref="B46:G46"/>
    <mergeCell ref="B47:G47"/>
  </mergeCells>
  <phoneticPr fontId="0" type="noConversion"/>
  <printOptions horizontalCentered="1"/>
  <pageMargins left="0.7" right="0.7" top="0.75" bottom="0.75" header="0.3" footer="0.3"/>
  <pageSetup firstPageNumber="119" fitToHeight="0" orientation="portrait" r:id="rId2"/>
  <rowBreaks count="1" manualBreakCount="1">
    <brk id="43" min="1" max="7"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FF00"/>
    <pageSetUpPr fitToPage="1"/>
  </sheetPr>
  <dimension ref="A1:O51"/>
  <sheetViews>
    <sheetView topLeftCell="A10" workbookViewId="0"/>
  </sheetViews>
  <sheetFormatPr defaultColWidth="11.6640625" defaultRowHeight="10.199999999999999" x14ac:dyDescent="0.2"/>
  <cols>
    <col min="1" max="1" width="32.88671875" style="1" customWidth="1"/>
    <col min="2" max="2" width="9.33203125" style="1" bestFit="1" customWidth="1"/>
    <col min="3" max="3" width="7.5546875" style="1" bestFit="1" customWidth="1"/>
    <col min="4" max="4" width="7.88671875" style="1" customWidth="1"/>
    <col min="5" max="5" width="8.44140625" style="1" bestFit="1" customWidth="1"/>
    <col min="6" max="6" width="7.5546875" style="1" bestFit="1" customWidth="1"/>
    <col min="7" max="7" width="7.5546875" style="1" customWidth="1"/>
    <col min="8" max="8" width="8.44140625" style="1" bestFit="1" customWidth="1"/>
    <col min="9" max="9" width="7.5546875" style="1" bestFit="1" customWidth="1"/>
    <col min="10" max="10" width="8.33203125" style="1" customWidth="1"/>
    <col min="11" max="11" width="9.88671875" style="1" customWidth="1"/>
    <col min="12" max="12" width="7.5546875" style="1" bestFit="1" customWidth="1"/>
    <col min="13" max="13" width="7.6640625" style="1" customWidth="1"/>
    <col min="14" max="14" width="1.6640625" style="1" customWidth="1"/>
    <col min="15" max="15" width="26.44140625" style="1" bestFit="1" customWidth="1"/>
    <col min="16" max="16384" width="11.6640625" style="1"/>
  </cols>
  <sheetData>
    <row r="1" spans="1:15" x14ac:dyDescent="0.2">
      <c r="A1" s="1" t="s">
        <v>0</v>
      </c>
    </row>
    <row r="2" spans="1:15" x14ac:dyDescent="0.2">
      <c r="A2" s="1" t="s">
        <v>96</v>
      </c>
    </row>
    <row r="3" spans="1:15" x14ac:dyDescent="0.2">
      <c r="A3" s="2" t="s">
        <v>857</v>
      </c>
    </row>
    <row r="5" spans="1:15" x14ac:dyDescent="0.2">
      <c r="A5" s="1" t="s">
        <v>507</v>
      </c>
    </row>
    <row r="8" spans="1:15" x14ac:dyDescent="0.2">
      <c r="C8" s="1160" t="s">
        <v>110</v>
      </c>
      <c r="D8" s="1161"/>
      <c r="F8" s="1160" t="s">
        <v>110</v>
      </c>
      <c r="G8" s="1161"/>
      <c r="I8" s="1160" t="s">
        <v>110</v>
      </c>
      <c r="J8" s="1161"/>
      <c r="L8" s="1160" t="s">
        <v>110</v>
      </c>
      <c r="M8" s="1161"/>
      <c r="N8" s="4"/>
      <c r="O8" s="3" t="s">
        <v>111</v>
      </c>
    </row>
    <row r="9" spans="1:15" x14ac:dyDescent="0.2">
      <c r="K9" s="5"/>
      <c r="O9" s="6" t="s">
        <v>112</v>
      </c>
    </row>
    <row r="10" spans="1:15" ht="60" customHeight="1" x14ac:dyDescent="0.2">
      <c r="A10" s="7" t="s">
        <v>97</v>
      </c>
      <c r="B10" s="446" t="s">
        <v>645</v>
      </c>
      <c r="C10" s="8" t="s">
        <v>98</v>
      </c>
      <c r="D10" s="8" t="s">
        <v>99</v>
      </c>
      <c r="E10" s="446" t="s">
        <v>646</v>
      </c>
      <c r="F10" s="8" t="s">
        <v>98</v>
      </c>
      <c r="G10" s="8" t="s">
        <v>99</v>
      </c>
      <c r="H10" s="7" t="s">
        <v>100</v>
      </c>
      <c r="I10" s="8" t="s">
        <v>98</v>
      </c>
      <c r="J10" s="8" t="s">
        <v>99</v>
      </c>
      <c r="K10" s="446" t="s">
        <v>659</v>
      </c>
      <c r="L10" s="8" t="s">
        <v>98</v>
      </c>
      <c r="M10" s="8" t="s">
        <v>99</v>
      </c>
      <c r="N10" s="8"/>
      <c r="O10" s="8" t="s">
        <v>101</v>
      </c>
    </row>
    <row r="12" spans="1:15" x14ac:dyDescent="0.2">
      <c r="A12" s="1" t="s">
        <v>28</v>
      </c>
      <c r="B12" s="743">
        <f>'3-GASB34GovtFundsBS'!C23</f>
        <v>844858</v>
      </c>
      <c r="C12" s="859" t="s">
        <v>102</v>
      </c>
      <c r="D12" s="859" t="s">
        <v>102</v>
      </c>
      <c r="E12" s="743">
        <f>'3-GASB34GovtFundsBS'!C30+'3-GASB34GovtFundsBS'!C36</f>
        <v>237949</v>
      </c>
      <c r="F12" s="859" t="s">
        <v>102</v>
      </c>
      <c r="G12" s="859" t="s">
        <v>102</v>
      </c>
      <c r="H12" s="743">
        <f>'4-GASB34GovtFundsIS'!C19</f>
        <v>2270904</v>
      </c>
      <c r="I12" s="859" t="s">
        <v>102</v>
      </c>
      <c r="J12" s="859" t="s">
        <v>102</v>
      </c>
      <c r="K12" s="743">
        <f>'4-GASB34GovtFundsIS'!C33</f>
        <v>2414372.15</v>
      </c>
      <c r="L12" s="6" t="s">
        <v>102</v>
      </c>
      <c r="M12" s="6" t="s">
        <v>102</v>
      </c>
      <c r="O12" s="9" t="s">
        <v>103</v>
      </c>
    </row>
    <row r="13" spans="1:15" x14ac:dyDescent="0.2">
      <c r="B13" s="743"/>
      <c r="C13" s="743"/>
      <c r="D13" s="743"/>
      <c r="E13" s="743"/>
      <c r="F13" s="743"/>
      <c r="G13" s="743"/>
      <c r="H13" s="743"/>
      <c r="I13" s="743"/>
      <c r="J13" s="743"/>
      <c r="K13" s="743"/>
    </row>
    <row r="14" spans="1:15" x14ac:dyDescent="0.2">
      <c r="A14" s="12" t="s">
        <v>124</v>
      </c>
      <c r="B14" s="743">
        <f>'3-GASB34GovtFundsBS'!D23</f>
        <v>22415</v>
      </c>
      <c r="C14" s="860" t="str">
        <f>IF(B14&gt;B$24,"X","-")</f>
        <v>-</v>
      </c>
      <c r="D14" s="860" t="str">
        <f>IF(B14&gt;B$37,"X","-")</f>
        <v>-</v>
      </c>
      <c r="E14" s="743">
        <f>'3-GASB34GovtFundsBS'!D30+'3-GASB34GovtFundsBS'!D36</f>
        <v>17000</v>
      </c>
      <c r="F14" s="860" t="str">
        <f>IF(E14&gt;E$24,"X","-")</f>
        <v>-</v>
      </c>
      <c r="G14" s="860" t="str">
        <f>IF(E14&gt;E$37,"X","-")</f>
        <v>-</v>
      </c>
      <c r="H14" s="743">
        <f>'4-GASB34GovtFundsIS'!D19</f>
        <v>785000</v>
      </c>
      <c r="I14" s="860" t="str">
        <f>IF(H14&gt;H$24,"X","-")</f>
        <v>X</v>
      </c>
      <c r="J14" s="860" t="str">
        <f>IF(H14&gt;H$37,"X","-")</f>
        <v>X</v>
      </c>
      <c r="K14" s="743">
        <f>'4-GASB34GovtFundsIS'!D33</f>
        <v>785038</v>
      </c>
      <c r="L14" s="11" t="str">
        <f>IF(K14&gt;K$24,"X","-")</f>
        <v>X</v>
      </c>
      <c r="M14" s="11" t="str">
        <f>IF(K14&gt;K$37,"X","-")</f>
        <v>X</v>
      </c>
      <c r="O14" s="11" t="str">
        <f>IF(OR(AND(C14="X",D14="X"),AND(F14="X",G14="X"),AND(I14="X",J14="X"),AND(L14="X",M14="X")),"MAJOR","-")</f>
        <v>MAJOR</v>
      </c>
    </row>
    <row r="15" spans="1:15" x14ac:dyDescent="0.2">
      <c r="A15" s="13" t="s">
        <v>78</v>
      </c>
      <c r="B15" s="743">
        <f>'Comb BS-Nonmajor Govt'!C17</f>
        <v>5000</v>
      </c>
      <c r="C15" s="860" t="str">
        <f>IF(B15&gt;B$24,"X","-")</f>
        <v>-</v>
      </c>
      <c r="D15" s="860" t="str">
        <f>IF(B15&gt;B$37,"X","-")</f>
        <v>-</v>
      </c>
      <c r="E15" s="743">
        <f>'Comb BS-Nonmajor Govt'!C23</f>
        <v>5000</v>
      </c>
      <c r="F15" s="860" t="str">
        <f>IF(E15&gt;E$24,"X","-")</f>
        <v>-</v>
      </c>
      <c r="G15" s="860" t="str">
        <f>IF(E15&gt;E$37,"X","-")</f>
        <v>-</v>
      </c>
      <c r="H15" s="743">
        <f>'Comb IS-Nonmajor Govt'!C15</f>
        <v>115000</v>
      </c>
      <c r="I15" s="860" t="str">
        <f>IF(H15&gt;H$24,"X","-")</f>
        <v>-</v>
      </c>
      <c r="J15" s="860" t="str">
        <f>IF(H15&gt;H$37,"X","-")</f>
        <v>-</v>
      </c>
      <c r="K15" s="743">
        <f>'Comb IS-Nonmajor Govt'!C19</f>
        <v>115000</v>
      </c>
      <c r="L15" s="11" t="str">
        <f>IF(K15&gt;K$24,"X","-")</f>
        <v>-</v>
      </c>
      <c r="M15" s="11" t="str">
        <f>IF(K15&gt;K$37,"X","-")</f>
        <v>-</v>
      </c>
      <c r="O15" s="11" t="str">
        <f>IF(OR(AND(C15="X",D15="X"),AND(F15="X",G15="X"),AND(I15="X",J15="X"),AND(L15="X",M15="X")),"MAJOR","-")</f>
        <v>-</v>
      </c>
    </row>
    <row r="16" spans="1:15" x14ac:dyDescent="0.2">
      <c r="A16" s="13" t="s">
        <v>816</v>
      </c>
      <c r="B16" s="743">
        <f>'Comb BS-Nonmajor Govt'!D17</f>
        <v>4865</v>
      </c>
      <c r="C16" s="860" t="str">
        <f>IF(B16&gt;B$24,"X","-")</f>
        <v>-</v>
      </c>
      <c r="D16" s="860" t="str">
        <f>IF(B16&gt;B$37,"X","-")</f>
        <v>-</v>
      </c>
      <c r="E16" s="743">
        <f>'Comb BS-Nonmajor Govt'!D26</f>
        <v>570</v>
      </c>
      <c r="F16" s="860" t="str">
        <f>IF(E16&gt;E$24,"X","-")</f>
        <v>-</v>
      </c>
      <c r="G16" s="860" t="str">
        <f>IF(E16&gt;E$37,"X","-")</f>
        <v>-</v>
      </c>
      <c r="H16" s="743">
        <f>'Comb IS-Nonmajor Govt'!D15</f>
        <v>3935</v>
      </c>
      <c r="I16" s="860" t="str">
        <f>IF(H16&gt;H$24,"X","-")</f>
        <v>-</v>
      </c>
      <c r="J16" s="860" t="str">
        <f>IF(H16&gt;H$37,"X","-")</f>
        <v>-</v>
      </c>
      <c r="K16" s="743">
        <f>'Comb IS-Nonmajor Govt'!D21</f>
        <v>2095</v>
      </c>
      <c r="L16" s="11" t="str">
        <f>IF(K16&gt;K$24,"X","-")</f>
        <v>-</v>
      </c>
      <c r="M16" s="11" t="str">
        <f>IF(K16&gt;K$37,"X","-")</f>
        <v>-</v>
      </c>
      <c r="O16" s="11" t="str">
        <f>IF(OR(AND(C16="X",D16="X"),AND(F16="X",G16="X"),AND(I16="X",J16="X"),AND(L16="X",M16="X")),"MAJOR","-")</f>
        <v>-</v>
      </c>
    </row>
    <row r="17" spans="1:15" x14ac:dyDescent="0.2">
      <c r="A17" s="13" t="s">
        <v>519</v>
      </c>
      <c r="B17" s="743">
        <f>'Comb BS-Nonmajor Govt'!E17</f>
        <v>25056</v>
      </c>
      <c r="C17" s="860" t="str">
        <f>IF(B17&gt;B$24,"X","-")</f>
        <v>-</v>
      </c>
      <c r="D17" s="860" t="str">
        <f>IF(B17&gt;B$37,"X","-")</f>
        <v>-</v>
      </c>
      <c r="E17" s="743">
        <v>0</v>
      </c>
      <c r="F17" s="860" t="str">
        <f>IF(E17&gt;E$24,"X","-")</f>
        <v>-</v>
      </c>
      <c r="G17" s="860" t="str">
        <f>IF(E17&gt;E$37,"X","-")</f>
        <v>-</v>
      </c>
      <c r="H17" s="743">
        <f>'Comb IS-Nonmajor Govt'!E15</f>
        <v>5248</v>
      </c>
      <c r="I17" s="860" t="str">
        <f>IF(H17&gt;H$24,"X","-")</f>
        <v>-</v>
      </c>
      <c r="J17" s="860" t="str">
        <f>IF(H17&gt;H$37,"X","-")</f>
        <v>-</v>
      </c>
      <c r="K17" s="743">
        <v>0</v>
      </c>
      <c r="L17" s="11" t="str">
        <f>IF(K17&gt;K$24,"X","-")</f>
        <v>-</v>
      </c>
      <c r="M17" s="11" t="str">
        <f>IF(K17&gt;K$37,"X","-")</f>
        <v>-</v>
      </c>
      <c r="O17" s="11" t="str">
        <f>IF(OR(AND(C17="X",D17="X"),AND(F17="X",G17="X"),AND(I17="X",J17="X"),AND(L17="X",M17="X")),"MAJOR","-")</f>
        <v>-</v>
      </c>
    </row>
    <row r="18" spans="1:15" x14ac:dyDescent="0.2">
      <c r="B18" s="743"/>
      <c r="C18" s="743"/>
      <c r="D18" s="743"/>
      <c r="E18" s="743"/>
      <c r="F18" s="743"/>
      <c r="G18" s="743"/>
      <c r="H18" s="743"/>
      <c r="I18" s="743"/>
      <c r="J18" s="743"/>
      <c r="K18" s="743"/>
    </row>
    <row r="19" spans="1:15" x14ac:dyDescent="0.2">
      <c r="A19" s="1" t="s">
        <v>104</v>
      </c>
      <c r="B19" s="743"/>
      <c r="C19" s="743"/>
      <c r="D19" s="743"/>
      <c r="E19" s="743"/>
      <c r="F19" s="743"/>
      <c r="G19" s="743"/>
      <c r="H19" s="743"/>
      <c r="I19" s="743"/>
      <c r="J19" s="743"/>
      <c r="K19" s="743"/>
    </row>
    <row r="20" spans="1:15" x14ac:dyDescent="0.2">
      <c r="A20" s="13" t="s">
        <v>67</v>
      </c>
      <c r="B20" s="743">
        <f>'3-GASB34GovtFundsBS'!E23</f>
        <v>23400</v>
      </c>
      <c r="C20" s="860" t="str">
        <f>IF(B20&gt;B$24,"X","-")</f>
        <v>-</v>
      </c>
      <c r="D20" s="860" t="str">
        <f>IF(B20&gt;B$37,"X","-")</f>
        <v>-</v>
      </c>
      <c r="E20" s="743">
        <f>'3-GASB34GovtFundsBS'!E30+'3-GASB34GovtFundsBS'!E36</f>
        <v>0</v>
      </c>
      <c r="F20" s="860" t="str">
        <f>IF(E20&gt;E$24,"X","-")</f>
        <v>-</v>
      </c>
      <c r="G20" s="860" t="str">
        <f>IF(E20&gt;E$37,"X","-")</f>
        <v>-</v>
      </c>
      <c r="H20" s="743">
        <f>'4-GASB34GovtFundsIS'!E19</f>
        <v>205000</v>
      </c>
      <c r="I20" s="860" t="str">
        <f>IF(H20&gt;H$24,"X","-")</f>
        <v>-</v>
      </c>
      <c r="J20" s="860" t="str">
        <f>IF(H20&gt;H$37,"X","-")</f>
        <v>-</v>
      </c>
      <c r="K20" s="743">
        <v>590000</v>
      </c>
      <c r="L20" s="11" t="str">
        <f>IF(K20&gt;K$24,"X","-")</f>
        <v>X</v>
      </c>
      <c r="M20" s="11" t="str">
        <f>IF(K20&gt;K$37,"X","-")</f>
        <v>X</v>
      </c>
      <c r="O20" s="11" t="str">
        <f>IF(OR(AND(C20="X",D20="X"),AND(F20="X",G20="X"),AND(I20="X",J20="X"),AND(L20="X",M20="X")),"MAJOR","-")</f>
        <v>MAJOR</v>
      </c>
    </row>
    <row r="21" spans="1:15" x14ac:dyDescent="0.2">
      <c r="A21" s="13"/>
    </row>
    <row r="22" spans="1:15" ht="10.8" thickBot="1" x14ac:dyDescent="0.25">
      <c r="A22" s="12" t="s">
        <v>17</v>
      </c>
      <c r="B22" s="14">
        <f>SUM(B12:B21)</f>
        <v>925594</v>
      </c>
      <c r="E22" s="14">
        <f>SUM(E12:E21)</f>
        <v>260519</v>
      </c>
      <c r="H22" s="14">
        <f>SUM(H12:H21)</f>
        <v>3385087</v>
      </c>
      <c r="K22" s="14">
        <f>SUM(K12:K21)</f>
        <v>3906505.15</v>
      </c>
    </row>
    <row r="23" spans="1:15" ht="10.8" thickTop="1" x14ac:dyDescent="0.2">
      <c r="A23" s="13"/>
    </row>
    <row r="24" spans="1:15" ht="10.8" thickBot="1" x14ac:dyDescent="0.25">
      <c r="A24" s="2" t="s">
        <v>105</v>
      </c>
      <c r="B24" s="15">
        <f>ROUND(B22*0.1,0)</f>
        <v>92559</v>
      </c>
      <c r="E24" s="15">
        <f>ROUND(E22*0.1,0)</f>
        <v>26052</v>
      </c>
      <c r="H24" s="15">
        <f>ROUND(H22*0.1,0)</f>
        <v>338509</v>
      </c>
      <c r="K24" s="15">
        <f>ROUND(K22*0.1,0)</f>
        <v>390651</v>
      </c>
    </row>
    <row r="25" spans="1:15" ht="10.8" thickTop="1" x14ac:dyDescent="0.2">
      <c r="A25" s="10"/>
    </row>
    <row r="26" spans="1:15" x14ac:dyDescent="0.2">
      <c r="A26" s="12" t="s">
        <v>79</v>
      </c>
    </row>
    <row r="27" spans="1:15" x14ac:dyDescent="0.2">
      <c r="A27" s="13" t="s">
        <v>80</v>
      </c>
      <c r="B27" s="743">
        <f>'6-Net Pos-Prop'!B30+'6-Net Pos-Prop'!B36</f>
        <v>1461034.8760000002</v>
      </c>
      <c r="C27" s="860" t="str">
        <f>IF(B27&gt;B$32,"X","-")</f>
        <v>-</v>
      </c>
      <c r="D27" s="860" t="str">
        <f>IF(B27&gt;B$37,"X","-")</f>
        <v>X</v>
      </c>
      <c r="E27" s="743">
        <f>'6-Net Pos-Prop'!B62+'6-Net Pos-Prop'!B65+'6-Net Pos-Prop'!B66</f>
        <v>445299.03600000002</v>
      </c>
      <c r="F27" s="11" t="str">
        <f>IF(E27&gt;E$32,"X","-")</f>
        <v>-</v>
      </c>
      <c r="G27" s="11" t="str">
        <f>IF(E27&gt;E$37,"X","-")</f>
        <v>X</v>
      </c>
      <c r="H27" s="743">
        <f>'7-Rev, Exp-Prop'!C14+'7-Rev, Exp-Prop'!C31</f>
        <v>2834397</v>
      </c>
      <c r="I27" s="11" t="str">
        <f>IF(H27&gt;H$32,"X","-")</f>
        <v>X</v>
      </c>
      <c r="J27" s="11" t="str">
        <f>IF(H27&gt;H$37,"X","-")</f>
        <v>X</v>
      </c>
      <c r="K27" s="1">
        <f>'7-Rev, Exp-Prop'!C25+'7-Rev, Exp-Prop'!C32+'7-Rev, Exp-Prop'!C33</f>
        <v>2844829.625</v>
      </c>
      <c r="L27" s="11" t="str">
        <f>IF(K27&gt;K$32,"X","-")</f>
        <v>X</v>
      </c>
      <c r="M27" s="11" t="str">
        <f>IF(K27&gt;K$37,"X","-")</f>
        <v>X</v>
      </c>
      <c r="O27" s="11" t="str">
        <f>IF(OR(AND(C27="X",D27="X"),AND(F27="X",G27="X"),AND(I27="X",J27="X"),AND(L27="X",M27="X")),"MAJOR","-")</f>
        <v>MAJOR</v>
      </c>
    </row>
    <row r="28" spans="1:15" x14ac:dyDescent="0.2">
      <c r="A28" s="13" t="s">
        <v>81</v>
      </c>
      <c r="B28" s="743">
        <f>14670927+358569</f>
        <v>15029496</v>
      </c>
      <c r="C28" s="860" t="str">
        <f>IF(B28&gt;B$32,"X","-")</f>
        <v>X</v>
      </c>
      <c r="D28" s="860" t="str">
        <f>IF(B28&gt;B$37,"X","-")</f>
        <v>X</v>
      </c>
      <c r="E28" s="743">
        <f>'6-Net Pos-Prop'!C62+'6-Net Pos-Prop'!C65+'6-Net Pos-Prop'!C66+'6-Net Pos-Prop'!C67</f>
        <v>5488370.1439999994</v>
      </c>
      <c r="F28" s="11" t="str">
        <f>IF(E28&gt;E$32,"X","-")</f>
        <v>X</v>
      </c>
      <c r="G28" s="11" t="str">
        <f>IF(E28&gt;E$37,"X","-")</f>
        <v>X</v>
      </c>
      <c r="H28" s="858">
        <f>'7-Rev, Exp-Prop'!D14+'7-Rev, Exp-Prop'!D30+'7-Rev, Exp-Prop'!D31</f>
        <v>1596104</v>
      </c>
      <c r="I28" s="11" t="str">
        <f>IF(H28&gt;H$32,"X","-")</f>
        <v>X</v>
      </c>
      <c r="J28" s="11" t="str">
        <f>IF(H28&gt;H$37,"X","-")</f>
        <v>X</v>
      </c>
      <c r="K28" s="858">
        <f>'7-Rev, Exp-Prop'!D25-'7-Rev, Exp-Prop'!D32-'7-Rev, Exp-Prop'!D33</f>
        <v>1265956.5</v>
      </c>
      <c r="L28" s="11" t="str">
        <f>IF(K28&gt;K$32,"X","-")</f>
        <v>X</v>
      </c>
      <c r="M28" s="11" t="str">
        <f>IF(K28&gt;K$37,"X","-")</f>
        <v>X</v>
      </c>
      <c r="O28" s="11" t="str">
        <f>IF(OR(AND(C28="X",D28="X"),AND(F28="X",G28="X"),AND(I28="X",J28="X"),AND(L28="X",M28="X")),"MAJOR","-")</f>
        <v>MAJOR</v>
      </c>
    </row>
    <row r="29" spans="1:15" x14ac:dyDescent="0.2">
      <c r="A29" s="10"/>
    </row>
    <row r="30" spans="1:15" ht="10.8" thickBot="1" x14ac:dyDescent="0.25">
      <c r="A30" s="12" t="s">
        <v>106</v>
      </c>
      <c r="B30" s="14">
        <f>SUM(B27:B29)</f>
        <v>16490530.876</v>
      </c>
      <c r="E30" s="14">
        <f>SUM(E27:E29)</f>
        <v>5933669.1799999997</v>
      </c>
      <c r="H30" s="14">
        <f>SUM(H27:H29)</f>
        <v>4430501</v>
      </c>
      <c r="K30" s="14">
        <f>SUM(K27:K29)</f>
        <v>4110786.125</v>
      </c>
    </row>
    <row r="31" spans="1:15" ht="10.8" thickTop="1" x14ac:dyDescent="0.2">
      <c r="A31" s="2"/>
    </row>
    <row r="32" spans="1:15" ht="10.8" thickBot="1" x14ac:dyDescent="0.25">
      <c r="A32" s="2" t="s">
        <v>107</v>
      </c>
      <c r="B32" s="15">
        <f>ROUND(B30*0.1,0)</f>
        <v>1649053</v>
      </c>
      <c r="E32" s="15">
        <f>ROUND(E30*0.1,0)</f>
        <v>593367</v>
      </c>
      <c r="H32" s="15">
        <f>ROUND(H30*0.1,0)</f>
        <v>443050</v>
      </c>
      <c r="K32" s="15">
        <f>ROUND(K30*0.1,0)</f>
        <v>411079</v>
      </c>
    </row>
    <row r="33" spans="1:11" ht="10.8" thickTop="1" x14ac:dyDescent="0.2">
      <c r="A33" s="10"/>
    </row>
    <row r="34" spans="1:11" x14ac:dyDescent="0.2">
      <c r="A34" s="10"/>
    </row>
    <row r="35" spans="1:11" ht="10.8" thickBot="1" x14ac:dyDescent="0.25">
      <c r="A35" s="2" t="s">
        <v>108</v>
      </c>
      <c r="B35" s="14">
        <f>+B22+B30</f>
        <v>17416124.876000002</v>
      </c>
      <c r="E35" s="14">
        <f>+E22+E30</f>
        <v>6194188.1799999997</v>
      </c>
      <c r="H35" s="14">
        <f>+H22+H30</f>
        <v>7815588</v>
      </c>
      <c r="K35" s="14">
        <f>+K22+K30</f>
        <v>8017291.2750000004</v>
      </c>
    </row>
    <row r="36" spans="1:11" ht="10.8" thickTop="1" x14ac:dyDescent="0.2">
      <c r="A36" s="2"/>
    </row>
    <row r="37" spans="1:11" ht="10.8" thickBot="1" x14ac:dyDescent="0.25">
      <c r="A37" s="2" t="s">
        <v>109</v>
      </c>
      <c r="B37" s="15">
        <f>ROUND(B35*0.05,0)</f>
        <v>870806</v>
      </c>
      <c r="E37" s="15">
        <f>ROUND(E35*0.05,0)</f>
        <v>309709</v>
      </c>
      <c r="H37" s="15">
        <f>ROUND(H35*0.05,0)</f>
        <v>390779</v>
      </c>
      <c r="K37" s="15">
        <f>ROUND(K35*0.05,0)</f>
        <v>400865</v>
      </c>
    </row>
    <row r="38" spans="1:11" ht="10.8" thickTop="1" x14ac:dyDescent="0.2">
      <c r="A38" s="10"/>
    </row>
    <row r="39" spans="1:11" x14ac:dyDescent="0.2">
      <c r="A39" s="10"/>
    </row>
    <row r="40" spans="1:11" x14ac:dyDescent="0.2">
      <c r="A40" s="12"/>
    </row>
    <row r="43" spans="1:11" x14ac:dyDescent="0.2">
      <c r="A43" s="13"/>
    </row>
    <row r="44" spans="1:11" x14ac:dyDescent="0.2">
      <c r="A44" s="16"/>
    </row>
    <row r="45" spans="1:11" x14ac:dyDescent="0.2">
      <c r="A45" s="13"/>
    </row>
    <row r="46" spans="1:11" x14ac:dyDescent="0.2">
      <c r="A46" s="16"/>
    </row>
    <row r="47" spans="1:11" x14ac:dyDescent="0.2">
      <c r="A47" s="16"/>
    </row>
    <row r="48" spans="1:11" x14ac:dyDescent="0.2">
      <c r="A48" s="16"/>
    </row>
    <row r="51" spans="1:1" x14ac:dyDescent="0.2">
      <c r="A51" s="13"/>
    </row>
  </sheetData>
  <customSheetViews>
    <customSheetView guid="{AB48C5D7-99F4-4378-A0F9-05018B348977}">
      <selection activeCell="B39" sqref="B39"/>
      <rowBreaks count="1" manualBreakCount="1">
        <brk id="37" max="14" man="1"/>
      </rowBreaks>
      <pageMargins left="0.75" right="0.75" top="1" bottom="1" header="0.5" footer="0.5"/>
      <pageSetup scale="79" firstPageNumber="27" orientation="landscape" useFirstPageNumber="1" r:id="rId1"/>
      <headerFooter alignWithMargins="0"/>
    </customSheetView>
  </customSheetViews>
  <mergeCells count="4">
    <mergeCell ref="C8:D8"/>
    <mergeCell ref="F8:G8"/>
    <mergeCell ref="I8:J8"/>
    <mergeCell ref="L8:M8"/>
  </mergeCells>
  <phoneticPr fontId="0" type="noConversion"/>
  <printOptions horizontalCentered="1"/>
  <pageMargins left="0.6" right="0.6" top="0.75" bottom="0.75" header="0.3" footer="0.3"/>
  <pageSetup scale="78" firstPageNumber="27" orientation="landscape" r:id="rId2"/>
  <rowBreaks count="1" manualBreakCount="1">
    <brk id="38"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pageSetUpPr fitToPage="1"/>
  </sheetPr>
  <dimension ref="B2:J63"/>
  <sheetViews>
    <sheetView topLeftCell="B37" workbookViewId="0">
      <selection activeCell="G54" sqref="G54"/>
    </sheetView>
  </sheetViews>
  <sheetFormatPr defaultColWidth="9.109375" defaultRowHeight="13.2" x14ac:dyDescent="0.25"/>
  <cols>
    <col min="1" max="1" width="9.109375" style="17"/>
    <col min="2" max="2" width="30.6640625" style="17" customWidth="1"/>
    <col min="3" max="7" width="15.6640625" style="17" customWidth="1"/>
    <col min="8" max="8" width="9.109375" style="17"/>
    <col min="9" max="9" width="15" style="17" bestFit="1" customWidth="1"/>
    <col min="10" max="16384" width="9.109375" style="17"/>
  </cols>
  <sheetData>
    <row r="2" spans="2:7" x14ac:dyDescent="0.25">
      <c r="G2" s="82" t="s">
        <v>26</v>
      </c>
    </row>
    <row r="3" spans="2:7" x14ac:dyDescent="0.25">
      <c r="B3" s="896" t="s">
        <v>0</v>
      </c>
      <c r="C3" s="896"/>
      <c r="D3" s="896"/>
      <c r="E3" s="896"/>
      <c r="F3" s="896"/>
      <c r="G3" s="896"/>
    </row>
    <row r="4" spans="2:7" x14ac:dyDescent="0.25">
      <c r="B4" s="896" t="s">
        <v>27</v>
      </c>
      <c r="C4" s="896"/>
      <c r="D4" s="896"/>
      <c r="E4" s="896"/>
      <c r="F4" s="896"/>
      <c r="G4" s="896"/>
    </row>
    <row r="5" spans="2:7" x14ac:dyDescent="0.25">
      <c r="B5" s="896" t="s">
        <v>15</v>
      </c>
      <c r="C5" s="896"/>
      <c r="D5" s="896"/>
      <c r="E5" s="896"/>
      <c r="F5" s="896"/>
      <c r="G5" s="896"/>
    </row>
    <row r="6" spans="2:7" s="41" customFormat="1" x14ac:dyDescent="0.25">
      <c r="B6" s="897" t="s">
        <v>857</v>
      </c>
      <c r="C6" s="896"/>
      <c r="D6" s="896"/>
      <c r="E6" s="896"/>
      <c r="F6" s="896"/>
      <c r="G6" s="896"/>
    </row>
    <row r="7" spans="2:7" x14ac:dyDescent="0.25">
      <c r="B7" s="86"/>
      <c r="C7" s="86"/>
      <c r="D7" s="86"/>
      <c r="E7" s="86"/>
      <c r="F7" s="86"/>
      <c r="G7" s="86"/>
    </row>
    <row r="8" spans="2:7" x14ac:dyDescent="0.25">
      <c r="C8" s="322" t="s">
        <v>490</v>
      </c>
      <c r="D8" s="323"/>
      <c r="E8" s="323"/>
      <c r="F8" s="324"/>
      <c r="G8" s="325"/>
    </row>
    <row r="9" spans="2:7" ht="39.6" x14ac:dyDescent="0.25">
      <c r="C9" s="326" t="s">
        <v>28</v>
      </c>
      <c r="D9" s="81" t="s">
        <v>125</v>
      </c>
      <c r="E9" s="81" t="s">
        <v>67</v>
      </c>
      <c r="F9" s="24" t="s">
        <v>520</v>
      </c>
      <c r="G9" s="327" t="s">
        <v>17</v>
      </c>
    </row>
    <row r="10" spans="2:7" x14ac:dyDescent="0.25">
      <c r="B10" s="132" t="s">
        <v>29</v>
      </c>
    </row>
    <row r="11" spans="2:7" x14ac:dyDescent="0.25">
      <c r="B11" s="17" t="s">
        <v>68</v>
      </c>
      <c r="C11" s="879">
        <f>969504</f>
        <v>969504</v>
      </c>
      <c r="D11" s="637">
        <v>0</v>
      </c>
      <c r="E11" s="637">
        <v>0</v>
      </c>
      <c r="F11" s="637">
        <v>0</v>
      </c>
      <c r="G11" s="637">
        <f t="shared" ref="G11:G18" si="0">SUM(C11:F11)</f>
        <v>969504</v>
      </c>
    </row>
    <row r="12" spans="2:7" x14ac:dyDescent="0.25">
      <c r="B12" s="17" t="s">
        <v>69</v>
      </c>
      <c r="C12" s="639">
        <f>50804+2000+510-29187</f>
        <v>24127</v>
      </c>
      <c r="D12" s="638">
        <f>750000-750000</f>
        <v>0</v>
      </c>
      <c r="E12" s="638">
        <v>0</v>
      </c>
      <c r="F12" s="638">
        <v>0</v>
      </c>
      <c r="G12" s="638">
        <f t="shared" si="0"/>
        <v>24127</v>
      </c>
    </row>
    <row r="13" spans="2:7" x14ac:dyDescent="0.25">
      <c r="B13" s="17" t="s">
        <v>70</v>
      </c>
      <c r="C13" s="639">
        <f>702269+216639</f>
        <v>918908</v>
      </c>
      <c r="D13" s="638">
        <v>0</v>
      </c>
      <c r="E13" s="638">
        <v>0</v>
      </c>
      <c r="F13" s="638">
        <v>0</v>
      </c>
      <c r="G13" s="638">
        <f t="shared" si="0"/>
        <v>918908</v>
      </c>
    </row>
    <row r="14" spans="2:7" x14ac:dyDescent="0.25">
      <c r="B14" s="17" t="s">
        <v>71</v>
      </c>
      <c r="C14" s="638">
        <f>166334+100000</f>
        <v>266334</v>
      </c>
      <c r="D14" s="638">
        <f>35000+750000</f>
        <v>785000</v>
      </c>
      <c r="E14" s="638">
        <v>200000</v>
      </c>
      <c r="F14" s="638">
        <v>115000</v>
      </c>
      <c r="G14" s="638">
        <f t="shared" si="0"/>
        <v>1366334</v>
      </c>
    </row>
    <row r="15" spans="2:7" x14ac:dyDescent="0.25">
      <c r="B15" s="17" t="s">
        <v>72</v>
      </c>
      <c r="C15" s="639">
        <f>13160+29187</f>
        <v>42347</v>
      </c>
      <c r="D15" s="638">
        <v>0</v>
      </c>
      <c r="E15" s="638">
        <v>0</v>
      </c>
      <c r="F15" s="638">
        <v>0</v>
      </c>
      <c r="G15" s="638">
        <f t="shared" si="0"/>
        <v>42347</v>
      </c>
    </row>
    <row r="16" spans="2:7" x14ac:dyDescent="0.25">
      <c r="B16" s="17" t="s">
        <v>73</v>
      </c>
      <c r="C16" s="798">
        <f>22007+2789+351</f>
        <v>25147</v>
      </c>
      <c r="D16" s="638">
        <v>0</v>
      </c>
      <c r="E16" s="638">
        <v>0</v>
      </c>
      <c r="F16" s="638">
        <v>8771</v>
      </c>
      <c r="G16" s="638">
        <f t="shared" si="0"/>
        <v>33918</v>
      </c>
    </row>
    <row r="17" spans="2:10" x14ac:dyDescent="0.25">
      <c r="B17" s="17" t="s">
        <v>31</v>
      </c>
      <c r="C17" s="639">
        <f>23804+152</f>
        <v>23956</v>
      </c>
      <c r="D17" s="638">
        <v>0</v>
      </c>
      <c r="E17" s="638">
        <v>5000</v>
      </c>
      <c r="F17" s="638">
        <v>412</v>
      </c>
      <c r="G17" s="638">
        <f t="shared" si="0"/>
        <v>29368</v>
      </c>
    </row>
    <row r="18" spans="2:10" x14ac:dyDescent="0.25">
      <c r="B18" s="17" t="s">
        <v>13</v>
      </c>
      <c r="C18" s="798">
        <f>183+398</f>
        <v>581</v>
      </c>
      <c r="D18" s="638">
        <v>0</v>
      </c>
      <c r="E18" s="638">
        <v>0</v>
      </c>
      <c r="F18" s="638">
        <v>0</v>
      </c>
      <c r="G18" s="638">
        <f t="shared" si="0"/>
        <v>581</v>
      </c>
    </row>
    <row r="19" spans="2:10" x14ac:dyDescent="0.25">
      <c r="B19" s="58" t="s">
        <v>32</v>
      </c>
      <c r="C19" s="642">
        <f>SUM(C11:C18)</f>
        <v>2270904</v>
      </c>
      <c r="D19" s="642">
        <f>SUM(D11:D18)</f>
        <v>785000</v>
      </c>
      <c r="E19" s="642">
        <f>SUM(E11:E18)</f>
        <v>205000</v>
      </c>
      <c r="F19" s="642">
        <f>SUM(F11:F18)</f>
        <v>124183</v>
      </c>
      <c r="G19" s="642">
        <f>SUM(G11:G18)</f>
        <v>3385087</v>
      </c>
    </row>
    <row r="20" spans="2:10" x14ac:dyDescent="0.25">
      <c r="C20" s="638"/>
      <c r="D20" s="638"/>
      <c r="E20" s="638"/>
      <c r="F20" s="638"/>
      <c r="G20" s="638"/>
    </row>
    <row r="21" spans="2:10" x14ac:dyDescent="0.25">
      <c r="B21" s="132" t="s">
        <v>33</v>
      </c>
      <c r="C21" s="638"/>
      <c r="D21" s="638"/>
      <c r="E21" s="638"/>
      <c r="F21" s="638"/>
      <c r="G21" s="638"/>
    </row>
    <row r="22" spans="2:10" x14ac:dyDescent="0.25">
      <c r="B22" s="17" t="s">
        <v>34</v>
      </c>
      <c r="C22" s="638"/>
      <c r="D22" s="638"/>
      <c r="E22" s="638"/>
      <c r="F22" s="638"/>
      <c r="G22" s="638"/>
    </row>
    <row r="23" spans="2:10" x14ac:dyDescent="0.25">
      <c r="B23" s="22" t="s">
        <v>10</v>
      </c>
      <c r="C23" s="791">
        <f>169806+4+395240+216639+120000*0.593+(45000+50)*0.593+(155000*0.605*0.98)+21444+13396+48781</f>
        <v>1055084.1499999999</v>
      </c>
      <c r="D23" s="638">
        <v>0</v>
      </c>
      <c r="E23" s="638">
        <v>0</v>
      </c>
      <c r="F23" s="638">
        <v>2095</v>
      </c>
      <c r="G23" s="638">
        <f t="shared" ref="G23:G28" si="1">SUM(C23:F23)</f>
        <v>1057179.1499999999</v>
      </c>
      <c r="J23" s="682"/>
    </row>
    <row r="24" spans="2:10" x14ac:dyDescent="0.25">
      <c r="B24" s="22" t="s">
        <v>11</v>
      </c>
      <c r="C24" s="723">
        <f>524736+(8000+125)+15831+17024</f>
        <v>565716</v>
      </c>
      <c r="D24" s="638">
        <v>785038</v>
      </c>
      <c r="E24" s="638">
        <v>0</v>
      </c>
      <c r="F24" s="638">
        <v>0</v>
      </c>
      <c r="G24" s="638">
        <f t="shared" si="1"/>
        <v>1350754</v>
      </c>
    </row>
    <row r="25" spans="2:10" x14ac:dyDescent="0.25">
      <c r="B25" s="22" t="s">
        <v>74</v>
      </c>
      <c r="C25" s="638">
        <f>392799+41</f>
        <v>392840</v>
      </c>
      <c r="D25" s="638">
        <v>0</v>
      </c>
      <c r="E25" s="638">
        <v>0</v>
      </c>
      <c r="F25" s="638">
        <v>0</v>
      </c>
      <c r="G25" s="638">
        <f t="shared" si="1"/>
        <v>392840</v>
      </c>
    </row>
    <row r="26" spans="2:10" ht="26.4" x14ac:dyDescent="0.25">
      <c r="B26" s="22" t="s">
        <v>66</v>
      </c>
      <c r="C26" s="638">
        <v>0</v>
      </c>
      <c r="D26" s="638">
        <v>0</v>
      </c>
      <c r="E26" s="638">
        <v>0</v>
      </c>
      <c r="F26" s="638">
        <v>115000</v>
      </c>
      <c r="G26" s="638">
        <f t="shared" si="1"/>
        <v>115000</v>
      </c>
    </row>
    <row r="27" spans="2:10" x14ac:dyDescent="0.25">
      <c r="B27" s="22" t="s">
        <v>75</v>
      </c>
      <c r="C27" s="638">
        <v>257918</v>
      </c>
      <c r="D27" s="638">
        <v>0</v>
      </c>
      <c r="E27" s="638">
        <v>0</v>
      </c>
      <c r="F27" s="638">
        <v>0</v>
      </c>
      <c r="G27" s="638">
        <f t="shared" si="1"/>
        <v>257918</v>
      </c>
    </row>
    <row r="28" spans="2:10" x14ac:dyDescent="0.25">
      <c r="B28" s="22" t="s">
        <v>12</v>
      </c>
      <c r="C28" s="638">
        <f>91252+8</f>
        <v>91260</v>
      </c>
      <c r="D28" s="638">
        <v>0</v>
      </c>
      <c r="E28" s="638">
        <v>0</v>
      </c>
      <c r="F28" s="638">
        <v>0</v>
      </c>
      <c r="G28" s="638">
        <f t="shared" si="1"/>
        <v>91260</v>
      </c>
    </row>
    <row r="29" spans="2:10" x14ac:dyDescent="0.25">
      <c r="B29" s="17" t="s">
        <v>35</v>
      </c>
      <c r="C29" s="638"/>
      <c r="D29" s="638"/>
      <c r="E29" s="638"/>
      <c r="F29" s="638"/>
      <c r="G29" s="638"/>
    </row>
    <row r="30" spans="2:10" x14ac:dyDescent="0.25">
      <c r="B30" s="58" t="s">
        <v>36</v>
      </c>
      <c r="C30" s="789">
        <f>10000+6169+11706+10000+5948</f>
        <v>43823</v>
      </c>
      <c r="D30" s="638">
        <v>0</v>
      </c>
      <c r="E30" s="638">
        <v>0</v>
      </c>
      <c r="F30" s="638">
        <v>0</v>
      </c>
      <c r="G30" s="638">
        <f>SUM(C30:F30)</f>
        <v>43823</v>
      </c>
    </row>
    <row r="31" spans="2:10" x14ac:dyDescent="0.25">
      <c r="B31" s="58" t="s">
        <v>37</v>
      </c>
      <c r="C31" s="801">
        <f>5365+1389+136+294+547</f>
        <v>7731</v>
      </c>
      <c r="D31" s="638">
        <v>0</v>
      </c>
      <c r="E31" s="638">
        <v>0</v>
      </c>
      <c r="F31" s="638">
        <v>0</v>
      </c>
      <c r="G31" s="638">
        <f>SUM(C31:F31)</f>
        <v>7731</v>
      </c>
    </row>
    <row r="32" spans="2:10" x14ac:dyDescent="0.25">
      <c r="B32" s="17" t="s">
        <v>38</v>
      </c>
      <c r="C32" s="643">
        <v>0</v>
      </c>
      <c r="D32" s="643">
        <v>0</v>
      </c>
      <c r="E32" s="643">
        <v>590000</v>
      </c>
      <c r="F32" s="643">
        <v>0</v>
      </c>
      <c r="G32" s="643">
        <f>SUM(C32:F32)</f>
        <v>590000</v>
      </c>
    </row>
    <row r="33" spans="2:9" x14ac:dyDescent="0.25">
      <c r="B33" s="23" t="s">
        <v>39</v>
      </c>
      <c r="C33" s="642">
        <f>SUM(C23:C32)</f>
        <v>2414372.15</v>
      </c>
      <c r="D33" s="642">
        <v>785038</v>
      </c>
      <c r="E33" s="642">
        <f>SUM(E23:E32)</f>
        <v>590000</v>
      </c>
      <c r="F33" s="642">
        <f>SUM(F23:F32)</f>
        <v>117095</v>
      </c>
      <c r="G33" s="642">
        <f>SUM(G23:G32)</f>
        <v>3906505.15</v>
      </c>
      <c r="I33" s="681"/>
    </row>
    <row r="34" spans="2:9" ht="26.4" x14ac:dyDescent="0.25">
      <c r="B34" s="315" t="s">
        <v>40</v>
      </c>
      <c r="C34" s="642">
        <f>+C19-C33</f>
        <v>-143468.14999999991</v>
      </c>
      <c r="D34" s="642">
        <f>+D19-D33</f>
        <v>-38</v>
      </c>
      <c r="E34" s="642">
        <f>+E19-E33</f>
        <v>-385000</v>
      </c>
      <c r="F34" s="642">
        <f>+F19-F33</f>
        <v>7088</v>
      </c>
      <c r="G34" s="642">
        <f>+G19-G33</f>
        <v>-521418.14999999991</v>
      </c>
      <c r="I34" s="640"/>
    </row>
    <row r="35" spans="2:9" x14ac:dyDescent="0.25">
      <c r="C35" s="638"/>
      <c r="D35" s="638"/>
      <c r="E35" s="638"/>
      <c r="F35" s="638"/>
      <c r="G35" s="638"/>
    </row>
    <row r="36" spans="2:9" x14ac:dyDescent="0.25">
      <c r="B36" s="132" t="s">
        <v>41</v>
      </c>
      <c r="C36" s="638"/>
      <c r="D36" s="638"/>
      <c r="E36" s="638"/>
      <c r="F36" s="638"/>
      <c r="G36" s="638"/>
    </row>
    <row r="37" spans="2:9" x14ac:dyDescent="0.25">
      <c r="B37" s="21" t="s">
        <v>483</v>
      </c>
      <c r="C37" s="639">
        <f>10813</f>
        <v>10813</v>
      </c>
      <c r="D37" s="638">
        <v>0</v>
      </c>
      <c r="E37" s="638">
        <v>208400</v>
      </c>
      <c r="F37" s="638">
        <v>0</v>
      </c>
      <c r="G37" s="638">
        <f t="shared" ref="G37:G43" si="2">SUM(C37:F37)</f>
        <v>219213</v>
      </c>
    </row>
    <row r="38" spans="2:9" x14ac:dyDescent="0.25">
      <c r="B38" s="21" t="s">
        <v>484</v>
      </c>
      <c r="C38" s="639">
        <f>-305800</f>
        <v>-305800</v>
      </c>
      <c r="D38" s="638">
        <v>0</v>
      </c>
      <c r="E38" s="638">
        <v>0</v>
      </c>
      <c r="F38" s="638">
        <v>0</v>
      </c>
      <c r="G38" s="638">
        <f t="shared" si="2"/>
        <v>-305800</v>
      </c>
    </row>
    <row r="39" spans="2:9" x14ac:dyDescent="0.25">
      <c r="B39" s="21" t="s">
        <v>525</v>
      </c>
      <c r="C39" s="638">
        <v>5000</v>
      </c>
      <c r="D39" s="638">
        <v>0</v>
      </c>
      <c r="E39" s="638">
        <v>0</v>
      </c>
      <c r="F39" s="638">
        <v>0</v>
      </c>
      <c r="G39" s="638">
        <f t="shared" si="2"/>
        <v>5000</v>
      </c>
    </row>
    <row r="40" spans="2:9" x14ac:dyDescent="0.25">
      <c r="B40" s="21" t="s">
        <v>543</v>
      </c>
      <c r="C40" s="638">
        <v>325000</v>
      </c>
      <c r="D40" s="638"/>
      <c r="E40" s="638"/>
      <c r="F40" s="638"/>
      <c r="G40" s="638">
        <f t="shared" si="2"/>
        <v>325000</v>
      </c>
    </row>
    <row r="41" spans="2:9" ht="26.4" x14ac:dyDescent="0.25">
      <c r="B41" s="21" t="s">
        <v>508</v>
      </c>
      <c r="C41" s="638">
        <v>0</v>
      </c>
      <c r="D41" s="638">
        <v>0</v>
      </c>
      <c r="E41" s="638">
        <v>200000</v>
      </c>
      <c r="F41" s="638">
        <v>0</v>
      </c>
      <c r="G41" s="638">
        <f t="shared" si="2"/>
        <v>200000</v>
      </c>
      <c r="I41" s="55"/>
    </row>
    <row r="42" spans="2:9" x14ac:dyDescent="0.25">
      <c r="B42" s="21" t="s">
        <v>844</v>
      </c>
      <c r="C42" s="799">
        <f>34840</f>
        <v>34840</v>
      </c>
      <c r="D42" s="638"/>
      <c r="E42" s="638"/>
      <c r="F42" s="638"/>
      <c r="G42" s="638">
        <f t="shared" si="2"/>
        <v>34840</v>
      </c>
      <c r="I42" s="55"/>
    </row>
    <row r="43" spans="2:9" x14ac:dyDescent="0.25">
      <c r="B43" s="840" t="s">
        <v>873</v>
      </c>
      <c r="C43" s="821">
        <v>48781</v>
      </c>
      <c r="D43" s="829">
        <v>0</v>
      </c>
      <c r="E43" s="829">
        <v>0</v>
      </c>
      <c r="F43" s="829">
        <v>0</v>
      </c>
      <c r="G43" s="821">
        <f t="shared" si="2"/>
        <v>48781</v>
      </c>
    </row>
    <row r="44" spans="2:9" ht="26.4" x14ac:dyDescent="0.25">
      <c r="B44" s="22" t="s">
        <v>76</v>
      </c>
      <c r="C44" s="642">
        <f>SUM(C37:C43)</f>
        <v>118634</v>
      </c>
      <c r="D44" s="642">
        <f>SUM(D37:D43)</f>
        <v>0</v>
      </c>
      <c r="E44" s="642">
        <f>SUM(E37:E43)</f>
        <v>408400</v>
      </c>
      <c r="F44" s="642">
        <f>SUM(F37:F43)</f>
        <v>0</v>
      </c>
      <c r="G44" s="642">
        <f>SUM(G37:G43)</f>
        <v>527034</v>
      </c>
    </row>
    <row r="45" spans="2:9" x14ac:dyDescent="0.25">
      <c r="B45" s="22" t="s">
        <v>77</v>
      </c>
      <c r="C45" s="638">
        <f>+C34+C44</f>
        <v>-24834.149999999907</v>
      </c>
      <c r="D45" s="638">
        <f>+D34+D44</f>
        <v>-38</v>
      </c>
      <c r="E45" s="638">
        <f>+E34+E44</f>
        <v>23400</v>
      </c>
      <c r="F45" s="638">
        <f>+F34+F44</f>
        <v>7088</v>
      </c>
      <c r="G45" s="640">
        <f>SUM(C45:F45)</f>
        <v>5615.8500000000931</v>
      </c>
    </row>
    <row r="46" spans="2:9" hidden="1" x14ac:dyDescent="0.25">
      <c r="B46" s="21" t="s">
        <v>540</v>
      </c>
      <c r="C46" s="638"/>
      <c r="D46" s="638"/>
      <c r="E46" s="638"/>
      <c r="F46" s="638"/>
      <c r="G46" s="640"/>
    </row>
    <row r="47" spans="2:9" ht="12" hidden="1" customHeight="1" x14ac:dyDescent="0.25">
      <c r="B47" s="21" t="s">
        <v>629</v>
      </c>
      <c r="C47" s="639">
        <f>15801+342909+200000+5759-175</f>
        <v>564294</v>
      </c>
      <c r="D47" s="638">
        <v>5453</v>
      </c>
      <c r="E47" s="638">
        <v>0</v>
      </c>
      <c r="F47" s="638">
        <v>19808</v>
      </c>
      <c r="G47" s="640">
        <f>SUM(C47:F47)</f>
        <v>589555</v>
      </c>
    </row>
    <row r="48" spans="2:9" hidden="1" x14ac:dyDescent="0.25">
      <c r="B48" s="21" t="s">
        <v>541</v>
      </c>
      <c r="C48" s="643">
        <v>67367</v>
      </c>
      <c r="D48" s="643">
        <v>0</v>
      </c>
      <c r="E48" s="643">
        <v>0</v>
      </c>
      <c r="F48" s="643">
        <v>2455</v>
      </c>
      <c r="G48" s="643">
        <f>SUM(C48:F48)</f>
        <v>69822</v>
      </c>
    </row>
    <row r="49" spans="2:8" hidden="1" x14ac:dyDescent="0.25">
      <c r="B49" s="21" t="s">
        <v>540</v>
      </c>
      <c r="C49" s="638"/>
      <c r="D49" s="638"/>
      <c r="E49" s="638"/>
      <c r="F49" s="638"/>
      <c r="G49" s="640"/>
    </row>
    <row r="50" spans="2:8" x14ac:dyDescent="0.25">
      <c r="B50" s="21" t="s">
        <v>846</v>
      </c>
      <c r="C50" s="639">
        <f>C47+C48</f>
        <v>631661</v>
      </c>
      <c r="D50" s="638">
        <f>SUM(D47:D48)</f>
        <v>5453</v>
      </c>
      <c r="E50" s="638">
        <f>SUM(E47:E48)</f>
        <v>0</v>
      </c>
      <c r="F50" s="638">
        <f>SUM(F47:F48)</f>
        <v>22263</v>
      </c>
      <c r="G50" s="638">
        <f>SUM(G47:G48)</f>
        <v>659377</v>
      </c>
    </row>
    <row r="51" spans="2:8" x14ac:dyDescent="0.25">
      <c r="B51" s="17" t="s">
        <v>476</v>
      </c>
      <c r="C51" s="640">
        <v>82</v>
      </c>
      <c r="D51" s="640">
        <v>0</v>
      </c>
      <c r="E51" s="640">
        <v>0</v>
      </c>
      <c r="F51" s="640">
        <v>0</v>
      </c>
      <c r="G51" s="640">
        <f>SUM(C51:F51)</f>
        <v>82</v>
      </c>
    </row>
    <row r="52" spans="2:8" ht="13.8" thickBot="1" x14ac:dyDescent="0.3">
      <c r="B52" s="17" t="s">
        <v>526</v>
      </c>
      <c r="C52" s="413">
        <f>C51+C50+C45</f>
        <v>606908.85000000009</v>
      </c>
      <c r="D52" s="413">
        <f>D51+D50+D45</f>
        <v>5415</v>
      </c>
      <c r="E52" s="413">
        <f>E51+E50+E45</f>
        <v>23400</v>
      </c>
      <c r="F52" s="413">
        <f>F51+F50+F45</f>
        <v>29351</v>
      </c>
      <c r="G52" s="413">
        <f>G51+G50+G45</f>
        <v>665074.85000000009</v>
      </c>
      <c r="H52" s="313"/>
    </row>
    <row r="53" spans="2:8" ht="13.8" thickTop="1" x14ac:dyDescent="0.25"/>
    <row r="54" spans="2:8" x14ac:dyDescent="0.25">
      <c r="G54" s="615" t="s">
        <v>733</v>
      </c>
    </row>
    <row r="55" spans="2:8" ht="13.8" thickBot="1" x14ac:dyDescent="0.3"/>
    <row r="56" spans="2:8" ht="13.8" thickTop="1" x14ac:dyDescent="0.25">
      <c r="B56" s="919" t="s">
        <v>737</v>
      </c>
      <c r="C56" s="920"/>
      <c r="D56" s="920"/>
      <c r="E56" s="920"/>
      <c r="F56" s="920"/>
      <c r="G56" s="921"/>
    </row>
    <row r="57" spans="2:8" x14ac:dyDescent="0.25">
      <c r="B57" s="922"/>
      <c r="C57" s="923"/>
      <c r="D57" s="923"/>
      <c r="E57" s="923"/>
      <c r="F57" s="923"/>
      <c r="G57" s="924"/>
    </row>
    <row r="58" spans="2:8" x14ac:dyDescent="0.25">
      <c r="B58" s="922"/>
      <c r="C58" s="923"/>
      <c r="D58" s="923"/>
      <c r="E58" s="923"/>
      <c r="F58" s="923"/>
      <c r="G58" s="924"/>
    </row>
    <row r="59" spans="2:8" ht="26.25" customHeight="1" thickBot="1" x14ac:dyDescent="0.3">
      <c r="B59" s="925"/>
      <c r="C59" s="926"/>
      <c r="D59" s="926"/>
      <c r="E59" s="926"/>
      <c r="F59" s="926"/>
      <c r="G59" s="927"/>
    </row>
    <row r="60" spans="2:8" ht="9.75" customHeight="1" thickTop="1" x14ac:dyDescent="0.25"/>
    <row r="61" spans="2:8" ht="5.25" hidden="1" customHeight="1" x14ac:dyDescent="0.25"/>
    <row r="63" spans="2:8" x14ac:dyDescent="0.25">
      <c r="C63" s="313">
        <f>C52-'3-GASB34GovtFundsBS'!C54</f>
        <v>-0.14999999990686774</v>
      </c>
      <c r="D63" s="313">
        <f>D52-'3-GASB34GovtFundsBS'!D54</f>
        <v>0</v>
      </c>
      <c r="E63" s="313">
        <f>E52-'3-GASB34GovtFundsBS'!E54</f>
        <v>0</v>
      </c>
      <c r="F63" s="313">
        <f>F52-'3-GASB34GovtFundsBS'!F54</f>
        <v>0</v>
      </c>
      <c r="G63" s="313">
        <f>G52-'3-GASB34GovtFundsBS'!G54</f>
        <v>-0.14999999990686774</v>
      </c>
    </row>
  </sheetData>
  <mergeCells count="5">
    <mergeCell ref="B3:G3"/>
    <mergeCell ref="B4:G4"/>
    <mergeCell ref="B5:G5"/>
    <mergeCell ref="B6:G6"/>
    <mergeCell ref="B56:G59"/>
  </mergeCells>
  <printOptions horizontalCentered="1"/>
  <pageMargins left="0.7" right="0.7" top="0.75" bottom="0.75" header="0.3" footer="0.3"/>
  <pageSetup scale="85" fitToHeight="0" orientation="portrait" r:id="rId1"/>
  <ignoredErrors>
    <ignoredError sqref="G44" formula="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M55"/>
  <sheetViews>
    <sheetView workbookViewId="0">
      <selection activeCell="F44" sqref="F44"/>
    </sheetView>
  </sheetViews>
  <sheetFormatPr defaultColWidth="9.109375" defaultRowHeight="13.2" x14ac:dyDescent="0.25"/>
  <cols>
    <col min="1" max="1" width="9.109375" style="17"/>
    <col min="2" max="4" width="2.6640625" style="17" customWidth="1"/>
    <col min="5" max="5" width="47" style="17" customWidth="1"/>
    <col min="6" max="6" width="12.33203125" style="17" customWidth="1"/>
    <col min="7" max="7" width="12.44140625" style="17" bestFit="1" customWidth="1"/>
    <col min="8" max="8" width="9.88671875" style="17" bestFit="1" customWidth="1"/>
    <col min="9" max="9" width="12.33203125" style="17" customWidth="1"/>
    <col min="10" max="11" width="11.33203125" style="17" bestFit="1" customWidth="1"/>
    <col min="12" max="16384" width="9.109375" style="17"/>
  </cols>
  <sheetData>
    <row r="2" spans="2:12" x14ac:dyDescent="0.25">
      <c r="G2" s="82" t="s">
        <v>26</v>
      </c>
    </row>
    <row r="3" spans="2:12" x14ac:dyDescent="0.25">
      <c r="G3" s="636" t="s">
        <v>733</v>
      </c>
    </row>
    <row r="4" spans="2:12" x14ac:dyDescent="0.25">
      <c r="B4" s="896" t="s">
        <v>0</v>
      </c>
      <c r="C4" s="896"/>
      <c r="D4" s="896"/>
      <c r="E4" s="896"/>
      <c r="F4" s="896"/>
      <c r="G4" s="896"/>
    </row>
    <row r="5" spans="2:12" x14ac:dyDescent="0.25">
      <c r="B5" s="896" t="s">
        <v>27</v>
      </c>
      <c r="C5" s="896"/>
      <c r="D5" s="896"/>
      <c r="E5" s="896"/>
      <c r="F5" s="896"/>
      <c r="G5" s="896"/>
    </row>
    <row r="6" spans="2:12" x14ac:dyDescent="0.25">
      <c r="B6" s="896" t="s">
        <v>15</v>
      </c>
      <c r="C6" s="896"/>
      <c r="D6" s="896"/>
      <c r="E6" s="896"/>
      <c r="F6" s="896"/>
      <c r="G6" s="896"/>
    </row>
    <row r="7" spans="2:12" s="41" customFormat="1" x14ac:dyDescent="0.25">
      <c r="B7" s="897" t="s">
        <v>857</v>
      </c>
      <c r="C7" s="896"/>
      <c r="D7" s="896"/>
      <c r="E7" s="896"/>
      <c r="F7" s="896"/>
      <c r="G7" s="896"/>
    </row>
    <row r="10" spans="2:12" x14ac:dyDescent="0.25">
      <c r="B10" s="17" t="s">
        <v>479</v>
      </c>
    </row>
    <row r="11" spans="2:12" x14ac:dyDescent="0.25">
      <c r="C11" s="17" t="s">
        <v>480</v>
      </c>
    </row>
    <row r="13" spans="2:12" x14ac:dyDescent="0.25">
      <c r="D13" s="17" t="s">
        <v>485</v>
      </c>
      <c r="G13" s="877">
        <f>'4-GASB34GovtFundsIS'!G45</f>
        <v>5615.8500000000931</v>
      </c>
      <c r="L13" s="55"/>
    </row>
    <row r="14" spans="2:12" x14ac:dyDescent="0.25">
      <c r="D14" s="17" t="s">
        <v>522</v>
      </c>
      <c r="G14" s="55">
        <f>'4-GASB34GovtFundsIS'!G51</f>
        <v>82</v>
      </c>
    </row>
    <row r="15" spans="2:12" x14ac:dyDescent="0.25">
      <c r="G15" s="55"/>
    </row>
    <row r="16" spans="2:12" ht="79.2" x14ac:dyDescent="0.25">
      <c r="E16" s="21" t="s">
        <v>481</v>
      </c>
    </row>
    <row r="17" spans="5:13" x14ac:dyDescent="0.25">
      <c r="E17" s="58" t="s">
        <v>556</v>
      </c>
      <c r="F17" s="876">
        <f>1114939-19000</f>
        <v>1095939</v>
      </c>
      <c r="G17" s="56"/>
      <c r="J17" s="55"/>
    </row>
    <row r="18" spans="5:13" x14ac:dyDescent="0.25">
      <c r="E18" s="58" t="s">
        <v>552</v>
      </c>
      <c r="F18" s="880">
        <f>-236743+4766</f>
        <v>-231977</v>
      </c>
      <c r="G18" s="56"/>
    </row>
    <row r="19" spans="5:13" x14ac:dyDescent="0.25">
      <c r="E19" s="58" t="s">
        <v>553</v>
      </c>
      <c r="F19" s="128">
        <v>-268745</v>
      </c>
      <c r="G19" s="56">
        <f>SUM(F17:F19)</f>
        <v>595217</v>
      </c>
    </row>
    <row r="20" spans="5:13" x14ac:dyDescent="0.25">
      <c r="E20" s="58"/>
      <c r="F20" s="59"/>
      <c r="G20" s="56"/>
    </row>
    <row r="21" spans="5:13" ht="26.4" x14ac:dyDescent="0.25">
      <c r="E21" s="867" t="s">
        <v>852</v>
      </c>
      <c r="F21" s="795">
        <f>34840+48781</f>
        <v>83621</v>
      </c>
      <c r="G21" s="56"/>
    </row>
    <row r="22" spans="5:13" x14ac:dyDescent="0.25">
      <c r="E22" s="58" t="s">
        <v>845</v>
      </c>
      <c r="F22" s="796">
        <f>-6610-6096-21535</f>
        <v>-34241</v>
      </c>
      <c r="G22" s="56">
        <f>F21+F22</f>
        <v>49380</v>
      </c>
    </row>
    <row r="23" spans="5:13" x14ac:dyDescent="0.25">
      <c r="E23" s="58"/>
      <c r="F23" s="59"/>
      <c r="G23" s="56"/>
    </row>
    <row r="24" spans="5:13" ht="38.25" customHeight="1" x14ac:dyDescent="0.25">
      <c r="E24" s="22" t="s">
        <v>705</v>
      </c>
      <c r="F24" s="59"/>
      <c r="G24" s="56">
        <v>91915</v>
      </c>
      <c r="M24" s="616"/>
    </row>
    <row r="25" spans="5:13" ht="45" customHeight="1" x14ac:dyDescent="0.25">
      <c r="E25" s="22" t="s">
        <v>740</v>
      </c>
      <c r="F25" s="59"/>
      <c r="G25" s="56">
        <v>17024</v>
      </c>
      <c r="M25" s="616"/>
    </row>
    <row r="26" spans="5:13" ht="40.5" customHeight="1" x14ac:dyDescent="0.25">
      <c r="E26" s="22" t="s">
        <v>787</v>
      </c>
      <c r="F26" s="59"/>
      <c r="G26" s="56">
        <f>(45000+50)*0.593</f>
        <v>26714.649999999998</v>
      </c>
      <c r="M26" s="616"/>
    </row>
    <row r="27" spans="5:13" x14ac:dyDescent="0.25">
      <c r="G27" s="56"/>
    </row>
    <row r="28" spans="5:13" ht="39.6" x14ac:dyDescent="0.25">
      <c r="E28" s="21" t="s">
        <v>486</v>
      </c>
      <c r="G28" s="56"/>
    </row>
    <row r="29" spans="5:13" x14ac:dyDescent="0.25">
      <c r="E29" s="21" t="s">
        <v>495</v>
      </c>
      <c r="F29" s="56">
        <v>12000</v>
      </c>
      <c r="G29" s="56"/>
    </row>
    <row r="30" spans="5:13" x14ac:dyDescent="0.25">
      <c r="E30" s="310" t="s">
        <v>663</v>
      </c>
      <c r="F30" s="25">
        <f>-2320-103+1105</f>
        <v>-1318</v>
      </c>
      <c r="G30" s="56">
        <f>SUM(F29:F30)</f>
        <v>10682</v>
      </c>
    </row>
    <row r="31" spans="5:13" ht="92.4" x14ac:dyDescent="0.25">
      <c r="E31" s="310" t="s">
        <v>660</v>
      </c>
    </row>
    <row r="32" spans="5:13" x14ac:dyDescent="0.25">
      <c r="E32" s="21" t="s">
        <v>566</v>
      </c>
      <c r="F32" s="789">
        <f>-234840-48781</f>
        <v>-283621</v>
      </c>
      <c r="G32" s="56"/>
    </row>
    <row r="33" spans="2:11" x14ac:dyDescent="0.25">
      <c r="E33" s="21" t="s">
        <v>567</v>
      </c>
      <c r="F33" s="789">
        <v>43823</v>
      </c>
      <c r="G33" s="56"/>
    </row>
    <row r="34" spans="2:11" x14ac:dyDescent="0.25">
      <c r="E34" s="21" t="s">
        <v>568</v>
      </c>
      <c r="F34" s="802">
        <f>-778-309</f>
        <v>-1087</v>
      </c>
      <c r="G34" s="56">
        <f>SUM(F32:F34)</f>
        <v>-240885</v>
      </c>
    </row>
    <row r="35" spans="2:11" ht="57.75" customHeight="1" x14ac:dyDescent="0.25">
      <c r="E35" s="21" t="s">
        <v>482</v>
      </c>
      <c r="G35" s="56"/>
    </row>
    <row r="36" spans="2:11" x14ac:dyDescent="0.25">
      <c r="E36" s="429" t="s">
        <v>49</v>
      </c>
      <c r="F36" s="89">
        <f>-46763+442</f>
        <v>-46321</v>
      </c>
      <c r="G36" s="56"/>
    </row>
    <row r="37" spans="2:11" x14ac:dyDescent="0.25">
      <c r="E37" s="429" t="s">
        <v>692</v>
      </c>
      <c r="F37" s="89">
        <f>-113147-16039+17024</f>
        <v>-112162</v>
      </c>
      <c r="G37" s="56"/>
      <c r="J37" s="56"/>
    </row>
    <row r="38" spans="2:11" x14ac:dyDescent="0.25">
      <c r="E38" s="429" t="s">
        <v>775</v>
      </c>
      <c r="F38" s="25">
        <f>-0.593*83840</f>
        <v>-49717.119999999995</v>
      </c>
      <c r="G38" s="56">
        <f>SUM(F36:F38)</f>
        <v>-208200.12</v>
      </c>
      <c r="J38" s="56"/>
    </row>
    <row r="39" spans="2:11" x14ac:dyDescent="0.25">
      <c r="E39" s="21"/>
      <c r="G39" s="56"/>
    </row>
    <row r="40" spans="2:11" ht="27" customHeight="1" x14ac:dyDescent="0.25">
      <c r="E40" s="310" t="s">
        <v>612</v>
      </c>
      <c r="F40" s="56"/>
      <c r="G40" s="56"/>
    </row>
    <row r="41" spans="2:11" x14ac:dyDescent="0.25">
      <c r="E41" s="422" t="s">
        <v>613</v>
      </c>
      <c r="F41" s="55">
        <f>'7-Rev, Exp-Prop'!F44</f>
        <v>-704.11639999999898</v>
      </c>
      <c r="G41" s="56"/>
    </row>
    <row r="42" spans="2:11" x14ac:dyDescent="0.25">
      <c r="E42" s="422" t="s">
        <v>614</v>
      </c>
      <c r="F42" s="128">
        <v>-300</v>
      </c>
      <c r="G42" s="25">
        <f>SUM(F40:F42)</f>
        <v>-1004.116399999999</v>
      </c>
      <c r="I42" s="610"/>
    </row>
    <row r="43" spans="2:11" x14ac:dyDescent="0.25">
      <c r="G43" s="56"/>
    </row>
    <row r="44" spans="2:11" s="432" customFormat="1" ht="13.8" thickBot="1" x14ac:dyDescent="0.3">
      <c r="E44" s="41" t="s">
        <v>637</v>
      </c>
      <c r="F44" s="41"/>
      <c r="G44" s="447">
        <f>SUM(G13:G43)+0.25</f>
        <v>346541.51360000012</v>
      </c>
      <c r="H44" s="635"/>
      <c r="I44" s="635">
        <f>G44-'2-GWStmtAct'!F41</f>
        <v>-0.48639999987790361</v>
      </c>
      <c r="J44" s="667"/>
      <c r="K44" s="667"/>
    </row>
    <row r="45" spans="2:11" ht="14.4" thickTop="1" thickBot="1" x14ac:dyDescent="0.3">
      <c r="G45" s="56"/>
      <c r="H45" s="87"/>
      <c r="I45" s="87"/>
      <c r="J45" s="87"/>
    </row>
    <row r="46" spans="2:11" x14ac:dyDescent="0.25">
      <c r="B46" s="899" t="s">
        <v>714</v>
      </c>
      <c r="C46" s="900"/>
      <c r="D46" s="900"/>
      <c r="E46" s="900"/>
      <c r="F46" s="900"/>
      <c r="G46" s="901"/>
    </row>
    <row r="47" spans="2:11" x14ac:dyDescent="0.25">
      <c r="B47" s="902"/>
      <c r="C47" s="903"/>
      <c r="D47" s="903"/>
      <c r="E47" s="903"/>
      <c r="F47" s="903"/>
      <c r="G47" s="904"/>
    </row>
    <row r="48" spans="2:11" x14ac:dyDescent="0.25">
      <c r="B48" s="902"/>
      <c r="C48" s="903"/>
      <c r="D48" s="903"/>
      <c r="E48" s="903"/>
      <c r="F48" s="903"/>
      <c r="G48" s="904"/>
    </row>
    <row r="49" spans="2:7" ht="13.8" thickBot="1" x14ac:dyDescent="0.3">
      <c r="B49" s="905"/>
      <c r="C49" s="906"/>
      <c r="D49" s="906"/>
      <c r="E49" s="906"/>
      <c r="F49" s="906"/>
      <c r="G49" s="907"/>
    </row>
    <row r="50" spans="2:7" x14ac:dyDescent="0.25">
      <c r="G50" s="56"/>
    </row>
    <row r="51" spans="2:7" x14ac:dyDescent="0.25">
      <c r="B51" s="17" t="s">
        <v>8</v>
      </c>
    </row>
    <row r="55" spans="2:7" x14ac:dyDescent="0.25">
      <c r="G55" s="87"/>
    </row>
  </sheetData>
  <mergeCells count="5">
    <mergeCell ref="B4:G4"/>
    <mergeCell ref="B5:G5"/>
    <mergeCell ref="B6:G6"/>
    <mergeCell ref="B7:G7"/>
    <mergeCell ref="B46:G49"/>
  </mergeCells>
  <printOptions horizontalCentered="1"/>
  <pageMargins left="0.7" right="0.7" top="0.75" bottom="0.75" header="0.3" footer="0.3"/>
  <pageSetup scale="72" fitToWidth="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pageSetUpPr fitToPage="1"/>
  </sheetPr>
  <dimension ref="C1:Q62"/>
  <sheetViews>
    <sheetView topLeftCell="A28" workbookViewId="0">
      <selection activeCell="H53" sqref="H53:H58"/>
    </sheetView>
  </sheetViews>
  <sheetFormatPr defaultColWidth="9.109375" defaultRowHeight="13.2" x14ac:dyDescent="0.25"/>
  <cols>
    <col min="1" max="1" width="9.109375" style="17"/>
    <col min="2" max="2" width="1" style="17" customWidth="1"/>
    <col min="3" max="4" width="1.6640625" style="17" customWidth="1"/>
    <col min="5" max="5" width="30.6640625" style="17" customWidth="1"/>
    <col min="6" max="6" width="10.6640625" style="17" customWidth="1"/>
    <col min="7" max="7" width="11.5546875" style="17" customWidth="1"/>
    <col min="8" max="9" width="10.6640625" style="17" customWidth="1"/>
    <col min="10" max="10" width="2" style="17" customWidth="1"/>
    <col min="11" max="13" width="10.6640625" style="17" customWidth="1"/>
    <col min="14" max="14" width="12.44140625" style="17" customWidth="1"/>
    <col min="15" max="15" width="13" style="17" customWidth="1"/>
    <col min="16" max="16" width="9.109375" style="17"/>
    <col min="17" max="17" width="12.109375" style="17" bestFit="1" customWidth="1"/>
    <col min="18" max="16384" width="9.109375" style="17"/>
  </cols>
  <sheetData>
    <row r="1" spans="3:14" x14ac:dyDescent="0.25">
      <c r="C1" s="19"/>
      <c r="D1" s="19"/>
      <c r="E1" s="19"/>
      <c r="F1" s="19"/>
      <c r="G1" s="19"/>
      <c r="H1" s="19"/>
      <c r="I1" s="72"/>
      <c r="J1" s="72"/>
      <c r="K1" s="19"/>
      <c r="L1" s="19"/>
      <c r="M1" s="19"/>
      <c r="N1" s="72" t="s">
        <v>141</v>
      </c>
    </row>
    <row r="2" spans="3:14" x14ac:dyDescent="0.25">
      <c r="C2" s="73"/>
      <c r="E2" s="937" t="s">
        <v>0</v>
      </c>
      <c r="F2" s="937"/>
      <c r="G2" s="937"/>
      <c r="H2" s="937"/>
      <c r="I2" s="937"/>
      <c r="J2" s="937"/>
      <c r="K2" s="937"/>
      <c r="L2" s="937"/>
      <c r="M2" s="937"/>
      <c r="N2" s="937"/>
    </row>
    <row r="3" spans="3:14" x14ac:dyDescent="0.25">
      <c r="C3" s="73"/>
      <c r="E3" s="937" t="s">
        <v>497</v>
      </c>
      <c r="F3" s="937"/>
      <c r="G3" s="937"/>
      <c r="H3" s="937"/>
      <c r="I3" s="937"/>
      <c r="J3" s="937"/>
      <c r="K3" s="937"/>
      <c r="L3" s="937"/>
      <c r="M3" s="937"/>
      <c r="N3" s="937"/>
    </row>
    <row r="4" spans="3:14" x14ac:dyDescent="0.25">
      <c r="C4" s="73"/>
      <c r="E4" s="937" t="s">
        <v>127</v>
      </c>
      <c r="F4" s="937"/>
      <c r="G4" s="937"/>
      <c r="H4" s="937"/>
      <c r="I4" s="937"/>
      <c r="J4" s="937"/>
      <c r="K4" s="937"/>
      <c r="L4" s="937"/>
      <c r="M4" s="937"/>
      <c r="N4" s="937"/>
    </row>
    <row r="5" spans="3:14" s="41" customFormat="1" x14ac:dyDescent="0.25">
      <c r="C5" s="73"/>
      <c r="E5" s="937" t="s">
        <v>858</v>
      </c>
      <c r="F5" s="937"/>
      <c r="G5" s="937"/>
      <c r="H5" s="937"/>
      <c r="I5" s="937"/>
      <c r="J5" s="937"/>
      <c r="K5" s="937"/>
      <c r="L5" s="937"/>
      <c r="M5" s="937"/>
      <c r="N5" s="937"/>
    </row>
    <row r="6" spans="3:14" x14ac:dyDescent="0.25">
      <c r="C6" s="19"/>
      <c r="D6" s="19"/>
      <c r="E6" s="19"/>
      <c r="F6" s="19"/>
      <c r="G6" s="19"/>
      <c r="H6" s="19"/>
      <c r="I6" s="19"/>
      <c r="J6" s="19"/>
      <c r="K6" s="19"/>
      <c r="L6" s="19"/>
      <c r="M6" s="19"/>
      <c r="N6" s="19"/>
    </row>
    <row r="7" spans="3:14" x14ac:dyDescent="0.25">
      <c r="C7" s="19"/>
      <c r="D7" s="19"/>
      <c r="E7" s="19"/>
      <c r="F7" s="75" t="s">
        <v>28</v>
      </c>
      <c r="G7" s="76"/>
      <c r="H7" s="76"/>
      <c r="I7" s="76"/>
      <c r="J7" s="464"/>
      <c r="K7" s="74" t="s">
        <v>132</v>
      </c>
      <c r="L7" s="73"/>
      <c r="M7" s="73"/>
      <c r="N7" s="73"/>
    </row>
    <row r="8" spans="3:14" ht="46.2" x14ac:dyDescent="0.25">
      <c r="C8" s="19"/>
      <c r="D8" s="19"/>
      <c r="E8" s="19"/>
      <c r="F8" s="77" t="s">
        <v>128</v>
      </c>
      <c r="G8" s="77" t="s">
        <v>129</v>
      </c>
      <c r="H8" s="77" t="s">
        <v>130</v>
      </c>
      <c r="I8" s="77" t="s">
        <v>131</v>
      </c>
      <c r="J8" s="77"/>
      <c r="K8" s="77" t="s">
        <v>128</v>
      </c>
      <c r="L8" s="77" t="s">
        <v>129</v>
      </c>
      <c r="M8" s="77" t="s">
        <v>130</v>
      </c>
      <c r="N8" s="77" t="s">
        <v>131</v>
      </c>
    </row>
    <row r="9" spans="3:14" x14ac:dyDescent="0.25">
      <c r="C9" s="20" t="s">
        <v>133</v>
      </c>
      <c r="D9" s="19"/>
      <c r="E9" s="19"/>
      <c r="F9" s="19"/>
      <c r="G9" s="19"/>
      <c r="H9" s="19"/>
      <c r="I9" s="19"/>
      <c r="J9" s="19"/>
      <c r="K9" s="19"/>
      <c r="L9" s="19"/>
      <c r="M9" s="19"/>
      <c r="N9" s="19"/>
    </row>
    <row r="10" spans="3:14" x14ac:dyDescent="0.25">
      <c r="C10" s="19"/>
      <c r="D10" s="20" t="s">
        <v>68</v>
      </c>
      <c r="E10" s="20"/>
      <c r="F10" s="870">
        <v>970385</v>
      </c>
      <c r="G10" s="870">
        <v>970385</v>
      </c>
      <c r="H10" s="870">
        <v>969504</v>
      </c>
      <c r="I10" s="129">
        <f>+H10-G10</f>
        <v>-881</v>
      </c>
      <c r="J10" s="129"/>
      <c r="K10" s="129">
        <v>0</v>
      </c>
      <c r="L10" s="129">
        <v>0</v>
      </c>
      <c r="M10" s="129">
        <v>0</v>
      </c>
      <c r="N10" s="129">
        <f>+M10-L10</f>
        <v>0</v>
      </c>
    </row>
    <row r="11" spans="3:14" x14ac:dyDescent="0.25">
      <c r="C11" s="19"/>
      <c r="D11" s="20" t="s">
        <v>69</v>
      </c>
      <c r="E11" s="20"/>
      <c r="F11" s="78">
        <f>52000+2000-29000</f>
        <v>25000</v>
      </c>
      <c r="G11" s="78">
        <f>50000+2000-29000</f>
        <v>23000</v>
      </c>
      <c r="H11" s="78">
        <f>50804+2510-29187</f>
        <v>24127</v>
      </c>
      <c r="I11" s="78">
        <f t="shared" ref="I11:I17" si="0">+H11-G11</f>
        <v>1127</v>
      </c>
      <c r="J11" s="78"/>
      <c r="K11" s="78">
        <v>0</v>
      </c>
      <c r="L11" s="78">
        <v>0</v>
      </c>
      <c r="M11" s="78">
        <v>0</v>
      </c>
      <c r="N11" s="78">
        <f t="shared" ref="N11:N17" si="1">+M11-L11</f>
        <v>0</v>
      </c>
    </row>
    <row r="12" spans="3:14" x14ac:dyDescent="0.25">
      <c r="C12" s="19"/>
      <c r="D12" s="20" t="s">
        <v>70</v>
      </c>
      <c r="E12" s="20"/>
      <c r="F12" s="78">
        <f>424220+245400+216639</f>
        <v>886259</v>
      </c>
      <c r="G12" s="78">
        <f>636920+14500+216639+0.593*(120000+23000)</f>
        <v>952858</v>
      </c>
      <c r="H12" s="78">
        <f>702269+216639</f>
        <v>918908</v>
      </c>
      <c r="I12" s="78">
        <f t="shared" si="0"/>
        <v>-33950</v>
      </c>
      <c r="J12" s="78"/>
      <c r="K12" s="78">
        <v>0</v>
      </c>
      <c r="L12" s="78">
        <v>0</v>
      </c>
      <c r="M12" s="78">
        <v>0</v>
      </c>
      <c r="N12" s="78">
        <f t="shared" si="1"/>
        <v>0</v>
      </c>
    </row>
    <row r="13" spans="3:14" x14ac:dyDescent="0.25">
      <c r="C13" s="19"/>
      <c r="D13" s="20" t="s">
        <v>71</v>
      </c>
      <c r="E13" s="20"/>
      <c r="F13" s="78">
        <f>185250-5000+100000</f>
        <v>280250</v>
      </c>
      <c r="G13" s="78">
        <f>180380-5000+100000-50000</f>
        <v>225380</v>
      </c>
      <c r="H13" s="78">
        <f>166334+100000</f>
        <v>266334</v>
      </c>
      <c r="I13" s="78">
        <f t="shared" si="0"/>
        <v>40954</v>
      </c>
      <c r="J13" s="78"/>
      <c r="K13" s="78">
        <v>762000</v>
      </c>
      <c r="L13" s="78">
        <v>790000</v>
      </c>
      <c r="M13" s="78">
        <v>785000</v>
      </c>
      <c r="N13" s="78">
        <f t="shared" si="1"/>
        <v>-5000</v>
      </c>
    </row>
    <row r="14" spans="3:14" x14ac:dyDescent="0.25">
      <c r="C14" s="19"/>
      <c r="D14" s="20" t="s">
        <v>72</v>
      </c>
      <c r="E14" s="20"/>
      <c r="F14" s="78">
        <f>11200+29000</f>
        <v>40200</v>
      </c>
      <c r="G14" s="78">
        <f>13000+29000</f>
        <v>42000</v>
      </c>
      <c r="H14" s="78">
        <f>13160+29187</f>
        <v>42347</v>
      </c>
      <c r="I14" s="78">
        <f t="shared" si="0"/>
        <v>347</v>
      </c>
      <c r="J14" s="78"/>
      <c r="K14" s="78">
        <v>0</v>
      </c>
      <c r="L14" s="78">
        <v>0</v>
      </c>
      <c r="M14" s="78">
        <v>0</v>
      </c>
      <c r="N14" s="78">
        <f t="shared" si="1"/>
        <v>0</v>
      </c>
    </row>
    <row r="15" spans="3:14" x14ac:dyDescent="0.25">
      <c r="C15" s="19"/>
      <c r="D15" s="20" t="s">
        <v>73</v>
      </c>
      <c r="E15" s="20"/>
      <c r="F15" s="78">
        <v>20000</v>
      </c>
      <c r="G15" s="78">
        <v>21820</v>
      </c>
      <c r="H15" s="78">
        <v>25147</v>
      </c>
      <c r="I15" s="78">
        <f t="shared" si="0"/>
        <v>3327</v>
      </c>
      <c r="J15" s="78"/>
      <c r="K15" s="78">
        <v>0</v>
      </c>
      <c r="L15" s="78">
        <v>0</v>
      </c>
      <c r="M15" s="78">
        <v>0</v>
      </c>
      <c r="N15" s="78">
        <f t="shared" si="1"/>
        <v>0</v>
      </c>
    </row>
    <row r="16" spans="3:14" x14ac:dyDescent="0.25">
      <c r="C16" s="19"/>
      <c r="D16" s="20" t="s">
        <v>31</v>
      </c>
      <c r="E16" s="20"/>
      <c r="F16" s="78">
        <v>19000</v>
      </c>
      <c r="G16" s="78">
        <v>18080</v>
      </c>
      <c r="H16" s="78">
        <f>23956-152</f>
        <v>23804</v>
      </c>
      <c r="I16" s="78">
        <f t="shared" si="0"/>
        <v>5724</v>
      </c>
      <c r="J16" s="78"/>
      <c r="K16" s="78">
        <v>0</v>
      </c>
      <c r="L16" s="78">
        <v>0</v>
      </c>
      <c r="M16" s="78">
        <v>0</v>
      </c>
      <c r="N16" s="78">
        <f t="shared" si="1"/>
        <v>0</v>
      </c>
    </row>
    <row r="17" spans="3:17" x14ac:dyDescent="0.25">
      <c r="C17" s="19"/>
      <c r="D17" s="20" t="s">
        <v>13</v>
      </c>
      <c r="E17" s="20"/>
      <c r="F17" s="64">
        <v>0</v>
      </c>
      <c r="G17" s="64">
        <v>2000</v>
      </c>
      <c r="H17" s="65">
        <v>581</v>
      </c>
      <c r="I17" s="66">
        <f t="shared" si="0"/>
        <v>-1419</v>
      </c>
      <c r="J17" s="69"/>
      <c r="K17" s="64">
        <v>0</v>
      </c>
      <c r="L17" s="64">
        <v>0</v>
      </c>
      <c r="M17" s="65">
        <v>0</v>
      </c>
      <c r="N17" s="66">
        <f t="shared" si="1"/>
        <v>0</v>
      </c>
    </row>
    <row r="18" spans="3:17" x14ac:dyDescent="0.25">
      <c r="C18" s="19"/>
      <c r="D18" s="19"/>
      <c r="E18" s="20" t="s">
        <v>32</v>
      </c>
      <c r="F18" s="65">
        <f>SUM(F10:F17)</f>
        <v>2241094</v>
      </c>
      <c r="G18" s="65">
        <f>SUM(G10:G17)</f>
        <v>2255523</v>
      </c>
      <c r="H18" s="65">
        <f>SUM(H10:H17)</f>
        <v>2270752</v>
      </c>
      <c r="I18" s="65">
        <f>SUM(I10:I17)</f>
        <v>15229</v>
      </c>
      <c r="J18" s="65"/>
      <c r="K18" s="65">
        <f>SUM(K10:K17)</f>
        <v>762000</v>
      </c>
      <c r="L18" s="65">
        <f>SUM(L10:L17)</f>
        <v>790000</v>
      </c>
      <c r="M18" s="65">
        <f>SUM(M10:M17)</f>
        <v>785000</v>
      </c>
      <c r="N18" s="65">
        <f>SUM(N10:N17)</f>
        <v>-5000</v>
      </c>
    </row>
    <row r="19" spans="3:17" x14ac:dyDescent="0.25">
      <c r="C19" s="19"/>
      <c r="D19" s="19"/>
      <c r="E19" s="19"/>
      <c r="F19" s="78"/>
      <c r="G19" s="78"/>
      <c r="H19" s="78"/>
      <c r="I19" s="78"/>
      <c r="J19" s="78"/>
      <c r="K19" s="78"/>
      <c r="L19" s="78"/>
      <c r="M19" s="78"/>
      <c r="N19" s="78"/>
    </row>
    <row r="20" spans="3:17" x14ac:dyDescent="0.25">
      <c r="C20" s="20" t="s">
        <v>134</v>
      </c>
      <c r="D20" s="19"/>
      <c r="E20" s="19"/>
      <c r="F20" s="78"/>
      <c r="G20" s="78"/>
      <c r="H20" s="78"/>
      <c r="I20" s="78"/>
      <c r="J20" s="78"/>
      <c r="K20" s="78"/>
      <c r="L20" s="78"/>
      <c r="M20" s="78"/>
      <c r="N20" s="78"/>
    </row>
    <row r="21" spans="3:17" x14ac:dyDescent="0.25">
      <c r="C21" s="19"/>
      <c r="D21" s="20" t="s">
        <v>34</v>
      </c>
      <c r="E21" s="20"/>
      <c r="F21" s="78"/>
      <c r="G21" s="78"/>
      <c r="H21" s="78"/>
      <c r="I21" s="78"/>
      <c r="J21" s="78"/>
      <c r="K21" s="78"/>
      <c r="L21" s="78"/>
      <c r="M21" s="78"/>
      <c r="N21" s="78"/>
    </row>
    <row r="22" spans="3:17" x14ac:dyDescent="0.25">
      <c r="C22" s="19"/>
      <c r="D22" s="19"/>
      <c r="E22" s="20" t="s">
        <v>10</v>
      </c>
      <c r="F22" s="803">
        <f>169452+216639+50000+137262</f>
        <v>573353</v>
      </c>
      <c r="G22" s="803">
        <v>1051238</v>
      </c>
      <c r="H22" s="803">
        <f>'4-GASB34GovtFundsIS'!C23</f>
        <v>1055084.1499999999</v>
      </c>
      <c r="I22" s="78">
        <f>+G22-H22</f>
        <v>-3846.1499999999069</v>
      </c>
      <c r="J22" s="78"/>
      <c r="K22" s="78">
        <v>0</v>
      </c>
      <c r="L22" s="78">
        <v>0</v>
      </c>
      <c r="M22" s="78">
        <v>0</v>
      </c>
      <c r="N22" s="78">
        <f>+L22-M22</f>
        <v>0</v>
      </c>
    </row>
    <row r="23" spans="3:17" x14ac:dyDescent="0.25">
      <c r="C23" s="19"/>
      <c r="D23" s="19"/>
      <c r="E23" s="20" t="s">
        <v>11</v>
      </c>
      <c r="F23" s="78">
        <f>531256+50000</f>
        <v>581256</v>
      </c>
      <c r="G23" s="78">
        <f>533988+50000</f>
        <v>583988</v>
      </c>
      <c r="H23" s="78">
        <f>'4-GASB34GovtFundsIS'!C24</f>
        <v>565716</v>
      </c>
      <c r="I23" s="78">
        <f>+G23-H23</f>
        <v>18272</v>
      </c>
      <c r="J23" s="78"/>
      <c r="K23" s="78">
        <v>762000</v>
      </c>
      <c r="L23" s="78">
        <v>790000</v>
      </c>
      <c r="M23" s="78">
        <v>785038</v>
      </c>
      <c r="N23" s="78">
        <f>+L23-M23</f>
        <v>4962</v>
      </c>
    </row>
    <row r="24" spans="3:17" x14ac:dyDescent="0.25">
      <c r="C24" s="19"/>
      <c r="D24" s="19"/>
      <c r="E24" s="20" t="s">
        <v>74</v>
      </c>
      <c r="F24" s="78">
        <f>397000</f>
        <v>397000</v>
      </c>
      <c r="G24" s="78">
        <f>393101</f>
        <v>393101</v>
      </c>
      <c r="H24" s="78">
        <f>'4-GASB34GovtFundsIS'!C25</f>
        <v>392840</v>
      </c>
      <c r="I24" s="78">
        <f t="shared" ref="I24:I30" si="2">+G24-H24</f>
        <v>261</v>
      </c>
      <c r="J24" s="78"/>
      <c r="K24" s="78">
        <v>0</v>
      </c>
      <c r="L24" s="78">
        <v>0</v>
      </c>
      <c r="M24" s="78">
        <v>0</v>
      </c>
      <c r="N24" s="78">
        <f t="shared" ref="N24:N30" si="3">+L24-M24</f>
        <v>0</v>
      </c>
    </row>
    <row r="25" spans="3:17" x14ac:dyDescent="0.25">
      <c r="C25" s="19"/>
      <c r="D25" s="19"/>
      <c r="E25" s="20" t="s">
        <v>75</v>
      </c>
      <c r="F25" s="78">
        <v>265000</v>
      </c>
      <c r="G25" s="78">
        <v>259600</v>
      </c>
      <c r="H25" s="78">
        <f>'4-GASB34GovtFundsIS'!C27</f>
        <v>257918</v>
      </c>
      <c r="I25" s="78">
        <f t="shared" si="2"/>
        <v>1682</v>
      </c>
      <c r="J25" s="78"/>
      <c r="K25" s="78">
        <v>0</v>
      </c>
      <c r="L25" s="78">
        <v>0</v>
      </c>
      <c r="M25" s="78">
        <v>0</v>
      </c>
      <c r="N25" s="78">
        <f t="shared" si="3"/>
        <v>0</v>
      </c>
    </row>
    <row r="26" spans="3:17" x14ac:dyDescent="0.25">
      <c r="C26" s="19"/>
      <c r="D26" s="19"/>
      <c r="E26" s="20" t="s">
        <v>12</v>
      </c>
      <c r="F26" s="78">
        <v>140000</v>
      </c>
      <c r="G26" s="78">
        <v>91309</v>
      </c>
      <c r="H26" s="78">
        <f>'4-GASB34GovtFundsIS'!C28</f>
        <v>91260</v>
      </c>
      <c r="I26" s="78">
        <f t="shared" si="2"/>
        <v>49</v>
      </c>
      <c r="J26" s="78"/>
      <c r="K26" s="78">
        <v>0</v>
      </c>
      <c r="L26" s="78">
        <v>0</v>
      </c>
      <c r="M26" s="78">
        <v>0</v>
      </c>
      <c r="N26" s="78">
        <f t="shared" si="3"/>
        <v>0</v>
      </c>
    </row>
    <row r="27" spans="3:17" x14ac:dyDescent="0.25">
      <c r="C27" s="19"/>
      <c r="D27" s="20" t="s">
        <v>35</v>
      </c>
      <c r="E27" s="20"/>
      <c r="F27" s="78"/>
      <c r="G27" s="78"/>
      <c r="H27" s="78"/>
      <c r="I27" s="78"/>
      <c r="J27" s="78"/>
      <c r="K27" s="78"/>
      <c r="L27" s="78"/>
      <c r="M27" s="78"/>
      <c r="N27" s="78"/>
    </row>
    <row r="28" spans="3:17" x14ac:dyDescent="0.25">
      <c r="C28" s="19"/>
      <c r="D28" s="19"/>
      <c r="E28" s="20" t="s">
        <v>136</v>
      </c>
      <c r="F28" s="78">
        <f>12500</f>
        <v>12500</v>
      </c>
      <c r="G28" s="803">
        <f>12500+3500+12000+10000+6000</f>
        <v>44000</v>
      </c>
      <c r="H28" s="803">
        <f>'4-GASB34GovtFundsIS'!C30</f>
        <v>43823</v>
      </c>
      <c r="I28" s="78">
        <f t="shared" si="2"/>
        <v>177</v>
      </c>
      <c r="J28" s="78"/>
      <c r="K28" s="78">
        <v>0</v>
      </c>
      <c r="L28" s="78">
        <v>0</v>
      </c>
      <c r="M28" s="78">
        <v>0</v>
      </c>
      <c r="N28" s="78">
        <f t="shared" si="3"/>
        <v>0</v>
      </c>
    </row>
    <row r="29" spans="3:17" x14ac:dyDescent="0.25">
      <c r="C29" s="19"/>
      <c r="D29" s="19"/>
      <c r="E29" s="20" t="s">
        <v>37</v>
      </c>
      <c r="F29" s="78">
        <f>5600</f>
        <v>5600</v>
      </c>
      <c r="G29" s="803">
        <f>5600+1500+200+300+200</f>
        <v>7800</v>
      </c>
      <c r="H29" s="803">
        <f>'4-GASB34GovtFundsIS'!C31</f>
        <v>7731</v>
      </c>
      <c r="I29" s="78">
        <f t="shared" si="2"/>
        <v>69</v>
      </c>
      <c r="J29" s="78"/>
      <c r="K29" s="78">
        <v>0</v>
      </c>
      <c r="L29" s="78">
        <v>0</v>
      </c>
      <c r="M29" s="78">
        <v>0</v>
      </c>
      <c r="N29" s="78">
        <f t="shared" si="3"/>
        <v>0</v>
      </c>
    </row>
    <row r="30" spans="3:17" x14ac:dyDescent="0.25">
      <c r="C30" s="19"/>
      <c r="D30" s="20" t="s">
        <v>137</v>
      </c>
      <c r="E30" s="20"/>
      <c r="F30" s="65">
        <v>4000</v>
      </c>
      <c r="G30" s="65">
        <v>4000</v>
      </c>
      <c r="H30" s="78">
        <f>'4-GASB34GovtFundsIS'!C32</f>
        <v>0</v>
      </c>
      <c r="I30" s="66">
        <f t="shared" si="2"/>
        <v>4000</v>
      </c>
      <c r="J30" s="69"/>
      <c r="K30" s="65">
        <v>0</v>
      </c>
      <c r="L30" s="65">
        <v>0</v>
      </c>
      <c r="M30" s="67">
        <v>0</v>
      </c>
      <c r="N30" s="66">
        <f t="shared" si="3"/>
        <v>0</v>
      </c>
      <c r="Q30" s="652"/>
    </row>
    <row r="31" spans="3:17" x14ac:dyDescent="0.25">
      <c r="C31" s="19"/>
      <c r="D31" s="19"/>
      <c r="E31" s="20" t="s">
        <v>39</v>
      </c>
      <c r="F31" s="65">
        <f>SUM(F22:F30)</f>
        <v>1978709</v>
      </c>
      <c r="G31" s="65">
        <f>SUM(G22:G30)</f>
        <v>2435036</v>
      </c>
      <c r="H31" s="683">
        <f>SUM(H22:H30)</f>
        <v>2414372.15</v>
      </c>
      <c r="I31" s="65">
        <f>SUM(I22:I30)</f>
        <v>20663.850000000093</v>
      </c>
      <c r="J31" s="65"/>
      <c r="K31" s="65">
        <f>SUM(K22:K30)</f>
        <v>762000</v>
      </c>
      <c r="L31" s="65">
        <f>SUM(L22:L30)</f>
        <v>790000</v>
      </c>
      <c r="M31" s="65">
        <f>SUM(M22:M30)</f>
        <v>785038</v>
      </c>
      <c r="N31" s="65">
        <f>SUM(N22:N30)</f>
        <v>4962</v>
      </c>
    </row>
    <row r="32" spans="3:17" x14ac:dyDescent="0.25">
      <c r="C32" s="19"/>
      <c r="D32" s="19"/>
      <c r="E32" s="19"/>
      <c r="F32" s="78"/>
      <c r="G32" s="78"/>
      <c r="H32" s="78"/>
      <c r="I32" s="78"/>
      <c r="J32" s="78"/>
      <c r="K32" s="78"/>
      <c r="L32" s="78"/>
      <c r="M32" s="78"/>
      <c r="N32" s="78"/>
    </row>
    <row r="33" spans="3:14" x14ac:dyDescent="0.25">
      <c r="C33" s="20" t="s">
        <v>138</v>
      </c>
      <c r="D33" s="19"/>
      <c r="E33" s="19"/>
      <c r="F33" s="65">
        <f>+F18-F31</f>
        <v>262385</v>
      </c>
      <c r="G33" s="65">
        <f>+G18-G31</f>
        <v>-179513</v>
      </c>
      <c r="H33" s="65">
        <f>+H18-H31</f>
        <v>-143620.14999999991</v>
      </c>
      <c r="I33" s="65">
        <f>+I18+I31</f>
        <v>35892.850000000093</v>
      </c>
      <c r="J33" s="65"/>
      <c r="K33" s="65">
        <f>+K18-K31</f>
        <v>0</v>
      </c>
      <c r="L33" s="65">
        <f>+L18-L31</f>
        <v>0</v>
      </c>
      <c r="M33" s="65">
        <f>+M18-M31</f>
        <v>-38</v>
      </c>
      <c r="N33" s="65">
        <f>+N18+N31</f>
        <v>-38</v>
      </c>
    </row>
    <row r="34" spans="3:14" x14ac:dyDescent="0.25">
      <c r="C34" s="19"/>
      <c r="D34" s="19"/>
      <c r="E34" s="19"/>
      <c r="F34" s="78"/>
      <c r="G34" s="78"/>
      <c r="H34" s="78"/>
      <c r="I34" s="78"/>
      <c r="J34" s="78"/>
      <c r="K34" s="78"/>
      <c r="L34" s="78"/>
      <c r="M34" s="78"/>
      <c r="N34" s="72"/>
    </row>
    <row r="35" spans="3:14" x14ac:dyDescent="0.25">
      <c r="C35" s="20" t="s">
        <v>139</v>
      </c>
      <c r="D35" s="19"/>
      <c r="E35" s="19"/>
      <c r="F35" s="78"/>
      <c r="G35" s="78"/>
      <c r="H35" s="78"/>
      <c r="I35" s="78"/>
      <c r="J35" s="78"/>
      <c r="K35" s="78"/>
      <c r="L35" s="78"/>
      <c r="M35" s="78"/>
      <c r="N35" s="78"/>
    </row>
    <row r="36" spans="3:14" x14ac:dyDescent="0.25">
      <c r="C36" s="20"/>
      <c r="D36" s="19" t="s">
        <v>483</v>
      </c>
      <c r="E36" s="19"/>
      <c r="F36" s="78">
        <v>10000</v>
      </c>
      <c r="G36" s="78">
        <v>10813</v>
      </c>
      <c r="H36" s="78">
        <v>10813</v>
      </c>
      <c r="I36" s="78">
        <f t="shared" ref="I36:I41" si="4">+H36-G36</f>
        <v>0</v>
      </c>
      <c r="J36" s="78"/>
      <c r="K36" s="78">
        <v>0</v>
      </c>
      <c r="L36" s="78">
        <v>0</v>
      </c>
      <c r="M36" s="78">
        <v>0</v>
      </c>
      <c r="N36" s="78">
        <v>0</v>
      </c>
    </row>
    <row r="37" spans="3:14" x14ac:dyDescent="0.25">
      <c r="C37" s="19"/>
      <c r="D37" s="20" t="s">
        <v>484</v>
      </c>
      <c r="E37" s="20"/>
      <c r="F37" s="78">
        <v>-296385</v>
      </c>
      <c r="G37" s="78">
        <v>-320300</v>
      </c>
      <c r="H37" s="78">
        <f>-305800-14500</f>
        <v>-320300</v>
      </c>
      <c r="I37" s="78">
        <f t="shared" si="4"/>
        <v>0</v>
      </c>
      <c r="J37" s="78"/>
      <c r="K37" s="78">
        <v>0</v>
      </c>
      <c r="L37" s="78">
        <v>0</v>
      </c>
      <c r="M37" s="78">
        <v>0</v>
      </c>
      <c r="N37" s="78">
        <f>+M37-L37</f>
        <v>0</v>
      </c>
    </row>
    <row r="38" spans="3:14" x14ac:dyDescent="0.25">
      <c r="C38" s="19"/>
      <c r="D38" s="20" t="s">
        <v>525</v>
      </c>
      <c r="E38" s="20"/>
      <c r="F38" s="78">
        <v>5000</v>
      </c>
      <c r="G38" s="78">
        <v>5000</v>
      </c>
      <c r="H38" s="78">
        <v>5000</v>
      </c>
      <c r="I38" s="78">
        <f t="shared" si="4"/>
        <v>0</v>
      </c>
      <c r="J38" s="78"/>
      <c r="K38" s="78">
        <v>0</v>
      </c>
      <c r="L38" s="78">
        <v>0</v>
      </c>
      <c r="M38" s="78">
        <v>0</v>
      </c>
      <c r="N38" s="78">
        <f>+M38-L38</f>
        <v>0</v>
      </c>
    </row>
    <row r="39" spans="3:14" x14ac:dyDescent="0.25">
      <c r="C39" s="19"/>
      <c r="D39" s="20" t="s">
        <v>543</v>
      </c>
      <c r="E39" s="20"/>
      <c r="F39" s="78">
        <v>0</v>
      </c>
      <c r="G39" s="78">
        <v>325000</v>
      </c>
      <c r="H39" s="78">
        <v>325000</v>
      </c>
      <c r="I39" s="78">
        <f t="shared" si="4"/>
        <v>0</v>
      </c>
      <c r="J39" s="78"/>
      <c r="K39" s="78">
        <v>0</v>
      </c>
      <c r="L39" s="78">
        <v>0</v>
      </c>
      <c r="M39" s="78">
        <v>0</v>
      </c>
      <c r="N39" s="78">
        <f>+M39-L39</f>
        <v>0</v>
      </c>
    </row>
    <row r="40" spans="3:14" x14ac:dyDescent="0.25">
      <c r="C40" s="19"/>
      <c r="D40" s="20" t="s">
        <v>844</v>
      </c>
      <c r="E40" s="20"/>
      <c r="F40" s="69">
        <v>19000</v>
      </c>
      <c r="G40" s="869">
        <v>35000</v>
      </c>
      <c r="H40" s="69">
        <v>34840</v>
      </c>
      <c r="I40" s="842">
        <f t="shared" si="4"/>
        <v>-160</v>
      </c>
      <c r="J40" s="78"/>
      <c r="K40" s="78"/>
      <c r="L40" s="78"/>
      <c r="M40" s="78"/>
      <c r="N40" s="78"/>
    </row>
    <row r="41" spans="3:14" x14ac:dyDescent="0.25">
      <c r="C41" s="19"/>
      <c r="D41" s="805" t="s">
        <v>873</v>
      </c>
      <c r="E41" s="805"/>
      <c r="F41" s="65">
        <v>0</v>
      </c>
      <c r="G41" s="804">
        <v>49000</v>
      </c>
      <c r="H41" s="804">
        <v>48781</v>
      </c>
      <c r="I41" s="841">
        <f t="shared" si="4"/>
        <v>-219</v>
      </c>
      <c r="J41" s="64"/>
      <c r="K41" s="65">
        <v>0</v>
      </c>
      <c r="L41" s="65">
        <v>0</v>
      </c>
      <c r="M41" s="65">
        <v>0</v>
      </c>
      <c r="N41" s="64">
        <f>+M41-L41</f>
        <v>0</v>
      </c>
    </row>
    <row r="42" spans="3:14" x14ac:dyDescent="0.25">
      <c r="C42" s="19"/>
      <c r="D42" s="19"/>
      <c r="E42" s="20" t="s">
        <v>140</v>
      </c>
      <c r="F42" s="65">
        <f>SUM(F36:F41)</f>
        <v>-262385</v>
      </c>
      <c r="G42" s="65">
        <f>SUM(G36:G41)</f>
        <v>104513</v>
      </c>
      <c r="H42" s="65">
        <f>SUM(H36:H41)</f>
        <v>104134</v>
      </c>
      <c r="I42" s="65">
        <f>SUM(I36:I41)</f>
        <v>-379</v>
      </c>
      <c r="J42" s="65"/>
      <c r="K42" s="65">
        <f>SUM(K37:K41)</f>
        <v>0</v>
      </c>
      <c r="L42" s="65">
        <f>SUM(L37:L41)</f>
        <v>0</v>
      </c>
      <c r="M42" s="65">
        <f>SUM(M37:M41)</f>
        <v>0</v>
      </c>
      <c r="N42" s="65">
        <f>SUM(N37:N41)</f>
        <v>0</v>
      </c>
    </row>
    <row r="43" spans="3:14" ht="10.5" customHeight="1" x14ac:dyDescent="0.25">
      <c r="C43" s="19"/>
      <c r="D43" s="19"/>
      <c r="E43" s="19"/>
      <c r="F43" s="78"/>
      <c r="G43" s="78"/>
      <c r="H43" s="78"/>
      <c r="I43" s="78"/>
      <c r="J43" s="78"/>
      <c r="K43" s="78"/>
      <c r="L43" s="78"/>
      <c r="M43" s="78"/>
      <c r="N43" s="78"/>
    </row>
    <row r="44" spans="3:14" x14ac:dyDescent="0.25">
      <c r="C44" s="19" t="s">
        <v>555</v>
      </c>
      <c r="D44" s="19"/>
      <c r="E44" s="19"/>
      <c r="F44" s="78">
        <v>0</v>
      </c>
      <c r="G44" s="78">
        <v>75000</v>
      </c>
      <c r="H44" s="78">
        <v>0</v>
      </c>
      <c r="I44" s="78">
        <v>125000</v>
      </c>
      <c r="J44" s="78"/>
      <c r="K44" s="78">
        <v>0</v>
      </c>
      <c r="L44" s="78">
        <v>0</v>
      </c>
      <c r="M44" s="78">
        <v>0</v>
      </c>
      <c r="N44" s="78">
        <v>0</v>
      </c>
    </row>
    <row r="45" spans="3:14" ht="7.5" customHeight="1" x14ac:dyDescent="0.25">
      <c r="C45" s="19"/>
      <c r="D45" s="19"/>
      <c r="E45" s="19"/>
      <c r="F45" s="78"/>
      <c r="G45" s="78"/>
      <c r="H45" s="78"/>
      <c r="I45" s="78"/>
      <c r="J45" s="78"/>
      <c r="K45" s="78"/>
      <c r="L45" s="78"/>
      <c r="M45" s="78"/>
      <c r="N45" s="78"/>
    </row>
    <row r="46" spans="3:14" ht="13.8" thickBot="1" x14ac:dyDescent="0.3">
      <c r="C46" s="19" t="s">
        <v>77</v>
      </c>
      <c r="D46" s="20"/>
      <c r="E46" s="20"/>
      <c r="F46" s="68">
        <f>+F33+F42+F44</f>
        <v>0</v>
      </c>
      <c r="G46" s="68">
        <f>+G33+G42+G44</f>
        <v>0</v>
      </c>
      <c r="H46" s="78">
        <f>+H33+H42</f>
        <v>-39486.149999999907</v>
      </c>
      <c r="I46" s="80">
        <f>I18+I31+I37-I44</f>
        <v>-89107.149999999907</v>
      </c>
      <c r="J46" s="80"/>
      <c r="K46" s="68">
        <f>+K33+K42</f>
        <v>0</v>
      </c>
      <c r="L46" s="68">
        <f>+L33+L42</f>
        <v>0</v>
      </c>
      <c r="M46" s="78">
        <f>+M33+M42</f>
        <v>-38</v>
      </c>
      <c r="N46" s="80">
        <v>-38</v>
      </c>
    </row>
    <row r="47" spans="3:14" ht="11.25" customHeight="1" thickTop="1" x14ac:dyDescent="0.25">
      <c r="C47" s="19"/>
      <c r="D47" s="20"/>
      <c r="E47" s="20"/>
      <c r="F47" s="78"/>
      <c r="G47" s="78"/>
      <c r="H47" s="78"/>
      <c r="I47" s="78"/>
      <c r="J47" s="78"/>
      <c r="K47" s="78"/>
      <c r="L47" s="78"/>
      <c r="M47" s="78"/>
      <c r="N47" s="78"/>
    </row>
    <row r="48" spans="3:14" hidden="1" x14ac:dyDescent="0.25">
      <c r="C48" s="19" t="s">
        <v>532</v>
      </c>
      <c r="D48" s="20"/>
      <c r="E48" s="20"/>
      <c r="F48" s="19"/>
      <c r="G48" s="19"/>
      <c r="H48" s="78"/>
      <c r="I48" s="19"/>
      <c r="J48" s="19"/>
      <c r="K48" s="19"/>
      <c r="L48" s="19"/>
      <c r="M48" s="78"/>
      <c r="N48" s="19"/>
    </row>
    <row r="49" spans="3:17" hidden="1" x14ac:dyDescent="0.25">
      <c r="C49" s="19"/>
      <c r="D49" s="20" t="s">
        <v>533</v>
      </c>
      <c r="E49" s="20"/>
      <c r="F49" s="19"/>
      <c r="G49" s="19"/>
      <c r="H49" s="78">
        <f>519450+5759-175</f>
        <v>525034</v>
      </c>
      <c r="I49" s="19"/>
      <c r="J49" s="19"/>
      <c r="K49" s="19"/>
      <c r="L49" s="19"/>
      <c r="M49" s="78">
        <v>5453</v>
      </c>
      <c r="N49" s="19"/>
    </row>
    <row r="50" spans="3:17" hidden="1" x14ac:dyDescent="0.25">
      <c r="C50" s="20" t="s">
        <v>531</v>
      </c>
      <c r="D50" s="20"/>
      <c r="E50" s="20"/>
      <c r="F50" s="19"/>
      <c r="G50" s="19"/>
      <c r="H50" s="66">
        <v>67367</v>
      </c>
      <c r="I50" s="19"/>
      <c r="J50" s="19"/>
      <c r="K50" s="19"/>
      <c r="L50" s="19"/>
      <c r="M50" s="66">
        <v>0</v>
      </c>
      <c r="N50" s="19"/>
    </row>
    <row r="51" spans="3:17" x14ac:dyDescent="0.25">
      <c r="C51" s="19" t="s">
        <v>846</v>
      </c>
      <c r="D51" s="19"/>
      <c r="E51" s="19"/>
      <c r="F51" s="319"/>
      <c r="G51" s="319"/>
      <c r="H51" s="69">
        <f>SUM(H49:H50)</f>
        <v>592401</v>
      </c>
      <c r="I51" s="319"/>
      <c r="J51" s="319"/>
      <c r="K51" s="319"/>
      <c r="L51" s="319"/>
      <c r="M51" s="69">
        <f>SUM(M49:M50)</f>
        <v>5453</v>
      </c>
      <c r="N51" s="319"/>
    </row>
    <row r="52" spans="3:17" x14ac:dyDescent="0.25">
      <c r="C52" s="19" t="s">
        <v>476</v>
      </c>
      <c r="D52" s="41"/>
      <c r="E52" s="41"/>
      <c r="F52" s="320"/>
      <c r="G52" s="320"/>
      <c r="H52" s="70">
        <v>82</v>
      </c>
      <c r="I52" s="320"/>
      <c r="J52" s="320"/>
      <c r="K52" s="320"/>
      <c r="L52" s="320"/>
      <c r="M52" s="70">
        <v>0</v>
      </c>
      <c r="N52" s="320"/>
    </row>
    <row r="53" spans="3:17" ht="13.8" thickBot="1" x14ac:dyDescent="0.3">
      <c r="C53" s="20" t="s">
        <v>526</v>
      </c>
      <c r="D53" s="19"/>
      <c r="E53" s="19"/>
      <c r="F53" s="19"/>
      <c r="G53" s="19"/>
      <c r="H53" s="419">
        <f>H52+H51+H46</f>
        <v>552996.85000000009</v>
      </c>
      <c r="I53" s="19"/>
      <c r="J53" s="19"/>
      <c r="K53" s="19"/>
      <c r="L53" s="19"/>
      <c r="M53" s="79">
        <f>M51+M46</f>
        <v>5415</v>
      </c>
      <c r="N53" s="19"/>
    </row>
    <row r="54" spans="3:17" ht="21.6" customHeight="1" thickTop="1" thickBot="1" x14ac:dyDescent="0.3">
      <c r="C54" s="19" t="s">
        <v>608</v>
      </c>
      <c r="D54" s="19"/>
      <c r="E54" s="19"/>
      <c r="F54" s="398"/>
      <c r="G54" s="19"/>
      <c r="H54" s="19"/>
      <c r="I54" s="19"/>
      <c r="J54" s="19"/>
      <c r="K54" s="398"/>
      <c r="L54" s="19"/>
    </row>
    <row r="55" spans="3:17" ht="12.75" customHeight="1" x14ac:dyDescent="0.25">
      <c r="C55" s="19" t="s">
        <v>607</v>
      </c>
      <c r="D55" s="19"/>
      <c r="E55" s="19"/>
      <c r="F55" s="398"/>
      <c r="G55" s="19"/>
      <c r="H55" s="19"/>
      <c r="I55" s="19"/>
      <c r="J55" s="19"/>
      <c r="K55" s="928" t="s">
        <v>854</v>
      </c>
      <c r="L55" s="929"/>
      <c r="M55" s="929"/>
      <c r="N55" s="929"/>
      <c r="O55" s="930"/>
    </row>
    <row r="56" spans="3:17" x14ac:dyDescent="0.25">
      <c r="C56" s="19"/>
      <c r="D56" s="19" t="s">
        <v>591</v>
      </c>
      <c r="E56" s="19"/>
      <c r="F56" s="41"/>
      <c r="G56" s="19"/>
      <c r="H56" s="427">
        <v>152</v>
      </c>
      <c r="I56" s="19"/>
      <c r="J56" s="19"/>
      <c r="K56" s="931"/>
      <c r="L56" s="932"/>
      <c r="M56" s="932"/>
      <c r="N56" s="932"/>
      <c r="O56" s="933"/>
    </row>
    <row r="57" spans="3:17" x14ac:dyDescent="0.25">
      <c r="C57" s="19"/>
      <c r="D57" s="19" t="s">
        <v>601</v>
      </c>
      <c r="E57" s="19"/>
      <c r="F57" s="41"/>
      <c r="G57" s="19"/>
      <c r="H57" s="427">
        <v>14500</v>
      </c>
      <c r="I57" s="19"/>
      <c r="J57" s="19"/>
      <c r="K57" s="931"/>
      <c r="L57" s="932"/>
      <c r="M57" s="932"/>
      <c r="N57" s="932"/>
      <c r="O57" s="933"/>
    </row>
    <row r="58" spans="3:17" x14ac:dyDescent="0.25">
      <c r="C58" s="19" t="s">
        <v>602</v>
      </c>
      <c r="D58" s="19"/>
      <c r="E58" s="19"/>
      <c r="F58" s="41"/>
      <c r="G58" s="19"/>
      <c r="H58" s="462">
        <f>15801+23459</f>
        <v>39260</v>
      </c>
      <c r="I58" s="423"/>
      <c r="J58" s="423"/>
      <c r="K58" s="931"/>
      <c r="L58" s="932"/>
      <c r="M58" s="932"/>
      <c r="N58" s="932"/>
      <c r="O58" s="933"/>
    </row>
    <row r="59" spans="3:17" ht="13.8" thickBot="1" x14ac:dyDescent="0.3">
      <c r="C59" s="19" t="s">
        <v>592</v>
      </c>
      <c r="D59" s="19"/>
      <c r="E59" s="19"/>
      <c r="F59" s="41"/>
      <c r="G59" s="19"/>
      <c r="H59" s="428">
        <f>SUM(H56:H58)+H53</f>
        <v>606908.85000000009</v>
      </c>
      <c r="I59" s="423"/>
      <c r="J59" s="423"/>
      <c r="K59" s="931"/>
      <c r="L59" s="932"/>
      <c r="M59" s="932"/>
      <c r="N59" s="932"/>
      <c r="O59" s="933"/>
    </row>
    <row r="60" spans="3:17" ht="7.5" customHeight="1" thickTop="1" thickBot="1" x14ac:dyDescent="0.3">
      <c r="C60" s="19"/>
      <c r="D60" s="19"/>
      <c r="E60" s="19"/>
      <c r="F60" s="41"/>
      <c r="G60" s="19"/>
      <c r="H60" s="586"/>
      <c r="I60" s="423"/>
      <c r="J60" s="423"/>
      <c r="K60" s="934"/>
      <c r="L60" s="935"/>
      <c r="M60" s="935"/>
      <c r="N60" s="935"/>
      <c r="O60" s="936"/>
    </row>
    <row r="61" spans="3:17" ht="15" customHeight="1" x14ac:dyDescent="0.25">
      <c r="C61" s="17" t="s">
        <v>8</v>
      </c>
      <c r="D61" s="41"/>
      <c r="E61" s="41"/>
      <c r="F61" s="41"/>
      <c r="G61" s="41"/>
      <c r="H61" s="41"/>
    </row>
    <row r="62" spans="3:17" ht="65.25" customHeight="1" x14ac:dyDescent="0.25">
      <c r="H62" s="722">
        <f>H59-'4-GASB34GovtFundsIS'!C52</f>
        <v>0</v>
      </c>
      <c r="I62" s="321"/>
      <c r="J62" s="321"/>
      <c r="P62" s="337"/>
      <c r="Q62" s="337"/>
    </row>
  </sheetData>
  <sheetProtection selectLockedCells="1" selectUnlockedCells="1"/>
  <customSheetViews>
    <customSheetView guid="{AB48C5D7-99F4-4378-A0F9-05018B348977}" scale="90">
      <selection activeCell="B39" sqref="B39"/>
      <colBreaks count="1" manualBreakCount="1">
        <brk id="8" max="1048575" man="1"/>
      </colBreaks>
      <pageMargins left="0.75" right="0.75" top="1" bottom="1" header="0.5" footer="0.5"/>
      <pageSetup scale="79" firstPageNumber="36" fitToWidth="2" orientation="portrait" useFirstPageNumber="1" r:id="rId1"/>
      <headerFooter alignWithMargins="0"/>
    </customSheetView>
  </customSheetViews>
  <mergeCells count="5">
    <mergeCell ref="K55:O60"/>
    <mergeCell ref="E2:N2"/>
    <mergeCell ref="E3:N3"/>
    <mergeCell ref="E4:N4"/>
    <mergeCell ref="E5:N5"/>
  </mergeCells>
  <phoneticPr fontId="0" type="noConversion"/>
  <printOptions horizontalCentered="1"/>
  <pageMargins left="0.7" right="0.7" top="0.75" bottom="0.75" header="0.3" footer="0.3"/>
  <pageSetup scale="66" firstPageNumber="36" orientation="portrait" r:id="rId2"/>
  <rowBreaks count="1" manualBreakCount="1">
    <brk id="33" max="16383" man="1"/>
  </rowBreaks>
  <ignoredErrors>
    <ignoredError sqref="K42:M42"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pageSetUpPr fitToPage="1"/>
  </sheetPr>
  <dimension ref="A1:AQ91"/>
  <sheetViews>
    <sheetView workbookViewId="0">
      <selection activeCell="C34" sqref="C34"/>
    </sheetView>
  </sheetViews>
  <sheetFormatPr defaultColWidth="9.109375" defaultRowHeight="13.2" x14ac:dyDescent="0.25"/>
  <cols>
    <col min="1" max="1" width="39.6640625" style="17" customWidth="1"/>
    <col min="2" max="5" width="15.6640625" style="17" customWidth="1"/>
    <col min="6" max="6" width="10.33203125" style="17" customWidth="1"/>
    <col min="7" max="7" width="14" style="17" bestFit="1" customWidth="1"/>
    <col min="8" max="8" width="12.44140625" style="17" bestFit="1" customWidth="1"/>
    <col min="9" max="9" width="9.109375" style="17"/>
    <col min="10" max="10" width="11.33203125" style="17" bestFit="1" customWidth="1"/>
    <col min="11" max="16384" width="9.109375" style="17"/>
  </cols>
  <sheetData>
    <row r="1" spans="1:8" x14ac:dyDescent="0.25">
      <c r="E1" s="82" t="s">
        <v>42</v>
      </c>
    </row>
    <row r="2" spans="1:8" s="41" customFormat="1" x14ac:dyDescent="0.25">
      <c r="A2" s="896" t="str">
        <f>+'[2]7-Rev, exp-Prop'!A2:E2</f>
        <v>City of Dogwood</v>
      </c>
      <c r="B2" s="896"/>
      <c r="C2" s="896"/>
      <c r="D2" s="896"/>
      <c r="E2" s="896"/>
    </row>
    <row r="3" spans="1:8" s="41" customFormat="1" x14ac:dyDescent="0.25">
      <c r="A3" s="896" t="s">
        <v>665</v>
      </c>
      <c r="B3" s="896"/>
      <c r="C3" s="896"/>
      <c r="D3" s="896"/>
      <c r="E3" s="896"/>
    </row>
    <row r="4" spans="1:8" x14ac:dyDescent="0.25">
      <c r="A4" s="896" t="s">
        <v>43</v>
      </c>
      <c r="B4" s="896"/>
      <c r="C4" s="896"/>
      <c r="D4" s="896"/>
      <c r="E4" s="896"/>
    </row>
    <row r="5" spans="1:8" s="41" customFormat="1" x14ac:dyDescent="0.25">
      <c r="A5" s="939">
        <v>45107</v>
      </c>
      <c r="B5" s="940"/>
      <c r="C5" s="940"/>
      <c r="D5" s="940"/>
      <c r="E5" s="940"/>
    </row>
    <row r="6" spans="1:8" ht="5.25" customHeight="1" x14ac:dyDescent="0.25"/>
    <row r="7" spans="1:8" x14ac:dyDescent="0.25">
      <c r="B7" s="898" t="s">
        <v>534</v>
      </c>
      <c r="C7" s="898"/>
      <c r="D7" s="898"/>
    </row>
    <row r="8" spans="1:8" ht="26.4" x14ac:dyDescent="0.25">
      <c r="B8" s="81" t="s">
        <v>80</v>
      </c>
      <c r="C8" s="81" t="s">
        <v>83</v>
      </c>
      <c r="D8" s="81" t="s">
        <v>1</v>
      </c>
      <c r="E8" s="81" t="s">
        <v>84</v>
      </c>
    </row>
    <row r="9" spans="1:8" x14ac:dyDescent="0.25">
      <c r="A9" s="132" t="s">
        <v>2</v>
      </c>
    </row>
    <row r="10" spans="1:8" x14ac:dyDescent="0.25">
      <c r="A10" s="17" t="s">
        <v>44</v>
      </c>
    </row>
    <row r="11" spans="1:8" x14ac:dyDescent="0.25">
      <c r="A11" s="58" t="s">
        <v>3</v>
      </c>
      <c r="B11" s="651">
        <f>23232+100000-56105-(120000+45000+50)*0.395*0.2-(0.395*0.2*155000)</f>
        <v>41843.050000000003</v>
      </c>
      <c r="C11" s="790">
        <f>236762-150000+100000-16930+30000-(120000+45000+50)*0.395*0.8-(0.395*0.8*155000)+77625-40000</f>
        <v>136321.20000000001</v>
      </c>
      <c r="D11" s="637">
        <f>SUM(B11:C11)</f>
        <v>178164.25</v>
      </c>
      <c r="E11" s="651">
        <f>25730-120000*0.02*0.6+600-(45000+50)*0.02*0.6+400-(0.605*0.02*155000)</f>
        <v>22873.9</v>
      </c>
    </row>
    <row r="12" spans="1:8" x14ac:dyDescent="0.25">
      <c r="A12" s="58" t="s">
        <v>113</v>
      </c>
      <c r="B12" s="638">
        <f>160909</f>
        <v>160909</v>
      </c>
      <c r="C12" s="638">
        <f>78336</f>
        <v>78336</v>
      </c>
      <c r="D12" s="638">
        <f>SUM(B12:C12)</f>
        <v>239245</v>
      </c>
      <c r="E12" s="638">
        <v>0</v>
      </c>
    </row>
    <row r="13" spans="1:8" x14ac:dyDescent="0.25">
      <c r="A13" s="58" t="s">
        <v>114</v>
      </c>
      <c r="B13" s="638">
        <v>54262</v>
      </c>
      <c r="C13" s="638">
        <v>21472</v>
      </c>
      <c r="D13" s="638">
        <f>SUM(B13:C13)</f>
        <v>75734</v>
      </c>
      <c r="E13" s="638">
        <v>0</v>
      </c>
    </row>
    <row r="14" spans="1:8" x14ac:dyDescent="0.25">
      <c r="A14" s="784" t="s">
        <v>839</v>
      </c>
      <c r="B14" s="821">
        <v>0</v>
      </c>
      <c r="C14" s="821">
        <v>13463</v>
      </c>
      <c r="D14" s="821">
        <f>SUM(B14:C14)</f>
        <v>13463</v>
      </c>
      <c r="E14" s="821">
        <v>0</v>
      </c>
    </row>
    <row r="15" spans="1:8" x14ac:dyDescent="0.25">
      <c r="A15" s="784" t="s">
        <v>862</v>
      </c>
      <c r="B15" s="790">
        <v>0</v>
      </c>
      <c r="C15" s="790">
        <v>868</v>
      </c>
      <c r="D15" s="833">
        <f>SUM(B15:C15)</f>
        <v>868</v>
      </c>
      <c r="E15" s="790">
        <v>0</v>
      </c>
    </row>
    <row r="16" spans="1:8" x14ac:dyDescent="0.25">
      <c r="A16" s="58" t="s">
        <v>465</v>
      </c>
      <c r="B16" s="638">
        <v>0</v>
      </c>
      <c r="C16" s="638">
        <v>0</v>
      </c>
      <c r="D16" s="638">
        <v>0</v>
      </c>
      <c r="E16" s="638">
        <v>2600</v>
      </c>
      <c r="H16" s="313"/>
    </row>
    <row r="17" spans="1:8" x14ac:dyDescent="0.25">
      <c r="A17" s="58" t="s">
        <v>4</v>
      </c>
      <c r="B17" s="638">
        <v>95378</v>
      </c>
      <c r="C17" s="639">
        <f>110281</f>
        <v>110281</v>
      </c>
      <c r="D17" s="638">
        <f>SUM(B17:C17)</f>
        <v>205659</v>
      </c>
      <c r="E17" s="638">
        <v>2700</v>
      </c>
    </row>
    <row r="18" spans="1:8" x14ac:dyDescent="0.25">
      <c r="A18" s="58" t="s">
        <v>115</v>
      </c>
      <c r="B18" s="640">
        <v>4630</v>
      </c>
      <c r="C18" s="640">
        <v>2565</v>
      </c>
      <c r="D18" s="640">
        <f>SUM(B18:C18)</f>
        <v>7195</v>
      </c>
      <c r="E18" s="640">
        <v>0</v>
      </c>
    </row>
    <row r="19" spans="1:8" x14ac:dyDescent="0.25">
      <c r="A19" s="58" t="s">
        <v>577</v>
      </c>
      <c r="B19" s="643">
        <v>56105</v>
      </c>
      <c r="C19" s="643">
        <f>1658125+16930</f>
        <v>1675055</v>
      </c>
      <c r="D19" s="643">
        <f>SUM(B19:C19)</f>
        <v>1731160</v>
      </c>
      <c r="E19" s="643">
        <v>0</v>
      </c>
    </row>
    <row r="20" spans="1:8" x14ac:dyDescent="0.25">
      <c r="A20" s="23" t="s">
        <v>45</v>
      </c>
      <c r="B20" s="642">
        <f>SUM(B11:B19)</f>
        <v>413127.05</v>
      </c>
      <c r="C20" s="642">
        <f>SUM(C11:C19)</f>
        <v>2038361.2</v>
      </c>
      <c r="D20" s="642">
        <f>SUM(D11:D19)</f>
        <v>2451488.25</v>
      </c>
      <c r="E20" s="642">
        <f>SUM(E11:E19)</f>
        <v>28173.9</v>
      </c>
    </row>
    <row r="21" spans="1:8" x14ac:dyDescent="0.25">
      <c r="B21" s="638"/>
      <c r="C21" s="638"/>
      <c r="D21" s="638"/>
      <c r="E21" s="638"/>
    </row>
    <row r="22" spans="1:8" x14ac:dyDescent="0.25">
      <c r="A22" s="17" t="s">
        <v>46</v>
      </c>
      <c r="B22" s="638"/>
      <c r="C22" s="638"/>
      <c r="D22" s="638"/>
      <c r="E22" s="638"/>
    </row>
    <row r="23" spans="1:8" x14ac:dyDescent="0.25">
      <c r="A23" s="784" t="s">
        <v>839</v>
      </c>
      <c r="B23" s="821">
        <v>0</v>
      </c>
      <c r="C23" s="821">
        <v>44269</v>
      </c>
      <c r="D23" s="823">
        <f>+B23+C23</f>
        <v>44269</v>
      </c>
      <c r="E23" s="821">
        <v>0</v>
      </c>
    </row>
    <row r="24" spans="1:8" x14ac:dyDescent="0.25">
      <c r="A24" s="22" t="s">
        <v>487</v>
      </c>
      <c r="B24" s="640"/>
      <c r="C24" s="640"/>
      <c r="D24" s="640"/>
      <c r="E24" s="640"/>
      <c r="F24" s="161"/>
    </row>
    <row r="25" spans="1:8" x14ac:dyDescent="0.25">
      <c r="A25" s="18" t="s">
        <v>573</v>
      </c>
      <c r="B25" s="640">
        <v>289400</v>
      </c>
      <c r="C25" s="640">
        <f>326500+2452049</f>
        <v>2778549</v>
      </c>
      <c r="D25" s="640">
        <f>+B25+C25</f>
        <v>3067949</v>
      </c>
      <c r="E25" s="640">
        <v>0</v>
      </c>
      <c r="F25" s="161"/>
      <c r="H25" s="614"/>
    </row>
    <row r="26" spans="1:8" x14ac:dyDescent="0.25">
      <c r="A26" s="18" t="s">
        <v>459</v>
      </c>
      <c r="B26" s="640">
        <f>537219+63973+107080</f>
        <v>708272</v>
      </c>
      <c r="C26" s="89">
        <f>13241774-3654538+197377-73901+173470-102726</f>
        <v>9781456</v>
      </c>
      <c r="D26" s="640">
        <f>+B26+C26</f>
        <v>10489728</v>
      </c>
      <c r="E26" s="640">
        <f>15000-1500+126700-124530+15000-6000</f>
        <v>24670</v>
      </c>
      <c r="F26" s="161"/>
    </row>
    <row r="27" spans="1:8" ht="26.4" x14ac:dyDescent="0.25">
      <c r="A27" s="834" t="s">
        <v>894</v>
      </c>
      <c r="B27" s="643"/>
      <c r="C27" s="830">
        <v>28291</v>
      </c>
      <c r="D27" s="643">
        <f>+B27+C27</f>
        <v>28291</v>
      </c>
      <c r="E27" s="643"/>
      <c r="F27" s="161"/>
    </row>
    <row r="28" spans="1:8" x14ac:dyDescent="0.25">
      <c r="A28" s="18" t="s">
        <v>574</v>
      </c>
      <c r="B28" s="643">
        <f>B25+B26</f>
        <v>997672</v>
      </c>
      <c r="C28" s="643">
        <f>C25+C26+C27</f>
        <v>12588296</v>
      </c>
      <c r="D28" s="643">
        <f>D25+D26+D27</f>
        <v>13585968</v>
      </c>
      <c r="E28" s="643">
        <f>E25+E26</f>
        <v>24670</v>
      </c>
    </row>
    <row r="29" spans="1:8" x14ac:dyDescent="0.25">
      <c r="A29" s="316" t="s">
        <v>47</v>
      </c>
      <c r="B29" s="642">
        <f>+B23+B28</f>
        <v>997672</v>
      </c>
      <c r="C29" s="642">
        <f>+C23+C28</f>
        <v>12632565</v>
      </c>
      <c r="D29" s="642">
        <f>+D23+D28</f>
        <v>13630237</v>
      </c>
      <c r="E29" s="642">
        <f>+E23+E28</f>
        <v>24670</v>
      </c>
    </row>
    <row r="30" spans="1:8" x14ac:dyDescent="0.25">
      <c r="A30" s="317" t="s">
        <v>5</v>
      </c>
      <c r="B30" s="747">
        <f>+B29+B20</f>
        <v>1410799.05</v>
      </c>
      <c r="C30" s="747">
        <f>+C29+C20</f>
        <v>14670926.199999999</v>
      </c>
      <c r="D30" s="747">
        <f>+D29+D20</f>
        <v>16081725.25</v>
      </c>
      <c r="E30" s="747">
        <f>+E29+E20</f>
        <v>52843.9</v>
      </c>
    </row>
    <row r="31" spans="1:8" x14ac:dyDescent="0.25">
      <c r="A31" s="317"/>
      <c r="B31" s="748"/>
      <c r="C31" s="748"/>
      <c r="D31" s="748"/>
      <c r="E31" s="748"/>
    </row>
    <row r="32" spans="1:8" s="432" customFormat="1" x14ac:dyDescent="0.25">
      <c r="A32" s="132" t="s">
        <v>650</v>
      </c>
      <c r="B32" s="253"/>
      <c r="C32" s="253"/>
      <c r="D32" s="253"/>
      <c r="E32" s="253"/>
    </row>
    <row r="33" spans="1:43" s="432" customFormat="1" x14ac:dyDescent="0.25">
      <c r="A33" s="429" t="str">
        <f>'[2]1-GWNetPos'!A30</f>
        <v>Pension deferrals</v>
      </c>
      <c r="B33" s="253">
        <f>'1-GWNetPos'!D36*0.2</f>
        <v>45132.226000000002</v>
      </c>
      <c r="C33" s="253">
        <f>'1-GWNetPos'!D36*0.8</f>
        <v>180528.90400000001</v>
      </c>
      <c r="D33" s="253">
        <f>SUM(B33:C33)</f>
        <v>225661.13</v>
      </c>
      <c r="E33" s="253">
        <f>0.605*0.02*(121450+(-121450+2874+2313-847+328974-65795+128000-263179-1104)+(-3758-124242-27238-58985-847+13134+386974+47878-2702-77395-9851+83602+125000)+(9547+11501-222756-848+120000-125000))+(0.605*0.02*(155000+81037+5678+124223+50106-120000))+1</f>
        <v>6913.6574000000001</v>
      </c>
      <c r="F33" s="721"/>
      <c r="G33" s="434"/>
    </row>
    <row r="34" spans="1:43" s="432" customFormat="1" x14ac:dyDescent="0.25">
      <c r="A34" s="429" t="s">
        <v>772</v>
      </c>
      <c r="B34" s="253">
        <f>'1-GWNetPos'!D37*0.2</f>
        <v>5103.6000000000004</v>
      </c>
      <c r="C34" s="253">
        <f>'1-GWNetPos'!D37*0.8</f>
        <v>20414.400000000001</v>
      </c>
      <c r="D34" s="253">
        <f>SUM(B34:C34)</f>
        <v>25518</v>
      </c>
      <c r="E34" s="253">
        <f>0.6*0.02*(19588+45000+50)</f>
        <v>775.65600000000006</v>
      </c>
      <c r="G34" s="667"/>
    </row>
    <row r="35" spans="1:43" s="432" customFormat="1" x14ac:dyDescent="0.25">
      <c r="A35" s="429" t="s">
        <v>651</v>
      </c>
      <c r="B35" s="720">
        <v>0</v>
      </c>
      <c r="C35" s="253">
        <v>157614</v>
      </c>
      <c r="D35" s="253">
        <f>SUM(B35:C35)</f>
        <v>157614</v>
      </c>
      <c r="E35" s="720">
        <v>0</v>
      </c>
      <c r="G35" s="434"/>
    </row>
    <row r="36" spans="1:43" s="437" customFormat="1" x14ac:dyDescent="0.25">
      <c r="A36" s="458" t="s">
        <v>649</v>
      </c>
      <c r="B36" s="749">
        <f>SUM(B33:B35)</f>
        <v>50235.826000000001</v>
      </c>
      <c r="C36" s="749">
        <f>SUM(C33:C35)</f>
        <v>358557.304</v>
      </c>
      <c r="D36" s="749">
        <f>SUM(D33:D35)-0.1</f>
        <v>408793.03</v>
      </c>
      <c r="E36" s="749">
        <f>SUM(E33:E35)+0.19</f>
        <v>7689.5033999999996</v>
      </c>
      <c r="F36" s="433"/>
      <c r="G36" s="555"/>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3"/>
      <c r="AM36" s="433"/>
      <c r="AN36" s="433"/>
      <c r="AO36" s="433"/>
      <c r="AP36" s="433"/>
      <c r="AQ36" s="433"/>
    </row>
    <row r="37" spans="1:43" ht="7.35" customHeight="1" x14ac:dyDescent="0.25">
      <c r="A37" s="436"/>
      <c r="B37" s="638"/>
      <c r="C37" s="638"/>
      <c r="D37" s="638"/>
      <c r="E37" s="638"/>
    </row>
    <row r="38" spans="1:43" x14ac:dyDescent="0.25">
      <c r="A38" s="132" t="s">
        <v>6</v>
      </c>
      <c r="B38" s="638"/>
      <c r="C38" s="638"/>
      <c r="D38" s="638"/>
      <c r="E38" s="638"/>
    </row>
    <row r="39" spans="1:43" x14ac:dyDescent="0.25">
      <c r="A39" s="17" t="s">
        <v>48</v>
      </c>
      <c r="B39" s="638"/>
      <c r="C39" s="638"/>
      <c r="D39" s="638"/>
      <c r="E39" s="638"/>
    </row>
    <row r="40" spans="1:43" ht="26.4" x14ac:dyDescent="0.25">
      <c r="A40" s="22" t="s">
        <v>116</v>
      </c>
      <c r="B40" s="638">
        <v>202957</v>
      </c>
      <c r="C40" s="638">
        <f>62010</f>
        <v>62010</v>
      </c>
      <c r="D40" s="638">
        <f t="shared" ref="D40:D47" si="0">SUM(B40:C40)</f>
        <v>264967</v>
      </c>
      <c r="E40" s="638">
        <v>2900</v>
      </c>
      <c r="G40" s="55"/>
    </row>
    <row r="41" spans="1:43" x14ac:dyDescent="0.25">
      <c r="A41" s="864" t="s">
        <v>475</v>
      </c>
      <c r="B41" s="638">
        <v>0</v>
      </c>
      <c r="C41" s="821">
        <v>528</v>
      </c>
      <c r="D41" s="638">
        <f t="shared" si="0"/>
        <v>528</v>
      </c>
      <c r="E41" s="638"/>
      <c r="G41" s="55"/>
    </row>
    <row r="42" spans="1:43" x14ac:dyDescent="0.25">
      <c r="A42" s="58" t="s">
        <v>20</v>
      </c>
      <c r="B42" s="639">
        <v>160</v>
      </c>
      <c r="C42" s="639">
        <f>240+3000</f>
        <v>3240</v>
      </c>
      <c r="D42" s="639">
        <f t="shared" si="0"/>
        <v>3400</v>
      </c>
      <c r="E42" s="638">
        <v>0</v>
      </c>
    </row>
    <row r="43" spans="1:43" x14ac:dyDescent="0.25">
      <c r="A43" s="784" t="s">
        <v>118</v>
      </c>
      <c r="B43" s="640">
        <v>0</v>
      </c>
      <c r="C43" s="823">
        <v>675000</v>
      </c>
      <c r="D43" s="640">
        <f>SUM(B43:C43)</f>
        <v>675000</v>
      </c>
      <c r="E43" s="640">
        <v>0</v>
      </c>
    </row>
    <row r="44" spans="1:43" ht="26.4" x14ac:dyDescent="0.25">
      <c r="A44" s="22" t="s">
        <v>120</v>
      </c>
      <c r="B44" s="638">
        <v>12000</v>
      </c>
      <c r="C44" s="638">
        <v>9000</v>
      </c>
      <c r="D44" s="638">
        <f t="shared" si="0"/>
        <v>21000</v>
      </c>
      <c r="E44" s="638">
        <v>0</v>
      </c>
      <c r="H44" s="313"/>
    </row>
    <row r="45" spans="1:43" x14ac:dyDescent="0.25">
      <c r="A45" s="839" t="s">
        <v>890</v>
      </c>
      <c r="B45" s="821"/>
      <c r="C45" s="821">
        <v>9423</v>
      </c>
      <c r="D45" s="821">
        <f t="shared" si="0"/>
        <v>9423</v>
      </c>
      <c r="E45" s="821">
        <v>0</v>
      </c>
      <c r="H45" s="313"/>
    </row>
    <row r="46" spans="1:43" x14ac:dyDescent="0.25">
      <c r="A46" s="22" t="s">
        <v>563</v>
      </c>
      <c r="B46" s="638">
        <v>0</v>
      </c>
      <c r="C46" s="638">
        <f>401000+48022</f>
        <v>449022</v>
      </c>
      <c r="D46" s="638">
        <f t="shared" si="0"/>
        <v>449022</v>
      </c>
      <c r="E46" s="638">
        <v>0</v>
      </c>
      <c r="H46" s="55"/>
    </row>
    <row r="47" spans="1:43" x14ac:dyDescent="0.25">
      <c r="A47" s="22" t="s">
        <v>117</v>
      </c>
      <c r="B47" s="638">
        <v>0</v>
      </c>
      <c r="C47" s="638">
        <v>34339</v>
      </c>
      <c r="D47" s="638">
        <f t="shared" si="0"/>
        <v>34339</v>
      </c>
      <c r="E47" s="638">
        <v>0</v>
      </c>
      <c r="G47" s="55"/>
      <c r="H47" s="313"/>
    </row>
    <row r="48" spans="1:43" x14ac:dyDescent="0.25">
      <c r="A48" s="22" t="s">
        <v>557</v>
      </c>
      <c r="B48" s="640"/>
      <c r="C48" s="640"/>
      <c r="D48" s="640"/>
      <c r="E48" s="640"/>
    </row>
    <row r="49" spans="1:8" x14ac:dyDescent="0.25">
      <c r="A49" s="23" t="s">
        <v>19</v>
      </c>
      <c r="B49" s="640">
        <v>0</v>
      </c>
      <c r="C49" s="640">
        <v>115557</v>
      </c>
      <c r="D49" s="640">
        <f>SUM(B49:C49)</f>
        <v>115557</v>
      </c>
      <c r="E49" s="640">
        <v>0</v>
      </c>
    </row>
    <row r="50" spans="1:8" x14ac:dyDescent="0.25">
      <c r="A50" s="422" t="s">
        <v>615</v>
      </c>
      <c r="B50" s="638">
        <v>56105</v>
      </c>
      <c r="C50" s="638">
        <v>16930</v>
      </c>
      <c r="D50" s="638">
        <f>SUM(B50:C50)</f>
        <v>73035</v>
      </c>
      <c r="E50" s="638">
        <v>0</v>
      </c>
    </row>
    <row r="51" spans="1:8" x14ac:dyDescent="0.25">
      <c r="A51" s="23" t="s">
        <v>50</v>
      </c>
      <c r="B51" s="642">
        <f>SUM(B40:B50)</f>
        <v>271222</v>
      </c>
      <c r="C51" s="642">
        <f>SUM(C40:C50)</f>
        <v>1375049</v>
      </c>
      <c r="D51" s="642">
        <f>SUM(D40:D50)</f>
        <v>1646271</v>
      </c>
      <c r="E51" s="642">
        <f>SUM(E40:E50)</f>
        <v>2900</v>
      </c>
      <c r="G51" s="55"/>
    </row>
    <row r="52" spans="1:8" ht="7.35" customHeight="1" x14ac:dyDescent="0.25">
      <c r="A52" s="23"/>
      <c r="B52" s="640"/>
      <c r="C52" s="640"/>
      <c r="D52" s="640"/>
      <c r="E52" s="640"/>
    </row>
    <row r="53" spans="1:8" x14ac:dyDescent="0.25">
      <c r="A53" s="17" t="s">
        <v>51</v>
      </c>
      <c r="B53" s="640"/>
      <c r="C53" s="640"/>
      <c r="D53" s="640"/>
      <c r="E53" s="640"/>
    </row>
    <row r="54" spans="1:8" x14ac:dyDescent="0.25">
      <c r="A54" s="23" t="s">
        <v>695</v>
      </c>
      <c r="B54" s="639">
        <v>0</v>
      </c>
      <c r="C54" s="639">
        <v>27000</v>
      </c>
      <c r="D54" s="639">
        <f t="shared" ref="D54:D60" si="1">SUM(B54:C54)</f>
        <v>27000</v>
      </c>
      <c r="E54" s="638">
        <v>0</v>
      </c>
      <c r="H54" s="313"/>
    </row>
    <row r="55" spans="1:8" x14ac:dyDescent="0.25">
      <c r="A55" s="23" t="s">
        <v>49</v>
      </c>
      <c r="B55" s="638">
        <f>38200-B44</f>
        <v>26200</v>
      </c>
      <c r="C55" s="638">
        <f>50900-C44</f>
        <v>41900</v>
      </c>
      <c r="D55" s="638">
        <f t="shared" si="1"/>
        <v>68100</v>
      </c>
      <c r="E55" s="638">
        <v>2400</v>
      </c>
      <c r="H55" s="313"/>
    </row>
    <row r="56" spans="1:8" x14ac:dyDescent="0.25">
      <c r="A56" s="824" t="s">
        <v>860</v>
      </c>
      <c r="B56" s="821">
        <v>0</v>
      </c>
      <c r="C56" s="821">
        <v>19416</v>
      </c>
      <c r="D56" s="821">
        <f t="shared" si="1"/>
        <v>19416</v>
      </c>
      <c r="E56" s="821">
        <v>0</v>
      </c>
      <c r="H56" s="313"/>
    </row>
    <row r="57" spans="1:8" x14ac:dyDescent="0.25">
      <c r="A57" s="23" t="s">
        <v>719</v>
      </c>
      <c r="B57" s="668">
        <f>'1-GWNetPos'!$D$53*0.2</f>
        <v>51726.751000000004</v>
      </c>
      <c r="C57" s="668">
        <f>'1-GWNetPos'!$D$53*0.8</f>
        <v>206907.00400000002</v>
      </c>
      <c r="D57" s="639">
        <f t="shared" si="1"/>
        <v>258633.755</v>
      </c>
      <c r="E57" s="723">
        <f>0.02*0.605*'1-GWNetPos'!E53</f>
        <v>7922.6686</v>
      </c>
      <c r="G57" s="685"/>
      <c r="H57" s="313"/>
    </row>
    <row r="58" spans="1:8" x14ac:dyDescent="0.25">
      <c r="A58" s="456" t="s">
        <v>771</v>
      </c>
      <c r="B58" s="668">
        <f>'1-GWNetPos'!D55*0.2</f>
        <v>94588.29700000002</v>
      </c>
      <c r="C58" s="668">
        <f>'1-GWNetPos'!D55*0.8</f>
        <v>378353.18800000008</v>
      </c>
      <c r="D58" s="639">
        <f>SUM(B58:C58)-0.31</f>
        <v>472941.1750000001</v>
      </c>
      <c r="E58" s="724">
        <f>1197321*0.6*0.02</f>
        <v>14367.851999999999</v>
      </c>
      <c r="G58" s="685"/>
      <c r="H58" s="313"/>
    </row>
    <row r="59" spans="1:8" ht="26.4" x14ac:dyDescent="0.25">
      <c r="A59" s="438" t="s">
        <v>652</v>
      </c>
      <c r="B59" s="638">
        <v>0</v>
      </c>
      <c r="C59" s="639">
        <f>2801000-401000+157614-48022</f>
        <v>2509592</v>
      </c>
      <c r="D59" s="639">
        <f t="shared" si="1"/>
        <v>2509592</v>
      </c>
      <c r="E59" s="638">
        <v>0</v>
      </c>
    </row>
    <row r="60" spans="1:8" ht="26.4" x14ac:dyDescent="0.25">
      <c r="A60" s="18" t="s">
        <v>119</v>
      </c>
      <c r="B60" s="643">
        <v>0</v>
      </c>
      <c r="C60" s="643">
        <v>872584</v>
      </c>
      <c r="D60" s="643">
        <f t="shared" si="1"/>
        <v>872584</v>
      </c>
      <c r="E60" s="643">
        <v>0</v>
      </c>
    </row>
    <row r="61" spans="1:8" x14ac:dyDescent="0.25">
      <c r="A61" s="57" t="s">
        <v>52</v>
      </c>
      <c r="B61" s="642">
        <f>SUM(B55:B60)</f>
        <v>172515.04800000001</v>
      </c>
      <c r="C61" s="642">
        <f>SUM(C54:C60)</f>
        <v>4055752.1919999998</v>
      </c>
      <c r="D61" s="642">
        <f>SUM(D54:D60)</f>
        <v>4228266.93</v>
      </c>
      <c r="E61" s="642">
        <f>SUM(E55:E60)</f>
        <v>24690.5206</v>
      </c>
    </row>
    <row r="62" spans="1:8" x14ac:dyDescent="0.25">
      <c r="A62" s="318" t="s">
        <v>7</v>
      </c>
      <c r="B62" s="642">
        <f>+B51+B61</f>
        <v>443737.04800000001</v>
      </c>
      <c r="C62" s="642">
        <f>+C51+C61</f>
        <v>5430801.1919999998</v>
      </c>
      <c r="D62" s="642">
        <f>+D51+D61</f>
        <v>5874537.9299999997</v>
      </c>
      <c r="E62" s="642">
        <f>+E51+E61</f>
        <v>27590.5206</v>
      </c>
      <c r="G62" s="55"/>
    </row>
    <row r="63" spans="1:8" x14ac:dyDescent="0.25">
      <c r="A63" s="318"/>
      <c r="B63" s="640"/>
      <c r="C63" s="640"/>
      <c r="D63" s="640"/>
      <c r="E63" s="640"/>
      <c r="G63" s="55"/>
    </row>
    <row r="64" spans="1:8" x14ac:dyDescent="0.25">
      <c r="A64" s="132" t="s">
        <v>632</v>
      </c>
      <c r="B64" s="640"/>
      <c r="C64" s="640"/>
      <c r="D64" s="640"/>
      <c r="E64" s="640"/>
    </row>
    <row r="65" spans="1:8" x14ac:dyDescent="0.25">
      <c r="A65" s="18" t="s">
        <v>681</v>
      </c>
      <c r="B65" s="641">
        <f>'1-GWNetPos'!$D$63*0.2</f>
        <v>1083.0109999999991</v>
      </c>
      <c r="C65" s="641">
        <f>'1-GWNetPos'!$D$63*0.8</f>
        <v>4332.0439999999962</v>
      </c>
      <c r="D65" s="641">
        <f>SUM(B65:C65)</f>
        <v>5415.0549999999948</v>
      </c>
      <c r="E65" s="641">
        <f>0.605*0.02/0.395*'1-GWNetPos'!D63</f>
        <v>165.87889999999985</v>
      </c>
      <c r="G65" s="685"/>
    </row>
    <row r="66" spans="1:8" x14ac:dyDescent="0.25">
      <c r="A66" s="438" t="s">
        <v>772</v>
      </c>
      <c r="B66" s="641">
        <f>'1-GWNetPos'!D64*0.2</f>
        <v>478.97700000000009</v>
      </c>
      <c r="C66" s="641">
        <f>'1-GWNetPos'!D64*0.8</f>
        <v>1915.9080000000004</v>
      </c>
      <c r="D66" s="641">
        <f>SUM(B66:C66)</f>
        <v>2394.8850000000002</v>
      </c>
      <c r="E66" s="641">
        <f>0.6*0.02*(6063)</f>
        <v>72.756</v>
      </c>
      <c r="G66" s="685"/>
    </row>
    <row r="67" spans="1:8" x14ac:dyDescent="0.25">
      <c r="A67" s="834" t="s">
        <v>847</v>
      </c>
      <c r="B67" s="787">
        <v>0</v>
      </c>
      <c r="C67" s="787">
        <v>51321</v>
      </c>
      <c r="D67" s="787">
        <f>SUM(B67:C67)</f>
        <v>51321</v>
      </c>
      <c r="E67" s="787">
        <v>0</v>
      </c>
      <c r="G67" s="685"/>
    </row>
    <row r="68" spans="1:8" x14ac:dyDescent="0.25">
      <c r="A68" s="822" t="s">
        <v>633</v>
      </c>
      <c r="B68" s="647">
        <f>SUM(B65:B67)</f>
        <v>1561.9879999999991</v>
      </c>
      <c r="C68" s="647">
        <f>SUM(C65:C67)</f>
        <v>57568.951999999997</v>
      </c>
      <c r="D68" s="647">
        <f>SUM(D65:D67)</f>
        <v>59130.939999999995</v>
      </c>
      <c r="E68" s="647">
        <f>SUM(E65:E67)</f>
        <v>238.63489999999985</v>
      </c>
      <c r="G68" s="685"/>
    </row>
    <row r="69" spans="1:8" ht="7.35" customHeight="1" x14ac:dyDescent="0.25">
      <c r="B69" s="638"/>
      <c r="C69" s="638"/>
      <c r="D69" s="641"/>
      <c r="E69" s="638"/>
    </row>
    <row r="70" spans="1:8" x14ac:dyDescent="0.25">
      <c r="A70" s="132" t="s">
        <v>634</v>
      </c>
      <c r="B70" s="638"/>
      <c r="C70" s="638"/>
      <c r="D70" s="638"/>
      <c r="E70" s="638"/>
      <c r="H70" s="652"/>
    </row>
    <row r="71" spans="1:8" x14ac:dyDescent="0.25">
      <c r="A71" s="310" t="s">
        <v>648</v>
      </c>
      <c r="B71" s="638">
        <v>997672</v>
      </c>
      <c r="C71" s="821">
        <f>12588296-2958614-675000-906923-28839+1658125</f>
        <v>9677045</v>
      </c>
      <c r="D71" s="638">
        <f>SUM(B71:C71)</f>
        <v>10674717</v>
      </c>
      <c r="E71" s="638">
        <v>0</v>
      </c>
      <c r="H71" s="313"/>
    </row>
    <row r="72" spans="1:8" x14ac:dyDescent="0.25">
      <c r="A72" s="310" t="s">
        <v>728</v>
      </c>
      <c r="B72" s="638">
        <v>0</v>
      </c>
      <c r="C72" s="638">
        <v>109725</v>
      </c>
      <c r="D72" s="640">
        <f>SUM(B72:C72)</f>
        <v>109725</v>
      </c>
      <c r="E72" s="638">
        <v>0</v>
      </c>
      <c r="H72" s="313"/>
    </row>
    <row r="73" spans="1:8" x14ac:dyDescent="0.25">
      <c r="A73" s="310" t="s">
        <v>53</v>
      </c>
      <c r="B73" s="649">
        <f>B30+B36-B62-B65-B66-B71</f>
        <v>18063.8400000002</v>
      </c>
      <c r="C73" s="788">
        <f>C30+C36-C62-C65-C66-C67-C71-C72</f>
        <v>-245656.6400000006</v>
      </c>
      <c r="D73" s="643">
        <f>SUM(B73:C73)-0.2</f>
        <v>-227593.00000000041</v>
      </c>
      <c r="E73" s="643">
        <f>+E30-E62-E71+E36-E65-E66</f>
        <v>32704.247899999995</v>
      </c>
      <c r="G73" s="313">
        <f>205118-18066</f>
        <v>187052</v>
      </c>
      <c r="H73" s="313"/>
    </row>
    <row r="74" spans="1:8" ht="13.8" thickBot="1" x14ac:dyDescent="0.3">
      <c r="A74" s="310" t="s">
        <v>635</v>
      </c>
      <c r="B74" s="413">
        <f>SUM(B71:B73)</f>
        <v>1015735.8400000002</v>
      </c>
      <c r="C74" s="825">
        <f>SUM(C71:C73)</f>
        <v>9541113.3599999994</v>
      </c>
      <c r="D74" s="55">
        <f>SUM(D71:D73)-0.2</f>
        <v>10556848.800000001</v>
      </c>
      <c r="E74" s="413">
        <f>SUM(E71:E73)</f>
        <v>32704.247899999995</v>
      </c>
      <c r="G74" s="55"/>
      <c r="H74" s="313"/>
    </row>
    <row r="75" spans="1:8" ht="7.35" customHeight="1" thickTop="1" x14ac:dyDescent="0.25">
      <c r="A75" s="21"/>
      <c r="D75" s="55"/>
    </row>
    <row r="76" spans="1:8" ht="25.2" customHeight="1" x14ac:dyDescent="0.25">
      <c r="A76" s="911" t="s">
        <v>467</v>
      </c>
      <c r="B76" s="911"/>
      <c r="C76" s="911"/>
      <c r="D76" s="643">
        <v>300</v>
      </c>
      <c r="G76" s="652"/>
      <c r="H76" s="313"/>
    </row>
    <row r="77" spans="1:8" x14ac:dyDescent="0.25">
      <c r="B77" s="313"/>
      <c r="C77" s="313"/>
      <c r="F77" s="313"/>
      <c r="G77" s="313"/>
    </row>
    <row r="78" spans="1:8" ht="13.8" thickBot="1" x14ac:dyDescent="0.3">
      <c r="A78" s="41" t="s">
        <v>638</v>
      </c>
      <c r="B78" s="610"/>
      <c r="C78" s="610"/>
      <c r="D78" s="837">
        <f>+D74+D76</f>
        <v>10557148.800000001</v>
      </c>
      <c r="F78" s="313"/>
      <c r="G78" s="313"/>
    </row>
    <row r="79" spans="1:8" ht="14.4" thickTop="1" thickBot="1" x14ac:dyDescent="0.3">
      <c r="A79" s="41"/>
      <c r="B79" s="652"/>
      <c r="C79" s="652"/>
      <c r="D79" s="662"/>
      <c r="G79" s="313"/>
    </row>
    <row r="80" spans="1:8" x14ac:dyDescent="0.25">
      <c r="A80" s="938" t="s">
        <v>671</v>
      </c>
      <c r="B80" s="900"/>
      <c r="C80" s="900"/>
      <c r="D80" s="900"/>
      <c r="E80" s="901"/>
      <c r="F80" s="617"/>
    </row>
    <row r="81" spans="1:6" x14ac:dyDescent="0.25">
      <c r="A81" s="902"/>
      <c r="B81" s="903"/>
      <c r="C81" s="903"/>
      <c r="D81" s="903"/>
      <c r="E81" s="904"/>
      <c r="F81" s="617"/>
    </row>
    <row r="82" spans="1:6" x14ac:dyDescent="0.25">
      <c r="A82" s="902"/>
      <c r="B82" s="903"/>
      <c r="C82" s="903"/>
      <c r="D82" s="903"/>
      <c r="E82" s="904"/>
      <c r="F82" s="617"/>
    </row>
    <row r="83" spans="1:6" x14ac:dyDescent="0.25">
      <c r="A83" s="902"/>
      <c r="B83" s="903"/>
      <c r="C83" s="903"/>
      <c r="D83" s="903"/>
      <c r="E83" s="904"/>
      <c r="F83" s="361"/>
    </row>
    <row r="84" spans="1:6" ht="13.8" thickBot="1" x14ac:dyDescent="0.3">
      <c r="A84" s="905"/>
      <c r="B84" s="906"/>
      <c r="C84" s="906"/>
      <c r="D84" s="906"/>
      <c r="E84" s="907"/>
    </row>
    <row r="86" spans="1:6" x14ac:dyDescent="0.25">
      <c r="A86" s="17" t="s">
        <v>8</v>
      </c>
    </row>
    <row r="89" spans="1:6" x14ac:dyDescent="0.25">
      <c r="B89" s="313">
        <f>B74-'7-Rev, Exp-Prop'!C47</f>
        <v>-0.53499999979976565</v>
      </c>
      <c r="C89" s="313">
        <f>C74-'7-Rev, Exp-Prop'!D47</f>
        <v>0.85999999940395355</v>
      </c>
      <c r="D89" s="313">
        <f>D30+D36-D62-D68</f>
        <v>10556849.41</v>
      </c>
    </row>
    <row r="91" spans="1:6" x14ac:dyDescent="0.25">
      <c r="B91" s="313">
        <f>B74-'7-Rev, Exp-Prop'!C47</f>
        <v>-0.53499999979976565</v>
      </c>
    </row>
  </sheetData>
  <sheetProtection selectLockedCells="1" selectUnlockedCells="1"/>
  <mergeCells count="7">
    <mergeCell ref="A80:E84"/>
    <mergeCell ref="A2:E2"/>
    <mergeCell ref="A3:E3"/>
    <mergeCell ref="A4:E4"/>
    <mergeCell ref="A5:E5"/>
    <mergeCell ref="B7:D7"/>
    <mergeCell ref="A76:C76"/>
  </mergeCells>
  <printOptions horizontalCentered="1"/>
  <pageMargins left="0.7" right="0.7" top="0.75" bottom="0.75" header="0.3" footer="0.3"/>
  <pageSetup scale="60" fitToWidth="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FF00"/>
    <pageSetUpPr fitToPage="1"/>
  </sheetPr>
  <dimension ref="B2:L63"/>
  <sheetViews>
    <sheetView topLeftCell="B1" workbookViewId="0">
      <selection activeCell="B15" sqref="B15"/>
    </sheetView>
  </sheetViews>
  <sheetFormatPr defaultColWidth="9.109375" defaultRowHeight="13.2" x14ac:dyDescent="0.25"/>
  <cols>
    <col min="1" max="1" width="9.109375" style="17"/>
    <col min="2" max="2" width="30.6640625" style="17" customWidth="1"/>
    <col min="3" max="6" width="15.6640625" style="17" customWidth="1"/>
    <col min="7" max="7" width="13.6640625" style="17" customWidth="1"/>
    <col min="8" max="8" width="12.88671875" style="17" bestFit="1" customWidth="1"/>
    <col min="9" max="9" width="11.44140625" style="17" bestFit="1" customWidth="1"/>
    <col min="10" max="10" width="12.44140625" style="17" bestFit="1" customWidth="1"/>
    <col min="11" max="11" width="9.109375" style="17"/>
    <col min="12" max="12" width="11.33203125" style="17" bestFit="1" customWidth="1"/>
    <col min="13" max="16384" width="9.109375" style="17"/>
  </cols>
  <sheetData>
    <row r="2" spans="2:9" x14ac:dyDescent="0.25">
      <c r="F2" s="82" t="s">
        <v>54</v>
      </c>
    </row>
    <row r="3" spans="2:9" x14ac:dyDescent="0.25">
      <c r="B3" s="896" t="s">
        <v>0</v>
      </c>
      <c r="C3" s="896"/>
      <c r="D3" s="896"/>
      <c r="E3" s="896"/>
      <c r="F3" s="896"/>
    </row>
    <row r="4" spans="2:9" s="41" customFormat="1" x14ac:dyDescent="0.25">
      <c r="B4" s="896" t="s">
        <v>631</v>
      </c>
      <c r="C4" s="896"/>
      <c r="D4" s="896"/>
      <c r="E4" s="896"/>
      <c r="F4" s="896"/>
    </row>
    <row r="5" spans="2:9" x14ac:dyDescent="0.25">
      <c r="B5" s="896" t="s">
        <v>43</v>
      </c>
      <c r="C5" s="896"/>
      <c r="D5" s="896"/>
      <c r="E5" s="896"/>
      <c r="F5" s="896"/>
    </row>
    <row r="6" spans="2:9" s="41" customFormat="1" x14ac:dyDescent="0.25">
      <c r="B6" s="909" t="s">
        <v>858</v>
      </c>
      <c r="C6" s="896"/>
      <c r="D6" s="896"/>
      <c r="E6" s="896"/>
      <c r="F6" s="896"/>
    </row>
    <row r="8" spans="2:9" x14ac:dyDescent="0.25">
      <c r="C8" s="898" t="s">
        <v>534</v>
      </c>
      <c r="D8" s="898"/>
      <c r="E8" s="898"/>
    </row>
    <row r="9" spans="2:9" ht="26.4" x14ac:dyDescent="0.25">
      <c r="C9" s="81" t="s">
        <v>80</v>
      </c>
      <c r="D9" s="81" t="s">
        <v>83</v>
      </c>
      <c r="E9" s="81" t="s">
        <v>1</v>
      </c>
      <c r="F9" s="81" t="s">
        <v>84</v>
      </c>
    </row>
    <row r="10" spans="2:9" x14ac:dyDescent="0.25">
      <c r="B10" s="132" t="s">
        <v>55</v>
      </c>
    </row>
    <row r="11" spans="2:9" x14ac:dyDescent="0.25">
      <c r="B11" s="58" t="s">
        <v>30</v>
      </c>
      <c r="C11" s="662">
        <v>2821645</v>
      </c>
      <c r="D11" s="662">
        <f>1116554+185000+30000+160000+40000</f>
        <v>1531554</v>
      </c>
      <c r="E11" s="662">
        <f>SUM(C11:D11)</f>
        <v>4353199</v>
      </c>
      <c r="F11" s="693">
        <f>31930+600+400</f>
        <v>32930</v>
      </c>
      <c r="H11" s="313"/>
    </row>
    <row r="12" spans="2:9" x14ac:dyDescent="0.25">
      <c r="B12" s="58" t="s">
        <v>85</v>
      </c>
      <c r="C12" s="640">
        <v>0</v>
      </c>
      <c r="D12" s="640">
        <v>12100</v>
      </c>
      <c r="E12" s="640">
        <f>SUM(C12:D12)</f>
        <v>12100</v>
      </c>
      <c r="F12" s="640">
        <v>0</v>
      </c>
    </row>
    <row r="13" spans="2:9" x14ac:dyDescent="0.25">
      <c r="B13" s="58" t="s">
        <v>86</v>
      </c>
      <c r="C13" s="643">
        <v>11524</v>
      </c>
      <c r="D13" s="643">
        <v>630</v>
      </c>
      <c r="E13" s="643">
        <f>SUM(C13:D13)</f>
        <v>12154</v>
      </c>
      <c r="F13" s="643">
        <v>0</v>
      </c>
    </row>
    <row r="14" spans="2:9" x14ac:dyDescent="0.25">
      <c r="B14" s="312" t="s">
        <v>56</v>
      </c>
      <c r="C14" s="642">
        <f>SUM(C11:C13)</f>
        <v>2833169</v>
      </c>
      <c r="D14" s="642">
        <f>SUM(D11:D13)</f>
        <v>1544284</v>
      </c>
      <c r="E14" s="642">
        <f>SUM(E11:E13)</f>
        <v>4377453</v>
      </c>
      <c r="F14" s="642">
        <f>SUM(F11:F13)</f>
        <v>32930</v>
      </c>
    </row>
    <row r="15" spans="2:9" x14ac:dyDescent="0.25">
      <c r="B15" s="58"/>
      <c r="C15" s="640"/>
      <c r="D15" s="640"/>
      <c r="E15" s="640"/>
      <c r="F15" s="640"/>
    </row>
    <row r="16" spans="2:9" x14ac:dyDescent="0.25">
      <c r="B16" s="132" t="s">
        <v>57</v>
      </c>
      <c r="C16" s="638"/>
      <c r="D16" s="638"/>
      <c r="E16" s="638"/>
      <c r="F16" s="638"/>
      <c r="I16" s="41"/>
    </row>
    <row r="17" spans="2:8" x14ac:dyDescent="0.25">
      <c r="B17" s="58" t="s">
        <v>87</v>
      </c>
      <c r="C17" s="639">
        <f>51455+6392+770+(70637*0.395*0.2)-9752*0.395*0.2+(3758-39061-810+89949+97395)*0.395*0.2-0.395*0.2*70638+(0.395*0.2*(-151231+119484))+83840*0.395*0.2-6392+(0.395*0.2*(155000+155804-155000))</f>
        <v>79825.625</v>
      </c>
      <c r="D17" s="639">
        <f>143922+17577+100000+3082+(70637*0.395*0.8)-9752*0.395*0.8+1-70638*0.8*0.395+(3758-39061-810+89949+97395)*0.395*0.8+(0.395*0.8*(-151231+119484))+83840*0.395*0.8-17577+(0.395*0.8*(155000+155804-155000))-1</f>
        <v>357406.5</v>
      </c>
      <c r="E17" s="638">
        <f>SUM(C17:D17)+0.38</f>
        <v>437232.505</v>
      </c>
      <c r="F17" s="638">
        <v>0</v>
      </c>
      <c r="G17" s="610"/>
    </row>
    <row r="18" spans="2:8" x14ac:dyDescent="0.25">
      <c r="B18" s="58" t="s">
        <v>88</v>
      </c>
      <c r="C18" s="638">
        <v>54323</v>
      </c>
      <c r="D18" s="639">
        <f>30996+50000</f>
        <v>80996</v>
      </c>
      <c r="E18" s="638">
        <f t="shared" ref="E18:E24" si="0">SUM(C18:D18)</f>
        <v>135319</v>
      </c>
      <c r="F18" s="638">
        <v>0</v>
      </c>
      <c r="G18" s="610"/>
    </row>
    <row r="19" spans="2:8" x14ac:dyDescent="0.25">
      <c r="B19" s="58" t="s">
        <v>89</v>
      </c>
      <c r="C19" s="638">
        <f>159274-5986</f>
        <v>153288</v>
      </c>
      <c r="D19" s="638">
        <v>0</v>
      </c>
      <c r="E19" s="638">
        <f t="shared" si="0"/>
        <v>153288</v>
      </c>
      <c r="F19" s="638">
        <v>0</v>
      </c>
    </row>
    <row r="20" spans="2:8" x14ac:dyDescent="0.25">
      <c r="B20" s="58" t="s">
        <v>90</v>
      </c>
      <c r="C20" s="638">
        <v>2379120</v>
      </c>
      <c r="D20" s="638">
        <v>0</v>
      </c>
      <c r="E20" s="638">
        <f t="shared" si="0"/>
        <v>2379120</v>
      </c>
      <c r="F20" s="638">
        <v>0</v>
      </c>
    </row>
    <row r="21" spans="2:8" x14ac:dyDescent="0.25">
      <c r="B21" s="58" t="s">
        <v>91</v>
      </c>
      <c r="C21" s="638">
        <v>0</v>
      </c>
      <c r="D21" s="639">
        <f>129744+16843+50000+50000+40000</f>
        <v>286587</v>
      </c>
      <c r="E21" s="638">
        <f t="shared" si="0"/>
        <v>286587</v>
      </c>
      <c r="F21" s="638">
        <v>0</v>
      </c>
      <c r="H21" s="55"/>
    </row>
    <row r="22" spans="2:8" x14ac:dyDescent="0.25">
      <c r="B22" s="58" t="s">
        <v>92</v>
      </c>
      <c r="C22" s="638">
        <v>0</v>
      </c>
      <c r="D22" s="639">
        <f>56353+10000+50000+50000+25000</f>
        <v>191353</v>
      </c>
      <c r="E22" s="638">
        <f t="shared" si="0"/>
        <v>191353</v>
      </c>
      <c r="F22" s="638">
        <v>0</v>
      </c>
      <c r="H22" s="55"/>
    </row>
    <row r="23" spans="2:8" x14ac:dyDescent="0.25">
      <c r="B23" s="58" t="s">
        <v>95</v>
      </c>
      <c r="C23" s="638">
        <v>0</v>
      </c>
      <c r="D23" s="638">
        <v>0</v>
      </c>
      <c r="E23" s="638">
        <f>SUM(C23:D23)</f>
        <v>0</v>
      </c>
      <c r="F23" s="639">
        <f>24800+434+0.6*0.02*(1018-1981-104148+114863)-9752*0.6*0.02+70638*0.6*0.02-70638*0.6*0.02+(3758-39061-810+89949+97395)*0.6*0.02+(119484-151231)*0.6*0.02+0.6*0.02*83840+(0.605*0.02*155000)+(0.605*0.02*(190762-(154958-120000)))-(0.605*0.02*155000)+8</f>
        <v>29567.116400000003</v>
      </c>
    </row>
    <row r="24" spans="2:8" x14ac:dyDescent="0.25">
      <c r="B24" s="784" t="s">
        <v>863</v>
      </c>
      <c r="C24" s="643">
        <v>178273</v>
      </c>
      <c r="D24" s="829">
        <f>251204+9431</f>
        <v>260635</v>
      </c>
      <c r="E24" s="643">
        <f t="shared" si="0"/>
        <v>438908</v>
      </c>
      <c r="F24" s="643">
        <f>290+2076+2400+1</f>
        <v>4767</v>
      </c>
      <c r="H24" s="55"/>
    </row>
    <row r="25" spans="2:8" x14ac:dyDescent="0.25">
      <c r="B25" s="312" t="s">
        <v>509</v>
      </c>
      <c r="C25" s="642">
        <f>SUM(C17:C24)</f>
        <v>2844829.625</v>
      </c>
      <c r="D25" s="642">
        <f>SUM(D17:D24)</f>
        <v>1176977.5</v>
      </c>
      <c r="E25" s="642">
        <f>SUM(E17:E24)</f>
        <v>4021807.5049999999</v>
      </c>
      <c r="F25" s="642">
        <f>SUM(F17:F24)</f>
        <v>34334.116399999999</v>
      </c>
      <c r="G25" s="55"/>
      <c r="H25" s="640"/>
    </row>
    <row r="26" spans="2:8" x14ac:dyDescent="0.25">
      <c r="B26" s="312"/>
      <c r="C26" s="640"/>
      <c r="D26" s="640"/>
      <c r="E26" s="640"/>
      <c r="F26" s="640"/>
    </row>
    <row r="27" spans="2:8" x14ac:dyDescent="0.25">
      <c r="B27" s="312" t="s">
        <v>59</v>
      </c>
      <c r="C27" s="643">
        <f>+C14-C25</f>
        <v>-11660.625</v>
      </c>
      <c r="D27" s="643">
        <f>+D14-D25-1</f>
        <v>367305.5</v>
      </c>
      <c r="E27" s="643">
        <f>+E14-E25</f>
        <v>355645.49500000011</v>
      </c>
      <c r="F27" s="643">
        <f>+F14-F25</f>
        <v>-1404.116399999999</v>
      </c>
    </row>
    <row r="28" spans="2:8" x14ac:dyDescent="0.25">
      <c r="C28" s="638"/>
      <c r="D28" s="638"/>
      <c r="E28" s="638"/>
      <c r="F28" s="638"/>
    </row>
    <row r="29" spans="2:8" x14ac:dyDescent="0.25">
      <c r="B29" s="132" t="s">
        <v>60</v>
      </c>
      <c r="C29" s="638"/>
      <c r="D29" s="638"/>
      <c r="E29" s="638"/>
      <c r="F29" s="638"/>
    </row>
    <row r="30" spans="2:8" x14ac:dyDescent="0.25">
      <c r="B30" s="797" t="s">
        <v>849</v>
      </c>
      <c r="C30" s="821">
        <v>0</v>
      </c>
      <c r="D30" s="821">
        <v>12830</v>
      </c>
      <c r="E30" s="821">
        <f>SUM(C30:D30)</f>
        <v>12830</v>
      </c>
      <c r="F30" s="821">
        <v>0</v>
      </c>
    </row>
    <row r="31" spans="2:8" x14ac:dyDescent="0.25">
      <c r="B31" s="820" t="s">
        <v>31</v>
      </c>
      <c r="C31" s="638">
        <v>1228</v>
      </c>
      <c r="D31" s="821">
        <f>38122+868</f>
        <v>38990</v>
      </c>
      <c r="E31" s="638">
        <f>SUM(C31:D31)</f>
        <v>40218</v>
      </c>
      <c r="F31" s="638">
        <v>700</v>
      </c>
    </row>
    <row r="32" spans="2:8" x14ac:dyDescent="0.25">
      <c r="B32" s="22" t="s">
        <v>37</v>
      </c>
      <c r="C32" s="638">
        <v>0</v>
      </c>
      <c r="D32" s="821">
        <f>-78386-762+169</f>
        <v>-78979</v>
      </c>
      <c r="E32" s="638">
        <f>SUM(C32:D32)</f>
        <v>-78979</v>
      </c>
      <c r="F32" s="638">
        <v>0</v>
      </c>
    </row>
    <row r="33" spans="2:12" x14ac:dyDescent="0.25">
      <c r="B33" s="22" t="s">
        <v>93</v>
      </c>
      <c r="C33" s="638">
        <v>0</v>
      </c>
      <c r="D33" s="638">
        <v>-10000</v>
      </c>
      <c r="E33" s="638">
        <f>SUM(C33:D33)</f>
        <v>-10000</v>
      </c>
      <c r="F33" s="638">
        <v>0</v>
      </c>
    </row>
    <row r="34" spans="2:12" ht="26.4" x14ac:dyDescent="0.25">
      <c r="B34" s="309" t="s">
        <v>61</v>
      </c>
      <c r="C34" s="642">
        <f>SUM(C30:C33)</f>
        <v>1228</v>
      </c>
      <c r="D34" s="642">
        <f>SUM(D30:D33)</f>
        <v>-37159</v>
      </c>
      <c r="E34" s="642">
        <f>SUM(E30:E33)</f>
        <v>-35931</v>
      </c>
      <c r="F34" s="642">
        <f>SUM(F30:F33)</f>
        <v>700</v>
      </c>
    </row>
    <row r="35" spans="2:12" x14ac:dyDescent="0.25">
      <c r="B35" s="309"/>
      <c r="C35" s="640"/>
      <c r="D35" s="640"/>
      <c r="E35" s="640"/>
      <c r="F35" s="640"/>
      <c r="I35" s="313"/>
    </row>
    <row r="36" spans="2:12" ht="26.4" x14ac:dyDescent="0.25">
      <c r="B36" s="309" t="s">
        <v>62</v>
      </c>
      <c r="C36" s="638">
        <f>+C27+C34</f>
        <v>-10432.625</v>
      </c>
      <c r="D36" s="638">
        <f>+D27+D34</f>
        <v>330146.5</v>
      </c>
      <c r="E36" s="638">
        <f>+E27+E34</f>
        <v>319714.49500000011</v>
      </c>
      <c r="F36" s="638">
        <f>+F27+F34</f>
        <v>-704.11639999999898</v>
      </c>
    </row>
    <row r="37" spans="2:12" x14ac:dyDescent="0.25">
      <c r="B37" s="309"/>
      <c r="C37" s="638"/>
      <c r="D37" s="638"/>
      <c r="E37" s="638"/>
      <c r="F37" s="638"/>
    </row>
    <row r="38" spans="2:12" x14ac:dyDescent="0.25">
      <c r="B38" s="22" t="s">
        <v>63</v>
      </c>
      <c r="C38" s="638">
        <v>0</v>
      </c>
      <c r="D38" s="638">
        <f>57948+70000</f>
        <v>127948</v>
      </c>
      <c r="E38" s="638">
        <f>SUM(C38:D38)</f>
        <v>127948</v>
      </c>
      <c r="F38" s="638">
        <v>0</v>
      </c>
    </row>
    <row r="39" spans="2:12" ht="26.4" x14ac:dyDescent="0.25">
      <c r="B39" s="22" t="s">
        <v>544</v>
      </c>
      <c r="C39" s="638">
        <v>0</v>
      </c>
      <c r="D39" s="638">
        <v>1281046</v>
      </c>
      <c r="E39" s="638">
        <f>SUM(C39:D39)</f>
        <v>1281046</v>
      </c>
      <c r="F39" s="638">
        <v>0</v>
      </c>
    </row>
    <row r="40" spans="2:12" x14ac:dyDescent="0.25">
      <c r="B40" s="22" t="s">
        <v>483</v>
      </c>
      <c r="C40" s="638">
        <v>0</v>
      </c>
      <c r="D40" s="638">
        <v>97400</v>
      </c>
      <c r="E40" s="638">
        <f>SUM(C40:D40)</f>
        <v>97400</v>
      </c>
      <c r="F40" s="638">
        <v>0</v>
      </c>
    </row>
    <row r="41" spans="2:12" x14ac:dyDescent="0.25">
      <c r="B41" s="22" t="s">
        <v>484</v>
      </c>
      <c r="C41" s="643">
        <v>-5986</v>
      </c>
      <c r="D41" s="643">
        <v>-4827</v>
      </c>
      <c r="E41" s="643">
        <f>SUM(C41:D41)</f>
        <v>-10813</v>
      </c>
      <c r="F41" s="643">
        <v>0</v>
      </c>
      <c r="H41" s="607"/>
    </row>
    <row r="42" spans="2:12" x14ac:dyDescent="0.25">
      <c r="B42" s="309"/>
      <c r="C42" s="657"/>
      <c r="D42" s="657"/>
      <c r="E42" s="657"/>
      <c r="F42" s="657"/>
    </row>
    <row r="43" spans="2:12" x14ac:dyDescent="0.25">
      <c r="B43" s="309"/>
      <c r="C43" s="640"/>
      <c r="D43" s="640"/>
      <c r="E43" s="640"/>
      <c r="F43" s="640"/>
    </row>
    <row r="44" spans="2:12" s="432" customFormat="1" x14ac:dyDescent="0.25">
      <c r="B44" s="309" t="s">
        <v>639</v>
      </c>
      <c r="C44" s="639">
        <f>C36+C41</f>
        <v>-16418.625</v>
      </c>
      <c r="D44" s="791">
        <f>D36+D38+D39+D40+D41</f>
        <v>1831713.5</v>
      </c>
      <c r="E44" s="791">
        <f>E36+E38+E39+E40+E41</f>
        <v>1815295.4950000001</v>
      </c>
      <c r="F44" s="639">
        <f>SUM(F36:F41)</f>
        <v>-704.11639999999898</v>
      </c>
      <c r="H44" s="695"/>
      <c r="L44" s="695"/>
    </row>
    <row r="45" spans="2:12" s="432" customFormat="1" x14ac:dyDescent="0.25">
      <c r="B45" s="309"/>
      <c r="C45" s="639"/>
      <c r="D45" s="639"/>
      <c r="E45" s="639"/>
      <c r="F45" s="639"/>
      <c r="H45" s="695"/>
      <c r="L45" s="695"/>
    </row>
    <row r="46" spans="2:12" s="432" customFormat="1" x14ac:dyDescent="0.25">
      <c r="B46" s="309" t="s">
        <v>861</v>
      </c>
      <c r="C46" s="641">
        <f>1032156-1</f>
        <v>1032155</v>
      </c>
      <c r="D46" s="787">
        <f>7669256+71206-30000-1052+1-12</f>
        <v>7709399</v>
      </c>
      <c r="E46" s="829">
        <f>SUM(C46:D46)</f>
        <v>8741554</v>
      </c>
      <c r="F46" s="641">
        <f>33407+1</f>
        <v>33408</v>
      </c>
      <c r="H46" s="434"/>
      <c r="I46" s="667"/>
      <c r="J46" s="313"/>
    </row>
    <row r="47" spans="2:12" s="432" customFormat="1" ht="13.8" thickBot="1" x14ac:dyDescent="0.3">
      <c r="B47" s="132" t="s">
        <v>640</v>
      </c>
      <c r="C47" s="650">
        <f>SUM(C44+C46)</f>
        <v>1015736.375</v>
      </c>
      <c r="D47" s="835">
        <f>SUM(D44+D46)</f>
        <v>9541112.5</v>
      </c>
      <c r="E47" s="835">
        <f>SUM(E44+E46)</f>
        <v>10556849.495000001</v>
      </c>
      <c r="F47" s="650">
        <f>SUM(F44+F46)</f>
        <v>32703.883600000001</v>
      </c>
      <c r="G47" s="434"/>
      <c r="H47" s="434">
        <f>F47-'6-Net Pos-Prop'!E74</f>
        <v>-0.36429999999381835</v>
      </c>
      <c r="I47" s="434"/>
      <c r="J47" s="313"/>
      <c r="L47" s="695"/>
    </row>
    <row r="48" spans="2:12" ht="13.8" thickTop="1" x14ac:dyDescent="0.25">
      <c r="B48" s="41"/>
      <c r="C48" s="618"/>
      <c r="D48" s="618"/>
      <c r="E48" s="48"/>
      <c r="F48" s="41"/>
      <c r="H48" s="313"/>
      <c r="I48" s="313"/>
      <c r="J48" s="313"/>
    </row>
    <row r="49" spans="2:10" x14ac:dyDescent="0.25">
      <c r="B49" s="41"/>
      <c r="C49" s="618"/>
      <c r="D49" s="618"/>
      <c r="E49" s="48"/>
      <c r="F49" s="41"/>
      <c r="H49" s="313"/>
      <c r="I49" s="313"/>
      <c r="J49" s="313"/>
    </row>
    <row r="50" spans="2:10" ht="24" customHeight="1" x14ac:dyDescent="0.25">
      <c r="B50" s="41" t="s">
        <v>887</v>
      </c>
      <c r="E50" s="720">
        <v>1815295</v>
      </c>
      <c r="F50" s="41"/>
      <c r="G50" s="313"/>
    </row>
    <row r="51" spans="2:10" x14ac:dyDescent="0.25">
      <c r="B51" s="910" t="s">
        <v>467</v>
      </c>
      <c r="C51" s="910"/>
      <c r="D51" s="910"/>
      <c r="E51" s="649">
        <v>300</v>
      </c>
      <c r="F51" s="41"/>
      <c r="H51" s="610"/>
    </row>
    <row r="52" spans="2:10" s="432" customFormat="1" ht="13.8" thickBot="1" x14ac:dyDescent="0.3">
      <c r="B52" s="41" t="s">
        <v>641</v>
      </c>
      <c r="C52" s="41"/>
      <c r="D52" s="41"/>
      <c r="E52" s="836">
        <f>+E44+E51</f>
        <v>1815595.4950000001</v>
      </c>
      <c r="F52" s="618"/>
      <c r="G52" s="618"/>
      <c r="H52" s="618"/>
      <c r="I52" s="434"/>
    </row>
    <row r="53" spans="2:10" ht="14.4" thickTop="1" thickBot="1" x14ac:dyDescent="0.3">
      <c r="H53" s="313"/>
    </row>
    <row r="54" spans="2:10" x14ac:dyDescent="0.25">
      <c r="B54" s="941" t="s">
        <v>738</v>
      </c>
      <c r="C54" s="942"/>
      <c r="D54" s="942"/>
      <c r="E54" s="943"/>
      <c r="F54" s="313"/>
      <c r="G54" s="610"/>
    </row>
    <row r="55" spans="2:10" x14ac:dyDescent="0.25">
      <c r="B55" s="944"/>
      <c r="C55" s="945"/>
      <c r="D55" s="945"/>
      <c r="E55" s="946"/>
    </row>
    <row r="56" spans="2:10" x14ac:dyDescent="0.25">
      <c r="B56" s="944"/>
      <c r="C56" s="945"/>
      <c r="D56" s="945"/>
      <c r="E56" s="946"/>
    </row>
    <row r="57" spans="2:10" x14ac:dyDescent="0.25">
      <c r="B57" s="944"/>
      <c r="C57" s="945"/>
      <c r="D57" s="945"/>
      <c r="E57" s="946"/>
    </row>
    <row r="58" spans="2:10" x14ac:dyDescent="0.25">
      <c r="B58" s="944"/>
      <c r="C58" s="945"/>
      <c r="D58" s="945"/>
      <c r="E58" s="946"/>
    </row>
    <row r="59" spans="2:10" ht="13.8" thickBot="1" x14ac:dyDescent="0.3">
      <c r="B59" s="947"/>
      <c r="C59" s="948"/>
      <c r="D59" s="948"/>
      <c r="E59" s="949"/>
    </row>
    <row r="61" spans="2:10" x14ac:dyDescent="0.25">
      <c r="B61" s="17" t="s">
        <v>8</v>
      </c>
    </row>
    <row r="63" spans="2:10" x14ac:dyDescent="0.25">
      <c r="C63" s="313">
        <f>C47-'6-Net Pos-Prop'!B74</f>
        <v>0.53499999979976565</v>
      </c>
      <c r="D63" s="313">
        <f>D47-'6-Net Pos-Prop'!C74</f>
        <v>-0.85999999940395355</v>
      </c>
      <c r="E63" s="313">
        <f>E52-'2-GWStmtAct'!G41</f>
        <v>1.0000000242143869E-2</v>
      </c>
    </row>
  </sheetData>
  <sheetProtection selectLockedCells="1" selectUnlockedCells="1"/>
  <mergeCells count="7">
    <mergeCell ref="B54:E59"/>
    <mergeCell ref="B3:F3"/>
    <mergeCell ref="B4:F4"/>
    <mergeCell ref="B5:F5"/>
    <mergeCell ref="B6:F6"/>
    <mergeCell ref="C8:E8"/>
    <mergeCell ref="B51:D51"/>
  </mergeCells>
  <printOptions horizontalCentered="1"/>
  <pageMargins left="0.7" right="0.7" top="0.75" bottom="0.75" header="0.3" footer="0.3"/>
  <pageSetup scale="85" fitToWidth="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FF00"/>
    <pageSetUpPr fitToPage="1"/>
  </sheetPr>
  <dimension ref="B2:Q95"/>
  <sheetViews>
    <sheetView topLeftCell="B1" workbookViewId="0">
      <selection activeCell="D33" sqref="D33"/>
    </sheetView>
  </sheetViews>
  <sheetFormatPr defaultColWidth="9.109375" defaultRowHeight="13.2" x14ac:dyDescent="0.25"/>
  <cols>
    <col min="1" max="1" width="9.109375" style="41"/>
    <col min="2" max="2" width="49" style="41" customWidth="1"/>
    <col min="3" max="3" width="12.6640625" style="41" customWidth="1"/>
    <col min="4" max="4" width="2.6640625" style="41" customWidth="1"/>
    <col min="5" max="5" width="12.6640625" style="41" customWidth="1"/>
    <col min="6" max="6" width="2.6640625" style="41" customWidth="1"/>
    <col min="7" max="7" width="12.6640625" style="41" customWidth="1"/>
    <col min="8" max="8" width="2.6640625" style="41" customWidth="1"/>
    <col min="9" max="9" width="12.6640625" style="41" customWidth="1"/>
    <col min="10" max="10" width="12.109375" style="41" customWidth="1"/>
    <col min="11" max="11" width="10.44140625" style="41" bestFit="1" customWidth="1"/>
    <col min="12" max="12" width="9.109375" style="41"/>
    <col min="13" max="13" width="9.44140625" style="41" bestFit="1" customWidth="1"/>
    <col min="14" max="14" width="11.109375" style="41" bestFit="1" customWidth="1"/>
    <col min="15" max="16384" width="9.109375" style="41"/>
  </cols>
  <sheetData>
    <row r="2" spans="2:9" x14ac:dyDescent="0.25">
      <c r="I2" s="82" t="s">
        <v>399</v>
      </c>
    </row>
    <row r="3" spans="2:9" x14ac:dyDescent="0.25">
      <c r="B3" s="84" t="s">
        <v>0</v>
      </c>
      <c r="C3" s="84"/>
      <c r="D3" s="84"/>
      <c r="E3" s="84"/>
      <c r="F3" s="84"/>
      <c r="G3" s="84"/>
      <c r="H3" s="84"/>
      <c r="I3" s="84"/>
    </row>
    <row r="4" spans="2:9" x14ac:dyDescent="0.25">
      <c r="B4" s="84" t="s">
        <v>400</v>
      </c>
      <c r="C4" s="84"/>
      <c r="D4" s="84"/>
      <c r="E4" s="84"/>
      <c r="F4" s="84"/>
      <c r="G4" s="84"/>
      <c r="H4" s="84"/>
      <c r="I4" s="84"/>
    </row>
    <row r="5" spans="2:9" x14ac:dyDescent="0.25">
      <c r="B5" s="84" t="s">
        <v>43</v>
      </c>
      <c r="C5" s="84"/>
      <c r="D5" s="84"/>
      <c r="E5" s="84"/>
      <c r="F5" s="84"/>
      <c r="G5" s="84"/>
      <c r="H5" s="84"/>
      <c r="I5" s="84"/>
    </row>
    <row r="6" spans="2:9" x14ac:dyDescent="0.25">
      <c r="B6" s="909" t="s">
        <v>858</v>
      </c>
      <c r="C6" s="909"/>
      <c r="D6" s="909"/>
      <c r="E6" s="909"/>
      <c r="F6" s="909"/>
      <c r="G6" s="909"/>
      <c r="H6" s="909"/>
      <c r="I6" s="909"/>
    </row>
    <row r="7" spans="2:9" x14ac:dyDescent="0.25">
      <c r="B7" s="84"/>
      <c r="C7" s="84"/>
      <c r="D7" s="84"/>
      <c r="E7" s="84"/>
      <c r="F7" s="84"/>
      <c r="G7" s="84"/>
      <c r="H7" s="132"/>
      <c r="I7" s="132"/>
    </row>
    <row r="8" spans="2:9" x14ac:dyDescent="0.25">
      <c r="B8" s="132"/>
      <c r="C8" s="85" t="s">
        <v>534</v>
      </c>
      <c r="D8" s="85"/>
      <c r="E8" s="85"/>
      <c r="F8" s="85"/>
      <c r="G8" s="85"/>
      <c r="H8" s="132"/>
      <c r="I8" s="308"/>
    </row>
    <row r="9" spans="2:9" x14ac:dyDescent="0.25">
      <c r="B9" s="132"/>
      <c r="C9" s="86"/>
      <c r="D9" s="86"/>
      <c r="E9" s="86" t="s">
        <v>401</v>
      </c>
      <c r="F9" s="86"/>
      <c r="G9" s="86"/>
      <c r="H9" s="132"/>
      <c r="I9" s="86" t="s">
        <v>402</v>
      </c>
    </row>
    <row r="10" spans="2:9" x14ac:dyDescent="0.25">
      <c r="B10" s="132"/>
      <c r="C10" s="86" t="s">
        <v>403</v>
      </c>
      <c r="D10" s="86"/>
      <c r="E10" s="86" t="s">
        <v>404</v>
      </c>
      <c r="F10" s="86"/>
      <c r="G10" s="86"/>
      <c r="H10" s="132"/>
      <c r="I10" s="86" t="s">
        <v>405</v>
      </c>
    </row>
    <row r="11" spans="2:9" x14ac:dyDescent="0.25">
      <c r="B11" s="132"/>
      <c r="C11" s="83" t="s">
        <v>406</v>
      </c>
      <c r="D11" s="86"/>
      <c r="E11" s="83" t="s">
        <v>406</v>
      </c>
      <c r="F11" s="83"/>
      <c r="G11" s="83" t="s">
        <v>1</v>
      </c>
      <c r="H11" s="132"/>
      <c r="I11" s="83" t="s">
        <v>406</v>
      </c>
    </row>
    <row r="13" spans="2:9" x14ac:dyDescent="0.25">
      <c r="B13" s="309" t="s">
        <v>407</v>
      </c>
    </row>
    <row r="14" spans="2:9" x14ac:dyDescent="0.25">
      <c r="B14" s="310" t="s">
        <v>466</v>
      </c>
      <c r="C14" s="448">
        <v>2818627</v>
      </c>
      <c r="E14" s="448">
        <f>1135249+415000</f>
        <v>1550249</v>
      </c>
      <c r="G14" s="448">
        <f t="shared" ref="G14:G19" si="0">C14+E14</f>
        <v>4368876</v>
      </c>
      <c r="I14" s="448">
        <f>31830+600+400</f>
        <v>32830</v>
      </c>
    </row>
    <row r="15" spans="2:9" x14ac:dyDescent="0.25">
      <c r="B15" s="310" t="s">
        <v>408</v>
      </c>
      <c r="C15" s="449">
        <v>-2589522</v>
      </c>
      <c r="D15" s="449"/>
      <c r="E15" s="449">
        <v>-204925</v>
      </c>
      <c r="F15" s="449"/>
      <c r="G15" s="449">
        <f t="shared" si="0"/>
        <v>-2794447</v>
      </c>
      <c r="H15" s="449"/>
      <c r="I15" s="449">
        <v>-4400</v>
      </c>
    </row>
    <row r="16" spans="2:9" x14ac:dyDescent="0.25">
      <c r="B16" s="310" t="s">
        <v>409</v>
      </c>
      <c r="C16" s="449">
        <f>-131325+20-(120000+45000+50)*0.395*0.2-(155000*0.395*0.2)</f>
        <v>-156588.95000000001</v>
      </c>
      <c r="D16" s="449"/>
      <c r="E16" s="449">
        <f>-243632+10-415000-(120000+45000+50)*0.395*0.8-1-(155000*0.395*0.8)</f>
        <v>-759758.8</v>
      </c>
      <c r="F16" s="449"/>
      <c r="G16" s="449">
        <f t="shared" si="0"/>
        <v>-916347.75</v>
      </c>
      <c r="I16" s="449">
        <f>-18000-(120000+45000+50)*0.02*0.6-(155000*0.605*0.02)</f>
        <v>-21856.1</v>
      </c>
    </row>
    <row r="17" spans="2:9" x14ac:dyDescent="0.25">
      <c r="B17" s="310" t="s">
        <v>410</v>
      </c>
      <c r="C17" s="449">
        <v>10000</v>
      </c>
      <c r="D17" s="449"/>
      <c r="E17" s="449">
        <v>5290</v>
      </c>
      <c r="F17" s="449"/>
      <c r="G17" s="449">
        <f t="shared" si="0"/>
        <v>15290</v>
      </c>
      <c r="I17" s="449">
        <v>0</v>
      </c>
    </row>
    <row r="18" spans="2:9" x14ac:dyDescent="0.25">
      <c r="B18" s="310" t="s">
        <v>411</v>
      </c>
      <c r="C18" s="449">
        <v>-30129</v>
      </c>
      <c r="D18" s="449"/>
      <c r="E18" s="449">
        <v>-8473</v>
      </c>
      <c r="F18" s="449"/>
      <c r="G18" s="449">
        <f t="shared" si="0"/>
        <v>-38602</v>
      </c>
      <c r="I18" s="449">
        <v>0</v>
      </c>
    </row>
    <row r="19" spans="2:9" x14ac:dyDescent="0.25">
      <c r="B19" s="310" t="s">
        <v>86</v>
      </c>
      <c r="C19" s="148">
        <v>11524</v>
      </c>
      <c r="D19" s="449"/>
      <c r="E19" s="148">
        <v>630</v>
      </c>
      <c r="F19" s="450"/>
      <c r="G19" s="449">
        <f t="shared" si="0"/>
        <v>12154</v>
      </c>
      <c r="I19" s="148">
        <v>0</v>
      </c>
    </row>
    <row r="20" spans="2:9" x14ac:dyDescent="0.25">
      <c r="B20" s="429" t="s">
        <v>412</v>
      </c>
      <c r="C20" s="451">
        <f>SUM(C14:C19)</f>
        <v>63911.049999999988</v>
      </c>
      <c r="D20" s="449"/>
      <c r="E20" s="451">
        <f>SUM(E14:E19)</f>
        <v>583012.19999999995</v>
      </c>
      <c r="F20" s="450"/>
      <c r="G20" s="451">
        <f>SUM(G14:G19)</f>
        <v>646923.25</v>
      </c>
      <c r="I20" s="451">
        <f>SUM(I14:I19)</f>
        <v>6573.9000000000015</v>
      </c>
    </row>
    <row r="21" spans="2:9" ht="5.0999999999999996" customHeight="1" x14ac:dyDescent="0.25">
      <c r="B21" s="310"/>
      <c r="C21" s="449"/>
      <c r="D21" s="449"/>
      <c r="E21" s="449"/>
      <c r="F21" s="449"/>
      <c r="G21" s="449"/>
      <c r="I21" s="449"/>
    </row>
    <row r="22" spans="2:9" ht="26.4" x14ac:dyDescent="0.25">
      <c r="B22" s="309" t="s">
        <v>413</v>
      </c>
      <c r="C22" s="449"/>
      <c r="D22" s="449"/>
      <c r="E22" s="449"/>
      <c r="F22" s="449"/>
      <c r="G22" s="449"/>
      <c r="I22" s="449"/>
    </row>
    <row r="23" spans="2:9" x14ac:dyDescent="0.25">
      <c r="B23" s="310" t="s">
        <v>647</v>
      </c>
      <c r="C23" s="449">
        <v>-20</v>
      </c>
      <c r="D23" s="449"/>
      <c r="E23" s="449">
        <v>-10</v>
      </c>
      <c r="F23" s="449"/>
      <c r="G23" s="450">
        <f>C23+E23</f>
        <v>-30</v>
      </c>
      <c r="I23" s="449">
        <v>100</v>
      </c>
    </row>
    <row r="24" spans="2:9" x14ac:dyDescent="0.25">
      <c r="B24" s="310" t="s">
        <v>699</v>
      </c>
      <c r="C24" s="449">
        <v>0</v>
      </c>
      <c r="D24" s="449"/>
      <c r="E24" s="449">
        <v>30000</v>
      </c>
      <c r="F24" s="449"/>
      <c r="G24" s="450">
        <f>C24+E24</f>
        <v>30000</v>
      </c>
      <c r="I24" s="449">
        <v>0</v>
      </c>
    </row>
    <row r="25" spans="2:9" x14ac:dyDescent="0.25">
      <c r="B25" s="310" t="s">
        <v>483</v>
      </c>
      <c r="C25" s="449">
        <v>0</v>
      </c>
      <c r="D25" s="449"/>
      <c r="E25" s="450">
        <v>97400</v>
      </c>
      <c r="F25" s="449"/>
      <c r="G25" s="450">
        <f>C25+E25</f>
        <v>97400</v>
      </c>
      <c r="I25" s="449">
        <v>0</v>
      </c>
    </row>
    <row r="26" spans="2:9" x14ac:dyDescent="0.25">
      <c r="B26" s="310" t="s">
        <v>484</v>
      </c>
      <c r="C26" s="148">
        <v>-5986</v>
      </c>
      <c r="D26" s="449"/>
      <c r="E26" s="148">
        <v>-4827</v>
      </c>
      <c r="F26" s="450"/>
      <c r="G26" s="148">
        <f>C26+E26</f>
        <v>-10813</v>
      </c>
      <c r="I26" s="148">
        <v>0</v>
      </c>
    </row>
    <row r="27" spans="2:9" ht="26.4" x14ac:dyDescent="0.25">
      <c r="B27" s="310" t="s">
        <v>806</v>
      </c>
      <c r="C27" s="451">
        <f>SUM(C23:C26)</f>
        <v>-6006</v>
      </c>
      <c r="D27" s="449"/>
      <c r="E27" s="451">
        <f>SUM(E23:E26)</f>
        <v>122563</v>
      </c>
      <c r="F27" s="450"/>
      <c r="G27" s="451">
        <f>SUM(G23:G26)</f>
        <v>116557</v>
      </c>
      <c r="I27" s="451">
        <f>SUM(I23:I26)</f>
        <v>100</v>
      </c>
    </row>
    <row r="28" spans="2:9" ht="5.0999999999999996" customHeight="1" x14ac:dyDescent="0.25">
      <c r="B28" s="310"/>
      <c r="C28" s="450"/>
      <c r="D28" s="449"/>
      <c r="E28" s="450"/>
      <c r="F28" s="450"/>
      <c r="G28" s="450"/>
      <c r="I28" s="450"/>
    </row>
    <row r="29" spans="2:9" ht="26.4" x14ac:dyDescent="0.25">
      <c r="B29" s="309" t="s">
        <v>414</v>
      </c>
      <c r="C29" s="449"/>
      <c r="D29" s="449"/>
      <c r="E29" s="449"/>
      <c r="F29" s="449"/>
      <c r="G29" s="449"/>
      <c r="I29" s="449"/>
    </row>
    <row r="30" spans="2:9" x14ac:dyDescent="0.25">
      <c r="B30" s="310" t="s">
        <v>498</v>
      </c>
      <c r="C30" s="449">
        <v>0</v>
      </c>
      <c r="D30" s="449"/>
      <c r="E30" s="449">
        <v>675000</v>
      </c>
      <c r="F30" s="449"/>
      <c r="G30" s="450">
        <f t="shared" ref="G30:G38" si="1">C30+E30</f>
        <v>675000</v>
      </c>
      <c r="I30" s="449">
        <v>0</v>
      </c>
    </row>
    <row r="31" spans="2:9" x14ac:dyDescent="0.25">
      <c r="B31" s="310" t="s">
        <v>415</v>
      </c>
      <c r="C31" s="449">
        <v>-100010</v>
      </c>
      <c r="D31" s="449"/>
      <c r="E31" s="449">
        <f>-(1282309+3800000)</f>
        <v>-5082309</v>
      </c>
      <c r="F31" s="449"/>
      <c r="G31" s="450">
        <f t="shared" si="1"/>
        <v>-5182319</v>
      </c>
      <c r="I31" s="449">
        <v>-1000</v>
      </c>
    </row>
    <row r="32" spans="2:9" ht="18" customHeight="1" x14ac:dyDescent="0.25">
      <c r="B32" s="872" t="s">
        <v>871</v>
      </c>
      <c r="C32" s="449">
        <v>0</v>
      </c>
      <c r="D32" s="449"/>
      <c r="E32" s="838">
        <f>-317339-9238</f>
        <v>-326577</v>
      </c>
      <c r="F32" s="449"/>
      <c r="G32" s="450">
        <f t="shared" si="1"/>
        <v>-326577</v>
      </c>
      <c r="I32" s="449">
        <v>0</v>
      </c>
    </row>
    <row r="33" spans="2:9" x14ac:dyDescent="0.25">
      <c r="B33" s="310" t="s">
        <v>93</v>
      </c>
      <c r="C33" s="449">
        <v>0</v>
      </c>
      <c r="D33" s="449"/>
      <c r="E33" s="449">
        <v>-10000</v>
      </c>
      <c r="F33" s="449"/>
      <c r="G33" s="450">
        <f t="shared" si="1"/>
        <v>-10000</v>
      </c>
      <c r="I33" s="449">
        <v>0</v>
      </c>
    </row>
    <row r="34" spans="2:9" ht="18" customHeight="1" x14ac:dyDescent="0.25">
      <c r="B34" s="441" t="s">
        <v>872</v>
      </c>
      <c r="C34" s="449">
        <v>0</v>
      </c>
      <c r="D34" s="449"/>
      <c r="E34" s="838">
        <f>-83098-762</f>
        <v>-83860</v>
      </c>
      <c r="F34" s="449"/>
      <c r="G34" s="450">
        <f t="shared" si="1"/>
        <v>-83860</v>
      </c>
      <c r="I34" s="449">
        <v>0</v>
      </c>
    </row>
    <row r="35" spans="2:9" ht="18" customHeight="1" x14ac:dyDescent="0.25">
      <c r="B35" s="585" t="s">
        <v>870</v>
      </c>
      <c r="C35" s="449"/>
      <c r="D35" s="449"/>
      <c r="E35" s="838">
        <v>13911</v>
      </c>
      <c r="F35" s="449"/>
      <c r="G35" s="450">
        <f t="shared" si="1"/>
        <v>13911</v>
      </c>
      <c r="I35" s="449"/>
    </row>
    <row r="36" spans="2:9" ht="12.75" customHeight="1" x14ac:dyDescent="0.25">
      <c r="B36" s="441" t="s">
        <v>543</v>
      </c>
      <c r="C36" s="449">
        <v>0</v>
      </c>
      <c r="D36" s="449"/>
      <c r="E36" s="449">
        <v>3650000</v>
      </c>
      <c r="F36" s="449"/>
      <c r="G36" s="450">
        <f t="shared" si="1"/>
        <v>3650000</v>
      </c>
      <c r="I36" s="449">
        <v>0</v>
      </c>
    </row>
    <row r="37" spans="2:9" x14ac:dyDescent="0.25">
      <c r="B37" s="310" t="s">
        <v>416</v>
      </c>
      <c r="C37" s="449">
        <v>0</v>
      </c>
      <c r="D37" s="449"/>
      <c r="E37" s="449">
        <v>57948</v>
      </c>
      <c r="F37" s="449"/>
      <c r="G37" s="450">
        <f t="shared" si="1"/>
        <v>57948</v>
      </c>
      <c r="I37" s="449">
        <v>0</v>
      </c>
    </row>
    <row r="38" spans="2:9" x14ac:dyDescent="0.25">
      <c r="B38" s="310" t="s">
        <v>417</v>
      </c>
      <c r="C38" s="148">
        <v>0</v>
      </c>
      <c r="D38" s="449"/>
      <c r="E38" s="148">
        <v>70000</v>
      </c>
      <c r="F38" s="450"/>
      <c r="G38" s="450">
        <f t="shared" si="1"/>
        <v>70000</v>
      </c>
      <c r="I38" s="148">
        <v>0</v>
      </c>
    </row>
    <row r="39" spans="2:9" ht="26.4" x14ac:dyDescent="0.25">
      <c r="B39" s="429" t="s">
        <v>418</v>
      </c>
      <c r="C39" s="451">
        <f>SUM(C30:C38)</f>
        <v>-100010</v>
      </c>
      <c r="D39" s="449"/>
      <c r="E39" s="451">
        <f>SUM(E30:E38)</f>
        <v>-1035887</v>
      </c>
      <c r="F39" s="450"/>
      <c r="G39" s="451">
        <f>SUM(G30:G38)</f>
        <v>-1135897</v>
      </c>
      <c r="I39" s="451">
        <f>SUM(I30:I38)</f>
        <v>-1000</v>
      </c>
    </row>
    <row r="40" spans="2:9" ht="5.0999999999999996" customHeight="1" x14ac:dyDescent="0.25">
      <c r="B40" s="310"/>
      <c r="C40" s="449"/>
      <c r="D40" s="449"/>
      <c r="E40" s="449"/>
      <c r="F40" s="449"/>
      <c r="G40" s="449"/>
      <c r="I40" s="449"/>
    </row>
    <row r="41" spans="2:9" x14ac:dyDescent="0.25">
      <c r="B41" s="309" t="s">
        <v>419</v>
      </c>
      <c r="C41" s="449"/>
      <c r="D41" s="449"/>
      <c r="E41" s="449"/>
      <c r="F41" s="449"/>
      <c r="G41" s="449"/>
      <c r="I41" s="449"/>
    </row>
    <row r="42" spans="2:9" x14ac:dyDescent="0.25">
      <c r="B42" s="310" t="s">
        <v>420</v>
      </c>
      <c r="C42" s="148">
        <v>1228</v>
      </c>
      <c r="D42" s="449"/>
      <c r="E42" s="148">
        <f>38122</f>
        <v>38122</v>
      </c>
      <c r="F42" s="450"/>
      <c r="G42" s="148">
        <f>C42+E42</f>
        <v>39350</v>
      </c>
      <c r="I42" s="148">
        <v>700</v>
      </c>
    </row>
    <row r="43" spans="2:9" ht="18" customHeight="1" x14ac:dyDescent="0.25">
      <c r="B43" s="438" t="s">
        <v>421</v>
      </c>
      <c r="C43" s="449">
        <f>C20+C27+C39+C42</f>
        <v>-40876.950000000012</v>
      </c>
      <c r="D43" s="449"/>
      <c r="E43" s="838">
        <f>E20+E27+E39+E42</f>
        <v>-292189.80000000005</v>
      </c>
      <c r="F43" s="449"/>
      <c r="G43" s="449">
        <f>G20+G27+G39+G42</f>
        <v>-333066.75</v>
      </c>
      <c r="I43" s="449">
        <f>I20+I27+I39+I42</f>
        <v>6373.9000000000015</v>
      </c>
    </row>
    <row r="44" spans="2:9" x14ac:dyDescent="0.25">
      <c r="B44" s="310" t="s">
        <v>527</v>
      </c>
      <c r="C44" s="148">
        <f>38825+100000</f>
        <v>138825</v>
      </c>
      <c r="D44" s="449"/>
      <c r="E44" s="854">
        <f>1969851+100000+1-30000+63714</f>
        <v>2103566</v>
      </c>
      <c r="F44" s="450"/>
      <c r="G44" s="148">
        <f>C44+E44</f>
        <v>2242391</v>
      </c>
      <c r="I44" s="148">
        <v>16500</v>
      </c>
    </row>
    <row r="45" spans="2:9" ht="13.8" thickBot="1" x14ac:dyDescent="0.3">
      <c r="B45" s="310" t="s">
        <v>528</v>
      </c>
      <c r="C45" s="452">
        <f>C43+C44</f>
        <v>97948.049999999988</v>
      </c>
      <c r="D45" s="448"/>
      <c r="E45" s="452">
        <f>E43+E44</f>
        <v>1811376.2</v>
      </c>
      <c r="F45" s="453"/>
      <c r="G45" s="452">
        <f>G43+G44</f>
        <v>1909324.25</v>
      </c>
      <c r="I45" s="452">
        <f>SUM(I43:I44)</f>
        <v>22873.9</v>
      </c>
    </row>
    <row r="46" spans="2:9" ht="13.8" thickTop="1" x14ac:dyDescent="0.25">
      <c r="B46" s="310"/>
      <c r="C46" s="449"/>
      <c r="D46" s="449"/>
      <c r="E46" s="449"/>
      <c r="F46" s="449"/>
      <c r="G46" s="449"/>
      <c r="I46" s="449"/>
    </row>
    <row r="47" spans="2:9" x14ac:dyDescent="0.25">
      <c r="C47" s="449"/>
      <c r="D47" s="449"/>
      <c r="E47" s="449"/>
      <c r="F47" s="449"/>
      <c r="G47" s="449"/>
      <c r="I47" s="454" t="s">
        <v>494</v>
      </c>
    </row>
    <row r="48" spans="2:9" x14ac:dyDescent="0.25">
      <c r="C48" s="449"/>
      <c r="D48" s="449"/>
      <c r="E48" s="449"/>
      <c r="F48" s="449"/>
      <c r="G48" s="449"/>
      <c r="I48" s="454"/>
    </row>
    <row r="49" spans="2:17" x14ac:dyDescent="0.25">
      <c r="C49" s="449"/>
      <c r="D49" s="449"/>
      <c r="E49" s="449"/>
      <c r="F49" s="449"/>
      <c r="G49" s="449"/>
      <c r="I49" s="454"/>
    </row>
    <row r="50" spans="2:17" x14ac:dyDescent="0.25">
      <c r="C50" s="449"/>
      <c r="D50" s="449"/>
      <c r="E50" s="449"/>
      <c r="F50" s="449"/>
      <c r="G50" s="449"/>
      <c r="I50" s="454"/>
    </row>
    <row r="51" spans="2:17" x14ac:dyDescent="0.25">
      <c r="C51" s="449"/>
      <c r="D51" s="449"/>
      <c r="E51" s="449"/>
      <c r="F51" s="449"/>
      <c r="G51" s="449"/>
      <c r="I51" s="454"/>
    </row>
    <row r="52" spans="2:17" x14ac:dyDescent="0.25">
      <c r="C52" s="449"/>
      <c r="D52" s="449"/>
      <c r="E52" s="449"/>
      <c r="F52" s="449"/>
      <c r="G52" s="449"/>
      <c r="I52" s="454"/>
    </row>
    <row r="53" spans="2:17" x14ac:dyDescent="0.25">
      <c r="C53" s="449"/>
      <c r="D53" s="449"/>
      <c r="E53" s="449"/>
      <c r="F53" s="449"/>
      <c r="G53" s="449"/>
      <c r="I53" s="454"/>
    </row>
    <row r="54" spans="2:17" x14ac:dyDescent="0.25">
      <c r="C54" s="449"/>
      <c r="D54" s="449"/>
      <c r="E54" s="449"/>
      <c r="F54" s="449"/>
      <c r="G54" s="449"/>
      <c r="I54" s="454"/>
    </row>
    <row r="55" spans="2:17" x14ac:dyDescent="0.25">
      <c r="C55" s="449"/>
      <c r="D55" s="449"/>
      <c r="E55" s="449"/>
      <c r="F55" s="449"/>
      <c r="G55" s="449"/>
      <c r="I55" s="454"/>
    </row>
    <row r="56" spans="2:17" x14ac:dyDescent="0.25">
      <c r="B56" s="310"/>
      <c r="C56" s="449"/>
      <c r="D56" s="449"/>
      <c r="E56" s="449"/>
      <c r="F56" s="449"/>
      <c r="G56" s="449"/>
      <c r="I56" s="454"/>
    </row>
    <row r="57" spans="2:17" x14ac:dyDescent="0.25">
      <c r="B57" s="84" t="s">
        <v>0</v>
      </c>
      <c r="C57" s="84"/>
      <c r="D57" s="84"/>
      <c r="E57" s="84"/>
      <c r="F57" s="84"/>
      <c r="G57" s="84"/>
      <c r="H57" s="84"/>
      <c r="I57" s="84"/>
    </row>
    <row r="58" spans="2:17" x14ac:dyDescent="0.25">
      <c r="B58" s="84" t="s">
        <v>400</v>
      </c>
      <c r="C58" s="84"/>
      <c r="D58" s="84"/>
      <c r="E58" s="84"/>
      <c r="F58" s="84"/>
      <c r="G58" s="84"/>
      <c r="H58" s="84"/>
      <c r="I58" s="84"/>
    </row>
    <row r="59" spans="2:17" x14ac:dyDescent="0.25">
      <c r="B59" s="84" t="s">
        <v>43</v>
      </c>
      <c r="C59" s="84"/>
      <c r="D59" s="84"/>
      <c r="E59" s="84"/>
      <c r="F59" s="84"/>
      <c r="G59" s="84"/>
      <c r="H59" s="84"/>
      <c r="I59" s="84"/>
      <c r="K59" s="624"/>
      <c r="L59" s="624"/>
      <c r="M59" s="624"/>
      <c r="N59" s="624"/>
      <c r="O59" s="624"/>
      <c r="P59" s="624"/>
      <c r="Q59" s="624"/>
    </row>
    <row r="60" spans="2:17" x14ac:dyDescent="0.25">
      <c r="B60" s="84" t="str">
        <f>B6</f>
        <v>For the Year Ended June 30, 2023</v>
      </c>
      <c r="C60" s="84"/>
      <c r="D60" s="84"/>
      <c r="E60" s="84"/>
      <c r="F60" s="84"/>
      <c r="G60" s="84"/>
      <c r="H60" s="84"/>
      <c r="I60" s="84"/>
      <c r="K60" s="625"/>
      <c r="L60" s="624"/>
      <c r="M60" s="624"/>
      <c r="N60" s="624"/>
      <c r="O60" s="624"/>
      <c r="P60" s="624"/>
    </row>
    <row r="61" spans="2:17" x14ac:dyDescent="0.25">
      <c r="B61" s="84"/>
      <c r="C61" s="84"/>
      <c r="D61" s="84"/>
      <c r="E61" s="84"/>
      <c r="F61" s="84"/>
      <c r="G61" s="84"/>
      <c r="H61" s="132"/>
      <c r="I61" s="41" t="s">
        <v>494</v>
      </c>
      <c r="K61" s="625"/>
      <c r="L61" s="624"/>
      <c r="M61" s="624"/>
      <c r="N61" s="624"/>
      <c r="P61" s="624"/>
      <c r="Q61" s="624"/>
    </row>
    <row r="62" spans="2:17" x14ac:dyDescent="0.25">
      <c r="K62" s="625"/>
      <c r="L62" s="624"/>
      <c r="M62" s="624"/>
      <c r="N62" s="624"/>
      <c r="O62" s="624"/>
      <c r="P62" s="624"/>
      <c r="Q62" s="624"/>
    </row>
    <row r="63" spans="2:17" ht="36.75" customHeight="1" x14ac:dyDescent="0.25">
      <c r="B63" s="310" t="s">
        <v>422</v>
      </c>
      <c r="C63" s="449"/>
      <c r="D63" s="449"/>
      <c r="E63" s="449"/>
      <c r="F63" s="449"/>
      <c r="G63" s="449"/>
      <c r="I63" s="449"/>
      <c r="K63" s="625"/>
      <c r="L63" s="624"/>
      <c r="M63" s="624"/>
      <c r="N63" s="624"/>
      <c r="O63" s="624"/>
      <c r="P63" s="624"/>
      <c r="Q63" s="624"/>
    </row>
    <row r="64" spans="2:17" ht="15.9" customHeight="1" x14ac:dyDescent="0.25">
      <c r="B64" s="429" t="s">
        <v>423</v>
      </c>
      <c r="C64" s="455">
        <f>'7-Rev, Exp-Prop'!C27</f>
        <v>-11660.625</v>
      </c>
      <c r="D64" s="448"/>
      <c r="E64" s="455">
        <f>'7-Rev, Exp-Prop'!D27</f>
        <v>367305.5</v>
      </c>
      <c r="F64" s="453"/>
      <c r="G64" s="455">
        <f>C64+E64</f>
        <v>355644.875</v>
      </c>
      <c r="I64" s="455">
        <f>'7-Rev, Exp-Prop'!F27</f>
        <v>-1404.116399999999</v>
      </c>
    </row>
    <row r="65" spans="2:13" ht="26.4" x14ac:dyDescent="0.25">
      <c r="B65" s="310" t="s">
        <v>424</v>
      </c>
      <c r="C65" s="449"/>
      <c r="D65" s="449"/>
      <c r="E65" s="449"/>
      <c r="F65" s="449"/>
      <c r="G65" s="449"/>
      <c r="I65" s="449"/>
    </row>
    <row r="66" spans="2:13" x14ac:dyDescent="0.25">
      <c r="B66" s="429" t="s">
        <v>863</v>
      </c>
      <c r="C66" s="449">
        <v>178273</v>
      </c>
      <c r="D66" s="449"/>
      <c r="E66" s="838">
        <f>251204+9431</f>
        <v>260635</v>
      </c>
      <c r="F66" s="449"/>
      <c r="G66" s="449">
        <f>C66+E66</f>
        <v>438908</v>
      </c>
      <c r="I66" s="449">
        <v>4766</v>
      </c>
    </row>
    <row r="67" spans="2:13" ht="26.4" x14ac:dyDescent="0.25">
      <c r="B67" s="310" t="s">
        <v>718</v>
      </c>
      <c r="C67" s="449"/>
      <c r="D67" s="449"/>
      <c r="E67" s="449"/>
      <c r="F67" s="449"/>
      <c r="G67" s="449"/>
      <c r="I67" s="449"/>
      <c r="L67" s="626"/>
      <c r="M67" s="627"/>
    </row>
    <row r="68" spans="2:13" x14ac:dyDescent="0.25">
      <c r="B68" s="429" t="s">
        <v>425</v>
      </c>
      <c r="C68" s="449">
        <v>-3108</v>
      </c>
      <c r="D68" s="449"/>
      <c r="E68" s="449">
        <v>6258</v>
      </c>
      <c r="F68" s="449"/>
      <c r="G68" s="449">
        <f t="shared" ref="G68:G81" si="2">C68+E68</f>
        <v>3150</v>
      </c>
      <c r="I68" s="449">
        <v>0</v>
      </c>
      <c r="L68" s="628"/>
      <c r="M68" s="627"/>
    </row>
    <row r="69" spans="2:13" x14ac:dyDescent="0.25">
      <c r="B69" s="429" t="s">
        <v>426</v>
      </c>
      <c r="C69" s="449">
        <v>90</v>
      </c>
      <c r="D69" s="449"/>
      <c r="E69" s="449">
        <v>-153</v>
      </c>
      <c r="F69" s="449"/>
      <c r="G69" s="449">
        <f t="shared" si="2"/>
        <v>-63</v>
      </c>
      <c r="I69" s="449">
        <v>0</v>
      </c>
      <c r="L69" s="629"/>
      <c r="M69" s="627"/>
    </row>
    <row r="70" spans="2:13" x14ac:dyDescent="0.25">
      <c r="B70" s="429" t="s">
        <v>578</v>
      </c>
      <c r="C70" s="449">
        <v>-5605</v>
      </c>
      <c r="D70" s="449"/>
      <c r="E70" s="449">
        <f>1840+1</f>
        <v>1841</v>
      </c>
      <c r="F70" s="449"/>
      <c r="G70" s="449">
        <f t="shared" si="2"/>
        <v>-3764</v>
      </c>
      <c r="I70" s="449">
        <f>1800-4</f>
        <v>1796</v>
      </c>
      <c r="L70" s="625"/>
      <c r="M70" s="627"/>
    </row>
    <row r="71" spans="2:13" x14ac:dyDescent="0.25">
      <c r="B71" s="429" t="s">
        <v>768</v>
      </c>
      <c r="C71" s="449">
        <v>-125</v>
      </c>
      <c r="D71" s="449"/>
      <c r="E71" s="449">
        <v>-260</v>
      </c>
      <c r="F71" s="449"/>
      <c r="G71" s="449">
        <f t="shared" si="2"/>
        <v>-385</v>
      </c>
      <c r="I71" s="449">
        <v>0</v>
      </c>
      <c r="L71" s="625"/>
      <c r="M71" s="627"/>
    </row>
    <row r="72" spans="2:13" ht="26.4" x14ac:dyDescent="0.25">
      <c r="B72" s="429" t="s">
        <v>798</v>
      </c>
      <c r="C72" s="449">
        <f>-(571293-275249)*0.395*0.2</f>
        <v>-23387.476000000002</v>
      </c>
      <c r="D72" s="449"/>
      <c r="E72" s="449">
        <f>(275249-571293)*0.395*0.8</f>
        <v>-93549.90400000001</v>
      </c>
      <c r="F72" s="449"/>
      <c r="G72" s="449">
        <f t="shared" si="2"/>
        <v>-116937.38</v>
      </c>
      <c r="I72" s="449">
        <f>(275249-571293)*0.605*0.02</f>
        <v>-3582.1324</v>
      </c>
      <c r="J72" s="611"/>
      <c r="K72" s="449"/>
      <c r="L72" s="625"/>
      <c r="M72" s="627"/>
    </row>
    <row r="73" spans="2:13" x14ac:dyDescent="0.25">
      <c r="B73" s="429" t="s">
        <v>796</v>
      </c>
      <c r="C73" s="449">
        <f>-0.395*0.2*(19588+45000+50-89774)</f>
        <v>1985.7440000000004</v>
      </c>
      <c r="D73" s="449"/>
      <c r="E73" s="449">
        <f>-0.395*0.8*(19588+45000+50-89774)</f>
        <v>7942.9760000000015</v>
      </c>
      <c r="F73" s="449"/>
      <c r="G73" s="449">
        <f t="shared" si="2"/>
        <v>9928.7200000000012</v>
      </c>
      <c r="I73" s="449">
        <f>-0.6*0.02*(19588+45000+50-89774)</f>
        <v>301.63200000000001</v>
      </c>
      <c r="J73" s="611"/>
      <c r="K73" s="449"/>
      <c r="L73" s="625"/>
      <c r="M73" s="627"/>
    </row>
    <row r="74" spans="2:13" x14ac:dyDescent="0.25">
      <c r="B74" s="429" t="s">
        <v>799</v>
      </c>
      <c r="C74" s="449">
        <f>(654766-346796)*0.395*0.2</f>
        <v>24329.630000000005</v>
      </c>
      <c r="D74" s="449"/>
      <c r="E74" s="449">
        <f>(654766-346796)*0.395*0.8</f>
        <v>97318.520000000019</v>
      </c>
      <c r="F74" s="449"/>
      <c r="G74" s="449">
        <f t="shared" si="2"/>
        <v>121648.15000000002</v>
      </c>
      <c r="I74" s="449">
        <f>(654766-346796)*0.605*0.02</f>
        <v>3726.4370000000004</v>
      </c>
      <c r="J74" s="611"/>
      <c r="L74" s="625"/>
      <c r="M74" s="627"/>
    </row>
    <row r="75" spans="2:13" ht="26.4" x14ac:dyDescent="0.25">
      <c r="B75" s="429" t="s">
        <v>800</v>
      </c>
      <c r="C75" s="449">
        <f>(13710-24834)*0.395*0.2</f>
        <v>-878.79600000000016</v>
      </c>
      <c r="D75" s="449"/>
      <c r="E75" s="449">
        <f>(13710-24834)*0.395*0.8</f>
        <v>-3515.1840000000007</v>
      </c>
      <c r="F75" s="449"/>
      <c r="G75" s="449">
        <f t="shared" si="2"/>
        <v>-4393.9800000000005</v>
      </c>
      <c r="I75" s="449">
        <f>(13710-24834)*0.605*0.02</f>
        <v>-134.60039999999998</v>
      </c>
      <c r="J75" s="611"/>
      <c r="L75" s="625"/>
      <c r="M75" s="627"/>
    </row>
    <row r="76" spans="2:13" ht="26.4" x14ac:dyDescent="0.25">
      <c r="B76" s="429" t="s">
        <v>427</v>
      </c>
      <c r="C76" s="449">
        <f>-92226+40-10895+12925+10895-33</f>
        <v>-79294</v>
      </c>
      <c r="D76" s="449"/>
      <c r="E76" s="838">
        <f>-71789+10-13074-12925+13074-132</f>
        <v>-84836</v>
      </c>
      <c r="F76" s="449"/>
      <c r="G76" s="449">
        <f t="shared" si="2"/>
        <v>-164130</v>
      </c>
      <c r="I76" s="449">
        <v>107</v>
      </c>
      <c r="J76" s="611"/>
      <c r="L76" s="625"/>
      <c r="M76" s="627"/>
    </row>
    <row r="77" spans="2:13" x14ac:dyDescent="0.25">
      <c r="B77" s="429" t="s">
        <v>499</v>
      </c>
      <c r="C77" s="449">
        <f>-20129</f>
        <v>-20129</v>
      </c>
      <c r="D77" s="449"/>
      <c r="E77" s="449">
        <f>-3183</f>
        <v>-3183</v>
      </c>
      <c r="F77" s="449"/>
      <c r="G77" s="449">
        <f t="shared" si="2"/>
        <v>-23312</v>
      </c>
      <c r="I77" s="449">
        <v>0</v>
      </c>
      <c r="L77" s="625"/>
      <c r="M77" s="627"/>
    </row>
    <row r="78" spans="2:13" x14ac:dyDescent="0.25">
      <c r="B78" s="429" t="s">
        <v>286</v>
      </c>
      <c r="C78" s="450">
        <v>2350</v>
      </c>
      <c r="D78" s="450"/>
      <c r="E78" s="450">
        <v>22925</v>
      </c>
      <c r="F78" s="450"/>
      <c r="G78" s="450">
        <f t="shared" si="2"/>
        <v>25275</v>
      </c>
      <c r="H78" s="48"/>
      <c r="I78" s="450">
        <f>500+334</f>
        <v>834</v>
      </c>
      <c r="L78" s="625"/>
      <c r="M78" s="627"/>
    </row>
    <row r="79" spans="2:13" x14ac:dyDescent="0.25">
      <c r="B79" s="429" t="s">
        <v>786</v>
      </c>
      <c r="C79" s="450">
        <f>0.395*0.2*6063</f>
        <v>478.97700000000009</v>
      </c>
      <c r="D79" s="450"/>
      <c r="E79" s="450">
        <f>0.395*0.8*6063</f>
        <v>1915.9080000000004</v>
      </c>
      <c r="F79" s="450"/>
      <c r="G79" s="450">
        <f t="shared" si="2"/>
        <v>2394.8850000000002</v>
      </c>
      <c r="H79" s="48"/>
      <c r="I79" s="450">
        <f>0.6*0.02*6063</f>
        <v>72.756</v>
      </c>
      <c r="L79" s="625"/>
      <c r="M79" s="627"/>
    </row>
    <row r="80" spans="2:13" x14ac:dyDescent="0.25">
      <c r="B80" s="429" t="s">
        <v>784</v>
      </c>
      <c r="C80" s="450">
        <f>-(1189833-1197321)*0.395*0.2</f>
        <v>591.55200000000002</v>
      </c>
      <c r="D80" s="450"/>
      <c r="E80" s="450">
        <f>-(1189833-1197321)*0.395*0.8</f>
        <v>2366.2080000000001</v>
      </c>
      <c r="F80" s="450"/>
      <c r="G80" s="450">
        <f t="shared" si="2"/>
        <v>2957.76</v>
      </c>
      <c r="H80" s="48"/>
      <c r="I80" s="450">
        <f>-(1189833-1197321)*0.6*0.02</f>
        <v>89.856000000000009</v>
      </c>
      <c r="L80" s="625"/>
      <c r="M80" s="627"/>
    </row>
    <row r="81" spans="2:14" hidden="1" x14ac:dyDescent="0.25">
      <c r="B81" s="429" t="s">
        <v>587</v>
      </c>
      <c r="C81" s="148">
        <v>0</v>
      </c>
      <c r="D81" s="450"/>
      <c r="E81" s="148">
        <v>0</v>
      </c>
      <c r="F81" s="450"/>
      <c r="G81" s="449">
        <f t="shared" si="2"/>
        <v>0</v>
      </c>
      <c r="I81" s="148">
        <v>0</v>
      </c>
      <c r="L81" s="625"/>
      <c r="M81" s="630"/>
      <c r="N81" s="611"/>
    </row>
    <row r="82" spans="2:14" x14ac:dyDescent="0.25">
      <c r="B82" s="438" t="s">
        <v>428</v>
      </c>
      <c r="C82" s="451">
        <f>SUM(C66:C81)</f>
        <v>75571.631000000008</v>
      </c>
      <c r="D82" s="450"/>
      <c r="E82" s="451">
        <f>SUM(E66:E81)</f>
        <v>215705.524</v>
      </c>
      <c r="F82" s="450"/>
      <c r="G82" s="451">
        <f>SUM(G66:G81)+0.35</f>
        <v>291277.505</v>
      </c>
      <c r="I82" s="451">
        <f>SUM(I66:I81)</f>
        <v>7976.9482000000007</v>
      </c>
      <c r="L82" s="625"/>
      <c r="M82" s="624"/>
    </row>
    <row r="83" spans="2:14" ht="13.8" thickBot="1" x14ac:dyDescent="0.3">
      <c r="B83" s="310" t="s">
        <v>429</v>
      </c>
      <c r="C83" s="452">
        <f>C82+C64</f>
        <v>63911.006000000008</v>
      </c>
      <c r="D83" s="453"/>
      <c r="E83" s="452">
        <f>E82+E64+0.49</f>
        <v>583011.51399999997</v>
      </c>
      <c r="F83" s="453"/>
      <c r="G83" s="452">
        <f>G82+G64+0.35</f>
        <v>646922.73</v>
      </c>
      <c r="I83" s="452">
        <f>I82+I64</f>
        <v>6572.8318000000017</v>
      </c>
      <c r="L83" s="625"/>
      <c r="M83" s="630"/>
    </row>
    <row r="84" spans="2:14" ht="13.8" thickTop="1" x14ac:dyDescent="0.25">
      <c r="I84" s="449"/>
      <c r="J84" s="611"/>
    </row>
    <row r="85" spans="2:14" x14ac:dyDescent="0.25">
      <c r="B85" s="41" t="s">
        <v>8</v>
      </c>
    </row>
    <row r="86" spans="2:14" ht="13.8" thickBot="1" x14ac:dyDescent="0.3"/>
    <row r="87" spans="2:14" ht="12.75" customHeight="1" x14ac:dyDescent="0.25">
      <c r="B87" s="951" t="s">
        <v>837</v>
      </c>
      <c r="C87" s="952"/>
    </row>
    <row r="88" spans="2:14" x14ac:dyDescent="0.25">
      <c r="B88" s="953"/>
      <c r="C88" s="954"/>
    </row>
    <row r="89" spans="2:14" x14ac:dyDescent="0.25">
      <c r="B89" s="953"/>
      <c r="C89" s="954"/>
    </row>
    <row r="90" spans="2:14" ht="13.8" thickBot="1" x14ac:dyDescent="0.3">
      <c r="B90" s="955"/>
      <c r="C90" s="956"/>
    </row>
    <row r="92" spans="2:14" x14ac:dyDescent="0.25">
      <c r="C92" s="42">
        <f>C83-C20</f>
        <v>-4.3999999979860149E-2</v>
      </c>
      <c r="D92" s="42"/>
      <c r="E92" s="42">
        <f>E83-E20</f>
        <v>-0.68599999998696148</v>
      </c>
      <c r="F92" s="42"/>
      <c r="G92" s="42">
        <f>G83-G20</f>
        <v>-0.52000000001862645</v>
      </c>
      <c r="H92" s="42"/>
      <c r="I92" s="42">
        <f>I83-I20</f>
        <v>-1.0681999999997061</v>
      </c>
    </row>
    <row r="93" spans="2:14" x14ac:dyDescent="0.25">
      <c r="C93" s="42"/>
    </row>
    <row r="95" spans="2:14" ht="21" x14ac:dyDescent="0.4">
      <c r="B95" s="950"/>
      <c r="C95" s="950"/>
      <c r="D95" s="950"/>
      <c r="E95" s="950"/>
      <c r="F95" s="950"/>
      <c r="G95" s="950"/>
      <c r="H95" s="950"/>
      <c r="I95" s="950"/>
    </row>
  </sheetData>
  <mergeCells count="3">
    <mergeCell ref="B95:I95"/>
    <mergeCell ref="B6:I6"/>
    <mergeCell ref="B87:C90"/>
  </mergeCells>
  <printOptions horizontalCentered="1"/>
  <pageMargins left="0.7" right="0.7" top="0.75" bottom="0.75" header="0.3" footer="0.3"/>
  <pageSetup scale="85" fitToHeight="0" orientation="portrait" r:id="rId1"/>
  <rowBreaks count="1" manualBreakCount="1">
    <brk id="55" max="16383" man="1"/>
  </rowBreaks>
  <ignoredErrors>
    <ignoredError sqref="G4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scription0 xmlns="b0d8bf0e-b15b-456f-8ae4-2bdf59acac1f" xsi:nil="true"/>
    <Publication_x0020_Date xmlns="b0d8bf0e-b15b-456f-8ae4-2bdf59acac1f" xsi:nil="true"/>
    <Sort_x0020_Order xmlns="b0d8bf0e-b15b-456f-8ae4-2bdf59acac1f" xsi:nil="true"/>
    <Category xmlns="b0d8bf0e-b15b-456f-8ae4-2bdf59acac1f" xsi:nil="true"/>
    <Resource_x0020_Category xmlns="b0d8bf0e-b15b-456f-8ae4-2bdf59acac1f" xsi:nil="true"/>
    <Resource_x0020_Group xmlns="b0d8bf0e-b15b-456f-8ae4-2bdf59acac1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3E6D748AC7C9C43A96C5224165110D7" ma:contentTypeVersion="14" ma:contentTypeDescription="Create a new document." ma:contentTypeScope="" ma:versionID="04c839d3a56f026a73d1cf96db788e9e">
  <xsd:schema xmlns:xsd="http://www.w3.org/2001/XMLSchema" xmlns:xs="http://www.w3.org/2001/XMLSchema" xmlns:p="http://schemas.microsoft.com/office/2006/metadata/properties" xmlns:ns2="b0d8bf0e-b15b-456f-8ae4-2bdf59acac1f" xmlns:ns3="d4ea4015-5b02-447c-9074-d5807a41497e" targetNamespace="http://schemas.microsoft.com/office/2006/metadata/properties" ma:root="true" ma:fieldsID="9e4fe7c83c102520a0fb93416c304af6" ns2:_="" ns3:_="">
    <xsd:import namespace="b0d8bf0e-b15b-456f-8ae4-2bdf59acac1f"/>
    <xsd:import namespace="d4ea4015-5b02-447c-9074-d5807a41497e"/>
    <xsd:element name="properties">
      <xsd:complexType>
        <xsd:sequence>
          <xsd:element name="documentManagement">
            <xsd:complexType>
              <xsd:all>
                <xsd:element ref="ns2:Category" minOccurs="0"/>
                <xsd:element ref="ns2:Description0" minOccurs="0"/>
                <xsd:element ref="ns2:Publication_x0020_Date" minOccurs="0"/>
                <xsd:element ref="ns2:Resource_x0020_Category" minOccurs="0"/>
                <xsd:element ref="ns2:Resource_x0020_Group" minOccurs="0"/>
                <xsd:element ref="ns2:Sort_x0020_Order"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bf0e-b15b-456f-8ae4-2bdf59acac1f" elementFormDefault="qualified">
    <xsd:import namespace="http://schemas.microsoft.com/office/2006/documentManagement/types"/>
    <xsd:import namespace="http://schemas.microsoft.com/office/infopath/2007/PartnerControls"/>
    <xsd:element name="Category" ma:index="4" nillable="true" ma:displayName="Category" ma:description="Category" ma:internalName="Category" ma:readOnly="false">
      <xsd:simpleType>
        <xsd:restriction base="dms:Text">
          <xsd:maxLength value="255"/>
        </xsd:restriction>
      </xsd:simpleType>
    </xsd:element>
    <xsd:element name="Description0" ma:index="5" nillable="true" ma:displayName="Description" ma:description="Description" ma:internalName="Description0" ma:readOnly="false">
      <xsd:simpleType>
        <xsd:restriction base="dms:Text">
          <xsd:maxLength value="255"/>
        </xsd:restriction>
      </xsd:simpleType>
    </xsd:element>
    <xsd:element name="Publication_x0020_Date" ma:index="7" nillable="true" ma:displayName="Publication Date" ma:description="Publication Date" ma:internalName="Publication_x0020_Date" ma:readOnly="false">
      <xsd:simpleType>
        <xsd:restriction base="dms:Text">
          <xsd:maxLength value="255"/>
        </xsd:restriction>
      </xsd:simpleType>
    </xsd:element>
    <xsd:element name="Resource_x0020_Category" ma:index="8" nillable="true" ma:displayName="Resource Category" ma:description="Determines if the item appears on the Sample Financial Statements page OR the Aids to Financial Statement Preparation page" ma:format="Dropdown" ma:internalName="Resource_x0020_Category" ma:readOnly="false">
      <xsd:simpleType>
        <xsd:restriction base="dms:Choice">
          <xsd:enumeration value="Sample Financial Statement"/>
          <xsd:enumeration value="Preparation Aid"/>
        </xsd:restriction>
      </xsd:simpleType>
    </xsd:element>
    <xsd:element name="Resource_x0020_Group" ma:index="9" nillable="true" ma:displayName="Resource Group" ma:format="Dropdown" ma:internalName="Resource_x0020_Group" ma:readOnly="false">
      <xsd:simpleType>
        <xsd:restriction base="dms:Choice">
          <xsd:enumeration value="Board of Education Specific Worksheets"/>
          <xsd:enumeration value="Charter School Specific Worksheets"/>
          <xsd:enumeration value="County Specific Worksheets"/>
          <xsd:enumeration value="Municipal Specific Worksheets"/>
          <xsd:enumeration value="Writing a Management Discussion &amp; Analysis"/>
        </xsd:restriction>
      </xsd:simpleType>
    </xsd:element>
    <xsd:element name="Sort_x0020_Order" ma:index="10" nillable="true" ma:displayName="Sort Order" ma:internalName="Sort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4ea4015-5b02-447c-9074-d5807a41497e"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SharedWithUsers" ma:index="1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80F00315-6633-4533-93A9-319D15A34099}">
  <ds:schemaRefs>
    <ds:schemaRef ds:uri="http://schemas.microsoft.com/sharepoint/v3/contenttype/forms"/>
  </ds:schemaRefs>
</ds:datastoreItem>
</file>

<file path=customXml/itemProps2.xml><?xml version="1.0" encoding="utf-8"?>
<ds:datastoreItem xmlns:ds="http://schemas.openxmlformats.org/officeDocument/2006/customXml" ds:itemID="{65909095-7D71-4250-983B-D24D726CE743}">
  <ds:schemaRefs>
    <ds:schemaRef ds:uri="http://purl.org/dc/elements/1.1/"/>
    <ds:schemaRef ds:uri="b0d8bf0e-b15b-456f-8ae4-2bdf59acac1f"/>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d4ea4015-5b02-447c-9074-d5807a41497e"/>
    <ds:schemaRef ds:uri="http://schemas.microsoft.com/office/2006/metadata/properties"/>
  </ds:schemaRefs>
</ds:datastoreItem>
</file>

<file path=customXml/itemProps3.xml><?xml version="1.0" encoding="utf-8"?>
<ds:datastoreItem xmlns:ds="http://schemas.openxmlformats.org/officeDocument/2006/customXml" ds:itemID="{F58F888D-F5B9-43B4-969F-6BF7C37A21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8bf0e-b15b-456f-8ae4-2bdf59acac1f"/>
    <ds:schemaRef ds:uri="d4ea4015-5b02-447c-9074-d5807a4149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95EDC1D-34FD-48D5-8901-D4DC2C8F824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37</vt:i4>
      </vt:variant>
    </vt:vector>
  </HeadingPairs>
  <TitlesOfParts>
    <vt:vector size="72" baseType="lpstr">
      <vt:lpstr>1-GWNetPos</vt:lpstr>
      <vt:lpstr>2-GWStmtAct</vt:lpstr>
      <vt:lpstr>3-GASB34GovtFundsBS</vt:lpstr>
      <vt:lpstr>4-GASB34GovtFundsIS</vt:lpstr>
      <vt:lpstr>4-Recon Change Net Pos</vt:lpstr>
      <vt:lpstr>5-GASB34GovtFundsBudget</vt:lpstr>
      <vt:lpstr>6-Net Pos-Prop</vt:lpstr>
      <vt:lpstr>7-Rev, Exp-Prop</vt:lpstr>
      <vt:lpstr>8-Cash Flow-Prop</vt:lpstr>
      <vt:lpstr>RSI-SSA2</vt:lpstr>
      <vt:lpstr>RSI - LGERS2</vt:lpstr>
      <vt:lpstr>RSI - SF1</vt:lpstr>
      <vt:lpstr>RSI - LGERS1</vt:lpstr>
      <vt:lpstr>RSI - LEO 1</vt:lpstr>
      <vt:lpstr>RSI - LEO 2</vt:lpstr>
      <vt:lpstr>RSI - OPEB 1</vt:lpstr>
      <vt:lpstr>GFBud-Act</vt:lpstr>
      <vt:lpstr>Bud-Act Econ Dev in GF</vt:lpstr>
      <vt:lpstr>911-Fund</vt:lpstr>
      <vt:lpstr>Comb BS-Nonmajor Govt</vt:lpstr>
      <vt:lpstr>Comb IS-Nonmajor Govt</vt:lpstr>
      <vt:lpstr>Bud-ActNon-MajorGovt</vt:lpstr>
      <vt:lpstr>SRFNon-Major Fines &amp; Forfeiture</vt:lpstr>
      <vt:lpstr>CPBud-Act</vt:lpstr>
      <vt:lpstr>ElecFd-Bud-Act</vt:lpstr>
      <vt:lpstr>ElecStabFdBud-Act</vt:lpstr>
      <vt:lpstr>W&amp;SBud-Act</vt:lpstr>
      <vt:lpstr>W&amp;SCPBud-Act</vt:lpstr>
      <vt:lpstr>ISB-A</vt:lpstr>
      <vt:lpstr>TaxesRec</vt:lpstr>
      <vt:lpstr>AnalysisTaxLevy</vt:lpstr>
      <vt:lpstr>USDA-WSF SNP</vt:lpstr>
      <vt:lpstr>USDA-WSF SOA</vt:lpstr>
      <vt:lpstr>USDA-WSF SCF</vt:lpstr>
      <vt:lpstr>Major Fund Det</vt:lpstr>
      <vt:lpstr>'1-GWNetPos'!Print_Area</vt:lpstr>
      <vt:lpstr>'2-GWStmtAct'!Print_Area</vt:lpstr>
      <vt:lpstr>'3-GASB34GovtFundsBS'!Print_Area</vt:lpstr>
      <vt:lpstr>'4-GASB34GovtFundsIS'!Print_Area</vt:lpstr>
      <vt:lpstr>'4-Recon Change Net Pos'!Print_Area</vt:lpstr>
      <vt:lpstr>'5-GASB34GovtFundsBudget'!Print_Area</vt:lpstr>
      <vt:lpstr>'6-Net Pos-Prop'!Print_Area</vt:lpstr>
      <vt:lpstr>'7-Rev, Exp-Prop'!Print_Area</vt:lpstr>
      <vt:lpstr>'8-Cash Flow-Prop'!Print_Area</vt:lpstr>
      <vt:lpstr>'911-Fund'!Print_Area</vt:lpstr>
      <vt:lpstr>AnalysisTaxLevy!Print_Area</vt:lpstr>
      <vt:lpstr>'Bud-Act Econ Dev in GF'!Print_Area</vt:lpstr>
      <vt:lpstr>'Bud-ActNon-MajorGovt'!Print_Area</vt:lpstr>
      <vt:lpstr>'Comb BS-Nonmajor Govt'!Print_Area</vt:lpstr>
      <vt:lpstr>'Comb IS-Nonmajor Govt'!Print_Area</vt:lpstr>
      <vt:lpstr>'CPBud-Act'!Print_Area</vt:lpstr>
      <vt:lpstr>'ElecFd-Bud-Act'!Print_Area</vt:lpstr>
      <vt:lpstr>'ElecStabFdBud-Act'!Print_Area</vt:lpstr>
      <vt:lpstr>'GFBud-Act'!Print_Area</vt:lpstr>
      <vt:lpstr>'ISB-A'!Print_Area</vt:lpstr>
      <vt:lpstr>'Major Fund Det'!Print_Area</vt:lpstr>
      <vt:lpstr>'RSI - LEO 1'!Print_Area</vt:lpstr>
      <vt:lpstr>'RSI - LEO 2'!Print_Area</vt:lpstr>
      <vt:lpstr>'RSI - LGERS1'!Print_Area</vt:lpstr>
      <vt:lpstr>'RSI - LGERS2'!Print_Area</vt:lpstr>
      <vt:lpstr>'RSI - OPEB 1'!Print_Area</vt:lpstr>
      <vt:lpstr>'RSI - SF1'!Print_Area</vt:lpstr>
      <vt:lpstr>'RSI-SSA2'!Print_Area</vt:lpstr>
      <vt:lpstr>TaxesRec!Print_Area</vt:lpstr>
      <vt:lpstr>'USDA-WSF SCF'!Print_Area</vt:lpstr>
      <vt:lpstr>'USDA-WSF SNP'!Print_Area</vt:lpstr>
      <vt:lpstr>'USDA-WSF SOA'!Print_Area</vt:lpstr>
      <vt:lpstr>'W&amp;SBud-Act'!Print_Area</vt:lpstr>
      <vt:lpstr>'W&amp;SCPBud-Act'!Print_Area</vt:lpstr>
      <vt:lpstr>'ElecFd-Bud-Act'!Print_Titles</vt:lpstr>
      <vt:lpstr>'GFBud-Act'!Print_Titles</vt:lpstr>
      <vt:lpstr>'W&amp;SBud-Act'!Print_Titles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Samatha Cox</dc:creator>
  <cp:lastModifiedBy>Kendra Boyle</cp:lastModifiedBy>
  <cp:lastPrinted>2023-09-04T15:42:01Z</cp:lastPrinted>
  <dcterms:created xsi:type="dcterms:W3CDTF">2001-01-26T20:11:38Z</dcterms:created>
  <dcterms:modified xsi:type="dcterms:W3CDTF">2023-09-04T15:42:24Z</dcterms:modified>
</cp:coreProperties>
</file>