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N:\FMS\CCH\CCH Data Input Workbook Templates\2024 Data Input Workbooks\2024 DIW Master Templates\Final\"/>
    </mc:Choice>
  </mc:AlternateContent>
  <xr:revisionPtr revIDLastSave="0" documentId="13_ncr:1_{E0B7E149-890A-4EB0-AF2C-0902A5114442}" xr6:coauthVersionLast="47" xr6:coauthVersionMax="47" xr10:uidLastSave="{00000000-0000-0000-0000-000000000000}"/>
  <bookViews>
    <workbookView xWindow="57480" yWindow="-8370" windowWidth="29040" windowHeight="15840" tabRatio="878" xr2:uid="{00000000-000D-0000-FFFF-FFFF00000000}"/>
  </bookViews>
  <sheets>
    <sheet name="Instructions" sheetId="81" r:id="rId1"/>
    <sheet name="Unit Data from Audit Worksheet" sheetId="1" r:id="rId2"/>
    <sheet name="TD Info Completed by Auditor" sheetId="91" r:id="rId3"/>
    <sheet name="Performance  Indicators Print" sheetId="88" r:id="rId4"/>
    <sheet name="Import" sheetId="28" state="hidden" r:id="rId5"/>
    <sheet name="Performance Indicator FBA%" sheetId="93" r:id="rId6"/>
    <sheet name="RSS" sheetId="99" r:id="rId7"/>
    <sheet name="Electric trans" sheetId="89" r:id="rId8"/>
    <sheet name="Electric Policy Info" sheetId="100" state="hidden" r:id="rId9"/>
    <sheet name="Tax Reval Rate" sheetId="72" state="hidden" r:id="rId10"/>
    <sheet name="PY1 Data(H)" sheetId="82" state="hidden" r:id="rId11"/>
    <sheet name="PY2 Data(H)" sheetId="84" state="hidden" r:id="rId12"/>
    <sheet name="Unit Names(H)" sheetId="29" state="hidden" r:id="rId13"/>
  </sheets>
  <externalReferences>
    <externalReference r:id="rId14"/>
  </externalReferences>
  <definedNames>
    <definedName name="_xlnm._FilterDatabase" localSheetId="9" hidden="1">'Tax Reval Rate'!$A$7:$E$107</definedName>
    <definedName name="Audit_Dtl">[1]Database!$AC$3:$AP$413</definedName>
    <definedName name="errorCount">#REF!</definedName>
    <definedName name="ppp">#REF!</definedName>
    <definedName name="_xlnm.Print_Area" localSheetId="0">Instructions!$B$1:$B$53</definedName>
    <definedName name="_xlnm.Print_Area" localSheetId="3">'Performance  Indicators Print'!$A$1:$H$46</definedName>
    <definedName name="_xlnm.Print_Area" localSheetId="2">'TD Info Completed by Auditor'!$A$1:$D$44</definedName>
    <definedName name="_xlnm.Print_Area" localSheetId="1">'Unit Data from Audit Worksheet'!$A$9:$F$267</definedName>
    <definedName name="Print_Selection_Auditor">#REF!</definedName>
    <definedName name="Print_Selection_Internal" localSheetId="7">#REF!</definedName>
    <definedName name="Print_Selection_Internal" localSheetId="3">#REF!</definedName>
    <definedName name="Print_Selection_Internal" localSheetId="5">#REF!</definedName>
    <definedName name="Print_Selection_Internal">#REF!</definedName>
    <definedName name="_xlnm.Print_Titles" localSheetId="3">'Performance  Indicators Print'!$3:$5</definedName>
    <definedName name="_xlnm.Print_Titles" localSheetId="1">'Unit Data from Audit Worksheet'!$5:$5</definedName>
    <definedName name="showError">#REF!</definedName>
    <definedName name="TD_IMPORT_RANGE" localSheetId="7">#REF!</definedName>
    <definedName name="TD_IMPORT_RANGE" localSheetId="0">#REF!</definedName>
    <definedName name="TD_IMPORT_RANGE" localSheetId="3">#REF!</definedName>
    <definedName name="TD_IMPORT_RANGE" localSheetId="5">#REF!</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8" i="88" l="1"/>
  <c r="P28" i="88"/>
  <c r="Q19" i="88"/>
  <c r="P19" i="88"/>
  <c r="BS276" i="84"/>
  <c r="BT276" i="84"/>
  <c r="BU276" i="84"/>
  <c r="BV276" i="84"/>
  <c r="BS277" i="84"/>
  <c r="BT277" i="84"/>
  <c r="BU277" i="84"/>
  <c r="BV277" i="84"/>
  <c r="BS278" i="82"/>
  <c r="BT278" i="82"/>
  <c r="BU278" i="82"/>
  <c r="BV278" i="82"/>
  <c r="BS279" i="82"/>
  <c r="BT279" i="82"/>
  <c r="BU279" i="82"/>
  <c r="BV279" i="82"/>
  <c r="D329" i="82"/>
  <c r="BS347" i="82"/>
  <c r="BT347" i="82"/>
  <c r="BU347" i="82"/>
  <c r="BV347" i="82"/>
  <c r="BS332" i="82"/>
  <c r="BT332" i="82"/>
  <c r="BT336" i="82" s="1"/>
  <c r="BU332" i="82"/>
  <c r="BV332" i="82"/>
  <c r="BV336" i="82" s="1"/>
  <c r="BS333" i="82"/>
  <c r="BS336" i="82" s="1"/>
  <c r="BT333" i="82"/>
  <c r="BU333" i="82"/>
  <c r="BU336" i="82" s="1"/>
  <c r="BV333" i="82"/>
  <c r="BS334" i="82"/>
  <c r="BT334" i="82"/>
  <c r="BU334" i="82"/>
  <c r="BV334" i="82"/>
  <c r="BS285" i="82"/>
  <c r="BT285" i="82"/>
  <c r="BU285" i="82"/>
  <c r="BU328" i="82" s="1"/>
  <c r="BU329" i="82" s="1"/>
  <c r="BV285" i="82"/>
  <c r="BV328" i="82" s="1"/>
  <c r="BV329" i="82" s="1"/>
  <c r="BS286" i="82"/>
  <c r="BT286" i="82"/>
  <c r="BU286" i="82"/>
  <c r="BV286" i="82"/>
  <c r="BS287" i="82"/>
  <c r="BT287" i="82"/>
  <c r="BU287" i="82"/>
  <c r="BV287" i="82"/>
  <c r="BS288" i="82"/>
  <c r="BT288" i="82"/>
  <c r="BU288" i="82"/>
  <c r="BV288" i="82"/>
  <c r="BS289" i="82"/>
  <c r="BT289" i="82"/>
  <c r="BU289" i="82"/>
  <c r="BV289" i="82"/>
  <c r="BS290" i="82"/>
  <c r="BT290" i="82"/>
  <c r="BU290" i="82"/>
  <c r="BV290" i="82"/>
  <c r="BS291" i="82"/>
  <c r="BT291" i="82"/>
  <c r="BU291" i="82"/>
  <c r="BV291" i="82"/>
  <c r="BS292" i="82"/>
  <c r="BT292" i="82"/>
  <c r="BU292" i="82"/>
  <c r="BV292" i="82"/>
  <c r="BS293" i="82"/>
  <c r="BT293" i="82"/>
  <c r="BU293" i="82"/>
  <c r="BV293" i="82"/>
  <c r="BS294" i="82"/>
  <c r="BT294" i="82"/>
  <c r="BU294" i="82"/>
  <c r="BV294" i="82"/>
  <c r="BS295" i="82"/>
  <c r="BT295" i="82"/>
  <c r="BU295" i="82"/>
  <c r="BV295" i="82"/>
  <c r="BS296" i="82"/>
  <c r="BT296" i="82"/>
  <c r="BU296" i="82"/>
  <c r="BV296" i="82"/>
  <c r="BS297" i="82"/>
  <c r="BT297" i="82"/>
  <c r="BU297" i="82"/>
  <c r="BV297" i="82"/>
  <c r="BS298" i="82"/>
  <c r="BT298" i="82"/>
  <c r="BU298" i="82"/>
  <c r="BV298" i="82"/>
  <c r="BS299" i="82"/>
  <c r="BT299" i="82"/>
  <c r="BU299" i="82"/>
  <c r="BV299" i="82"/>
  <c r="BS300" i="82"/>
  <c r="BT300" i="82"/>
  <c r="BU300" i="82"/>
  <c r="BV300" i="82"/>
  <c r="BS301" i="82"/>
  <c r="BT301" i="82"/>
  <c r="BU301" i="82"/>
  <c r="BV301" i="82"/>
  <c r="BS302" i="82"/>
  <c r="BT302" i="82"/>
  <c r="BU302" i="82"/>
  <c r="BV302" i="82"/>
  <c r="BS303" i="82"/>
  <c r="BT303" i="82"/>
  <c r="BU303" i="82"/>
  <c r="BV303" i="82"/>
  <c r="BS304" i="82"/>
  <c r="BT304" i="82"/>
  <c r="BU304" i="82"/>
  <c r="BV304" i="82"/>
  <c r="BS305" i="82"/>
  <c r="BT305" i="82"/>
  <c r="BU305" i="82"/>
  <c r="BV305" i="82"/>
  <c r="BS306" i="82"/>
  <c r="BT306" i="82"/>
  <c r="BU306" i="82"/>
  <c r="BV306" i="82"/>
  <c r="BS307" i="82"/>
  <c r="BT307" i="82"/>
  <c r="BU307" i="82"/>
  <c r="BV307" i="82"/>
  <c r="BS308" i="82"/>
  <c r="BT308" i="82"/>
  <c r="BU308" i="82"/>
  <c r="BV308" i="82"/>
  <c r="BS309" i="82"/>
  <c r="BT309" i="82"/>
  <c r="BU309" i="82"/>
  <c r="BV309" i="82"/>
  <c r="BS310" i="82"/>
  <c r="BT310" i="82"/>
  <c r="BU310" i="82"/>
  <c r="BV310" i="82"/>
  <c r="BS311" i="82"/>
  <c r="BT311" i="82"/>
  <c r="BU311" i="82"/>
  <c r="BV311" i="82"/>
  <c r="BS312" i="82"/>
  <c r="BT312" i="82"/>
  <c r="BU312" i="82"/>
  <c r="BV312" i="82"/>
  <c r="BS313" i="82"/>
  <c r="BT313" i="82"/>
  <c r="BU313" i="82"/>
  <c r="BV313" i="82"/>
  <c r="BS314" i="82"/>
  <c r="BT314" i="82"/>
  <c r="BU314" i="82"/>
  <c r="BV314" i="82"/>
  <c r="BS315" i="82"/>
  <c r="BT315" i="82"/>
  <c r="BU315" i="82"/>
  <c r="BV315" i="82"/>
  <c r="BS316" i="82"/>
  <c r="BT316" i="82"/>
  <c r="BU316" i="82"/>
  <c r="BV316" i="82"/>
  <c r="BS317" i="82"/>
  <c r="BT317" i="82"/>
  <c r="BU317" i="82"/>
  <c r="BV317" i="82"/>
  <c r="BS318" i="82"/>
  <c r="BT318" i="82"/>
  <c r="BU318" i="82"/>
  <c r="BV318" i="82"/>
  <c r="BS319" i="82"/>
  <c r="BT319" i="82"/>
  <c r="BU319" i="82"/>
  <c r="BV319" i="82"/>
  <c r="BS320" i="82"/>
  <c r="BT320" i="82"/>
  <c r="BU320" i="82"/>
  <c r="BV320" i="82"/>
  <c r="BS321" i="82"/>
  <c r="BT321" i="82"/>
  <c r="BU321" i="82"/>
  <c r="BV321" i="82"/>
  <c r="BS322" i="82"/>
  <c r="BT322" i="82"/>
  <c r="BU322" i="82"/>
  <c r="BV322" i="82"/>
  <c r="BS323" i="82"/>
  <c r="BT323" i="82"/>
  <c r="BU323" i="82"/>
  <c r="BV323" i="82"/>
  <c r="BS324" i="82"/>
  <c r="BT324" i="82"/>
  <c r="BU324" i="82"/>
  <c r="BV324" i="82"/>
  <c r="BS325" i="82"/>
  <c r="BT325" i="82"/>
  <c r="BU325" i="82"/>
  <c r="BV325" i="82"/>
  <c r="BS326" i="82"/>
  <c r="BT326" i="82"/>
  <c r="BU326" i="82"/>
  <c r="BV326" i="82"/>
  <c r="BS327" i="82"/>
  <c r="BT327" i="82"/>
  <c r="BU327" i="82"/>
  <c r="BV327" i="82"/>
  <c r="BS328" i="82"/>
  <c r="BS329" i="82" s="1"/>
  <c r="BT328" i="82"/>
  <c r="BT329" i="82" s="1"/>
  <c r="AQ347" i="82"/>
  <c r="AR347" i="82"/>
  <c r="AS347" i="82"/>
  <c r="AT347" i="82"/>
  <c r="AU347" i="82"/>
  <c r="AV347" i="82"/>
  <c r="AW347" i="82"/>
  <c r="AX347" i="82"/>
  <c r="AY347" i="82"/>
  <c r="AZ347" i="82"/>
  <c r="BA347" i="82"/>
  <c r="BB347" i="82"/>
  <c r="BC347" i="82"/>
  <c r="BD347" i="82"/>
  <c r="BE347" i="82"/>
  <c r="BF347" i="82"/>
  <c r="BG347" i="82"/>
  <c r="BH347" i="82"/>
  <c r="BI347" i="82"/>
  <c r="BJ347" i="82"/>
  <c r="BK347" i="82"/>
  <c r="BL347" i="82"/>
  <c r="BM347" i="82"/>
  <c r="BN347" i="82"/>
  <c r="BO347" i="82"/>
  <c r="BP347" i="82"/>
  <c r="BQ347" i="82"/>
  <c r="BR347" i="82"/>
  <c r="AN347" i="82"/>
  <c r="AO347" i="82"/>
  <c r="AP347" i="82"/>
  <c r="D347" i="82"/>
  <c r="E282" i="84"/>
  <c r="F282" i="84"/>
  <c r="G282" i="84"/>
  <c r="H282" i="84"/>
  <c r="I282" i="84"/>
  <c r="J282" i="84"/>
  <c r="K282" i="84"/>
  <c r="L282" i="84"/>
  <c r="M282" i="84"/>
  <c r="N282" i="84"/>
  <c r="O282" i="84"/>
  <c r="P282" i="84"/>
  <c r="Q282" i="84"/>
  <c r="R282" i="84"/>
  <c r="S282" i="84"/>
  <c r="T282" i="84"/>
  <c r="U282" i="84"/>
  <c r="V282" i="84"/>
  <c r="W282" i="84"/>
  <c r="X282" i="84"/>
  <c r="Y282" i="84"/>
  <c r="Z282" i="84"/>
  <c r="AA282" i="84"/>
  <c r="AB282" i="84"/>
  <c r="AC282" i="84"/>
  <c r="AD282" i="84"/>
  <c r="AE282" i="84"/>
  <c r="AF282" i="84"/>
  <c r="AG282" i="84"/>
  <c r="AH282" i="84"/>
  <c r="AI282" i="84"/>
  <c r="AJ282" i="84"/>
  <c r="AK282" i="84"/>
  <c r="AL282" i="84"/>
  <c r="AM282" i="84"/>
  <c r="AN282" i="84"/>
  <c r="AO282" i="84"/>
  <c r="AP282" i="84"/>
  <c r="AQ282" i="84"/>
  <c r="AR282" i="84"/>
  <c r="AS282" i="84"/>
  <c r="AT282" i="84"/>
  <c r="AU282" i="84"/>
  <c r="AV282" i="84"/>
  <c r="AW282" i="84"/>
  <c r="AX282" i="84"/>
  <c r="AY282" i="84"/>
  <c r="AZ282" i="84"/>
  <c r="BA282" i="84"/>
  <c r="BB282" i="84"/>
  <c r="BC282" i="84"/>
  <c r="BD282" i="84"/>
  <c r="BE282" i="84"/>
  <c r="BF282" i="84"/>
  <c r="BG282" i="84"/>
  <c r="BH282" i="84"/>
  <c r="BI282" i="84"/>
  <c r="BJ282" i="84"/>
  <c r="BK282" i="84"/>
  <c r="BL282" i="84"/>
  <c r="BM282" i="84"/>
  <c r="BN282" i="84"/>
  <c r="BO282" i="84"/>
  <c r="BP282" i="84"/>
  <c r="BQ282" i="84"/>
  <c r="BR282" i="84"/>
  <c r="BS282" i="84"/>
  <c r="BT282" i="84"/>
  <c r="BU282" i="84"/>
  <c r="BV282" i="84"/>
  <c r="D282" i="84"/>
  <c r="L239" i="28" l="1"/>
  <c r="L240" i="28"/>
  <c r="G86" i="1"/>
  <c r="E278" i="82"/>
  <c r="F278" i="82"/>
  <c r="G278" i="82"/>
  <c r="H278" i="82"/>
  <c r="I278" i="82"/>
  <c r="J278" i="82"/>
  <c r="K278" i="82"/>
  <c r="L278" i="82"/>
  <c r="M278" i="82"/>
  <c r="N278" i="82"/>
  <c r="O278" i="82"/>
  <c r="P278" i="82"/>
  <c r="Q278" i="82"/>
  <c r="R278" i="82"/>
  <c r="S278" i="82"/>
  <c r="T278" i="82"/>
  <c r="U278" i="82"/>
  <c r="V278" i="82"/>
  <c r="W278" i="82"/>
  <c r="X278" i="82"/>
  <c r="Y278" i="82"/>
  <c r="Z278" i="82"/>
  <c r="AA278" i="82"/>
  <c r="AB278" i="82"/>
  <c r="AC278" i="82"/>
  <c r="AD278" i="82"/>
  <c r="AE278" i="82"/>
  <c r="AF278" i="82"/>
  <c r="AG278" i="82"/>
  <c r="AH278" i="82"/>
  <c r="AI278" i="82"/>
  <c r="AJ278" i="82"/>
  <c r="AK278" i="82"/>
  <c r="AL278" i="82"/>
  <c r="AM278" i="82"/>
  <c r="AN278" i="82"/>
  <c r="AO278" i="82"/>
  <c r="AP278" i="82"/>
  <c r="AQ278" i="82"/>
  <c r="AR278" i="82"/>
  <c r="AS278" i="82"/>
  <c r="AT278" i="82"/>
  <c r="AU278" i="82"/>
  <c r="AV278" i="82"/>
  <c r="AW278" i="82"/>
  <c r="AX278" i="82"/>
  <c r="AY278" i="82"/>
  <c r="AZ278" i="82"/>
  <c r="BA278" i="82"/>
  <c r="BB278" i="82"/>
  <c r="BC278" i="82"/>
  <c r="BD278" i="82"/>
  <c r="BE278" i="82"/>
  <c r="BF278" i="82"/>
  <c r="BG278" i="82"/>
  <c r="BH278" i="82"/>
  <c r="BI278" i="82"/>
  <c r="BJ278" i="82"/>
  <c r="BK278" i="82"/>
  <c r="BL278" i="82"/>
  <c r="BM278" i="82"/>
  <c r="BN278" i="82"/>
  <c r="BO278" i="82"/>
  <c r="BP278" i="82"/>
  <c r="BQ278" i="82"/>
  <c r="BR278" i="82"/>
  <c r="D278" i="82"/>
  <c r="N30" i="88"/>
  <c r="E332" i="82"/>
  <c r="F332" i="82"/>
  <c r="G332" i="82"/>
  <c r="H332" i="82"/>
  <c r="I332" i="82"/>
  <c r="J332" i="82"/>
  <c r="K332" i="82"/>
  <c r="L332" i="82"/>
  <c r="M332" i="82"/>
  <c r="N332" i="82"/>
  <c r="O332" i="82"/>
  <c r="P332" i="82"/>
  <c r="Q332" i="82"/>
  <c r="R332" i="82"/>
  <c r="S332" i="82"/>
  <c r="T332" i="82"/>
  <c r="U332" i="82"/>
  <c r="V332" i="82"/>
  <c r="W332" i="82"/>
  <c r="X332" i="82"/>
  <c r="Y332" i="82"/>
  <c r="Z332" i="82"/>
  <c r="AA332" i="82"/>
  <c r="AB332" i="82"/>
  <c r="AC332" i="82"/>
  <c r="AD332" i="82"/>
  <c r="AE332" i="82"/>
  <c r="AF332" i="82"/>
  <c r="AG332" i="82"/>
  <c r="AH332" i="82"/>
  <c r="AI332" i="82"/>
  <c r="AJ332" i="82"/>
  <c r="AK332" i="82"/>
  <c r="AL332" i="82"/>
  <c r="AM332" i="82"/>
  <c r="AN332" i="82"/>
  <c r="AO332" i="82"/>
  <c r="AP332" i="82"/>
  <c r="AQ332" i="82"/>
  <c r="AR332" i="82"/>
  <c r="AS332" i="82"/>
  <c r="AT332" i="82"/>
  <c r="AU332" i="82"/>
  <c r="AV332" i="82"/>
  <c r="AW332" i="82"/>
  <c r="AX332" i="82"/>
  <c r="AY332" i="82"/>
  <c r="AZ332" i="82"/>
  <c r="BA332" i="82"/>
  <c r="BB332" i="82"/>
  <c r="BC332" i="82"/>
  <c r="BD332" i="82"/>
  <c r="BE332" i="82"/>
  <c r="BF332" i="82"/>
  <c r="BG332" i="82"/>
  <c r="BH332" i="82"/>
  <c r="BI332" i="82"/>
  <c r="BJ332" i="82"/>
  <c r="BK332" i="82"/>
  <c r="BL332" i="82"/>
  <c r="BM332" i="82"/>
  <c r="BN332" i="82"/>
  <c r="BO332" i="82"/>
  <c r="BP332" i="82"/>
  <c r="BQ332" i="82"/>
  <c r="BR332" i="82"/>
  <c r="E333" i="82"/>
  <c r="F333" i="82"/>
  <c r="G333" i="82"/>
  <c r="H333" i="82"/>
  <c r="I333" i="82"/>
  <c r="J333" i="82"/>
  <c r="K333" i="82"/>
  <c r="L333" i="82"/>
  <c r="M333" i="82"/>
  <c r="N333" i="82"/>
  <c r="O333" i="82"/>
  <c r="P333" i="82"/>
  <c r="Q333" i="82"/>
  <c r="R333" i="82"/>
  <c r="S333" i="82"/>
  <c r="T333" i="82"/>
  <c r="U333" i="82"/>
  <c r="V333" i="82"/>
  <c r="W333" i="82"/>
  <c r="X333" i="82"/>
  <c r="Y333" i="82"/>
  <c r="Z333" i="82"/>
  <c r="AA333" i="82"/>
  <c r="AB333" i="82"/>
  <c r="AC333" i="82"/>
  <c r="AD333" i="82"/>
  <c r="AE333" i="82"/>
  <c r="AF333" i="82"/>
  <c r="AG333" i="82"/>
  <c r="AH333" i="82"/>
  <c r="AI333" i="82"/>
  <c r="AJ333" i="82"/>
  <c r="AK333" i="82"/>
  <c r="AL333" i="82"/>
  <c r="AM333" i="82"/>
  <c r="AN333" i="82"/>
  <c r="AO333" i="82"/>
  <c r="AP333" i="82"/>
  <c r="AQ333" i="82"/>
  <c r="AR333" i="82"/>
  <c r="AS333" i="82"/>
  <c r="AT333" i="82"/>
  <c r="AU333" i="82"/>
  <c r="AV333" i="82"/>
  <c r="AW333" i="82"/>
  <c r="AX333" i="82"/>
  <c r="AY333" i="82"/>
  <c r="AZ333" i="82"/>
  <c r="BA333" i="82"/>
  <c r="BB333" i="82"/>
  <c r="BC333" i="82"/>
  <c r="BD333" i="82"/>
  <c r="BE333" i="82"/>
  <c r="BF333" i="82"/>
  <c r="BG333" i="82"/>
  <c r="BH333" i="82"/>
  <c r="BI333" i="82"/>
  <c r="BJ333" i="82"/>
  <c r="BK333" i="82"/>
  <c r="BL333" i="82"/>
  <c r="BM333" i="82"/>
  <c r="BN333" i="82"/>
  <c r="BO333" i="82"/>
  <c r="BP333" i="82"/>
  <c r="BQ333" i="82"/>
  <c r="BR333" i="82"/>
  <c r="E334" i="82"/>
  <c r="F334" i="82"/>
  <c r="G334" i="82"/>
  <c r="H334" i="82"/>
  <c r="I334" i="82"/>
  <c r="J334" i="82"/>
  <c r="K334" i="82"/>
  <c r="L334" i="82"/>
  <c r="M334" i="82"/>
  <c r="N334" i="82"/>
  <c r="O334" i="82"/>
  <c r="P334" i="82"/>
  <c r="Q334" i="82"/>
  <c r="R334" i="82"/>
  <c r="S334" i="82"/>
  <c r="T334" i="82"/>
  <c r="U334" i="82"/>
  <c r="V334" i="82"/>
  <c r="W334" i="82"/>
  <c r="X334" i="82"/>
  <c r="Y334" i="82"/>
  <c r="Z334" i="82"/>
  <c r="AA334" i="82"/>
  <c r="AB334" i="82"/>
  <c r="AC334" i="82"/>
  <c r="AD334" i="82"/>
  <c r="AE334" i="82"/>
  <c r="AF334" i="82"/>
  <c r="AG334" i="82"/>
  <c r="AH334" i="82"/>
  <c r="AI334" i="82"/>
  <c r="AJ334" i="82"/>
  <c r="AK334" i="82"/>
  <c r="AL334" i="82"/>
  <c r="AM334" i="82"/>
  <c r="AN334" i="82"/>
  <c r="AO334" i="82"/>
  <c r="AP334" i="82"/>
  <c r="AQ334" i="82"/>
  <c r="AR334" i="82"/>
  <c r="AS334" i="82"/>
  <c r="AT334" i="82"/>
  <c r="AU334" i="82"/>
  <c r="AV334" i="82"/>
  <c r="AW334" i="82"/>
  <c r="AX334" i="82"/>
  <c r="AY334" i="82"/>
  <c r="AZ334" i="82"/>
  <c r="BA334" i="82"/>
  <c r="BB334" i="82"/>
  <c r="BC334" i="82"/>
  <c r="BD334" i="82"/>
  <c r="BE334" i="82"/>
  <c r="BF334" i="82"/>
  <c r="BG334" i="82"/>
  <c r="BH334" i="82"/>
  <c r="BI334" i="82"/>
  <c r="BJ334" i="82"/>
  <c r="BK334" i="82"/>
  <c r="BL334" i="82"/>
  <c r="BM334" i="82"/>
  <c r="BN334" i="82"/>
  <c r="BO334" i="82"/>
  <c r="BP334" i="82"/>
  <c r="BQ334" i="82"/>
  <c r="BR334" i="82"/>
  <c r="D333" i="82"/>
  <c r="D334" i="82"/>
  <c r="D332" i="82"/>
  <c r="B324" i="82"/>
  <c r="C324" i="82"/>
  <c r="D324" i="82"/>
  <c r="E324" i="82"/>
  <c r="F324" i="82"/>
  <c r="G324" i="82"/>
  <c r="H324" i="82"/>
  <c r="I324" i="82"/>
  <c r="J324" i="82"/>
  <c r="K324" i="82"/>
  <c r="L324" i="82"/>
  <c r="M324" i="82"/>
  <c r="N324" i="82"/>
  <c r="O324" i="82"/>
  <c r="P324" i="82"/>
  <c r="Q324" i="82"/>
  <c r="R324" i="82"/>
  <c r="S324" i="82"/>
  <c r="T324" i="82"/>
  <c r="U324" i="82"/>
  <c r="V324" i="82"/>
  <c r="W324" i="82"/>
  <c r="X324" i="82"/>
  <c r="Y324" i="82"/>
  <c r="Z324" i="82"/>
  <c r="AA324" i="82"/>
  <c r="AB324" i="82"/>
  <c r="AC324" i="82"/>
  <c r="AD324" i="82"/>
  <c r="AE324" i="82"/>
  <c r="AF324" i="82"/>
  <c r="AG324" i="82"/>
  <c r="AH324" i="82"/>
  <c r="AI324" i="82"/>
  <c r="AJ324" i="82"/>
  <c r="AK324" i="82"/>
  <c r="AL324" i="82"/>
  <c r="AM324" i="82"/>
  <c r="AN324" i="82"/>
  <c r="AO324" i="82"/>
  <c r="AP324" i="82"/>
  <c r="AQ324" i="82"/>
  <c r="AR324" i="82"/>
  <c r="AS324" i="82"/>
  <c r="AT324" i="82"/>
  <c r="AU324" i="82"/>
  <c r="AV324" i="82"/>
  <c r="AW324" i="82"/>
  <c r="AX324" i="82"/>
  <c r="AY324" i="82"/>
  <c r="AZ324" i="82"/>
  <c r="BA324" i="82"/>
  <c r="BB324" i="82"/>
  <c r="BC324" i="82"/>
  <c r="BD324" i="82"/>
  <c r="BE324" i="82"/>
  <c r="BF324" i="82"/>
  <c r="BG324" i="82"/>
  <c r="BH324" i="82"/>
  <c r="BI324" i="82"/>
  <c r="BJ324" i="82"/>
  <c r="BK324" i="82"/>
  <c r="BL324" i="82"/>
  <c r="BM324" i="82"/>
  <c r="BN324" i="82"/>
  <c r="BO324" i="82"/>
  <c r="BP324" i="82"/>
  <c r="BQ324" i="82"/>
  <c r="BR324" i="82"/>
  <c r="A324" i="82"/>
  <c r="E239" i="1"/>
  <c r="E240" i="1"/>
  <c r="E241" i="1"/>
  <c r="E228" i="1"/>
  <c r="E229" i="1"/>
  <c r="E231" i="1"/>
  <c r="E232" i="1"/>
  <c r="E233" i="1"/>
  <c r="E234" i="1"/>
  <c r="E235" i="1"/>
  <c r="F347" i="82"/>
  <c r="G347" i="82"/>
  <c r="H347" i="82"/>
  <c r="I347" i="82"/>
  <c r="J347" i="82"/>
  <c r="K347" i="82"/>
  <c r="L347" i="82"/>
  <c r="M347" i="82"/>
  <c r="N347" i="82"/>
  <c r="O347" i="82"/>
  <c r="P347" i="82"/>
  <c r="Q347" i="82"/>
  <c r="R347" i="82"/>
  <c r="S347" i="82"/>
  <c r="T347" i="82"/>
  <c r="U347" i="82"/>
  <c r="V347" i="82"/>
  <c r="W347" i="82"/>
  <c r="X347" i="82"/>
  <c r="Y347" i="82"/>
  <c r="Z347" i="82"/>
  <c r="AA347" i="82"/>
  <c r="AB347" i="82"/>
  <c r="AC347" i="82"/>
  <c r="AD347" i="82"/>
  <c r="AE347" i="82"/>
  <c r="AF347" i="82"/>
  <c r="AG347" i="82"/>
  <c r="AH347" i="82"/>
  <c r="AI347" i="82"/>
  <c r="AJ347" i="82"/>
  <c r="AK347" i="82"/>
  <c r="AL347" i="82"/>
  <c r="AM347" i="82"/>
  <c r="E347" i="82"/>
  <c r="B285" i="82"/>
  <c r="C285" i="82"/>
  <c r="D285" i="82"/>
  <c r="E285" i="82"/>
  <c r="F285" i="82"/>
  <c r="G285" i="82"/>
  <c r="H285" i="82"/>
  <c r="I285" i="82"/>
  <c r="J285" i="82"/>
  <c r="K285" i="82"/>
  <c r="L285" i="82"/>
  <c r="M285" i="82"/>
  <c r="N285" i="82"/>
  <c r="O285" i="82"/>
  <c r="P285" i="82"/>
  <c r="Q285" i="82"/>
  <c r="R285" i="82"/>
  <c r="S285" i="82"/>
  <c r="T285" i="82"/>
  <c r="U285" i="82"/>
  <c r="V285" i="82"/>
  <c r="W285" i="82"/>
  <c r="X285" i="82"/>
  <c r="Y285" i="82"/>
  <c r="Z285" i="82"/>
  <c r="AA285" i="82"/>
  <c r="AB285" i="82"/>
  <c r="AC285" i="82"/>
  <c r="AD285" i="82"/>
  <c r="AE285" i="82"/>
  <c r="AF285" i="82"/>
  <c r="AG285" i="82"/>
  <c r="AH285" i="82"/>
  <c r="AI285" i="82"/>
  <c r="AJ285" i="82"/>
  <c r="AK285" i="82"/>
  <c r="AL285" i="82"/>
  <c r="AM285" i="82"/>
  <c r="AN285" i="82"/>
  <c r="AO285" i="82"/>
  <c r="AP285" i="82"/>
  <c r="AQ285" i="82"/>
  <c r="AR285" i="82"/>
  <c r="AS285" i="82"/>
  <c r="AT285" i="82"/>
  <c r="AU285" i="82"/>
  <c r="AV285" i="82"/>
  <c r="AW285" i="82"/>
  <c r="AX285" i="82"/>
  <c r="AY285" i="82"/>
  <c r="AZ285" i="82"/>
  <c r="BA285" i="82"/>
  <c r="BB285" i="82"/>
  <c r="BC285" i="82"/>
  <c r="BD285" i="82"/>
  <c r="BE285" i="82"/>
  <c r="BF285" i="82"/>
  <c r="BG285" i="82"/>
  <c r="BH285" i="82"/>
  <c r="BI285" i="82"/>
  <c r="BJ285" i="82"/>
  <c r="BK285" i="82"/>
  <c r="BL285" i="82"/>
  <c r="BM285" i="82"/>
  <c r="BN285" i="82"/>
  <c r="BO285" i="82"/>
  <c r="BP285" i="82"/>
  <c r="BQ285" i="82"/>
  <c r="BR285" i="82"/>
  <c r="B286" i="82"/>
  <c r="C286" i="82"/>
  <c r="D286" i="82"/>
  <c r="E286" i="82"/>
  <c r="F286" i="82"/>
  <c r="G286" i="82"/>
  <c r="H286" i="82"/>
  <c r="I286" i="82"/>
  <c r="J286" i="82"/>
  <c r="K286" i="82"/>
  <c r="L286" i="82"/>
  <c r="M286" i="82"/>
  <c r="N286" i="82"/>
  <c r="O286" i="82"/>
  <c r="P286" i="82"/>
  <c r="Q286" i="82"/>
  <c r="R286" i="82"/>
  <c r="S286" i="82"/>
  <c r="T286" i="82"/>
  <c r="U286" i="82"/>
  <c r="V286" i="82"/>
  <c r="W286" i="82"/>
  <c r="X286" i="82"/>
  <c r="Y286" i="82"/>
  <c r="Z286" i="82"/>
  <c r="AA286" i="82"/>
  <c r="AB286" i="82"/>
  <c r="AC286" i="82"/>
  <c r="AD286" i="82"/>
  <c r="AE286" i="82"/>
  <c r="AF286" i="82"/>
  <c r="AG286" i="82"/>
  <c r="AH286" i="82"/>
  <c r="AI286" i="82"/>
  <c r="AJ286" i="82"/>
  <c r="AK286" i="82"/>
  <c r="AL286" i="82"/>
  <c r="AM286" i="82"/>
  <c r="AN286" i="82"/>
  <c r="AO286" i="82"/>
  <c r="AP286" i="82"/>
  <c r="AQ286" i="82"/>
  <c r="AR286" i="82"/>
  <c r="AS286" i="82"/>
  <c r="AT286" i="82"/>
  <c r="AU286" i="82"/>
  <c r="AV286" i="82"/>
  <c r="AW286" i="82"/>
  <c r="AX286" i="82"/>
  <c r="AY286" i="82"/>
  <c r="AZ286" i="82"/>
  <c r="BA286" i="82"/>
  <c r="BB286" i="82"/>
  <c r="BC286" i="82"/>
  <c r="BD286" i="82"/>
  <c r="BE286" i="82"/>
  <c r="BF286" i="82"/>
  <c r="BG286" i="82"/>
  <c r="BH286" i="82"/>
  <c r="BI286" i="82"/>
  <c r="BJ286" i="82"/>
  <c r="BK286" i="82"/>
  <c r="BL286" i="82"/>
  <c r="BM286" i="82"/>
  <c r="BN286" i="82"/>
  <c r="BO286" i="82"/>
  <c r="BP286" i="82"/>
  <c r="BQ286" i="82"/>
  <c r="BR286" i="82"/>
  <c r="B287" i="82"/>
  <c r="C287" i="82"/>
  <c r="D287" i="82"/>
  <c r="E287" i="82"/>
  <c r="F287" i="82"/>
  <c r="G287" i="82"/>
  <c r="H287" i="82"/>
  <c r="I287" i="82"/>
  <c r="J287" i="82"/>
  <c r="K287" i="82"/>
  <c r="L287" i="82"/>
  <c r="M287" i="82"/>
  <c r="N287" i="82"/>
  <c r="O287" i="82"/>
  <c r="P287" i="82"/>
  <c r="Q287" i="82"/>
  <c r="R287" i="82"/>
  <c r="S287" i="82"/>
  <c r="T287" i="82"/>
  <c r="U287" i="82"/>
  <c r="V287" i="82"/>
  <c r="W287" i="82"/>
  <c r="X287" i="82"/>
  <c r="Y287" i="82"/>
  <c r="Z287" i="82"/>
  <c r="AA287" i="82"/>
  <c r="AB287" i="82"/>
  <c r="AC287" i="82"/>
  <c r="AD287" i="82"/>
  <c r="AE287" i="82"/>
  <c r="AF287" i="82"/>
  <c r="AG287" i="82"/>
  <c r="AH287" i="82"/>
  <c r="AI287" i="82"/>
  <c r="AJ287" i="82"/>
  <c r="AK287" i="82"/>
  <c r="AL287" i="82"/>
  <c r="AM287" i="82"/>
  <c r="AN287" i="82"/>
  <c r="AO287" i="82"/>
  <c r="AP287" i="82"/>
  <c r="AQ287" i="82"/>
  <c r="AR287" i="82"/>
  <c r="AS287" i="82"/>
  <c r="AT287" i="82"/>
  <c r="AU287" i="82"/>
  <c r="AV287" i="82"/>
  <c r="AW287" i="82"/>
  <c r="AX287" i="82"/>
  <c r="AY287" i="82"/>
  <c r="AZ287" i="82"/>
  <c r="BA287" i="82"/>
  <c r="BB287" i="82"/>
  <c r="BC287" i="82"/>
  <c r="BD287" i="82"/>
  <c r="BE287" i="82"/>
  <c r="BF287" i="82"/>
  <c r="BG287" i="82"/>
  <c r="BH287" i="82"/>
  <c r="BI287" i="82"/>
  <c r="BJ287" i="82"/>
  <c r="BK287" i="82"/>
  <c r="BL287" i="82"/>
  <c r="BM287" i="82"/>
  <c r="BN287" i="82"/>
  <c r="BO287" i="82"/>
  <c r="BP287" i="82"/>
  <c r="BQ287" i="82"/>
  <c r="BR287" i="82"/>
  <c r="B288" i="82"/>
  <c r="C288" i="82"/>
  <c r="D288" i="82"/>
  <c r="E288" i="82"/>
  <c r="F288" i="82"/>
  <c r="G288" i="82"/>
  <c r="H288" i="82"/>
  <c r="I288" i="82"/>
  <c r="J288" i="82"/>
  <c r="K288" i="82"/>
  <c r="L288" i="82"/>
  <c r="M288" i="82"/>
  <c r="N288" i="82"/>
  <c r="O288" i="82"/>
  <c r="P288" i="82"/>
  <c r="Q288" i="82"/>
  <c r="R288" i="82"/>
  <c r="S288" i="82"/>
  <c r="T288" i="82"/>
  <c r="U288" i="82"/>
  <c r="V288" i="82"/>
  <c r="W288" i="82"/>
  <c r="X288" i="82"/>
  <c r="Y288" i="82"/>
  <c r="Z288" i="82"/>
  <c r="AA288" i="82"/>
  <c r="AB288" i="82"/>
  <c r="AC288" i="82"/>
  <c r="AD288" i="82"/>
  <c r="AE288" i="82"/>
  <c r="AF288" i="82"/>
  <c r="AG288" i="82"/>
  <c r="AH288" i="82"/>
  <c r="AI288" i="82"/>
  <c r="AJ288" i="82"/>
  <c r="AK288" i="82"/>
  <c r="AL288" i="82"/>
  <c r="AM288" i="82"/>
  <c r="AN288" i="82"/>
  <c r="AO288" i="82"/>
  <c r="AP288" i="82"/>
  <c r="AQ288" i="82"/>
  <c r="AR288" i="82"/>
  <c r="AS288" i="82"/>
  <c r="AT288" i="82"/>
  <c r="AU288" i="82"/>
  <c r="AV288" i="82"/>
  <c r="AW288" i="82"/>
  <c r="AX288" i="82"/>
  <c r="AY288" i="82"/>
  <c r="AZ288" i="82"/>
  <c r="BA288" i="82"/>
  <c r="BB288" i="82"/>
  <c r="BC288" i="82"/>
  <c r="BD288" i="82"/>
  <c r="BE288" i="82"/>
  <c r="BF288" i="82"/>
  <c r="BG288" i="82"/>
  <c r="BH288" i="82"/>
  <c r="BI288" i="82"/>
  <c r="BJ288" i="82"/>
  <c r="BK288" i="82"/>
  <c r="BL288" i="82"/>
  <c r="BM288" i="82"/>
  <c r="BN288" i="82"/>
  <c r="BO288" i="82"/>
  <c r="BP288" i="82"/>
  <c r="BQ288" i="82"/>
  <c r="BR288" i="82"/>
  <c r="B289" i="82"/>
  <c r="C289" i="82"/>
  <c r="D289" i="82"/>
  <c r="E289" i="82"/>
  <c r="F289" i="82"/>
  <c r="G289" i="82"/>
  <c r="H289" i="82"/>
  <c r="I289" i="82"/>
  <c r="J289" i="82"/>
  <c r="K289" i="82"/>
  <c r="L289" i="82"/>
  <c r="M289" i="82"/>
  <c r="N289" i="82"/>
  <c r="O289" i="82"/>
  <c r="P289" i="82"/>
  <c r="Q289" i="82"/>
  <c r="R289" i="82"/>
  <c r="S289" i="82"/>
  <c r="T289" i="82"/>
  <c r="U289" i="82"/>
  <c r="V289" i="82"/>
  <c r="W289" i="82"/>
  <c r="X289" i="82"/>
  <c r="Y289" i="82"/>
  <c r="Z289" i="82"/>
  <c r="AA289" i="82"/>
  <c r="AB289" i="82"/>
  <c r="AC289" i="82"/>
  <c r="AD289" i="82"/>
  <c r="AE289" i="82"/>
  <c r="AF289" i="82"/>
  <c r="AG289" i="82"/>
  <c r="AH289" i="82"/>
  <c r="AI289" i="82"/>
  <c r="AJ289" i="82"/>
  <c r="AK289" i="82"/>
  <c r="AL289" i="82"/>
  <c r="AM289" i="82"/>
  <c r="AN289" i="82"/>
  <c r="AO289" i="82"/>
  <c r="AP289" i="82"/>
  <c r="AQ289" i="82"/>
  <c r="AR289" i="82"/>
  <c r="AS289" i="82"/>
  <c r="AT289" i="82"/>
  <c r="AU289" i="82"/>
  <c r="AV289" i="82"/>
  <c r="AW289" i="82"/>
  <c r="AX289" i="82"/>
  <c r="AY289" i="82"/>
  <c r="AZ289" i="82"/>
  <c r="BA289" i="82"/>
  <c r="BB289" i="82"/>
  <c r="BC289" i="82"/>
  <c r="BD289" i="82"/>
  <c r="BE289" i="82"/>
  <c r="BF289" i="82"/>
  <c r="BG289" i="82"/>
  <c r="BH289" i="82"/>
  <c r="BI289" i="82"/>
  <c r="BJ289" i="82"/>
  <c r="BK289" i="82"/>
  <c r="BL289" i="82"/>
  <c r="BM289" i="82"/>
  <c r="BN289" i="82"/>
  <c r="BO289" i="82"/>
  <c r="BP289" i="82"/>
  <c r="BQ289" i="82"/>
  <c r="BR289" i="82"/>
  <c r="B290" i="82"/>
  <c r="C290" i="82"/>
  <c r="D290" i="82"/>
  <c r="E290" i="82"/>
  <c r="F290" i="82"/>
  <c r="G290" i="82"/>
  <c r="H290" i="82"/>
  <c r="I290" i="82"/>
  <c r="J290" i="82"/>
  <c r="K290" i="82"/>
  <c r="L290" i="82"/>
  <c r="M290" i="82"/>
  <c r="N290" i="82"/>
  <c r="O290" i="82"/>
  <c r="P290" i="82"/>
  <c r="Q290" i="82"/>
  <c r="R290" i="82"/>
  <c r="S290" i="82"/>
  <c r="T290" i="82"/>
  <c r="U290" i="82"/>
  <c r="V290" i="82"/>
  <c r="W290" i="82"/>
  <c r="X290" i="82"/>
  <c r="Y290" i="82"/>
  <c r="Z290" i="82"/>
  <c r="AA290" i="82"/>
  <c r="AB290" i="82"/>
  <c r="AC290" i="82"/>
  <c r="AD290" i="82"/>
  <c r="AE290" i="82"/>
  <c r="AF290" i="82"/>
  <c r="AG290" i="82"/>
  <c r="AH290" i="82"/>
  <c r="AI290" i="82"/>
  <c r="AJ290" i="82"/>
  <c r="AK290" i="82"/>
  <c r="AL290" i="82"/>
  <c r="AM290" i="82"/>
  <c r="AN290" i="82"/>
  <c r="AO290" i="82"/>
  <c r="AP290" i="82"/>
  <c r="AQ290" i="82"/>
  <c r="AR290" i="82"/>
  <c r="AS290" i="82"/>
  <c r="AT290" i="82"/>
  <c r="AU290" i="82"/>
  <c r="AV290" i="82"/>
  <c r="AW290" i="82"/>
  <c r="AX290" i="82"/>
  <c r="AY290" i="82"/>
  <c r="AZ290" i="82"/>
  <c r="BA290" i="82"/>
  <c r="BB290" i="82"/>
  <c r="BC290" i="82"/>
  <c r="BD290" i="82"/>
  <c r="BE290" i="82"/>
  <c r="BF290" i="82"/>
  <c r="BG290" i="82"/>
  <c r="BH290" i="82"/>
  <c r="BI290" i="82"/>
  <c r="BJ290" i="82"/>
  <c r="BK290" i="82"/>
  <c r="BL290" i="82"/>
  <c r="BM290" i="82"/>
  <c r="BN290" i="82"/>
  <c r="BO290" i="82"/>
  <c r="BP290" i="82"/>
  <c r="BQ290" i="82"/>
  <c r="BR290" i="82"/>
  <c r="B291" i="82"/>
  <c r="C291" i="82"/>
  <c r="D291" i="82"/>
  <c r="E291" i="82"/>
  <c r="F291" i="82"/>
  <c r="G291" i="82"/>
  <c r="H291" i="82"/>
  <c r="I291" i="82"/>
  <c r="J291" i="82"/>
  <c r="K291" i="82"/>
  <c r="L291" i="82"/>
  <c r="M291" i="82"/>
  <c r="N291" i="82"/>
  <c r="O291" i="82"/>
  <c r="P291" i="82"/>
  <c r="Q291" i="82"/>
  <c r="R291" i="82"/>
  <c r="S291" i="82"/>
  <c r="T291" i="82"/>
  <c r="U291" i="82"/>
  <c r="V291" i="82"/>
  <c r="W291" i="82"/>
  <c r="X291" i="82"/>
  <c r="Y291" i="82"/>
  <c r="Z291" i="82"/>
  <c r="AA291" i="82"/>
  <c r="AB291" i="82"/>
  <c r="AC291" i="82"/>
  <c r="AD291" i="82"/>
  <c r="AE291" i="82"/>
  <c r="AF291" i="82"/>
  <c r="AG291" i="82"/>
  <c r="AH291" i="82"/>
  <c r="AI291" i="82"/>
  <c r="AJ291" i="82"/>
  <c r="AK291" i="82"/>
  <c r="AL291" i="82"/>
  <c r="AM291" i="82"/>
  <c r="AN291" i="82"/>
  <c r="AO291" i="82"/>
  <c r="AP291" i="82"/>
  <c r="AQ291" i="82"/>
  <c r="AR291" i="82"/>
  <c r="AS291" i="82"/>
  <c r="AT291" i="82"/>
  <c r="AU291" i="82"/>
  <c r="AV291" i="82"/>
  <c r="AW291" i="82"/>
  <c r="AX291" i="82"/>
  <c r="AY291" i="82"/>
  <c r="AZ291" i="82"/>
  <c r="BA291" i="82"/>
  <c r="BB291" i="82"/>
  <c r="BC291" i="82"/>
  <c r="BD291" i="82"/>
  <c r="BE291" i="82"/>
  <c r="BF291" i="82"/>
  <c r="BG291" i="82"/>
  <c r="BH291" i="82"/>
  <c r="BI291" i="82"/>
  <c r="BJ291" i="82"/>
  <c r="BK291" i="82"/>
  <c r="BL291" i="82"/>
  <c r="BM291" i="82"/>
  <c r="BN291" i="82"/>
  <c r="BO291" i="82"/>
  <c r="BP291" i="82"/>
  <c r="BQ291" i="82"/>
  <c r="BR291" i="82"/>
  <c r="B292" i="82"/>
  <c r="C292" i="82"/>
  <c r="D292" i="82"/>
  <c r="E292" i="82"/>
  <c r="F292" i="82"/>
  <c r="G292" i="82"/>
  <c r="H292" i="82"/>
  <c r="I292" i="82"/>
  <c r="J292" i="82"/>
  <c r="K292" i="82"/>
  <c r="L292" i="82"/>
  <c r="M292" i="82"/>
  <c r="N292" i="82"/>
  <c r="O292" i="82"/>
  <c r="P292" i="82"/>
  <c r="Q292" i="82"/>
  <c r="R292" i="82"/>
  <c r="S292" i="82"/>
  <c r="T292" i="82"/>
  <c r="U292" i="82"/>
  <c r="V292" i="82"/>
  <c r="W292" i="82"/>
  <c r="X292" i="82"/>
  <c r="Y292" i="82"/>
  <c r="Z292" i="82"/>
  <c r="AA292" i="82"/>
  <c r="AB292" i="82"/>
  <c r="AC292" i="82"/>
  <c r="AD292" i="82"/>
  <c r="AE292" i="82"/>
  <c r="AF292" i="82"/>
  <c r="AG292" i="82"/>
  <c r="AH292" i="82"/>
  <c r="AI292" i="82"/>
  <c r="AJ292" i="82"/>
  <c r="AK292" i="82"/>
  <c r="AL292" i="82"/>
  <c r="AM292" i="82"/>
  <c r="AN292" i="82"/>
  <c r="AO292" i="82"/>
  <c r="AP292" i="82"/>
  <c r="AQ292" i="82"/>
  <c r="AR292" i="82"/>
  <c r="AS292" i="82"/>
  <c r="AT292" i="82"/>
  <c r="AU292" i="82"/>
  <c r="AV292" i="82"/>
  <c r="AW292" i="82"/>
  <c r="AX292" i="82"/>
  <c r="AY292" i="82"/>
  <c r="AZ292" i="82"/>
  <c r="BA292" i="82"/>
  <c r="BB292" i="82"/>
  <c r="BC292" i="82"/>
  <c r="BD292" i="82"/>
  <c r="BE292" i="82"/>
  <c r="BF292" i="82"/>
  <c r="BG292" i="82"/>
  <c r="BH292" i="82"/>
  <c r="BI292" i="82"/>
  <c r="BJ292" i="82"/>
  <c r="BK292" i="82"/>
  <c r="BL292" i="82"/>
  <c r="BM292" i="82"/>
  <c r="BN292" i="82"/>
  <c r="BO292" i="82"/>
  <c r="BP292" i="82"/>
  <c r="BQ292" i="82"/>
  <c r="BR292" i="82"/>
  <c r="B293" i="82"/>
  <c r="C293" i="82"/>
  <c r="D293" i="82"/>
  <c r="E293" i="82"/>
  <c r="F293" i="82"/>
  <c r="G293" i="82"/>
  <c r="H293" i="82"/>
  <c r="I293" i="82"/>
  <c r="J293" i="82"/>
  <c r="K293" i="82"/>
  <c r="L293" i="82"/>
  <c r="M293" i="82"/>
  <c r="N293" i="82"/>
  <c r="O293" i="82"/>
  <c r="P293" i="82"/>
  <c r="Q293" i="82"/>
  <c r="R293" i="82"/>
  <c r="S293" i="82"/>
  <c r="T293" i="82"/>
  <c r="U293" i="82"/>
  <c r="V293" i="82"/>
  <c r="W293" i="82"/>
  <c r="X293" i="82"/>
  <c r="Y293" i="82"/>
  <c r="Z293" i="82"/>
  <c r="AA293" i="82"/>
  <c r="AB293" i="82"/>
  <c r="AC293" i="82"/>
  <c r="AD293" i="82"/>
  <c r="AE293" i="82"/>
  <c r="AF293" i="82"/>
  <c r="AG293" i="82"/>
  <c r="AH293" i="82"/>
  <c r="AI293" i="82"/>
  <c r="AJ293" i="82"/>
  <c r="AK293" i="82"/>
  <c r="AL293" i="82"/>
  <c r="AM293" i="82"/>
  <c r="AN293" i="82"/>
  <c r="AO293" i="82"/>
  <c r="AP293" i="82"/>
  <c r="AQ293" i="82"/>
  <c r="AR293" i="82"/>
  <c r="AS293" i="82"/>
  <c r="AT293" i="82"/>
  <c r="AU293" i="82"/>
  <c r="AV293" i="82"/>
  <c r="AW293" i="82"/>
  <c r="AX293" i="82"/>
  <c r="AY293" i="82"/>
  <c r="AZ293" i="82"/>
  <c r="BA293" i="82"/>
  <c r="BB293" i="82"/>
  <c r="BC293" i="82"/>
  <c r="BD293" i="82"/>
  <c r="BE293" i="82"/>
  <c r="BF293" i="82"/>
  <c r="BG293" i="82"/>
  <c r="BH293" i="82"/>
  <c r="BI293" i="82"/>
  <c r="BJ293" i="82"/>
  <c r="BK293" i="82"/>
  <c r="BL293" i="82"/>
  <c r="BM293" i="82"/>
  <c r="BN293" i="82"/>
  <c r="BO293" i="82"/>
  <c r="BP293" i="82"/>
  <c r="BQ293" i="82"/>
  <c r="BR293" i="82"/>
  <c r="B294" i="82"/>
  <c r="C294" i="82"/>
  <c r="D294" i="82"/>
  <c r="E294" i="82"/>
  <c r="F294" i="82"/>
  <c r="G294" i="82"/>
  <c r="H294" i="82"/>
  <c r="I294" i="82"/>
  <c r="J294" i="82"/>
  <c r="K294" i="82"/>
  <c r="L294" i="82"/>
  <c r="M294" i="82"/>
  <c r="N294" i="82"/>
  <c r="O294" i="82"/>
  <c r="P294" i="82"/>
  <c r="Q294" i="82"/>
  <c r="R294" i="82"/>
  <c r="S294" i="82"/>
  <c r="T294" i="82"/>
  <c r="U294" i="82"/>
  <c r="V294" i="82"/>
  <c r="W294" i="82"/>
  <c r="X294" i="82"/>
  <c r="Y294" i="82"/>
  <c r="Z294" i="82"/>
  <c r="AA294" i="82"/>
  <c r="AB294" i="82"/>
  <c r="AC294" i="82"/>
  <c r="AD294" i="82"/>
  <c r="AE294" i="82"/>
  <c r="AF294" i="82"/>
  <c r="AG294" i="82"/>
  <c r="AH294" i="82"/>
  <c r="AI294" i="82"/>
  <c r="AJ294" i="82"/>
  <c r="AK294" i="82"/>
  <c r="AL294" i="82"/>
  <c r="AM294" i="82"/>
  <c r="AN294" i="82"/>
  <c r="AO294" i="82"/>
  <c r="AP294" i="82"/>
  <c r="AQ294" i="82"/>
  <c r="AR294" i="82"/>
  <c r="AS294" i="82"/>
  <c r="AT294" i="82"/>
  <c r="AU294" i="82"/>
  <c r="AV294" i="82"/>
  <c r="AW294" i="82"/>
  <c r="AX294" i="82"/>
  <c r="AY294" i="82"/>
  <c r="AZ294" i="82"/>
  <c r="BA294" i="82"/>
  <c r="BB294" i="82"/>
  <c r="BC294" i="82"/>
  <c r="BD294" i="82"/>
  <c r="BE294" i="82"/>
  <c r="BF294" i="82"/>
  <c r="BG294" i="82"/>
  <c r="BH294" i="82"/>
  <c r="BI294" i="82"/>
  <c r="BJ294" i="82"/>
  <c r="BK294" i="82"/>
  <c r="BL294" i="82"/>
  <c r="BM294" i="82"/>
  <c r="BN294" i="82"/>
  <c r="BO294" i="82"/>
  <c r="BP294" i="82"/>
  <c r="BQ294" i="82"/>
  <c r="BR294" i="82"/>
  <c r="B295" i="82"/>
  <c r="C295" i="82"/>
  <c r="D295" i="82"/>
  <c r="E295" i="82"/>
  <c r="F295" i="82"/>
  <c r="G295" i="82"/>
  <c r="H295" i="82"/>
  <c r="I295" i="82"/>
  <c r="J295" i="82"/>
  <c r="K295" i="82"/>
  <c r="L295" i="82"/>
  <c r="M295" i="82"/>
  <c r="N295" i="82"/>
  <c r="O295" i="82"/>
  <c r="P295" i="82"/>
  <c r="Q295" i="82"/>
  <c r="R295" i="82"/>
  <c r="S295" i="82"/>
  <c r="T295" i="82"/>
  <c r="U295" i="82"/>
  <c r="V295" i="82"/>
  <c r="W295" i="82"/>
  <c r="X295" i="82"/>
  <c r="Y295" i="82"/>
  <c r="Z295" i="82"/>
  <c r="AA295" i="82"/>
  <c r="AB295" i="82"/>
  <c r="AC295" i="82"/>
  <c r="AD295" i="82"/>
  <c r="AE295" i="82"/>
  <c r="AF295" i="82"/>
  <c r="AG295" i="82"/>
  <c r="AH295" i="82"/>
  <c r="AI295" i="82"/>
  <c r="AJ295" i="82"/>
  <c r="AK295" i="82"/>
  <c r="AL295" i="82"/>
  <c r="AM295" i="82"/>
  <c r="AN295" i="82"/>
  <c r="AO295" i="82"/>
  <c r="AP295" i="82"/>
  <c r="AQ295" i="82"/>
  <c r="AR295" i="82"/>
  <c r="AS295" i="82"/>
  <c r="AT295" i="82"/>
  <c r="AU295" i="82"/>
  <c r="AV295" i="82"/>
  <c r="AW295" i="82"/>
  <c r="AX295" i="82"/>
  <c r="AY295" i="82"/>
  <c r="AZ295" i="82"/>
  <c r="BA295" i="82"/>
  <c r="BB295" i="82"/>
  <c r="BC295" i="82"/>
  <c r="BD295" i="82"/>
  <c r="BE295" i="82"/>
  <c r="BF295" i="82"/>
  <c r="BG295" i="82"/>
  <c r="BH295" i="82"/>
  <c r="BI295" i="82"/>
  <c r="BJ295" i="82"/>
  <c r="BK295" i="82"/>
  <c r="BL295" i="82"/>
  <c r="BM295" i="82"/>
  <c r="BN295" i="82"/>
  <c r="BO295" i="82"/>
  <c r="BP295" i="82"/>
  <c r="BQ295" i="82"/>
  <c r="BR295" i="82"/>
  <c r="B296" i="82"/>
  <c r="C296" i="82"/>
  <c r="D296" i="82"/>
  <c r="E296" i="82"/>
  <c r="F296" i="82"/>
  <c r="G296" i="82"/>
  <c r="H296" i="82"/>
  <c r="I296" i="82"/>
  <c r="J296" i="82"/>
  <c r="K296" i="82"/>
  <c r="L296" i="82"/>
  <c r="M296" i="82"/>
  <c r="N296" i="82"/>
  <c r="O296" i="82"/>
  <c r="P296" i="82"/>
  <c r="Q296" i="82"/>
  <c r="R296" i="82"/>
  <c r="S296" i="82"/>
  <c r="T296" i="82"/>
  <c r="U296" i="82"/>
  <c r="V296" i="82"/>
  <c r="W296" i="82"/>
  <c r="X296" i="82"/>
  <c r="Y296" i="82"/>
  <c r="Z296" i="82"/>
  <c r="AA296" i="82"/>
  <c r="AB296" i="82"/>
  <c r="AC296" i="82"/>
  <c r="AD296" i="82"/>
  <c r="AE296" i="82"/>
  <c r="AF296" i="82"/>
  <c r="AG296" i="82"/>
  <c r="AH296" i="82"/>
  <c r="AI296" i="82"/>
  <c r="AJ296" i="82"/>
  <c r="AK296" i="82"/>
  <c r="AL296" i="82"/>
  <c r="AM296" i="82"/>
  <c r="AN296" i="82"/>
  <c r="AO296" i="82"/>
  <c r="AP296" i="82"/>
  <c r="AQ296" i="82"/>
  <c r="AR296" i="82"/>
  <c r="AS296" i="82"/>
  <c r="AT296" i="82"/>
  <c r="AU296" i="82"/>
  <c r="AV296" i="82"/>
  <c r="AW296" i="82"/>
  <c r="AX296" i="82"/>
  <c r="AY296" i="82"/>
  <c r="AZ296" i="82"/>
  <c r="BA296" i="82"/>
  <c r="BB296" i="82"/>
  <c r="BC296" i="82"/>
  <c r="BD296" i="82"/>
  <c r="BE296" i="82"/>
  <c r="BF296" i="82"/>
  <c r="BG296" i="82"/>
  <c r="BH296" i="82"/>
  <c r="BI296" i="82"/>
  <c r="BJ296" i="82"/>
  <c r="BK296" i="82"/>
  <c r="BL296" i="82"/>
  <c r="BM296" i="82"/>
  <c r="BN296" i="82"/>
  <c r="BO296" i="82"/>
  <c r="BP296" i="82"/>
  <c r="BQ296" i="82"/>
  <c r="BR296" i="82"/>
  <c r="B297" i="82"/>
  <c r="C297" i="82"/>
  <c r="D297" i="82"/>
  <c r="E297" i="82"/>
  <c r="F297" i="82"/>
  <c r="G297" i="82"/>
  <c r="H297" i="82"/>
  <c r="I297" i="82"/>
  <c r="J297" i="82"/>
  <c r="K297" i="82"/>
  <c r="L297" i="82"/>
  <c r="M297" i="82"/>
  <c r="N297" i="82"/>
  <c r="O297" i="82"/>
  <c r="P297" i="82"/>
  <c r="Q297" i="82"/>
  <c r="R297" i="82"/>
  <c r="S297" i="82"/>
  <c r="T297" i="82"/>
  <c r="U297" i="82"/>
  <c r="V297" i="82"/>
  <c r="W297" i="82"/>
  <c r="X297" i="82"/>
  <c r="Y297" i="82"/>
  <c r="Z297" i="82"/>
  <c r="AA297" i="82"/>
  <c r="AB297" i="82"/>
  <c r="AC297" i="82"/>
  <c r="AD297" i="82"/>
  <c r="AE297" i="82"/>
  <c r="AF297" i="82"/>
  <c r="AG297" i="82"/>
  <c r="AH297" i="82"/>
  <c r="AI297" i="82"/>
  <c r="AJ297" i="82"/>
  <c r="AK297" i="82"/>
  <c r="AL297" i="82"/>
  <c r="AM297" i="82"/>
  <c r="AN297" i="82"/>
  <c r="AO297" i="82"/>
  <c r="AP297" i="82"/>
  <c r="AQ297" i="82"/>
  <c r="AR297" i="82"/>
  <c r="AS297" i="82"/>
  <c r="AT297" i="82"/>
  <c r="AU297" i="82"/>
  <c r="AV297" i="82"/>
  <c r="AW297" i="82"/>
  <c r="AX297" i="82"/>
  <c r="AY297" i="82"/>
  <c r="AZ297" i="82"/>
  <c r="BA297" i="82"/>
  <c r="BB297" i="82"/>
  <c r="BC297" i="82"/>
  <c r="BD297" i="82"/>
  <c r="BE297" i="82"/>
  <c r="BF297" i="82"/>
  <c r="BG297" i="82"/>
  <c r="BH297" i="82"/>
  <c r="BI297" i="82"/>
  <c r="BJ297" i="82"/>
  <c r="BK297" i="82"/>
  <c r="BL297" i="82"/>
  <c r="BM297" i="82"/>
  <c r="BN297" i="82"/>
  <c r="BO297" i="82"/>
  <c r="BP297" i="82"/>
  <c r="BQ297" i="82"/>
  <c r="BR297" i="82"/>
  <c r="B298" i="82"/>
  <c r="C298" i="82"/>
  <c r="D298" i="82"/>
  <c r="E298" i="82"/>
  <c r="F298" i="82"/>
  <c r="G298" i="82"/>
  <c r="H298" i="82"/>
  <c r="I298" i="82"/>
  <c r="J298" i="82"/>
  <c r="K298" i="82"/>
  <c r="L298" i="82"/>
  <c r="M298" i="82"/>
  <c r="N298" i="82"/>
  <c r="O298" i="82"/>
  <c r="P298" i="82"/>
  <c r="Q298" i="82"/>
  <c r="R298" i="82"/>
  <c r="S298" i="82"/>
  <c r="T298" i="82"/>
  <c r="U298" i="82"/>
  <c r="V298" i="82"/>
  <c r="W298" i="82"/>
  <c r="X298" i="82"/>
  <c r="Y298" i="82"/>
  <c r="Z298" i="82"/>
  <c r="AA298" i="82"/>
  <c r="AB298" i="82"/>
  <c r="AC298" i="82"/>
  <c r="AD298" i="82"/>
  <c r="AE298" i="82"/>
  <c r="AF298" i="82"/>
  <c r="AG298" i="82"/>
  <c r="AH298" i="82"/>
  <c r="AI298" i="82"/>
  <c r="AJ298" i="82"/>
  <c r="AK298" i="82"/>
  <c r="AL298" i="82"/>
  <c r="AM298" i="82"/>
  <c r="AN298" i="82"/>
  <c r="AO298" i="82"/>
  <c r="AP298" i="82"/>
  <c r="AQ298" i="82"/>
  <c r="AR298" i="82"/>
  <c r="AS298" i="82"/>
  <c r="AT298" i="82"/>
  <c r="AU298" i="82"/>
  <c r="AV298" i="82"/>
  <c r="AW298" i="82"/>
  <c r="AX298" i="82"/>
  <c r="AY298" i="82"/>
  <c r="AZ298" i="82"/>
  <c r="BA298" i="82"/>
  <c r="BB298" i="82"/>
  <c r="BC298" i="82"/>
  <c r="BD298" i="82"/>
  <c r="BE298" i="82"/>
  <c r="BF298" i="82"/>
  <c r="BG298" i="82"/>
  <c r="BH298" i="82"/>
  <c r="BI298" i="82"/>
  <c r="BJ298" i="82"/>
  <c r="BK298" i="82"/>
  <c r="BL298" i="82"/>
  <c r="BM298" i="82"/>
  <c r="BN298" i="82"/>
  <c r="BO298" i="82"/>
  <c r="BP298" i="82"/>
  <c r="BQ298" i="82"/>
  <c r="BR298" i="82"/>
  <c r="B299" i="82"/>
  <c r="C299" i="82"/>
  <c r="D299" i="82"/>
  <c r="E299" i="82"/>
  <c r="F299" i="82"/>
  <c r="G299" i="82"/>
  <c r="H299" i="82"/>
  <c r="I299" i="82"/>
  <c r="J299" i="82"/>
  <c r="K299" i="82"/>
  <c r="L299" i="82"/>
  <c r="M299" i="82"/>
  <c r="N299" i="82"/>
  <c r="O299" i="82"/>
  <c r="P299" i="82"/>
  <c r="Q299" i="82"/>
  <c r="R299" i="82"/>
  <c r="S299" i="82"/>
  <c r="T299" i="82"/>
  <c r="U299" i="82"/>
  <c r="V299" i="82"/>
  <c r="W299" i="82"/>
  <c r="X299" i="82"/>
  <c r="Y299" i="82"/>
  <c r="Z299" i="82"/>
  <c r="AA299" i="82"/>
  <c r="AB299" i="82"/>
  <c r="AC299" i="82"/>
  <c r="AD299" i="82"/>
  <c r="AE299" i="82"/>
  <c r="AF299" i="82"/>
  <c r="AG299" i="82"/>
  <c r="AH299" i="82"/>
  <c r="AI299" i="82"/>
  <c r="AJ299" i="82"/>
  <c r="AK299" i="82"/>
  <c r="AL299" i="82"/>
  <c r="AM299" i="82"/>
  <c r="AN299" i="82"/>
  <c r="AO299" i="82"/>
  <c r="AP299" i="82"/>
  <c r="AQ299" i="82"/>
  <c r="AR299" i="82"/>
  <c r="AS299" i="82"/>
  <c r="AT299" i="82"/>
  <c r="AU299" i="82"/>
  <c r="AV299" i="82"/>
  <c r="AW299" i="82"/>
  <c r="AX299" i="82"/>
  <c r="AY299" i="82"/>
  <c r="AZ299" i="82"/>
  <c r="BA299" i="82"/>
  <c r="BB299" i="82"/>
  <c r="BC299" i="82"/>
  <c r="BD299" i="82"/>
  <c r="BE299" i="82"/>
  <c r="BF299" i="82"/>
  <c r="BG299" i="82"/>
  <c r="BH299" i="82"/>
  <c r="BI299" i="82"/>
  <c r="BJ299" i="82"/>
  <c r="BK299" i="82"/>
  <c r="BL299" i="82"/>
  <c r="BM299" i="82"/>
  <c r="BN299" i="82"/>
  <c r="BO299" i="82"/>
  <c r="BP299" i="82"/>
  <c r="BQ299" i="82"/>
  <c r="BR299" i="82"/>
  <c r="B300" i="82"/>
  <c r="C300" i="82"/>
  <c r="D300" i="82"/>
  <c r="E300" i="82"/>
  <c r="F300" i="82"/>
  <c r="G300" i="82"/>
  <c r="H300" i="82"/>
  <c r="I300" i="82"/>
  <c r="J300" i="82"/>
  <c r="K300" i="82"/>
  <c r="L300" i="82"/>
  <c r="M300" i="82"/>
  <c r="N300" i="82"/>
  <c r="O300" i="82"/>
  <c r="P300" i="82"/>
  <c r="Q300" i="82"/>
  <c r="R300" i="82"/>
  <c r="S300" i="82"/>
  <c r="T300" i="82"/>
  <c r="U300" i="82"/>
  <c r="V300" i="82"/>
  <c r="W300" i="82"/>
  <c r="X300" i="82"/>
  <c r="Y300" i="82"/>
  <c r="Z300" i="82"/>
  <c r="AA300" i="82"/>
  <c r="AB300" i="82"/>
  <c r="AC300" i="82"/>
  <c r="AD300" i="82"/>
  <c r="AE300" i="82"/>
  <c r="AF300" i="82"/>
  <c r="AG300" i="82"/>
  <c r="AH300" i="82"/>
  <c r="AI300" i="82"/>
  <c r="AJ300" i="82"/>
  <c r="AK300" i="82"/>
  <c r="AL300" i="82"/>
  <c r="AM300" i="82"/>
  <c r="AN300" i="82"/>
  <c r="AO300" i="82"/>
  <c r="AP300" i="82"/>
  <c r="AQ300" i="82"/>
  <c r="AR300" i="82"/>
  <c r="AS300" i="82"/>
  <c r="AT300" i="82"/>
  <c r="AU300" i="82"/>
  <c r="AV300" i="82"/>
  <c r="AW300" i="82"/>
  <c r="AX300" i="82"/>
  <c r="AY300" i="82"/>
  <c r="AZ300" i="82"/>
  <c r="BA300" i="82"/>
  <c r="BB300" i="82"/>
  <c r="BC300" i="82"/>
  <c r="BD300" i="82"/>
  <c r="BE300" i="82"/>
  <c r="BF300" i="82"/>
  <c r="BG300" i="82"/>
  <c r="BH300" i="82"/>
  <c r="BI300" i="82"/>
  <c r="BJ300" i="82"/>
  <c r="BK300" i="82"/>
  <c r="BL300" i="82"/>
  <c r="BM300" i="82"/>
  <c r="BN300" i="82"/>
  <c r="BO300" i="82"/>
  <c r="BP300" i="82"/>
  <c r="BQ300" i="82"/>
  <c r="BR300" i="82"/>
  <c r="B301" i="82"/>
  <c r="C301" i="82"/>
  <c r="D301" i="82"/>
  <c r="E301" i="82"/>
  <c r="F301" i="82"/>
  <c r="G301" i="82"/>
  <c r="H301" i="82"/>
  <c r="I301" i="82"/>
  <c r="J301" i="82"/>
  <c r="K301" i="82"/>
  <c r="L301" i="82"/>
  <c r="M301" i="82"/>
  <c r="N301" i="82"/>
  <c r="O301" i="82"/>
  <c r="P301" i="82"/>
  <c r="Q301" i="82"/>
  <c r="R301" i="82"/>
  <c r="S301" i="82"/>
  <c r="T301" i="82"/>
  <c r="U301" i="82"/>
  <c r="V301" i="82"/>
  <c r="W301" i="82"/>
  <c r="X301" i="82"/>
  <c r="Y301" i="82"/>
  <c r="Z301" i="82"/>
  <c r="AA301" i="82"/>
  <c r="AB301" i="82"/>
  <c r="AC301" i="82"/>
  <c r="AD301" i="82"/>
  <c r="AE301" i="82"/>
  <c r="AF301" i="82"/>
  <c r="AG301" i="82"/>
  <c r="AH301" i="82"/>
  <c r="AI301" i="82"/>
  <c r="AJ301" i="82"/>
  <c r="AK301" i="82"/>
  <c r="AL301" i="82"/>
  <c r="AM301" i="82"/>
  <c r="AN301" i="82"/>
  <c r="AO301" i="82"/>
  <c r="AP301" i="82"/>
  <c r="AQ301" i="82"/>
  <c r="AR301" i="82"/>
  <c r="AS301" i="82"/>
  <c r="AT301" i="82"/>
  <c r="AU301" i="82"/>
  <c r="AV301" i="82"/>
  <c r="AW301" i="82"/>
  <c r="AX301" i="82"/>
  <c r="AY301" i="82"/>
  <c r="AZ301" i="82"/>
  <c r="BA301" i="82"/>
  <c r="BB301" i="82"/>
  <c r="BC301" i="82"/>
  <c r="BD301" i="82"/>
  <c r="BE301" i="82"/>
  <c r="BF301" i="82"/>
  <c r="BG301" i="82"/>
  <c r="BH301" i="82"/>
  <c r="BI301" i="82"/>
  <c r="BJ301" i="82"/>
  <c r="BK301" i="82"/>
  <c r="BL301" i="82"/>
  <c r="BM301" i="82"/>
  <c r="BN301" i="82"/>
  <c r="BO301" i="82"/>
  <c r="BP301" i="82"/>
  <c r="BQ301" i="82"/>
  <c r="BR301" i="82"/>
  <c r="B302" i="82"/>
  <c r="C302" i="82"/>
  <c r="D302" i="82"/>
  <c r="E302" i="82"/>
  <c r="F302" i="82"/>
  <c r="G302" i="82"/>
  <c r="H302" i="82"/>
  <c r="I302" i="82"/>
  <c r="J302" i="82"/>
  <c r="K302" i="82"/>
  <c r="L302" i="82"/>
  <c r="M302" i="82"/>
  <c r="N302" i="82"/>
  <c r="O302" i="82"/>
  <c r="P302" i="82"/>
  <c r="Q302" i="82"/>
  <c r="R302" i="82"/>
  <c r="S302" i="82"/>
  <c r="T302" i="82"/>
  <c r="U302" i="82"/>
  <c r="V302" i="82"/>
  <c r="W302" i="82"/>
  <c r="X302" i="82"/>
  <c r="Y302" i="82"/>
  <c r="Z302" i="82"/>
  <c r="AA302" i="82"/>
  <c r="AB302" i="82"/>
  <c r="AC302" i="82"/>
  <c r="AD302" i="82"/>
  <c r="AE302" i="82"/>
  <c r="AF302" i="82"/>
  <c r="AG302" i="82"/>
  <c r="AH302" i="82"/>
  <c r="AI302" i="82"/>
  <c r="AJ302" i="82"/>
  <c r="AK302" i="82"/>
  <c r="AL302" i="82"/>
  <c r="AM302" i="82"/>
  <c r="AN302" i="82"/>
  <c r="AO302" i="82"/>
  <c r="AP302" i="82"/>
  <c r="AQ302" i="82"/>
  <c r="AR302" i="82"/>
  <c r="AS302" i="82"/>
  <c r="AT302" i="82"/>
  <c r="AU302" i="82"/>
  <c r="AV302" i="82"/>
  <c r="AW302" i="82"/>
  <c r="AX302" i="82"/>
  <c r="AY302" i="82"/>
  <c r="AZ302" i="82"/>
  <c r="BA302" i="82"/>
  <c r="BB302" i="82"/>
  <c r="BC302" i="82"/>
  <c r="BD302" i="82"/>
  <c r="BE302" i="82"/>
  <c r="BF302" i="82"/>
  <c r="BG302" i="82"/>
  <c r="BH302" i="82"/>
  <c r="BI302" i="82"/>
  <c r="BJ302" i="82"/>
  <c r="BK302" i="82"/>
  <c r="BL302" i="82"/>
  <c r="BM302" i="82"/>
  <c r="BN302" i="82"/>
  <c r="BO302" i="82"/>
  <c r="BP302" i="82"/>
  <c r="BQ302" i="82"/>
  <c r="BR302" i="82"/>
  <c r="B303" i="82"/>
  <c r="C303" i="82"/>
  <c r="D303" i="82"/>
  <c r="E303" i="82"/>
  <c r="F303" i="82"/>
  <c r="G303" i="82"/>
  <c r="H303" i="82"/>
  <c r="I303" i="82"/>
  <c r="J303" i="82"/>
  <c r="K303" i="82"/>
  <c r="L303" i="82"/>
  <c r="M303" i="82"/>
  <c r="N303" i="82"/>
  <c r="O303" i="82"/>
  <c r="P303" i="82"/>
  <c r="Q303" i="82"/>
  <c r="R303" i="82"/>
  <c r="S303" i="82"/>
  <c r="T303" i="82"/>
  <c r="U303" i="82"/>
  <c r="V303" i="82"/>
  <c r="W303" i="82"/>
  <c r="X303" i="82"/>
  <c r="Y303" i="82"/>
  <c r="Z303" i="82"/>
  <c r="AA303" i="82"/>
  <c r="AB303" i="82"/>
  <c r="AC303" i="82"/>
  <c r="AD303" i="82"/>
  <c r="AE303" i="82"/>
  <c r="AF303" i="82"/>
  <c r="AG303" i="82"/>
  <c r="AH303" i="82"/>
  <c r="AI303" i="82"/>
  <c r="AJ303" i="82"/>
  <c r="AK303" i="82"/>
  <c r="AL303" i="82"/>
  <c r="AM303" i="82"/>
  <c r="AN303" i="82"/>
  <c r="AO303" i="82"/>
  <c r="AP303" i="82"/>
  <c r="AQ303" i="82"/>
  <c r="AR303" i="82"/>
  <c r="AS303" i="82"/>
  <c r="AT303" i="82"/>
  <c r="AU303" i="82"/>
  <c r="AV303" i="82"/>
  <c r="AW303" i="82"/>
  <c r="AX303" i="82"/>
  <c r="AY303" i="82"/>
  <c r="AZ303" i="82"/>
  <c r="BA303" i="82"/>
  <c r="BB303" i="82"/>
  <c r="BC303" i="82"/>
  <c r="BD303" i="82"/>
  <c r="BE303" i="82"/>
  <c r="BF303" i="82"/>
  <c r="BG303" i="82"/>
  <c r="BH303" i="82"/>
  <c r="BI303" i="82"/>
  <c r="BJ303" i="82"/>
  <c r="BK303" i="82"/>
  <c r="BL303" i="82"/>
  <c r="BM303" i="82"/>
  <c r="BN303" i="82"/>
  <c r="BO303" i="82"/>
  <c r="BP303" i="82"/>
  <c r="BQ303" i="82"/>
  <c r="BR303" i="82"/>
  <c r="B304" i="82"/>
  <c r="C304" i="82"/>
  <c r="D304" i="82"/>
  <c r="E304" i="82"/>
  <c r="F304" i="82"/>
  <c r="G304" i="82"/>
  <c r="H304" i="82"/>
  <c r="I304" i="82"/>
  <c r="J304" i="82"/>
  <c r="K304" i="82"/>
  <c r="L304" i="82"/>
  <c r="M304" i="82"/>
  <c r="N304" i="82"/>
  <c r="O304" i="82"/>
  <c r="P304" i="82"/>
  <c r="Q304" i="82"/>
  <c r="R304" i="82"/>
  <c r="S304" i="82"/>
  <c r="T304" i="82"/>
  <c r="U304" i="82"/>
  <c r="V304" i="82"/>
  <c r="W304" i="82"/>
  <c r="X304" i="82"/>
  <c r="Y304" i="82"/>
  <c r="Z304" i="82"/>
  <c r="AA304" i="82"/>
  <c r="AB304" i="82"/>
  <c r="AC304" i="82"/>
  <c r="AD304" i="82"/>
  <c r="AE304" i="82"/>
  <c r="AF304" i="82"/>
  <c r="AG304" i="82"/>
  <c r="AH304" i="82"/>
  <c r="AI304" i="82"/>
  <c r="AJ304" i="82"/>
  <c r="AK304" i="82"/>
  <c r="AL304" i="82"/>
  <c r="AM304" i="82"/>
  <c r="AN304" i="82"/>
  <c r="AO304" i="82"/>
  <c r="AP304" i="82"/>
  <c r="AQ304" i="82"/>
  <c r="AR304" i="82"/>
  <c r="AS304" i="82"/>
  <c r="AT304" i="82"/>
  <c r="AU304" i="82"/>
  <c r="AV304" i="82"/>
  <c r="AW304" i="82"/>
  <c r="AX304" i="82"/>
  <c r="AY304" i="82"/>
  <c r="AZ304" i="82"/>
  <c r="BA304" i="82"/>
  <c r="BB304" i="82"/>
  <c r="BC304" i="82"/>
  <c r="BD304" i="82"/>
  <c r="BE304" i="82"/>
  <c r="BF304" i="82"/>
  <c r="BG304" i="82"/>
  <c r="BH304" i="82"/>
  <c r="BI304" i="82"/>
  <c r="BJ304" i="82"/>
  <c r="BK304" i="82"/>
  <c r="BL304" i="82"/>
  <c r="BM304" i="82"/>
  <c r="BN304" i="82"/>
  <c r="BO304" i="82"/>
  <c r="BP304" i="82"/>
  <c r="BQ304" i="82"/>
  <c r="BR304" i="82"/>
  <c r="B305" i="82"/>
  <c r="C305" i="82"/>
  <c r="D305" i="82"/>
  <c r="E305" i="82"/>
  <c r="F305" i="82"/>
  <c r="G305" i="82"/>
  <c r="H305" i="82"/>
  <c r="I305" i="82"/>
  <c r="J305" i="82"/>
  <c r="K305" i="82"/>
  <c r="L305" i="82"/>
  <c r="M305" i="82"/>
  <c r="N305" i="82"/>
  <c r="O305" i="82"/>
  <c r="P305" i="82"/>
  <c r="Q305" i="82"/>
  <c r="R305" i="82"/>
  <c r="S305" i="82"/>
  <c r="T305" i="82"/>
  <c r="U305" i="82"/>
  <c r="V305" i="82"/>
  <c r="W305" i="82"/>
  <c r="X305" i="82"/>
  <c r="Y305" i="82"/>
  <c r="Z305" i="82"/>
  <c r="AA305" i="82"/>
  <c r="AB305" i="82"/>
  <c r="AC305" i="82"/>
  <c r="AD305" i="82"/>
  <c r="AE305" i="82"/>
  <c r="AF305" i="82"/>
  <c r="AG305" i="82"/>
  <c r="AH305" i="82"/>
  <c r="AI305" i="82"/>
  <c r="AJ305" i="82"/>
  <c r="AK305" i="82"/>
  <c r="AL305" i="82"/>
  <c r="AM305" i="82"/>
  <c r="AN305" i="82"/>
  <c r="AO305" i="82"/>
  <c r="AP305" i="82"/>
  <c r="AQ305" i="82"/>
  <c r="AR305" i="82"/>
  <c r="AS305" i="82"/>
  <c r="AT305" i="82"/>
  <c r="AU305" i="82"/>
  <c r="AV305" i="82"/>
  <c r="AW305" i="82"/>
  <c r="AX305" i="82"/>
  <c r="AY305" i="82"/>
  <c r="AZ305" i="82"/>
  <c r="BA305" i="82"/>
  <c r="BB305" i="82"/>
  <c r="BC305" i="82"/>
  <c r="BD305" i="82"/>
  <c r="BE305" i="82"/>
  <c r="BF305" i="82"/>
  <c r="BG305" i="82"/>
  <c r="BH305" i="82"/>
  <c r="BI305" i="82"/>
  <c r="BJ305" i="82"/>
  <c r="BK305" i="82"/>
  <c r="BL305" i="82"/>
  <c r="BM305" i="82"/>
  <c r="BN305" i="82"/>
  <c r="BO305" i="82"/>
  <c r="BP305" i="82"/>
  <c r="BQ305" i="82"/>
  <c r="BR305" i="82"/>
  <c r="B306" i="82"/>
  <c r="C306" i="82"/>
  <c r="D306" i="82"/>
  <c r="E306" i="82"/>
  <c r="F306" i="82"/>
  <c r="G306" i="82"/>
  <c r="H306" i="82"/>
  <c r="I306" i="82"/>
  <c r="J306" i="82"/>
  <c r="K306" i="82"/>
  <c r="L306" i="82"/>
  <c r="M306" i="82"/>
  <c r="N306" i="82"/>
  <c r="O306" i="82"/>
  <c r="P306" i="82"/>
  <c r="Q306" i="82"/>
  <c r="R306" i="82"/>
  <c r="S306" i="82"/>
  <c r="T306" i="82"/>
  <c r="U306" i="82"/>
  <c r="V306" i="82"/>
  <c r="W306" i="82"/>
  <c r="X306" i="82"/>
  <c r="Y306" i="82"/>
  <c r="Z306" i="82"/>
  <c r="AA306" i="82"/>
  <c r="AB306" i="82"/>
  <c r="AC306" i="82"/>
  <c r="AD306" i="82"/>
  <c r="AE306" i="82"/>
  <c r="AF306" i="82"/>
  <c r="AG306" i="82"/>
  <c r="AH306" i="82"/>
  <c r="AI306" i="82"/>
  <c r="AJ306" i="82"/>
  <c r="AK306" i="82"/>
  <c r="AL306" i="82"/>
  <c r="AM306" i="82"/>
  <c r="AN306" i="82"/>
  <c r="AO306" i="82"/>
  <c r="AP306" i="82"/>
  <c r="AQ306" i="82"/>
  <c r="AR306" i="82"/>
  <c r="AS306" i="82"/>
  <c r="AT306" i="82"/>
  <c r="AU306" i="82"/>
  <c r="AV306" i="82"/>
  <c r="AW306" i="82"/>
  <c r="AX306" i="82"/>
  <c r="AY306" i="82"/>
  <c r="AZ306" i="82"/>
  <c r="BA306" i="82"/>
  <c r="BB306" i="82"/>
  <c r="BC306" i="82"/>
  <c r="BD306" i="82"/>
  <c r="BE306" i="82"/>
  <c r="BF306" i="82"/>
  <c r="BG306" i="82"/>
  <c r="BH306" i="82"/>
  <c r="BI306" i="82"/>
  <c r="BJ306" i="82"/>
  <c r="BK306" i="82"/>
  <c r="BL306" i="82"/>
  <c r="BM306" i="82"/>
  <c r="BN306" i="82"/>
  <c r="BO306" i="82"/>
  <c r="BP306" i="82"/>
  <c r="BQ306" i="82"/>
  <c r="BR306" i="82"/>
  <c r="B307" i="82"/>
  <c r="C307" i="82"/>
  <c r="D307" i="82"/>
  <c r="E307" i="82"/>
  <c r="F307" i="82"/>
  <c r="G307" i="82"/>
  <c r="H307" i="82"/>
  <c r="I307" i="82"/>
  <c r="J307" i="82"/>
  <c r="K307" i="82"/>
  <c r="L307" i="82"/>
  <c r="M307" i="82"/>
  <c r="N307" i="82"/>
  <c r="O307" i="82"/>
  <c r="P307" i="82"/>
  <c r="Q307" i="82"/>
  <c r="R307" i="82"/>
  <c r="S307" i="82"/>
  <c r="T307" i="82"/>
  <c r="U307" i="82"/>
  <c r="V307" i="82"/>
  <c r="W307" i="82"/>
  <c r="X307" i="82"/>
  <c r="Y307" i="82"/>
  <c r="Z307" i="82"/>
  <c r="AA307" i="82"/>
  <c r="AB307" i="82"/>
  <c r="AC307" i="82"/>
  <c r="AD307" i="82"/>
  <c r="AE307" i="82"/>
  <c r="AF307" i="82"/>
  <c r="AG307" i="82"/>
  <c r="AH307" i="82"/>
  <c r="AI307" i="82"/>
  <c r="AJ307" i="82"/>
  <c r="AK307" i="82"/>
  <c r="AL307" i="82"/>
  <c r="AM307" i="82"/>
  <c r="AN307" i="82"/>
  <c r="AO307" i="82"/>
  <c r="AP307" i="82"/>
  <c r="AR307" i="82"/>
  <c r="AS307" i="82"/>
  <c r="AT307" i="82"/>
  <c r="AU307" i="82"/>
  <c r="AV307" i="82"/>
  <c r="AW307" i="82"/>
  <c r="AX307" i="82"/>
  <c r="AY307" i="82"/>
  <c r="AZ307" i="82"/>
  <c r="BA307" i="82"/>
  <c r="BB307" i="82"/>
  <c r="BC307" i="82"/>
  <c r="BD307" i="82"/>
  <c r="BE307" i="82"/>
  <c r="BF307" i="82"/>
  <c r="BG307" i="82"/>
  <c r="BH307" i="82"/>
  <c r="BI307" i="82"/>
  <c r="BJ307" i="82"/>
  <c r="BK307" i="82"/>
  <c r="BL307" i="82"/>
  <c r="BM307" i="82"/>
  <c r="BN307" i="82"/>
  <c r="BO307" i="82"/>
  <c r="BP307" i="82"/>
  <c r="BQ307" i="82"/>
  <c r="BR307" i="82"/>
  <c r="B308" i="82"/>
  <c r="C308" i="82"/>
  <c r="D308" i="82"/>
  <c r="E308" i="82"/>
  <c r="F308" i="82"/>
  <c r="G308" i="82"/>
  <c r="H308" i="82"/>
  <c r="I308" i="82"/>
  <c r="J308" i="82"/>
  <c r="K308" i="82"/>
  <c r="L308" i="82"/>
  <c r="M308" i="82"/>
  <c r="N308" i="82"/>
  <c r="O308" i="82"/>
  <c r="P308" i="82"/>
  <c r="Q308" i="82"/>
  <c r="R308" i="82"/>
  <c r="S308" i="82"/>
  <c r="T308" i="82"/>
  <c r="U308" i="82"/>
  <c r="V308" i="82"/>
  <c r="W308" i="82"/>
  <c r="X308" i="82"/>
  <c r="Y308" i="82"/>
  <c r="Z308" i="82"/>
  <c r="AA308" i="82"/>
  <c r="AB308" i="82"/>
  <c r="AC308" i="82"/>
  <c r="AD308" i="82"/>
  <c r="AE308" i="82"/>
  <c r="AF308" i="82"/>
  <c r="AG308" i="82"/>
  <c r="AH308" i="82"/>
  <c r="AI308" i="82"/>
  <c r="AJ308" i="82"/>
  <c r="AK308" i="82"/>
  <c r="AL308" i="82"/>
  <c r="AM308" i="82"/>
  <c r="AN308" i="82"/>
  <c r="AO308" i="82"/>
  <c r="AP308" i="82"/>
  <c r="AQ308" i="82"/>
  <c r="AR308" i="82"/>
  <c r="AS308" i="82"/>
  <c r="AT308" i="82"/>
  <c r="AU308" i="82"/>
  <c r="AV308" i="82"/>
  <c r="AW308" i="82"/>
  <c r="AX308" i="82"/>
  <c r="AY308" i="82"/>
  <c r="AZ308" i="82"/>
  <c r="BA308" i="82"/>
  <c r="BB308" i="82"/>
  <c r="BC308" i="82"/>
  <c r="BD308" i="82"/>
  <c r="BE308" i="82"/>
  <c r="BF308" i="82"/>
  <c r="BG308" i="82"/>
  <c r="BH308" i="82"/>
  <c r="BI308" i="82"/>
  <c r="BJ308" i="82"/>
  <c r="BK308" i="82"/>
  <c r="BL308" i="82"/>
  <c r="BM308" i="82"/>
  <c r="BN308" i="82"/>
  <c r="BO308" i="82"/>
  <c r="BP308" i="82"/>
  <c r="BQ308" i="82"/>
  <c r="BR308" i="82"/>
  <c r="B309" i="82"/>
  <c r="C309" i="82"/>
  <c r="D309" i="82"/>
  <c r="E309" i="82"/>
  <c r="F309" i="82"/>
  <c r="G309" i="82"/>
  <c r="H309" i="82"/>
  <c r="I309" i="82"/>
  <c r="J309" i="82"/>
  <c r="K309" i="82"/>
  <c r="L309" i="82"/>
  <c r="M309" i="82"/>
  <c r="N309" i="82"/>
  <c r="O309" i="82"/>
  <c r="P309" i="82"/>
  <c r="Q309" i="82"/>
  <c r="R309" i="82"/>
  <c r="S309" i="82"/>
  <c r="T309" i="82"/>
  <c r="U309" i="82"/>
  <c r="V309" i="82"/>
  <c r="W309" i="82"/>
  <c r="X309" i="82"/>
  <c r="Y309" i="82"/>
  <c r="Z309" i="82"/>
  <c r="AA309" i="82"/>
  <c r="AB309" i="82"/>
  <c r="AC309" i="82"/>
  <c r="AD309" i="82"/>
  <c r="AE309" i="82"/>
  <c r="AF309" i="82"/>
  <c r="AG309" i="82"/>
  <c r="AH309" i="82"/>
  <c r="AI309" i="82"/>
  <c r="AJ309" i="82"/>
  <c r="AK309" i="82"/>
  <c r="AL309" i="82"/>
  <c r="AM309" i="82"/>
  <c r="AN309" i="82"/>
  <c r="AO309" i="82"/>
  <c r="AP309" i="82"/>
  <c r="AQ309" i="82"/>
  <c r="AR309" i="82"/>
  <c r="AS309" i="82"/>
  <c r="AT309" i="82"/>
  <c r="AU309" i="82"/>
  <c r="AV309" i="82"/>
  <c r="AW309" i="82"/>
  <c r="AX309" i="82"/>
  <c r="AY309" i="82"/>
  <c r="AZ309" i="82"/>
  <c r="BA309" i="82"/>
  <c r="BB309" i="82"/>
  <c r="BC309" i="82"/>
  <c r="BD309" i="82"/>
  <c r="BE309" i="82"/>
  <c r="BF309" i="82"/>
  <c r="BG309" i="82"/>
  <c r="BH309" i="82"/>
  <c r="BI309" i="82"/>
  <c r="BJ309" i="82"/>
  <c r="BK309" i="82"/>
  <c r="BL309" i="82"/>
  <c r="BM309" i="82"/>
  <c r="BN309" i="82"/>
  <c r="BO309" i="82"/>
  <c r="BP309" i="82"/>
  <c r="BQ309" i="82"/>
  <c r="BR309" i="82"/>
  <c r="B310" i="82"/>
  <c r="C310" i="82"/>
  <c r="D310" i="82"/>
  <c r="E310" i="82"/>
  <c r="F310" i="82"/>
  <c r="G310" i="82"/>
  <c r="H310" i="82"/>
  <c r="I310" i="82"/>
  <c r="J310" i="82"/>
  <c r="K310" i="82"/>
  <c r="L310" i="82"/>
  <c r="M310" i="82"/>
  <c r="N310" i="82"/>
  <c r="O310" i="82"/>
  <c r="P310" i="82"/>
  <c r="Q310" i="82"/>
  <c r="R310" i="82"/>
  <c r="S310" i="82"/>
  <c r="T310" i="82"/>
  <c r="U310" i="82"/>
  <c r="V310" i="82"/>
  <c r="W310" i="82"/>
  <c r="X310" i="82"/>
  <c r="Y310" i="82"/>
  <c r="Z310" i="82"/>
  <c r="AA310" i="82"/>
  <c r="AB310" i="82"/>
  <c r="AC310" i="82"/>
  <c r="AD310" i="82"/>
  <c r="AE310" i="82"/>
  <c r="AF310" i="82"/>
  <c r="AG310" i="82"/>
  <c r="AH310" i="82"/>
  <c r="AI310" i="82"/>
  <c r="AJ310" i="82"/>
  <c r="AK310" i="82"/>
  <c r="AL310" i="82"/>
  <c r="AM310" i="82"/>
  <c r="AN310" i="82"/>
  <c r="AO310" i="82"/>
  <c r="AP310" i="82"/>
  <c r="AQ310" i="82"/>
  <c r="AR310" i="82"/>
  <c r="AS310" i="82"/>
  <c r="AT310" i="82"/>
  <c r="AU310" i="82"/>
  <c r="AV310" i="82"/>
  <c r="AW310" i="82"/>
  <c r="AX310" i="82"/>
  <c r="AY310" i="82"/>
  <c r="AZ310" i="82"/>
  <c r="BA310" i="82"/>
  <c r="BB310" i="82"/>
  <c r="BC310" i="82"/>
  <c r="BD310" i="82"/>
  <c r="BE310" i="82"/>
  <c r="BF310" i="82"/>
  <c r="BG310" i="82"/>
  <c r="BH310" i="82"/>
  <c r="BI310" i="82"/>
  <c r="BJ310" i="82"/>
  <c r="BK310" i="82"/>
  <c r="BL310" i="82"/>
  <c r="BM310" i="82"/>
  <c r="BN310" i="82"/>
  <c r="BO310" i="82"/>
  <c r="BP310" i="82"/>
  <c r="BQ310" i="82"/>
  <c r="BR310" i="82"/>
  <c r="B311" i="82"/>
  <c r="C311" i="82"/>
  <c r="D311" i="82"/>
  <c r="E311" i="82"/>
  <c r="F311" i="82"/>
  <c r="G311" i="82"/>
  <c r="H311" i="82"/>
  <c r="I311" i="82"/>
  <c r="J311" i="82"/>
  <c r="K311" i="82"/>
  <c r="L311" i="82"/>
  <c r="M311" i="82"/>
  <c r="N311" i="82"/>
  <c r="O311" i="82"/>
  <c r="P311" i="82"/>
  <c r="Q311" i="82"/>
  <c r="R311" i="82"/>
  <c r="S311" i="82"/>
  <c r="T311" i="82"/>
  <c r="U311" i="82"/>
  <c r="V311" i="82"/>
  <c r="W311" i="82"/>
  <c r="X311" i="82"/>
  <c r="Y311" i="82"/>
  <c r="Z311" i="82"/>
  <c r="AA311" i="82"/>
  <c r="AB311" i="82"/>
  <c r="AC311" i="82"/>
  <c r="AD311" i="82"/>
  <c r="AE311" i="82"/>
  <c r="AF311" i="82"/>
  <c r="AG311" i="82"/>
  <c r="AH311" i="82"/>
  <c r="AI311" i="82"/>
  <c r="AJ311" i="82"/>
  <c r="AK311" i="82"/>
  <c r="AL311" i="82"/>
  <c r="AM311" i="82"/>
  <c r="AN311" i="82"/>
  <c r="AO311" i="82"/>
  <c r="AP311" i="82"/>
  <c r="AQ311" i="82"/>
  <c r="AR311" i="82"/>
  <c r="AS311" i="82"/>
  <c r="AT311" i="82"/>
  <c r="AU311" i="82"/>
  <c r="AV311" i="82"/>
  <c r="AW311" i="82"/>
  <c r="AX311" i="82"/>
  <c r="AY311" i="82"/>
  <c r="AZ311" i="82"/>
  <c r="BA311" i="82"/>
  <c r="BB311" i="82"/>
  <c r="BC311" i="82"/>
  <c r="BD311" i="82"/>
  <c r="BE311" i="82"/>
  <c r="BF311" i="82"/>
  <c r="BG311" i="82"/>
  <c r="BH311" i="82"/>
  <c r="BI311" i="82"/>
  <c r="BJ311" i="82"/>
  <c r="BK311" i="82"/>
  <c r="BL311" i="82"/>
  <c r="BM311" i="82"/>
  <c r="BN311" i="82"/>
  <c r="BO311" i="82"/>
  <c r="BP311" i="82"/>
  <c r="BQ311" i="82"/>
  <c r="BR311" i="82"/>
  <c r="B312" i="82"/>
  <c r="C312" i="82"/>
  <c r="D312" i="82"/>
  <c r="E312" i="82"/>
  <c r="F312" i="82"/>
  <c r="G312" i="82"/>
  <c r="H312" i="82"/>
  <c r="I312" i="82"/>
  <c r="J312" i="82"/>
  <c r="K312" i="82"/>
  <c r="L312" i="82"/>
  <c r="M312" i="82"/>
  <c r="N312" i="82"/>
  <c r="O312" i="82"/>
  <c r="P312" i="82"/>
  <c r="Q312" i="82"/>
  <c r="R312" i="82"/>
  <c r="S312" i="82"/>
  <c r="T312" i="82"/>
  <c r="U312" i="82"/>
  <c r="V312" i="82"/>
  <c r="W312" i="82"/>
  <c r="X312" i="82"/>
  <c r="Y312" i="82"/>
  <c r="Z312" i="82"/>
  <c r="AA312" i="82"/>
  <c r="AB312" i="82"/>
  <c r="AC312" i="82"/>
  <c r="AD312" i="82"/>
  <c r="AE312" i="82"/>
  <c r="AF312" i="82"/>
  <c r="AG312" i="82"/>
  <c r="AH312" i="82"/>
  <c r="AI312" i="82"/>
  <c r="AJ312" i="82"/>
  <c r="AK312" i="82"/>
  <c r="AL312" i="82"/>
  <c r="AM312" i="82"/>
  <c r="AN312" i="82"/>
  <c r="AO312" i="82"/>
  <c r="AP312" i="82"/>
  <c r="AQ312" i="82"/>
  <c r="AR312" i="82"/>
  <c r="AS312" i="82"/>
  <c r="AT312" i="82"/>
  <c r="AU312" i="82"/>
  <c r="AV312" i="82"/>
  <c r="AW312" i="82"/>
  <c r="AX312" i="82"/>
  <c r="AY312" i="82"/>
  <c r="AZ312" i="82"/>
  <c r="BA312" i="82"/>
  <c r="BB312" i="82"/>
  <c r="BC312" i="82"/>
  <c r="BD312" i="82"/>
  <c r="BE312" i="82"/>
  <c r="BF312" i="82"/>
  <c r="BG312" i="82"/>
  <c r="BH312" i="82"/>
  <c r="BI312" i="82"/>
  <c r="BJ312" i="82"/>
  <c r="BK312" i="82"/>
  <c r="BL312" i="82"/>
  <c r="BM312" i="82"/>
  <c r="BN312" i="82"/>
  <c r="BO312" i="82"/>
  <c r="BP312" i="82"/>
  <c r="BQ312" i="82"/>
  <c r="BR312" i="82"/>
  <c r="B313" i="82"/>
  <c r="C313" i="82"/>
  <c r="D313" i="82"/>
  <c r="E313" i="82"/>
  <c r="F313" i="82"/>
  <c r="G313" i="82"/>
  <c r="H313" i="82"/>
  <c r="I313" i="82"/>
  <c r="J313" i="82"/>
  <c r="K313" i="82"/>
  <c r="L313" i="82"/>
  <c r="M313" i="82"/>
  <c r="N313" i="82"/>
  <c r="O313" i="82"/>
  <c r="P313" i="82"/>
  <c r="Q313" i="82"/>
  <c r="R313" i="82"/>
  <c r="S313" i="82"/>
  <c r="T313" i="82"/>
  <c r="U313" i="82"/>
  <c r="V313" i="82"/>
  <c r="W313" i="82"/>
  <c r="X313" i="82"/>
  <c r="Y313" i="82"/>
  <c r="Z313" i="82"/>
  <c r="AA313" i="82"/>
  <c r="AB313" i="82"/>
  <c r="AC313" i="82"/>
  <c r="AD313" i="82"/>
  <c r="AE313" i="82"/>
  <c r="AF313" i="82"/>
  <c r="AG313" i="82"/>
  <c r="AH313" i="82"/>
  <c r="AI313" i="82"/>
  <c r="AJ313" i="82"/>
  <c r="AK313" i="82"/>
  <c r="AL313" i="82"/>
  <c r="AM313" i="82"/>
  <c r="AN313" i="82"/>
  <c r="AO313" i="82"/>
  <c r="AP313" i="82"/>
  <c r="AQ313" i="82"/>
  <c r="AR313" i="82"/>
  <c r="AS313" i="82"/>
  <c r="AT313" i="82"/>
  <c r="AU313" i="82"/>
  <c r="AV313" i="82"/>
  <c r="AW313" i="82"/>
  <c r="AX313" i="82"/>
  <c r="AY313" i="82"/>
  <c r="AZ313" i="82"/>
  <c r="BA313" i="82"/>
  <c r="BB313" i="82"/>
  <c r="BC313" i="82"/>
  <c r="BD313" i="82"/>
  <c r="BE313" i="82"/>
  <c r="BF313" i="82"/>
  <c r="BG313" i="82"/>
  <c r="BH313" i="82"/>
  <c r="BI313" i="82"/>
  <c r="BJ313" i="82"/>
  <c r="BK313" i="82"/>
  <c r="BL313" i="82"/>
  <c r="BM313" i="82"/>
  <c r="BN313" i="82"/>
  <c r="BO313" i="82"/>
  <c r="BP313" i="82"/>
  <c r="BQ313" i="82"/>
  <c r="BR313" i="82"/>
  <c r="B314" i="82"/>
  <c r="C314" i="82"/>
  <c r="D314" i="82"/>
  <c r="E314" i="82"/>
  <c r="F314" i="82"/>
  <c r="G314" i="82"/>
  <c r="H314" i="82"/>
  <c r="I314" i="82"/>
  <c r="J314" i="82"/>
  <c r="K314" i="82"/>
  <c r="L314" i="82"/>
  <c r="M314" i="82"/>
  <c r="N314" i="82"/>
  <c r="O314" i="82"/>
  <c r="P314" i="82"/>
  <c r="Q314" i="82"/>
  <c r="R314" i="82"/>
  <c r="S314" i="82"/>
  <c r="T314" i="82"/>
  <c r="U314" i="82"/>
  <c r="V314" i="82"/>
  <c r="W314" i="82"/>
  <c r="X314" i="82"/>
  <c r="Y314" i="82"/>
  <c r="Z314" i="82"/>
  <c r="AA314" i="82"/>
  <c r="AB314" i="82"/>
  <c r="AC314" i="82"/>
  <c r="AD314" i="82"/>
  <c r="AE314" i="82"/>
  <c r="AF314" i="82"/>
  <c r="AG314" i="82"/>
  <c r="AH314" i="82"/>
  <c r="AI314" i="82"/>
  <c r="AJ314" i="82"/>
  <c r="AK314" i="82"/>
  <c r="AL314" i="82"/>
  <c r="AM314" i="82"/>
  <c r="AN314" i="82"/>
  <c r="AO314" i="82"/>
  <c r="AP314" i="82"/>
  <c r="AQ314" i="82"/>
  <c r="AR314" i="82"/>
  <c r="AS314" i="82"/>
  <c r="AT314" i="82"/>
  <c r="AU314" i="82"/>
  <c r="AV314" i="82"/>
  <c r="AW314" i="82"/>
  <c r="AX314" i="82"/>
  <c r="AY314" i="82"/>
  <c r="AZ314" i="82"/>
  <c r="BA314" i="82"/>
  <c r="BB314" i="82"/>
  <c r="BC314" i="82"/>
  <c r="BD314" i="82"/>
  <c r="BE314" i="82"/>
  <c r="BF314" i="82"/>
  <c r="BG314" i="82"/>
  <c r="BH314" i="82"/>
  <c r="BI314" i="82"/>
  <c r="BJ314" i="82"/>
  <c r="BK314" i="82"/>
  <c r="BL314" i="82"/>
  <c r="BM314" i="82"/>
  <c r="BN314" i="82"/>
  <c r="BO314" i="82"/>
  <c r="BP314" i="82"/>
  <c r="BQ314" i="82"/>
  <c r="BR314" i="82"/>
  <c r="B315" i="82"/>
  <c r="C315" i="82"/>
  <c r="D315" i="82"/>
  <c r="E315" i="82"/>
  <c r="F315" i="82"/>
  <c r="G315" i="82"/>
  <c r="H315" i="82"/>
  <c r="I315" i="82"/>
  <c r="J315" i="82"/>
  <c r="K315" i="82"/>
  <c r="L315" i="82"/>
  <c r="M315" i="82"/>
  <c r="N315" i="82"/>
  <c r="O315" i="82"/>
  <c r="P315" i="82"/>
  <c r="Q315" i="82"/>
  <c r="R315" i="82"/>
  <c r="S315" i="82"/>
  <c r="T315" i="82"/>
  <c r="U315" i="82"/>
  <c r="V315" i="82"/>
  <c r="W315" i="82"/>
  <c r="X315" i="82"/>
  <c r="Y315" i="82"/>
  <c r="Z315" i="82"/>
  <c r="AA315" i="82"/>
  <c r="AB315" i="82"/>
  <c r="AC315" i="82"/>
  <c r="AD315" i="82"/>
  <c r="AE315" i="82"/>
  <c r="AF315" i="82"/>
  <c r="AG315" i="82"/>
  <c r="AH315" i="82"/>
  <c r="AI315" i="82"/>
  <c r="AJ315" i="82"/>
  <c r="AK315" i="82"/>
  <c r="AL315" i="82"/>
  <c r="AM315" i="82"/>
  <c r="AN315" i="82"/>
  <c r="AO315" i="82"/>
  <c r="AP315" i="82"/>
  <c r="AQ315" i="82"/>
  <c r="AR315" i="82"/>
  <c r="AS315" i="82"/>
  <c r="AT315" i="82"/>
  <c r="AU315" i="82"/>
  <c r="AV315" i="82"/>
  <c r="AW315" i="82"/>
  <c r="AX315" i="82"/>
  <c r="AY315" i="82"/>
  <c r="AZ315" i="82"/>
  <c r="BA315" i="82"/>
  <c r="BB315" i="82"/>
  <c r="BC315" i="82"/>
  <c r="BD315" i="82"/>
  <c r="BE315" i="82"/>
  <c r="BF315" i="82"/>
  <c r="BG315" i="82"/>
  <c r="BH315" i="82"/>
  <c r="BI315" i="82"/>
  <c r="BJ315" i="82"/>
  <c r="BK315" i="82"/>
  <c r="BL315" i="82"/>
  <c r="BM315" i="82"/>
  <c r="BN315" i="82"/>
  <c r="BO315" i="82"/>
  <c r="BP315" i="82"/>
  <c r="BQ315" i="82"/>
  <c r="BR315" i="82"/>
  <c r="B316" i="82"/>
  <c r="C316" i="82"/>
  <c r="D316" i="82"/>
  <c r="E316" i="82"/>
  <c r="F316" i="82"/>
  <c r="G316" i="82"/>
  <c r="H316" i="82"/>
  <c r="I316" i="82"/>
  <c r="J316" i="82"/>
  <c r="K316" i="82"/>
  <c r="L316" i="82"/>
  <c r="M316" i="82"/>
  <c r="N316" i="82"/>
  <c r="O316" i="82"/>
  <c r="P316" i="82"/>
  <c r="Q316" i="82"/>
  <c r="R316" i="82"/>
  <c r="S316" i="82"/>
  <c r="T316" i="82"/>
  <c r="U316" i="82"/>
  <c r="V316" i="82"/>
  <c r="W316" i="82"/>
  <c r="X316" i="82"/>
  <c r="Y316" i="82"/>
  <c r="Z316" i="82"/>
  <c r="AA316" i="82"/>
  <c r="AB316" i="82"/>
  <c r="AC316" i="82"/>
  <c r="AD316" i="82"/>
  <c r="AE316" i="82"/>
  <c r="AF316" i="82"/>
  <c r="AG316" i="82"/>
  <c r="AH316" i="82"/>
  <c r="AI316" i="82"/>
  <c r="AJ316" i="82"/>
  <c r="AK316" i="82"/>
  <c r="AL316" i="82"/>
  <c r="AM316" i="82"/>
  <c r="AN316" i="82"/>
  <c r="AO316" i="82"/>
  <c r="AP316" i="82"/>
  <c r="AQ316" i="82"/>
  <c r="AR316" i="82"/>
  <c r="AS316" i="82"/>
  <c r="AT316" i="82"/>
  <c r="AU316" i="82"/>
  <c r="AV316" i="82"/>
  <c r="AW316" i="82"/>
  <c r="AX316" i="82"/>
  <c r="AY316" i="82"/>
  <c r="AZ316" i="82"/>
  <c r="BA316" i="82"/>
  <c r="BB316" i="82"/>
  <c r="BC316" i="82"/>
  <c r="BD316" i="82"/>
  <c r="BE316" i="82"/>
  <c r="BF316" i="82"/>
  <c r="BG316" i="82"/>
  <c r="BH316" i="82"/>
  <c r="BI316" i="82"/>
  <c r="BJ316" i="82"/>
  <c r="BK316" i="82"/>
  <c r="BL316" i="82"/>
  <c r="BM316" i="82"/>
  <c r="BN316" i="82"/>
  <c r="BO316" i="82"/>
  <c r="BP316" i="82"/>
  <c r="BQ316" i="82"/>
  <c r="BR316" i="82"/>
  <c r="B317" i="82"/>
  <c r="C317" i="82"/>
  <c r="D317" i="82"/>
  <c r="E317" i="82"/>
  <c r="F317" i="82"/>
  <c r="G317" i="82"/>
  <c r="H317" i="82"/>
  <c r="I317" i="82"/>
  <c r="J317" i="82"/>
  <c r="K317" i="82"/>
  <c r="L317" i="82"/>
  <c r="M317" i="82"/>
  <c r="N317" i="82"/>
  <c r="O317" i="82"/>
  <c r="P317" i="82"/>
  <c r="Q317" i="82"/>
  <c r="R317" i="82"/>
  <c r="S317" i="82"/>
  <c r="T317" i="82"/>
  <c r="U317" i="82"/>
  <c r="V317" i="82"/>
  <c r="W317" i="82"/>
  <c r="X317" i="82"/>
  <c r="Y317" i="82"/>
  <c r="Z317" i="82"/>
  <c r="AA317" i="82"/>
  <c r="AB317" i="82"/>
  <c r="AC317" i="82"/>
  <c r="AD317" i="82"/>
  <c r="AE317" i="82"/>
  <c r="AF317" i="82"/>
  <c r="AG317" i="82"/>
  <c r="AH317" i="82"/>
  <c r="AI317" i="82"/>
  <c r="AJ317" i="82"/>
  <c r="AK317" i="82"/>
  <c r="AL317" i="82"/>
  <c r="AM317" i="82"/>
  <c r="AN317" i="82"/>
  <c r="AO317" i="82"/>
  <c r="AP317" i="82"/>
  <c r="AQ317" i="82"/>
  <c r="AR317" i="82"/>
  <c r="AS317" i="82"/>
  <c r="AT317" i="82"/>
  <c r="AU317" i="82"/>
  <c r="AV317" i="82"/>
  <c r="AW317" i="82"/>
  <c r="AX317" i="82"/>
  <c r="AY317" i="82"/>
  <c r="AZ317" i="82"/>
  <c r="BA317" i="82"/>
  <c r="BB317" i="82"/>
  <c r="BC317" i="82"/>
  <c r="BD317" i="82"/>
  <c r="BE317" i="82"/>
  <c r="BF317" i="82"/>
  <c r="BG317" i="82"/>
  <c r="BH317" i="82"/>
  <c r="BI317" i="82"/>
  <c r="BJ317" i="82"/>
  <c r="BK317" i="82"/>
  <c r="BL317" i="82"/>
  <c r="BM317" i="82"/>
  <c r="BN317" i="82"/>
  <c r="BO317" i="82"/>
  <c r="BP317" i="82"/>
  <c r="BQ317" i="82"/>
  <c r="BR317" i="82"/>
  <c r="B318" i="82"/>
  <c r="C318" i="82"/>
  <c r="D318" i="82"/>
  <c r="E318" i="82"/>
  <c r="F318" i="82"/>
  <c r="G318" i="82"/>
  <c r="H318" i="82"/>
  <c r="I318" i="82"/>
  <c r="J318" i="82"/>
  <c r="K318" i="82"/>
  <c r="L318" i="82"/>
  <c r="M318" i="82"/>
  <c r="N318" i="82"/>
  <c r="O318" i="82"/>
  <c r="P318" i="82"/>
  <c r="Q318" i="82"/>
  <c r="R318" i="82"/>
  <c r="S318" i="82"/>
  <c r="T318" i="82"/>
  <c r="U318" i="82"/>
  <c r="V318" i="82"/>
  <c r="W318" i="82"/>
  <c r="X318" i="82"/>
  <c r="Y318" i="82"/>
  <c r="Z318" i="82"/>
  <c r="AA318" i="82"/>
  <c r="AB318" i="82"/>
  <c r="AC318" i="82"/>
  <c r="AD318" i="82"/>
  <c r="AE318" i="82"/>
  <c r="AF318" i="82"/>
  <c r="AG318" i="82"/>
  <c r="AH318" i="82"/>
  <c r="AI318" i="82"/>
  <c r="AJ318" i="82"/>
  <c r="AK318" i="82"/>
  <c r="AL318" i="82"/>
  <c r="AM318" i="82"/>
  <c r="AN318" i="82"/>
  <c r="AO318" i="82"/>
  <c r="AP318" i="82"/>
  <c r="AQ318" i="82"/>
  <c r="AR318" i="82"/>
  <c r="AS318" i="82"/>
  <c r="AT318" i="82"/>
  <c r="AU318" i="82"/>
  <c r="AV318" i="82"/>
  <c r="AW318" i="82"/>
  <c r="AX318" i="82"/>
  <c r="AY318" i="82"/>
  <c r="AZ318" i="82"/>
  <c r="BA318" i="82"/>
  <c r="BB318" i="82"/>
  <c r="BC318" i="82"/>
  <c r="BD318" i="82"/>
  <c r="BE318" i="82"/>
  <c r="BF318" i="82"/>
  <c r="BG318" i="82"/>
  <c r="BH318" i="82"/>
  <c r="BI318" i="82"/>
  <c r="BJ318" i="82"/>
  <c r="BK318" i="82"/>
  <c r="BL318" i="82"/>
  <c r="BM318" i="82"/>
  <c r="BN318" i="82"/>
  <c r="BO318" i="82"/>
  <c r="BP318" i="82"/>
  <c r="BQ318" i="82"/>
  <c r="BR318" i="82"/>
  <c r="B319" i="82"/>
  <c r="C319" i="82"/>
  <c r="D319" i="82"/>
  <c r="E319" i="82"/>
  <c r="F319" i="82"/>
  <c r="G319" i="82"/>
  <c r="H319" i="82"/>
  <c r="I319" i="82"/>
  <c r="J319" i="82"/>
  <c r="K319" i="82"/>
  <c r="L319" i="82"/>
  <c r="M319" i="82"/>
  <c r="N319" i="82"/>
  <c r="O319" i="82"/>
  <c r="P319" i="82"/>
  <c r="Q319" i="82"/>
  <c r="R319" i="82"/>
  <c r="S319" i="82"/>
  <c r="T319" i="82"/>
  <c r="U319" i="82"/>
  <c r="V319" i="82"/>
  <c r="W319" i="82"/>
  <c r="X319" i="82"/>
  <c r="Y319" i="82"/>
  <c r="Z319" i="82"/>
  <c r="AA319" i="82"/>
  <c r="AB319" i="82"/>
  <c r="AC319" i="82"/>
  <c r="AD319" i="82"/>
  <c r="AE319" i="82"/>
  <c r="AF319" i="82"/>
  <c r="AG319" i="82"/>
  <c r="AH319" i="82"/>
  <c r="AI319" i="82"/>
  <c r="AJ319" i="82"/>
  <c r="AK319" i="82"/>
  <c r="AL319" i="82"/>
  <c r="AM319" i="82"/>
  <c r="AN319" i="82"/>
  <c r="AO319" i="82"/>
  <c r="AP319" i="82"/>
  <c r="AQ319" i="82"/>
  <c r="AR319" i="82"/>
  <c r="AS319" i="82"/>
  <c r="AT319" i="82"/>
  <c r="AU319" i="82"/>
  <c r="AV319" i="82"/>
  <c r="AW319" i="82"/>
  <c r="AX319" i="82"/>
  <c r="AY319" i="82"/>
  <c r="AZ319" i="82"/>
  <c r="BA319" i="82"/>
  <c r="BB319" i="82"/>
  <c r="BC319" i="82"/>
  <c r="BD319" i="82"/>
  <c r="BE319" i="82"/>
  <c r="BF319" i="82"/>
  <c r="BG319" i="82"/>
  <c r="BH319" i="82"/>
  <c r="BI319" i="82"/>
  <c r="BJ319" i="82"/>
  <c r="BK319" i="82"/>
  <c r="BL319" i="82"/>
  <c r="BM319" i="82"/>
  <c r="BN319" i="82"/>
  <c r="BO319" i="82"/>
  <c r="BP319" i="82"/>
  <c r="BQ319" i="82"/>
  <c r="BR319" i="82"/>
  <c r="B320" i="82"/>
  <c r="C320" i="82"/>
  <c r="D320" i="82"/>
  <c r="E320" i="82"/>
  <c r="F320" i="82"/>
  <c r="G320" i="82"/>
  <c r="H320" i="82"/>
  <c r="I320" i="82"/>
  <c r="J320" i="82"/>
  <c r="K320" i="82"/>
  <c r="L320" i="82"/>
  <c r="M320" i="82"/>
  <c r="N320" i="82"/>
  <c r="O320" i="82"/>
  <c r="P320" i="82"/>
  <c r="Q320" i="82"/>
  <c r="R320" i="82"/>
  <c r="S320" i="82"/>
  <c r="T320" i="82"/>
  <c r="U320" i="82"/>
  <c r="V320" i="82"/>
  <c r="W320" i="82"/>
  <c r="X320" i="82"/>
  <c r="Y320" i="82"/>
  <c r="Z320" i="82"/>
  <c r="AA320" i="82"/>
  <c r="AB320" i="82"/>
  <c r="AC320" i="82"/>
  <c r="AD320" i="82"/>
  <c r="AE320" i="82"/>
  <c r="AF320" i="82"/>
  <c r="AG320" i="82"/>
  <c r="AH320" i="82"/>
  <c r="AI320" i="82"/>
  <c r="AJ320" i="82"/>
  <c r="AK320" i="82"/>
  <c r="AL320" i="82"/>
  <c r="AM320" i="82"/>
  <c r="AN320" i="82"/>
  <c r="AO320" i="82"/>
  <c r="AP320" i="82"/>
  <c r="AQ320" i="82"/>
  <c r="AR320" i="82"/>
  <c r="AS320" i="82"/>
  <c r="AT320" i="82"/>
  <c r="AU320" i="82"/>
  <c r="AV320" i="82"/>
  <c r="AW320" i="82"/>
  <c r="AX320" i="82"/>
  <c r="AY320" i="82"/>
  <c r="AZ320" i="82"/>
  <c r="BA320" i="82"/>
  <c r="BB320" i="82"/>
  <c r="BC320" i="82"/>
  <c r="BD320" i="82"/>
  <c r="BE320" i="82"/>
  <c r="BF320" i="82"/>
  <c r="BG320" i="82"/>
  <c r="BH320" i="82"/>
  <c r="BI320" i="82"/>
  <c r="BJ320" i="82"/>
  <c r="BK320" i="82"/>
  <c r="BL320" i="82"/>
  <c r="BM320" i="82"/>
  <c r="BN320" i="82"/>
  <c r="BO320" i="82"/>
  <c r="BP320" i="82"/>
  <c r="BQ320" i="82"/>
  <c r="BR320" i="82"/>
  <c r="B321" i="82"/>
  <c r="C321" i="82"/>
  <c r="D321" i="82"/>
  <c r="E321" i="82"/>
  <c r="F321" i="82"/>
  <c r="G321" i="82"/>
  <c r="H321" i="82"/>
  <c r="I321" i="82"/>
  <c r="J321" i="82"/>
  <c r="K321" i="82"/>
  <c r="L321" i="82"/>
  <c r="M321" i="82"/>
  <c r="N321" i="82"/>
  <c r="O321" i="82"/>
  <c r="P321" i="82"/>
  <c r="Q321" i="82"/>
  <c r="R321" i="82"/>
  <c r="S321" i="82"/>
  <c r="T321" i="82"/>
  <c r="U321" i="82"/>
  <c r="V321" i="82"/>
  <c r="W321" i="82"/>
  <c r="X321" i="82"/>
  <c r="Y321" i="82"/>
  <c r="Z321" i="82"/>
  <c r="AA321" i="82"/>
  <c r="AB321" i="82"/>
  <c r="AC321" i="82"/>
  <c r="AD321" i="82"/>
  <c r="AE321" i="82"/>
  <c r="AF321" i="82"/>
  <c r="AG321" i="82"/>
  <c r="AH321" i="82"/>
  <c r="AI321" i="82"/>
  <c r="AJ321" i="82"/>
  <c r="AK321" i="82"/>
  <c r="AL321" i="82"/>
  <c r="AM321" i="82"/>
  <c r="AN321" i="82"/>
  <c r="AO321" i="82"/>
  <c r="AP321" i="82"/>
  <c r="AQ321" i="82"/>
  <c r="AR321" i="82"/>
  <c r="AS321" i="82"/>
  <c r="AT321" i="82"/>
  <c r="AU321" i="82"/>
  <c r="AV321" i="82"/>
  <c r="AW321" i="82"/>
  <c r="AX321" i="82"/>
  <c r="AY321" i="82"/>
  <c r="AZ321" i="82"/>
  <c r="BA321" i="82"/>
  <c r="BB321" i="82"/>
  <c r="BC321" i="82"/>
  <c r="BD321" i="82"/>
  <c r="BE321" i="82"/>
  <c r="BF321" i="82"/>
  <c r="BG321" i="82"/>
  <c r="BH321" i="82"/>
  <c r="BI321" i="82"/>
  <c r="BJ321" i="82"/>
  <c r="BK321" i="82"/>
  <c r="BL321" i="82"/>
  <c r="BM321" i="82"/>
  <c r="BN321" i="82"/>
  <c r="BO321" i="82"/>
  <c r="BP321" i="82"/>
  <c r="BQ321" i="82"/>
  <c r="BR321" i="82"/>
  <c r="B322" i="82"/>
  <c r="C322" i="82"/>
  <c r="D322" i="82"/>
  <c r="E322" i="82"/>
  <c r="F322" i="82"/>
  <c r="G322" i="82"/>
  <c r="H322" i="82"/>
  <c r="I322" i="82"/>
  <c r="J322" i="82"/>
  <c r="K322" i="82"/>
  <c r="L322" i="82"/>
  <c r="M322" i="82"/>
  <c r="N322" i="82"/>
  <c r="O322" i="82"/>
  <c r="P322" i="82"/>
  <c r="Q322" i="82"/>
  <c r="R322" i="82"/>
  <c r="S322" i="82"/>
  <c r="T322" i="82"/>
  <c r="U322" i="82"/>
  <c r="V322" i="82"/>
  <c r="W322" i="82"/>
  <c r="X322" i="82"/>
  <c r="Y322" i="82"/>
  <c r="Z322" i="82"/>
  <c r="AA322" i="82"/>
  <c r="AB322" i="82"/>
  <c r="AC322" i="82"/>
  <c r="AD322" i="82"/>
  <c r="AE322" i="82"/>
  <c r="AF322" i="82"/>
  <c r="AG322" i="82"/>
  <c r="AH322" i="82"/>
  <c r="AI322" i="82"/>
  <c r="AJ322" i="82"/>
  <c r="AK322" i="82"/>
  <c r="AL322" i="82"/>
  <c r="AM322" i="82"/>
  <c r="AN322" i="82"/>
  <c r="AO322" i="82"/>
  <c r="AP322" i="82"/>
  <c r="AQ322" i="82"/>
  <c r="AR322" i="82"/>
  <c r="AS322" i="82"/>
  <c r="AT322" i="82"/>
  <c r="AU322" i="82"/>
  <c r="AV322" i="82"/>
  <c r="AW322" i="82"/>
  <c r="AX322" i="82"/>
  <c r="AY322" i="82"/>
  <c r="AZ322" i="82"/>
  <c r="BA322" i="82"/>
  <c r="BB322" i="82"/>
  <c r="BC322" i="82"/>
  <c r="BD322" i="82"/>
  <c r="BE322" i="82"/>
  <c r="BF322" i="82"/>
  <c r="BG322" i="82"/>
  <c r="BH322" i="82"/>
  <c r="BI322" i="82"/>
  <c r="BJ322" i="82"/>
  <c r="BK322" i="82"/>
  <c r="BL322" i="82"/>
  <c r="BM322" i="82"/>
  <c r="BN322" i="82"/>
  <c r="BO322" i="82"/>
  <c r="BP322" i="82"/>
  <c r="BQ322" i="82"/>
  <c r="BR322" i="82"/>
  <c r="B323" i="82"/>
  <c r="C323" i="82"/>
  <c r="D323" i="82"/>
  <c r="E323" i="82"/>
  <c r="F323" i="82"/>
  <c r="G323" i="82"/>
  <c r="H323" i="82"/>
  <c r="I323" i="82"/>
  <c r="J323" i="82"/>
  <c r="K323" i="82"/>
  <c r="L323" i="82"/>
  <c r="M323" i="82"/>
  <c r="N323" i="82"/>
  <c r="O323" i="82"/>
  <c r="P323" i="82"/>
  <c r="Q323" i="82"/>
  <c r="R323" i="82"/>
  <c r="S323" i="82"/>
  <c r="T323" i="82"/>
  <c r="U323" i="82"/>
  <c r="V323" i="82"/>
  <c r="W323" i="82"/>
  <c r="X323" i="82"/>
  <c r="Y323" i="82"/>
  <c r="Z323" i="82"/>
  <c r="AA323" i="82"/>
  <c r="AB323" i="82"/>
  <c r="AC323" i="82"/>
  <c r="AD323" i="82"/>
  <c r="AE323" i="82"/>
  <c r="AF323" i="82"/>
  <c r="AG323" i="82"/>
  <c r="AH323" i="82"/>
  <c r="AI323" i="82"/>
  <c r="AJ323" i="82"/>
  <c r="AK323" i="82"/>
  <c r="AL323" i="82"/>
  <c r="AM323" i="82"/>
  <c r="AN323" i="82"/>
  <c r="AO323" i="82"/>
  <c r="AP323" i="82"/>
  <c r="AQ323" i="82"/>
  <c r="AR323" i="82"/>
  <c r="AS323" i="82"/>
  <c r="AT323" i="82"/>
  <c r="AU323" i="82"/>
  <c r="AV323" i="82"/>
  <c r="AW323" i="82"/>
  <c r="AX323" i="82"/>
  <c r="AY323" i="82"/>
  <c r="AZ323" i="82"/>
  <c r="BA323" i="82"/>
  <c r="BB323" i="82"/>
  <c r="BC323" i="82"/>
  <c r="BD323" i="82"/>
  <c r="BE323" i="82"/>
  <c r="BF323" i="82"/>
  <c r="BG323" i="82"/>
  <c r="BH323" i="82"/>
  <c r="BI323" i="82"/>
  <c r="BJ323" i="82"/>
  <c r="BK323" i="82"/>
  <c r="BL323" i="82"/>
  <c r="BM323" i="82"/>
  <c r="BN323" i="82"/>
  <c r="BO323" i="82"/>
  <c r="BP323" i="82"/>
  <c r="BQ323" i="82"/>
  <c r="BR323" i="82"/>
  <c r="B325" i="82"/>
  <c r="C325" i="82"/>
  <c r="D325" i="82"/>
  <c r="E325" i="82"/>
  <c r="F325" i="82"/>
  <c r="G325" i="82"/>
  <c r="H325" i="82"/>
  <c r="I325" i="82"/>
  <c r="J325" i="82"/>
  <c r="K325" i="82"/>
  <c r="L325" i="82"/>
  <c r="M325" i="82"/>
  <c r="N325" i="82"/>
  <c r="O325" i="82"/>
  <c r="P325" i="82"/>
  <c r="Q325" i="82"/>
  <c r="R325" i="82"/>
  <c r="S325" i="82"/>
  <c r="T325" i="82"/>
  <c r="U325" i="82"/>
  <c r="V325" i="82"/>
  <c r="W325" i="82"/>
  <c r="X325" i="82"/>
  <c r="Y325" i="82"/>
  <c r="Z325" i="82"/>
  <c r="AA325" i="82"/>
  <c r="AB325" i="82"/>
  <c r="AC325" i="82"/>
  <c r="AD325" i="82"/>
  <c r="AE325" i="82"/>
  <c r="AF325" i="82"/>
  <c r="AG325" i="82"/>
  <c r="AH325" i="82"/>
  <c r="AI325" i="82"/>
  <c r="AJ325" i="82"/>
  <c r="AK325" i="82"/>
  <c r="AL325" i="82"/>
  <c r="AM325" i="82"/>
  <c r="AN325" i="82"/>
  <c r="AO325" i="82"/>
  <c r="AP325" i="82"/>
  <c r="AQ325" i="82"/>
  <c r="AR325" i="82"/>
  <c r="AS325" i="82"/>
  <c r="AT325" i="82"/>
  <c r="AU325" i="82"/>
  <c r="AV325" i="82"/>
  <c r="AW325" i="82"/>
  <c r="AX325" i="82"/>
  <c r="AY325" i="82"/>
  <c r="AZ325" i="82"/>
  <c r="BA325" i="82"/>
  <c r="BB325" i="82"/>
  <c r="BC325" i="82"/>
  <c r="BD325" i="82"/>
  <c r="BE325" i="82"/>
  <c r="BF325" i="82"/>
  <c r="BG325" i="82"/>
  <c r="BH325" i="82"/>
  <c r="BI325" i="82"/>
  <c r="BJ325" i="82"/>
  <c r="BK325" i="82"/>
  <c r="BL325" i="82"/>
  <c r="BM325" i="82"/>
  <c r="BN325" i="82"/>
  <c r="BO325" i="82"/>
  <c r="BP325" i="82"/>
  <c r="BQ325" i="82"/>
  <c r="BR325" i="82"/>
  <c r="B326" i="82"/>
  <c r="C326" i="82"/>
  <c r="D326" i="82"/>
  <c r="E326" i="82"/>
  <c r="F326" i="82"/>
  <c r="G326" i="82"/>
  <c r="H326" i="82"/>
  <c r="I326" i="82"/>
  <c r="J326" i="82"/>
  <c r="K326" i="82"/>
  <c r="L326" i="82"/>
  <c r="M326" i="82"/>
  <c r="N326" i="82"/>
  <c r="O326" i="82"/>
  <c r="P326" i="82"/>
  <c r="Q326" i="82"/>
  <c r="R326" i="82"/>
  <c r="S326" i="82"/>
  <c r="T326" i="82"/>
  <c r="U326" i="82"/>
  <c r="V326" i="82"/>
  <c r="W326" i="82"/>
  <c r="X326" i="82"/>
  <c r="Y326" i="82"/>
  <c r="Z326" i="82"/>
  <c r="AA326" i="82"/>
  <c r="AB326" i="82"/>
  <c r="AC326" i="82"/>
  <c r="AD326" i="82"/>
  <c r="AE326" i="82"/>
  <c r="AF326" i="82"/>
  <c r="AG326" i="82"/>
  <c r="AH326" i="82"/>
  <c r="AI326" i="82"/>
  <c r="AJ326" i="82"/>
  <c r="AK326" i="82"/>
  <c r="AL326" i="82"/>
  <c r="AM326" i="82"/>
  <c r="AN326" i="82"/>
  <c r="AO326" i="82"/>
  <c r="AP326" i="82"/>
  <c r="AQ326" i="82"/>
  <c r="AR326" i="82"/>
  <c r="AS326" i="82"/>
  <c r="AT326" i="82"/>
  <c r="AU326" i="82"/>
  <c r="AV326" i="82"/>
  <c r="AW326" i="82"/>
  <c r="AX326" i="82"/>
  <c r="AY326" i="82"/>
  <c r="AZ326" i="82"/>
  <c r="BA326" i="82"/>
  <c r="BB326" i="82"/>
  <c r="BC326" i="82"/>
  <c r="BD326" i="82"/>
  <c r="BE326" i="82"/>
  <c r="BF326" i="82"/>
  <c r="BG326" i="82"/>
  <c r="BH326" i="82"/>
  <c r="BI326" i="82"/>
  <c r="BJ326" i="82"/>
  <c r="BK326" i="82"/>
  <c r="BL326" i="82"/>
  <c r="BM326" i="82"/>
  <c r="BN326" i="82"/>
  <c r="BO326" i="82"/>
  <c r="BP326" i="82"/>
  <c r="BQ326" i="82"/>
  <c r="BR326" i="82"/>
  <c r="B327" i="82"/>
  <c r="C327" i="82"/>
  <c r="D327" i="82"/>
  <c r="E327" i="82"/>
  <c r="F327" i="82"/>
  <c r="G327" i="82"/>
  <c r="H327" i="82"/>
  <c r="I327" i="82"/>
  <c r="J327" i="82"/>
  <c r="K327" i="82"/>
  <c r="L327" i="82"/>
  <c r="M327" i="82"/>
  <c r="N327" i="82"/>
  <c r="O327" i="82"/>
  <c r="P327" i="82"/>
  <c r="Q327" i="82"/>
  <c r="R327" i="82"/>
  <c r="S327" i="82"/>
  <c r="T327" i="82"/>
  <c r="U327" i="82"/>
  <c r="V327" i="82"/>
  <c r="W327" i="82"/>
  <c r="X327" i="82"/>
  <c r="Y327" i="82"/>
  <c r="Z327" i="82"/>
  <c r="AA327" i="82"/>
  <c r="AB327" i="82"/>
  <c r="AC327" i="82"/>
  <c r="AD327" i="82"/>
  <c r="AE327" i="82"/>
  <c r="AF327" i="82"/>
  <c r="AG327" i="82"/>
  <c r="AH327" i="82"/>
  <c r="AI327" i="82"/>
  <c r="AJ327" i="82"/>
  <c r="AK327" i="82"/>
  <c r="AL327" i="82"/>
  <c r="AM327" i="82"/>
  <c r="AN327" i="82"/>
  <c r="AO327" i="82"/>
  <c r="AP327" i="82"/>
  <c r="AQ327" i="82"/>
  <c r="AR327" i="82"/>
  <c r="AS327" i="82"/>
  <c r="AT327" i="82"/>
  <c r="AU327" i="82"/>
  <c r="AV327" i="82"/>
  <c r="AW327" i="82"/>
  <c r="AX327" i="82"/>
  <c r="AY327" i="82"/>
  <c r="AZ327" i="82"/>
  <c r="BA327" i="82"/>
  <c r="BB327" i="82"/>
  <c r="BC327" i="82"/>
  <c r="BD327" i="82"/>
  <c r="BE327" i="82"/>
  <c r="BF327" i="82"/>
  <c r="BG327" i="82"/>
  <c r="BH327" i="82"/>
  <c r="BI327" i="82"/>
  <c r="BJ327" i="82"/>
  <c r="BK327" i="82"/>
  <c r="BL327" i="82"/>
  <c r="BM327" i="82"/>
  <c r="BN327" i="82"/>
  <c r="BO327" i="82"/>
  <c r="BP327" i="82"/>
  <c r="BQ327" i="82"/>
  <c r="BR327" i="82"/>
  <c r="A334" i="82"/>
  <c r="A333" i="82"/>
  <c r="A332" i="82"/>
  <c r="A327" i="82"/>
  <c r="A326" i="82"/>
  <c r="A325" i="82"/>
  <c r="A323" i="82"/>
  <c r="A322" i="82"/>
  <c r="A321" i="82"/>
  <c r="A320" i="82"/>
  <c r="A317" i="82"/>
  <c r="A318" i="82"/>
  <c r="A319" i="82"/>
  <c r="A316" i="82"/>
  <c r="A315" i="82"/>
  <c r="A314" i="82"/>
  <c r="A311" i="82"/>
  <c r="A312" i="82"/>
  <c r="A313" i="82"/>
  <c r="A310" i="82"/>
  <c r="A308" i="82"/>
  <c r="A309" i="82"/>
  <c r="A307" i="82"/>
  <c r="A306" i="82"/>
  <c r="A305" i="82"/>
  <c r="A304" i="82"/>
  <c r="A303" i="82"/>
  <c r="A302" i="82"/>
  <c r="A301" i="82"/>
  <c r="A300" i="82"/>
  <c r="A299" i="82"/>
  <c r="A298" i="82"/>
  <c r="A297" i="82"/>
  <c r="A296" i="82"/>
  <c r="A295" i="82"/>
  <c r="A294" i="82"/>
  <c r="A293" i="82"/>
  <c r="A292" i="82"/>
  <c r="A291" i="82"/>
  <c r="A290" i="82"/>
  <c r="A289" i="82"/>
  <c r="A288" i="82"/>
  <c r="A287" i="82"/>
  <c r="A286" i="82"/>
  <c r="A285" i="82"/>
  <c r="BR276" i="84"/>
  <c r="BQ276" i="84"/>
  <c r="BP276" i="84"/>
  <c r="BO276" i="84"/>
  <c r="BN276" i="84"/>
  <c r="BM276" i="84"/>
  <c r="BL276" i="84"/>
  <c r="BK276" i="84"/>
  <c r="BJ276" i="84"/>
  <c r="BI276" i="84"/>
  <c r="BH276" i="84"/>
  <c r="BG276" i="84"/>
  <c r="BF276" i="84"/>
  <c r="BE276" i="84"/>
  <c r="BD276" i="84"/>
  <c r="BC276" i="84"/>
  <c r="BB276" i="84"/>
  <c r="BA276" i="84"/>
  <c r="AZ276" i="84"/>
  <c r="AY276" i="84"/>
  <c r="AX276" i="84"/>
  <c r="AW276" i="84"/>
  <c r="AV276" i="84"/>
  <c r="AU276" i="84"/>
  <c r="AT276" i="84"/>
  <c r="AS276" i="84"/>
  <c r="AR276" i="84"/>
  <c r="AQ276" i="84"/>
  <c r="AP276" i="84"/>
  <c r="AO276" i="84"/>
  <c r="AN276" i="84"/>
  <c r="AM276" i="84"/>
  <c r="AL276" i="84"/>
  <c r="AK276" i="84"/>
  <c r="AJ276" i="84"/>
  <c r="AI276" i="84"/>
  <c r="AH276" i="84"/>
  <c r="AG276" i="84"/>
  <c r="AF276" i="84"/>
  <c r="AE276" i="84"/>
  <c r="AD276" i="84"/>
  <c r="AC276" i="84"/>
  <c r="AB276" i="84"/>
  <c r="AA276" i="84"/>
  <c r="Z276" i="84"/>
  <c r="Y276" i="84"/>
  <c r="X276" i="84"/>
  <c r="W276" i="84"/>
  <c r="V276" i="84"/>
  <c r="T276" i="84"/>
  <c r="S276" i="84"/>
  <c r="R276" i="84"/>
  <c r="Q276" i="84"/>
  <c r="P276" i="84"/>
  <c r="O276" i="84"/>
  <c r="N276" i="84"/>
  <c r="M276" i="84"/>
  <c r="L276" i="84"/>
  <c r="K276" i="84"/>
  <c r="J276" i="84"/>
  <c r="I276" i="84"/>
  <c r="H276" i="84"/>
  <c r="G276" i="84"/>
  <c r="F276" i="84"/>
  <c r="E276" i="84"/>
  <c r="D276" i="84"/>
  <c r="D277" i="84"/>
  <c r="E277" i="84"/>
  <c r="F277" i="84"/>
  <c r="G277" i="84"/>
  <c r="H277" i="84"/>
  <c r="I277" i="84"/>
  <c r="J277" i="84"/>
  <c r="K277" i="84"/>
  <c r="L277" i="84"/>
  <c r="M277" i="84"/>
  <c r="N277" i="84"/>
  <c r="O277" i="84"/>
  <c r="P277" i="84"/>
  <c r="Q277" i="84"/>
  <c r="R277" i="84"/>
  <c r="S277" i="84"/>
  <c r="T277" i="84"/>
  <c r="U277" i="84"/>
  <c r="V277" i="84"/>
  <c r="W277" i="84"/>
  <c r="X277" i="84"/>
  <c r="Y277" i="84"/>
  <c r="Z277" i="84"/>
  <c r="AA277" i="84"/>
  <c r="AB277" i="84"/>
  <c r="AC277" i="84"/>
  <c r="AD277" i="84"/>
  <c r="AE277" i="84"/>
  <c r="AF277" i="84"/>
  <c r="AG277" i="84"/>
  <c r="AH277" i="84"/>
  <c r="AI277" i="84"/>
  <c r="AJ277" i="84"/>
  <c r="AK277" i="84"/>
  <c r="AL277" i="84"/>
  <c r="AM277" i="84"/>
  <c r="AN277" i="84"/>
  <c r="AO277" i="84"/>
  <c r="AP277" i="84"/>
  <c r="AQ277" i="84"/>
  <c r="AR277" i="84"/>
  <c r="AS277" i="84"/>
  <c r="AT277" i="84"/>
  <c r="AU277" i="84"/>
  <c r="AV277" i="84"/>
  <c r="AW277" i="84"/>
  <c r="AX277" i="84"/>
  <c r="AY277" i="84"/>
  <c r="AZ277" i="84"/>
  <c r="BA277" i="84"/>
  <c r="BB277" i="84"/>
  <c r="BC277" i="84"/>
  <c r="BD277" i="84"/>
  <c r="BE277" i="84"/>
  <c r="BF277" i="84"/>
  <c r="BG277" i="84"/>
  <c r="BH277" i="84"/>
  <c r="BI277" i="84"/>
  <c r="BJ277" i="84"/>
  <c r="BK277" i="84"/>
  <c r="BL277" i="84"/>
  <c r="BM277" i="84"/>
  <c r="BN277" i="84"/>
  <c r="BO277" i="84"/>
  <c r="BP277" i="84"/>
  <c r="BQ277" i="84"/>
  <c r="BR277" i="84"/>
  <c r="H77" i="1"/>
  <c r="D27" i="91"/>
  <c r="G13" i="88"/>
  <c r="D336" i="82" l="1"/>
  <c r="BQ328" i="82"/>
  <c r="BQ329" i="82" s="1"/>
  <c r="BQ336" i="82" s="1"/>
  <c r="Z328" i="82"/>
  <c r="Z329" i="82" s="1"/>
  <c r="Z336" i="82" s="1"/>
  <c r="AO328" i="82"/>
  <c r="AO329" i="82" s="1"/>
  <c r="AO336" i="82" s="1"/>
  <c r="AZ328" i="82"/>
  <c r="AZ329" i="82" s="1"/>
  <c r="AZ336" i="82" s="1"/>
  <c r="N328" i="82"/>
  <c r="N329" i="82" s="1"/>
  <c r="N336" i="82" s="1"/>
  <c r="BA328" i="82"/>
  <c r="BA329" i="82" s="1"/>
  <c r="BA336" i="82" s="1"/>
  <c r="BD328" i="82"/>
  <c r="BD329" i="82" s="1"/>
  <c r="BD336" i="82" s="1"/>
  <c r="AC328" i="82"/>
  <c r="AC329" i="82" s="1"/>
  <c r="AC336" i="82" s="1"/>
  <c r="AN328" i="82"/>
  <c r="AN329" i="82" s="1"/>
  <c r="AN336" i="82" s="1"/>
  <c r="BM328" i="82"/>
  <c r="BM329" i="82" s="1"/>
  <c r="BM336" i="82" s="1"/>
  <c r="P328" i="82"/>
  <c r="P329" i="82" s="1"/>
  <c r="P336" i="82" s="1"/>
  <c r="M328" i="82"/>
  <c r="M329" i="82" s="1"/>
  <c r="M336" i="82" s="1"/>
  <c r="BO328" i="82"/>
  <c r="BO329" i="82" s="1"/>
  <c r="BO336" i="82" s="1"/>
  <c r="BC328" i="82"/>
  <c r="BC329" i="82" s="1"/>
  <c r="BC336" i="82" s="1"/>
  <c r="AM328" i="82"/>
  <c r="AM329" i="82" s="1"/>
  <c r="AM336" i="82" s="1"/>
  <c r="AA328" i="82"/>
  <c r="AA329" i="82" s="1"/>
  <c r="AA336" i="82" s="1"/>
  <c r="O328" i="82"/>
  <c r="O329" i="82" s="1"/>
  <c r="O336" i="82" s="1"/>
  <c r="BJ328" i="82"/>
  <c r="BJ329" i="82" s="1"/>
  <c r="BJ336" i="82" s="1"/>
  <c r="AX328" i="82"/>
  <c r="AX329" i="82" s="1"/>
  <c r="AX336" i="82" s="1"/>
  <c r="AK328" i="82"/>
  <c r="AK329" i="82" s="1"/>
  <c r="AK336" i="82" s="1"/>
  <c r="Y328" i="82"/>
  <c r="Y329" i="82" s="1"/>
  <c r="Y336" i="82" s="1"/>
  <c r="AH328" i="82"/>
  <c r="AH329" i="82" s="1"/>
  <c r="AH336" i="82" s="1"/>
  <c r="V328" i="82"/>
  <c r="V329" i="82" s="1"/>
  <c r="V336" i="82" s="1"/>
  <c r="J328" i="82"/>
  <c r="J329" i="82" s="1"/>
  <c r="J336" i="82" s="1"/>
  <c r="AQ328" i="82"/>
  <c r="AQ329" i="82" s="1"/>
  <c r="AQ336" i="82" s="1"/>
  <c r="AE328" i="82"/>
  <c r="AE329" i="82" s="1"/>
  <c r="AE336" i="82" s="1"/>
  <c r="S328" i="82"/>
  <c r="S329" i="82" s="1"/>
  <c r="S336" i="82" s="1"/>
  <c r="G328" i="82"/>
  <c r="G329" i="82" s="1"/>
  <c r="G336" i="82" s="1"/>
  <c r="AJ328" i="82"/>
  <c r="AJ329" i="82" s="1"/>
  <c r="AJ336" i="82" s="1"/>
  <c r="X328" i="82"/>
  <c r="X329" i="82" s="1"/>
  <c r="X336" i="82" s="1"/>
  <c r="L328" i="82"/>
  <c r="L329" i="82" s="1"/>
  <c r="L336" i="82" s="1"/>
  <c r="AG328" i="82"/>
  <c r="AG329" i="82" s="1"/>
  <c r="AG336" i="82" s="1"/>
  <c r="U328" i="82"/>
  <c r="U329" i="82" s="1"/>
  <c r="U336" i="82" s="1"/>
  <c r="I328" i="82"/>
  <c r="I329" i="82" s="1"/>
  <c r="I336" i="82" s="1"/>
  <c r="BN328" i="82"/>
  <c r="BN329" i="82" s="1"/>
  <c r="BN336" i="82" s="1"/>
  <c r="BB328" i="82"/>
  <c r="BB329" i="82" s="1"/>
  <c r="BB336" i="82" s="1"/>
  <c r="AP328" i="82"/>
  <c r="AP329" i="82" s="1"/>
  <c r="AP336" i="82" s="1"/>
  <c r="AD328" i="82"/>
  <c r="AD329" i="82" s="1"/>
  <c r="AD336" i="82" s="1"/>
  <c r="R328" i="82"/>
  <c r="R329" i="82" s="1"/>
  <c r="R336" i="82" s="1"/>
  <c r="F328" i="82"/>
  <c r="F329" i="82" s="1"/>
  <c r="F336" i="82" s="1"/>
  <c r="BL328" i="82"/>
  <c r="BL329" i="82" s="1"/>
  <c r="BL336" i="82" s="1"/>
  <c r="BK328" i="82"/>
  <c r="BK329" i="82" s="1"/>
  <c r="BK336" i="82" s="1"/>
  <c r="AY328" i="82"/>
  <c r="AY329" i="82" s="1"/>
  <c r="AY336" i="82" s="1"/>
  <c r="BH328" i="82"/>
  <c r="BH329" i="82" s="1"/>
  <c r="BH336" i="82" s="1"/>
  <c r="AV328" i="82"/>
  <c r="AV329" i="82" s="1"/>
  <c r="AV336" i="82" s="1"/>
  <c r="BR328" i="82"/>
  <c r="BR329" i="82" s="1"/>
  <c r="BR336" i="82" s="1"/>
  <c r="AT328" i="82"/>
  <c r="AT329" i="82" s="1"/>
  <c r="AT336" i="82" s="1"/>
  <c r="AL328" i="82"/>
  <c r="AL329" i="82" s="1"/>
  <c r="AL336" i="82" s="1"/>
  <c r="AI328" i="82"/>
  <c r="AI329" i="82" s="1"/>
  <c r="AI336" i="82" s="1"/>
  <c r="W328" i="82"/>
  <c r="W329" i="82" s="1"/>
  <c r="W336" i="82" s="1"/>
  <c r="K328" i="82"/>
  <c r="K329" i="82" s="1"/>
  <c r="K336" i="82" s="1"/>
  <c r="BP328" i="82"/>
  <c r="BP329" i="82" s="1"/>
  <c r="BP336" i="82" s="1"/>
  <c r="AR328" i="82"/>
  <c r="AR329" i="82" s="1"/>
  <c r="AR336" i="82" s="1"/>
  <c r="AF328" i="82"/>
  <c r="AF329" i="82" s="1"/>
  <c r="AF336" i="82" s="1"/>
  <c r="T328" i="82"/>
  <c r="T329" i="82" s="1"/>
  <c r="T336" i="82" s="1"/>
  <c r="H328" i="82"/>
  <c r="H329" i="82" s="1"/>
  <c r="H336" i="82" s="1"/>
  <c r="Q328" i="82"/>
  <c r="Q329" i="82" s="1"/>
  <c r="Q336" i="82" s="1"/>
  <c r="E328" i="82"/>
  <c r="E329" i="82" s="1"/>
  <c r="AB328" i="82"/>
  <c r="AB329" i="82" s="1"/>
  <c r="AB336" i="82" s="1"/>
  <c r="D328" i="82"/>
  <c r="BG328" i="82"/>
  <c r="BG329" i="82" s="1"/>
  <c r="BG336" i="82" s="1"/>
  <c r="AU328" i="82"/>
  <c r="AU329" i="82" s="1"/>
  <c r="AU336" i="82" s="1"/>
  <c r="BF328" i="82"/>
  <c r="BF329" i="82" s="1"/>
  <c r="BF336" i="82" s="1"/>
  <c r="BE328" i="82"/>
  <c r="BE329" i="82" s="1"/>
  <c r="BE336" i="82" s="1"/>
  <c r="AS328" i="82"/>
  <c r="AS329" i="82" s="1"/>
  <c r="AS336" i="82" s="1"/>
  <c r="BI328" i="82"/>
  <c r="BI329" i="82" s="1"/>
  <c r="BI336" i="82" s="1"/>
  <c r="AW328" i="82"/>
  <c r="AW329" i="82" s="1"/>
  <c r="AW336" i="82" s="1"/>
  <c r="D28" i="91"/>
  <c r="D29" i="91"/>
  <c r="E336" i="82" l="1"/>
  <c r="D24" i="91"/>
  <c r="D23" i="91"/>
  <c r="D22" i="91"/>
  <c r="D19" i="91"/>
  <c r="D18" i="91"/>
  <c r="D17" i="91"/>
  <c r="D16" i="91"/>
  <c r="L30" i="88"/>
  <c r="M30" i="88"/>
  <c r="G30" i="88" s="1"/>
  <c r="C259" i="28"/>
  <c r="E259" i="28"/>
  <c r="L259" i="28" s="1"/>
  <c r="E30" i="88" s="1"/>
  <c r="A259" i="28"/>
  <c r="D31" i="91" l="1"/>
  <c r="D26" i="91"/>
  <c r="D13" i="91" l="1"/>
  <c r="D33" i="91"/>
  <c r="D15" i="91"/>
  <c r="D14" i="91"/>
  <c r="E219" i="28"/>
  <c r="C228" i="28" l="1"/>
  <c r="E218" i="28" l="1"/>
  <c r="E231" i="28" l="1"/>
  <c r="L219" i="28" l="1"/>
  <c r="C219" i="28"/>
  <c r="E279" i="82" l="1"/>
  <c r="F279" i="82"/>
  <c r="G279" i="82"/>
  <c r="H279" i="82"/>
  <c r="I279" i="82"/>
  <c r="J279" i="82"/>
  <c r="K279" i="82"/>
  <c r="L279" i="82"/>
  <c r="M279" i="82"/>
  <c r="N279" i="82"/>
  <c r="O279" i="82"/>
  <c r="P279" i="82"/>
  <c r="Q279" i="82"/>
  <c r="R279" i="82"/>
  <c r="S279" i="82"/>
  <c r="T279" i="82"/>
  <c r="U279" i="82"/>
  <c r="V279" i="82"/>
  <c r="W279" i="82"/>
  <c r="X279" i="82"/>
  <c r="Y279" i="82"/>
  <c r="Z279" i="82"/>
  <c r="AA279" i="82"/>
  <c r="AB279" i="82"/>
  <c r="AC279" i="82"/>
  <c r="AD279" i="82"/>
  <c r="AE279" i="82"/>
  <c r="AF279" i="82"/>
  <c r="AG279" i="82"/>
  <c r="AH279" i="82"/>
  <c r="AI279" i="82"/>
  <c r="AJ279" i="82"/>
  <c r="AK279" i="82"/>
  <c r="AL279" i="82"/>
  <c r="AM279" i="82"/>
  <c r="AN279" i="82"/>
  <c r="AO279" i="82"/>
  <c r="AP279" i="82"/>
  <c r="AQ279" i="82"/>
  <c r="AR279" i="82"/>
  <c r="AS279" i="82"/>
  <c r="AT279" i="82"/>
  <c r="AU279" i="82"/>
  <c r="AV279" i="82"/>
  <c r="AW279" i="82"/>
  <c r="AX279" i="82"/>
  <c r="AY279" i="82"/>
  <c r="AZ279" i="82"/>
  <c r="BA279" i="82"/>
  <c r="BB279" i="82"/>
  <c r="BC279" i="82"/>
  <c r="BD279" i="82"/>
  <c r="BE279" i="82"/>
  <c r="BF279" i="82"/>
  <c r="BG279" i="82"/>
  <c r="BH279" i="82"/>
  <c r="BI279" i="82"/>
  <c r="BJ279" i="82"/>
  <c r="BK279" i="82"/>
  <c r="BL279" i="82"/>
  <c r="BM279" i="82"/>
  <c r="BN279" i="82"/>
  <c r="BO279" i="82"/>
  <c r="BP279" i="82"/>
  <c r="BQ279" i="82"/>
  <c r="BR279" i="82"/>
  <c r="D279" i="82"/>
  <c r="D25" i="91" l="1"/>
  <c r="E146" i="28" l="1"/>
  <c r="E147" i="28"/>
  <c r="M13" i="88"/>
  <c r="D35" i="91" l="1"/>
  <c r="C220" i="28" l="1"/>
  <c r="E230" i="28"/>
  <c r="E229" i="28"/>
  <c r="C109" i="72" l="1"/>
  <c r="E21" i="1" l="1"/>
  <c r="E14" i="1"/>
  <c r="E11" i="1"/>
  <c r="E264" i="1" l="1"/>
  <c r="E261" i="1"/>
  <c r="E260" i="1"/>
  <c r="E255" i="1"/>
  <c r="E256" i="1"/>
  <c r="E257" i="1"/>
  <c r="E258" i="1"/>
  <c r="E259" i="1"/>
  <c r="E254" i="1"/>
  <c r="E251" i="1"/>
  <c r="E249" i="1"/>
  <c r="E247" i="1"/>
  <c r="E245" i="1"/>
  <c r="E243" i="1"/>
  <c r="E244" i="1"/>
  <c r="E242" i="1"/>
  <c r="E238" i="1"/>
  <c r="E227" i="1"/>
  <c r="E226" i="1"/>
  <c r="E223" i="1"/>
  <c r="E221" i="1"/>
  <c r="E219" i="1"/>
  <c r="E220" i="1"/>
  <c r="E218" i="1"/>
  <c r="E215" i="1"/>
  <c r="E216" i="1"/>
  <c r="E214" i="1"/>
  <c r="E209" i="1"/>
  <c r="E207" i="1"/>
  <c r="E208" i="1"/>
  <c r="E206" i="1"/>
  <c r="E203" i="1"/>
  <c r="E201" i="1"/>
  <c r="E202" i="1"/>
  <c r="E200" i="1"/>
  <c r="E197" i="1"/>
  <c r="E195" i="1"/>
  <c r="E196" i="1"/>
  <c r="E194" i="1"/>
  <c r="E190" i="1"/>
  <c r="E189" i="1"/>
  <c r="E181" i="1"/>
  <c r="E182" i="1"/>
  <c r="E183" i="1"/>
  <c r="E184" i="1"/>
  <c r="E185" i="1"/>
  <c r="E173" i="1"/>
  <c r="E175" i="1"/>
  <c r="E177" i="1"/>
  <c r="E168" i="1"/>
  <c r="E169" i="1"/>
  <c r="E170" i="1"/>
  <c r="E171" i="1"/>
  <c r="E165" i="1"/>
  <c r="E166" i="1"/>
  <c r="E162" i="1"/>
  <c r="E164" i="1"/>
  <c r="E160" i="1"/>
  <c r="E161" i="1"/>
  <c r="E155" i="1"/>
  <c r="E151" i="1"/>
  <c r="E152" i="1"/>
  <c r="E153" i="1"/>
  <c r="E154" i="1"/>
  <c r="E147" i="1"/>
  <c r="E148" i="1"/>
  <c r="E149" i="1"/>
  <c r="E150" i="1"/>
  <c r="E143" i="1"/>
  <c r="E144" i="1"/>
  <c r="E145" i="1"/>
  <c r="E146" i="1"/>
  <c r="E139" i="1"/>
  <c r="E140" i="1"/>
  <c r="E142" i="1"/>
  <c r="E136" i="1"/>
  <c r="E137" i="1"/>
  <c r="E138" i="1"/>
  <c r="E132" i="1"/>
  <c r="E133" i="1"/>
  <c r="E134" i="1"/>
  <c r="E135" i="1"/>
  <c r="E128" i="1"/>
  <c r="E129" i="1"/>
  <c r="E130" i="1"/>
  <c r="E131" i="1"/>
  <c r="E125" i="1"/>
  <c r="E126" i="1"/>
  <c r="E127" i="1"/>
  <c r="E120" i="1"/>
  <c r="E121" i="1"/>
  <c r="E122" i="1"/>
  <c r="H155" i="1" s="1"/>
  <c r="I155" i="1" s="1"/>
  <c r="E117" i="1"/>
  <c r="E118" i="1"/>
  <c r="E119" i="1"/>
  <c r="E114" i="1"/>
  <c r="E115" i="1"/>
  <c r="E116" i="1"/>
  <c r="E109" i="1"/>
  <c r="E110" i="1"/>
  <c r="E111" i="1"/>
  <c r="E112" i="1"/>
  <c r="E113" i="1"/>
  <c r="E105" i="1"/>
  <c r="E106" i="1"/>
  <c r="E107" i="1"/>
  <c r="E108" i="1"/>
  <c r="E100" i="1"/>
  <c r="E101" i="1"/>
  <c r="E102" i="1"/>
  <c r="E103" i="1"/>
  <c r="E97" i="1"/>
  <c r="E98" i="1"/>
  <c r="E99" i="1"/>
  <c r="E94" i="1"/>
  <c r="E95" i="1"/>
  <c r="E96" i="1"/>
  <c r="E91" i="1"/>
  <c r="E92" i="1"/>
  <c r="E93" i="1"/>
  <c r="E86" i="1"/>
  <c r="E87" i="1"/>
  <c r="E88" i="1"/>
  <c r="E89" i="1"/>
  <c r="E90" i="1"/>
  <c r="E81" i="1"/>
  <c r="E85" i="1"/>
  <c r="E79" i="1"/>
  <c r="E78" i="1"/>
  <c r="E75" i="1"/>
  <c r="E76" i="1"/>
  <c r="E69" i="1"/>
  <c r="E70" i="1"/>
  <c r="E71" i="1"/>
  <c r="E72" i="1"/>
  <c r="E73" i="1"/>
  <c r="E74" i="1"/>
  <c r="E64" i="1"/>
  <c r="E65" i="1"/>
  <c r="E66" i="1"/>
  <c r="E67" i="1"/>
  <c r="E68" i="1"/>
  <c r="E59" i="1"/>
  <c r="E60" i="1"/>
  <c r="E61" i="1"/>
  <c r="E63" i="1"/>
  <c r="E54" i="1"/>
  <c r="E55" i="1"/>
  <c r="E56" i="1"/>
  <c r="E57" i="1"/>
  <c r="E58" i="1"/>
  <c r="E51" i="1"/>
  <c r="E52" i="1"/>
  <c r="E53" i="1"/>
  <c r="E46" i="1"/>
  <c r="E47" i="1"/>
  <c r="E48" i="1"/>
  <c r="E49" i="1"/>
  <c r="E50" i="1"/>
  <c r="E43" i="1"/>
  <c r="E44" i="1"/>
  <c r="E39" i="1"/>
  <c r="E40" i="1"/>
  <c r="E41" i="1"/>
  <c r="E32" i="1"/>
  <c r="E33" i="1"/>
  <c r="E34" i="1"/>
  <c r="E35" i="1"/>
  <c r="E36" i="1"/>
  <c r="E37" i="1"/>
  <c r="E38" i="1"/>
  <c r="E31" i="1"/>
  <c r="E30" i="1"/>
  <c r="E27" i="1"/>
  <c r="E28" i="1"/>
  <c r="E10" i="1"/>
  <c r="E12" i="1"/>
  <c r="E13" i="1"/>
  <c r="E15" i="1"/>
  <c r="E16" i="1"/>
  <c r="E17" i="1"/>
  <c r="E18" i="1"/>
  <c r="E19" i="1"/>
  <c r="E20" i="1"/>
  <c r="E22" i="1"/>
  <c r="E23" i="1"/>
  <c r="E24" i="1"/>
  <c r="E25" i="1"/>
  <c r="E9" i="1"/>
  <c r="C191" i="28" l="1"/>
  <c r="E189" i="28"/>
  <c r="L189" i="28" s="1"/>
  <c r="E190" i="28"/>
  <c r="L190" i="28" s="1"/>
  <c r="E191" i="28"/>
  <c r="L191" i="28" s="1"/>
  <c r="C190" i="28"/>
  <c r="C189" i="28"/>
  <c r="A190" i="28"/>
  <c r="A191" i="28"/>
  <c r="A189" i="28"/>
  <c r="B190" i="28"/>
  <c r="B191" i="28"/>
  <c r="B189" i="28"/>
  <c r="E232" i="28"/>
  <c r="C232" i="28"/>
  <c r="C231" i="28"/>
  <c r="C230" i="28"/>
  <c r="C229" i="28"/>
  <c r="H40" i="1" l="1"/>
  <c r="I40" i="1" s="1"/>
  <c r="L231" i="28"/>
  <c r="D36" i="91"/>
  <c r="D37" i="91"/>
  <c r="D38" i="91"/>
  <c r="L230" i="28"/>
  <c r="L232" i="28"/>
  <c r="L229" i="28"/>
  <c r="E228" i="28"/>
  <c r="G40" i="1" l="1"/>
  <c r="E220" i="28" l="1"/>
  <c r="L220" i="28" s="1"/>
  <c r="E40" i="88" s="1"/>
  <c r="G40" i="88" l="1"/>
  <c r="E225" i="28"/>
  <c r="E258" i="28"/>
  <c r="E4" i="99" l="1"/>
  <c r="C4" i="99"/>
  <c r="B4" i="99"/>
  <c r="B44" i="91" l="1"/>
  <c r="B42" i="91"/>
  <c r="B40" i="91"/>
  <c r="B3" i="93" l="1"/>
  <c r="G71" i="28" l="1"/>
  <c r="G245" i="1"/>
  <c r="G244" i="1"/>
  <c r="G126" i="1"/>
  <c r="G100" i="1"/>
  <c r="G69" i="1" l="1"/>
  <c r="E257" i="28" l="1"/>
  <c r="C257" i="28"/>
  <c r="A228" i="28"/>
  <c r="E227" i="28"/>
  <c r="C227" i="28"/>
  <c r="A227" i="28"/>
  <c r="E226" i="28"/>
  <c r="C226" i="28"/>
  <c r="A226" i="28"/>
  <c r="C225" i="28"/>
  <c r="A225" i="28"/>
  <c r="E224" i="28"/>
  <c r="C224" i="28"/>
  <c r="A224" i="28"/>
  <c r="E223" i="28"/>
  <c r="C223" i="28"/>
  <c r="A223" i="28"/>
  <c r="E222" i="28"/>
  <c r="C222" i="28"/>
  <c r="A222" i="28"/>
  <c r="C218" i="28"/>
  <c r="A218" i="28"/>
  <c r="E217" i="28"/>
  <c r="C217" i="28"/>
  <c r="A217" i="28"/>
  <c r="E216" i="28"/>
  <c r="C216" i="28"/>
  <c r="A216" i="28"/>
  <c r="E215" i="28"/>
  <c r="C215" i="28"/>
  <c r="A215" i="28"/>
  <c r="E214" i="28"/>
  <c r="C214" i="28"/>
  <c r="A214" i="28"/>
  <c r="E221" i="28"/>
  <c r="C221" i="28"/>
  <c r="A221" i="28"/>
  <c r="E213" i="28"/>
  <c r="C213" i="28"/>
  <c r="A213" i="28"/>
  <c r="E212" i="28"/>
  <c r="C212" i="28"/>
  <c r="A212" i="28"/>
  <c r="L238" i="28" l="1"/>
  <c r="L13" i="88" l="1"/>
  <c r="L258" i="28" l="1"/>
  <c r="D32" i="91" l="1"/>
  <c r="D21" i="91"/>
  <c r="D20" i="91"/>
  <c r="D12" i="91"/>
  <c r="D11" i="91"/>
  <c r="E178" i="28" l="1"/>
  <c r="E145" i="28"/>
  <c r="L145" i="28" s="1"/>
  <c r="L146" i="28"/>
  <c r="L147" i="28"/>
  <c r="E144" i="28"/>
  <c r="L218" i="28"/>
  <c r="E39" i="88" s="1"/>
  <c r="L217" i="28"/>
  <c r="L216" i="28"/>
  <c r="E36" i="88" s="1"/>
  <c r="AA216" i="28"/>
  <c r="AA217" i="28"/>
  <c r="AA218" i="28"/>
  <c r="L227" i="28"/>
  <c r="E42" i="88" s="1"/>
  <c r="L215" i="28"/>
  <c r="L214" i="28"/>
  <c r="AA214" i="28"/>
  <c r="AA215" i="28"/>
  <c r="E133" i="28"/>
  <c r="L133" i="28" s="1"/>
  <c r="A133" i="28"/>
  <c r="AA133" i="28" s="1"/>
  <c r="B133" i="28"/>
  <c r="C133" i="28"/>
  <c r="L144" i="28"/>
  <c r="A147" i="28"/>
  <c r="B147" i="28"/>
  <c r="C147" i="28"/>
  <c r="A144" i="28"/>
  <c r="B144" i="28"/>
  <c r="C144" i="28"/>
  <c r="A145" i="28"/>
  <c r="B145" i="28"/>
  <c r="C145" i="28"/>
  <c r="A146" i="28"/>
  <c r="B146" i="28"/>
  <c r="C146" i="28"/>
  <c r="E116" i="28"/>
  <c r="L116" i="28" s="1"/>
  <c r="A116" i="28"/>
  <c r="AA116" i="28" s="1"/>
  <c r="B116" i="28"/>
  <c r="C116" i="28"/>
  <c r="E53" i="28"/>
  <c r="L53" i="28" s="1"/>
  <c r="B53" i="28"/>
  <c r="C53" i="28"/>
  <c r="A53" i="28"/>
  <c r="AA53" i="28" s="1"/>
  <c r="E60" i="28"/>
  <c r="L60" i="28" s="1"/>
  <c r="D25" i="93" s="1"/>
  <c r="A60" i="28"/>
  <c r="AA60" i="28" s="1"/>
  <c r="B60" i="28"/>
  <c r="C60" i="28"/>
  <c r="E195" i="28"/>
  <c r="L195" i="28" s="1"/>
  <c r="F8" i="89" s="1"/>
  <c r="C195" i="28"/>
  <c r="B195" i="28"/>
  <c r="A195" i="28"/>
  <c r="G39" i="88" l="1"/>
  <c r="B1" i="89"/>
  <c r="B11" i="89" l="1"/>
  <c r="B7" i="89"/>
  <c r="A3" i="89"/>
  <c r="B10" i="89"/>
  <c r="B6" i="89"/>
  <c r="B12" i="89" l="1"/>
  <c r="B8" i="89"/>
  <c r="B16" i="89"/>
  <c r="C4" i="88"/>
  <c r="G36" i="88"/>
  <c r="G42" i="88"/>
  <c r="F22" i="89" l="1"/>
  <c r="E254" i="28"/>
  <c r="E255" i="28"/>
  <c r="AA80" i="28"/>
  <c r="AA81" i="28"/>
  <c r="AA82" i="28"/>
  <c r="AA83" i="28"/>
  <c r="AA84" i="28"/>
  <c r="AA85" i="28"/>
  <c r="AA183" i="28"/>
  <c r="AA233" i="28"/>
  <c r="AA234" i="28"/>
  <c r="AA235" i="28"/>
  <c r="AA236" i="28"/>
  <c r="AA237" i="28"/>
  <c r="AA238" i="28"/>
  <c r="AA239" i="28"/>
  <c r="AA240" i="28"/>
  <c r="AA241" i="28"/>
  <c r="AB241" i="28"/>
  <c r="AA242" i="28"/>
  <c r="AB242" i="28"/>
  <c r="AA243" i="28"/>
  <c r="AB243" i="28"/>
  <c r="AA244" i="28"/>
  <c r="AB244" i="28"/>
  <c r="AA245" i="28"/>
  <c r="AB245" i="28"/>
  <c r="AA246" i="28"/>
  <c r="AB246" i="28"/>
  <c r="AA260" i="28"/>
  <c r="AB238" i="28"/>
  <c r="AB240" i="28" l="1"/>
  <c r="N15" i="88"/>
  <c r="AB239" i="28"/>
  <c r="N24" i="88"/>
  <c r="E204" i="1" l="1"/>
  <c r="E295" i="1" s="1"/>
  <c r="E191" i="1"/>
  <c r="E198" i="1"/>
  <c r="E294" i="1" s="1"/>
  <c r="E210" i="1"/>
  <c r="Y269" i="28"/>
  <c r="X267" i="28"/>
  <c r="X266" i="28"/>
  <c r="X269" i="28" s="1"/>
  <c r="Z269" i="28" s="1"/>
  <c r="E293" i="1" l="1"/>
  <c r="E296" i="1"/>
  <c r="E211" i="1"/>
  <c r="E297" i="1" s="1"/>
  <c r="E292" i="1" l="1"/>
  <c r="E299" i="1" s="1"/>
  <c r="A290" i="1"/>
  <c r="G114" i="1" l="1"/>
  <c r="G94" i="1"/>
  <c r="F286" i="1"/>
  <c r="E286" i="1"/>
  <c r="F284" i="1"/>
  <c r="E284" i="1"/>
  <c r="F283" i="1"/>
  <c r="E283" i="1"/>
  <c r="F282" i="1"/>
  <c r="E282" i="1"/>
  <c r="F281" i="1"/>
  <c r="E281" i="1"/>
  <c r="G11" i="1"/>
  <c r="G78" i="1" l="1"/>
  <c r="C251" i="28" l="1"/>
  <c r="E210" i="28" l="1"/>
  <c r="L226" i="28"/>
  <c r="AA226" i="28"/>
  <c r="AB226" i="28" l="1"/>
  <c r="G234" i="1"/>
  <c r="E248" i="28" l="1"/>
  <c r="E251" i="28" l="1"/>
  <c r="L257" i="28" l="1"/>
  <c r="AA257" i="28"/>
  <c r="AB257" i="28" l="1"/>
  <c r="G155" i="1"/>
  <c r="G138" i="1"/>
  <c r="G135" i="1" l="1"/>
  <c r="E209" i="28" l="1"/>
  <c r="C209" i="28"/>
  <c r="A209" i="28"/>
  <c r="AA209" i="28" s="1"/>
  <c r="L209" i="28" l="1"/>
  <c r="B17" i="89" l="1"/>
  <c r="B18" i="89" s="1"/>
  <c r="G16" i="89" s="1"/>
  <c r="AB209" i="28"/>
  <c r="G183" i="1"/>
  <c r="L210" i="28" l="1"/>
  <c r="E34" i="88" s="1"/>
  <c r="H210" i="28"/>
  <c r="A210" i="28"/>
  <c r="AA210" i="28" s="1"/>
  <c r="C210" i="28"/>
  <c r="A194" i="28"/>
  <c r="AA194" i="28" s="1"/>
  <c r="B194" i="28"/>
  <c r="C194" i="28"/>
  <c r="E194" i="28"/>
  <c r="E153" i="28"/>
  <c r="E154" i="28"/>
  <c r="E155" i="28"/>
  <c r="B153" i="28"/>
  <c r="C153" i="28"/>
  <c r="B154" i="28"/>
  <c r="C154" i="28"/>
  <c r="B155" i="28"/>
  <c r="C155" i="28"/>
  <c r="A153" i="28"/>
  <c r="AA153" i="28" s="1"/>
  <c r="A154" i="28"/>
  <c r="AA154" i="28" s="1"/>
  <c r="A155" i="28"/>
  <c r="AA155" i="28" s="1"/>
  <c r="E118" i="28"/>
  <c r="A118" i="28"/>
  <c r="AA118" i="28" s="1"/>
  <c r="B118" i="28"/>
  <c r="C118" i="28"/>
  <c r="E55" i="28"/>
  <c r="E54" i="28"/>
  <c r="C55" i="28"/>
  <c r="C54" i="28"/>
  <c r="B55" i="28"/>
  <c r="B54" i="28"/>
  <c r="A55" i="28"/>
  <c r="AA55" i="28" s="1"/>
  <c r="A54" i="28"/>
  <c r="AA54" i="28" s="1"/>
  <c r="L213" i="28"/>
  <c r="L212" i="28"/>
  <c r="AA228" i="28"/>
  <c r="AA225" i="28"/>
  <c r="AA224" i="28"/>
  <c r="AA223" i="28"/>
  <c r="AA222" i="28"/>
  <c r="AA213" i="28"/>
  <c r="AA212" i="28"/>
  <c r="G34" i="88" l="1"/>
  <c r="AB212" i="28"/>
  <c r="AB210" i="28"/>
  <c r="AB213" i="28"/>
  <c r="L194" i="28"/>
  <c r="F16" i="89" s="1"/>
  <c r="L155" i="28"/>
  <c r="L154" i="28"/>
  <c r="AB154" i="28" s="1"/>
  <c r="L153" i="28"/>
  <c r="L118" i="28"/>
  <c r="AB118" i="28" s="1"/>
  <c r="L54" i="28"/>
  <c r="L55" i="28"/>
  <c r="AB55" i="28" s="1"/>
  <c r="L225" i="28"/>
  <c r="E46" i="88" s="1"/>
  <c r="G46" i="88" s="1"/>
  <c r="L228" i="28"/>
  <c r="L221" i="28"/>
  <c r="L222" i="28"/>
  <c r="L223" i="28"/>
  <c r="L224" i="28"/>
  <c r="E32" i="88" l="1"/>
  <c r="E38" i="88"/>
  <c r="G38" i="88" s="1"/>
  <c r="AB153" i="28"/>
  <c r="AB228" i="28"/>
  <c r="AB224" i="28"/>
  <c r="AB223" i="28"/>
  <c r="F27" i="89"/>
  <c r="F28" i="89" s="1"/>
  <c r="AB222" i="28"/>
  <c r="AB225" i="28"/>
  <c r="AB54" i="28"/>
  <c r="AB194" i="28"/>
  <c r="AB155" i="28"/>
  <c r="E253" i="28" l="1"/>
  <c r="L254" i="28"/>
  <c r="AB254" i="28" s="1"/>
  <c r="L255" i="28"/>
  <c r="AB255" i="28" s="1"/>
  <c r="E256" i="28"/>
  <c r="E252" i="28"/>
  <c r="A253" i="28"/>
  <c r="AA253" i="28" s="1"/>
  <c r="A254" i="28"/>
  <c r="AA254" i="28" s="1"/>
  <c r="A255" i="28"/>
  <c r="AA255" i="28" s="1"/>
  <c r="A256" i="28"/>
  <c r="AA256" i="28" s="1"/>
  <c r="A252" i="28"/>
  <c r="AA252" i="28" s="1"/>
  <c r="F251" i="28"/>
  <c r="G270" i="1"/>
  <c r="F248" i="28" s="1"/>
  <c r="G271" i="1"/>
  <c r="F249" i="28" s="1"/>
  <c r="G272" i="1"/>
  <c r="F250" i="28" s="1"/>
  <c r="G269" i="1"/>
  <c r="F247" i="28" s="1"/>
  <c r="L256" i="28" l="1"/>
  <c r="AB256" i="28" s="1"/>
  <c r="L253" i="28"/>
  <c r="AB253" i="28" s="1"/>
  <c r="L252" i="28"/>
  <c r="AB252" i="28" s="1"/>
  <c r="C253" i="28"/>
  <c r="C254" i="28"/>
  <c r="C256" i="28"/>
  <c r="C252" i="28"/>
  <c r="G224" i="1" l="1"/>
  <c r="G111" i="1"/>
  <c r="G21" i="1"/>
  <c r="F256" i="28"/>
  <c r="F255" i="28"/>
  <c r="F254" i="28"/>
  <c r="F253" i="28"/>
  <c r="F252" i="28"/>
  <c r="G101" i="1" l="1"/>
  <c r="G120" i="1" l="1"/>
  <c r="G119" i="1"/>
  <c r="G118" i="1"/>
  <c r="G117" i="1"/>
  <c r="G116" i="1"/>
  <c r="G115" i="1"/>
  <c r="G109" i="1"/>
  <c r="G99" i="1"/>
  <c r="G98" i="1"/>
  <c r="G97" i="1"/>
  <c r="G96" i="1"/>
  <c r="G95" i="1"/>
  <c r="D3" i="1" l="1"/>
  <c r="B2" i="89" l="1"/>
  <c r="C5" i="88"/>
  <c r="L4" i="28"/>
  <c r="L19" i="88" l="1"/>
  <c r="L28" i="88"/>
  <c r="M19" i="88"/>
  <c r="M28" i="88"/>
  <c r="L27" i="88"/>
  <c r="Q25" i="88"/>
  <c r="M25" i="88" s="1"/>
  <c r="L15" i="88"/>
  <c r="P25" i="88"/>
  <c r="L25" i="88" s="1"/>
  <c r="P16" i="88"/>
  <c r="L16" i="88" s="1"/>
  <c r="M24" i="88"/>
  <c r="Q16" i="88"/>
  <c r="M16" i="88" s="1"/>
  <c r="M15" i="88"/>
  <c r="M21" i="88"/>
  <c r="D21" i="88" s="1"/>
  <c r="L11" i="88"/>
  <c r="L24" i="88"/>
  <c r="L21" i="88"/>
  <c r="C21" i="88" s="1"/>
  <c r="M11" i="88"/>
  <c r="M18" i="88"/>
  <c r="M27" i="88"/>
  <c r="L18" i="88"/>
  <c r="D18" i="88" l="1"/>
  <c r="D28" i="88"/>
  <c r="D27" i="88"/>
  <c r="C28" i="88"/>
  <c r="C18" i="88"/>
  <c r="C19" i="88"/>
  <c r="C27" i="88"/>
  <c r="D19" i="88"/>
  <c r="N202" i="28"/>
  <c r="E198" i="28"/>
  <c r="L198" i="28" l="1"/>
  <c r="AB198" i="28" s="1"/>
  <c r="C258" i="28"/>
  <c r="B258" i="28"/>
  <c r="A258" i="28"/>
  <c r="A251" i="28"/>
  <c r="AA251" i="28" s="1"/>
  <c r="E250" i="28"/>
  <c r="C250" i="28"/>
  <c r="A250" i="28"/>
  <c r="AA250" i="28" s="1"/>
  <c r="E249" i="28"/>
  <c r="C249" i="28"/>
  <c r="A249" i="28"/>
  <c r="AA249" i="28" s="1"/>
  <c r="C248" i="28"/>
  <c r="A248" i="28"/>
  <c r="AA248" i="28" s="1"/>
  <c r="E247" i="28"/>
  <c r="C247" i="28"/>
  <c r="A247" i="28"/>
  <c r="AA247" i="28" s="1"/>
  <c r="H211" i="28"/>
  <c r="E211" i="28"/>
  <c r="C211" i="28"/>
  <c r="A211" i="28"/>
  <c r="AA211" i="28" s="1"/>
  <c r="E208" i="28"/>
  <c r="C208" i="28"/>
  <c r="A208" i="28"/>
  <c r="AA208" i="28" s="1"/>
  <c r="H207" i="28"/>
  <c r="E207" i="28"/>
  <c r="C207" i="28"/>
  <c r="B207" i="28"/>
  <c r="A207" i="28"/>
  <c r="AA207" i="28" s="1"/>
  <c r="H206" i="28"/>
  <c r="E206" i="28"/>
  <c r="C206" i="28"/>
  <c r="B206" i="28"/>
  <c r="A206" i="28"/>
  <c r="AA206" i="28" s="1"/>
  <c r="E205" i="28"/>
  <c r="C205" i="28"/>
  <c r="B205" i="28"/>
  <c r="A205" i="28"/>
  <c r="AA205" i="28" s="1"/>
  <c r="E204" i="28"/>
  <c r="C204" i="28"/>
  <c r="B204" i="28"/>
  <c r="A204" i="28"/>
  <c r="AA204" i="28" s="1"/>
  <c r="E203" i="28"/>
  <c r="C203" i="28"/>
  <c r="B203" i="28"/>
  <c r="A203" i="28"/>
  <c r="AA203" i="28" s="1"/>
  <c r="E202" i="28"/>
  <c r="C202" i="28"/>
  <c r="B202" i="28"/>
  <c r="A202" i="28"/>
  <c r="AA202" i="28" s="1"/>
  <c r="E201" i="28"/>
  <c r="C201" i="28"/>
  <c r="B201" i="28"/>
  <c r="A201" i="28"/>
  <c r="AA201" i="28" s="1"/>
  <c r="E200" i="28"/>
  <c r="C200" i="28"/>
  <c r="B200" i="28"/>
  <c r="A200" i="28"/>
  <c r="AA200" i="28" s="1"/>
  <c r="E199" i="28"/>
  <c r="C199" i="28"/>
  <c r="B199" i="28"/>
  <c r="A199" i="28"/>
  <c r="AA199" i="28" s="1"/>
  <c r="C198" i="28"/>
  <c r="B198" i="28"/>
  <c r="A198" i="28"/>
  <c r="AA198" i="28" s="1"/>
  <c r="E197" i="28"/>
  <c r="C197" i="28"/>
  <c r="B197" i="28"/>
  <c r="A197" i="28"/>
  <c r="AA197" i="28" s="1"/>
  <c r="E196" i="28"/>
  <c r="C196" i="28"/>
  <c r="B196" i="28"/>
  <c r="A196" i="28"/>
  <c r="AA196" i="28" s="1"/>
  <c r="E193" i="28"/>
  <c r="C193" i="28"/>
  <c r="B193" i="28"/>
  <c r="A193" i="28"/>
  <c r="AA193" i="28" s="1"/>
  <c r="E192" i="28"/>
  <c r="C192" i="28"/>
  <c r="B192" i="28"/>
  <c r="A192" i="28"/>
  <c r="AA192" i="28" s="1"/>
  <c r="E188" i="28"/>
  <c r="C188" i="28"/>
  <c r="B188" i="28"/>
  <c r="A188" i="28"/>
  <c r="AA188" i="28" s="1"/>
  <c r="E187" i="28"/>
  <c r="C187" i="28"/>
  <c r="B187" i="28"/>
  <c r="A187" i="28"/>
  <c r="AA187" i="28" s="1"/>
  <c r="E186" i="28"/>
  <c r="C186" i="28"/>
  <c r="B186" i="28"/>
  <c r="A186" i="28"/>
  <c r="AA186" i="28" s="1"/>
  <c r="E185" i="28"/>
  <c r="C185" i="28"/>
  <c r="B185" i="28"/>
  <c r="A185" i="28"/>
  <c r="AA185" i="28" s="1"/>
  <c r="E184" i="28"/>
  <c r="C184" i="28"/>
  <c r="B184" i="28"/>
  <c r="A184" i="28"/>
  <c r="AA184" i="28" s="1"/>
  <c r="E183" i="28"/>
  <c r="C183" i="28"/>
  <c r="E182" i="28"/>
  <c r="C182" i="28"/>
  <c r="B182" i="28"/>
  <c r="A182" i="28"/>
  <c r="AA182" i="28" s="1"/>
  <c r="E181" i="28"/>
  <c r="C181" i="28"/>
  <c r="B181" i="28"/>
  <c r="A181" i="28"/>
  <c r="AA181" i="28" s="1"/>
  <c r="E180" i="28"/>
  <c r="C180" i="28"/>
  <c r="B180" i="28"/>
  <c r="A180" i="28"/>
  <c r="AA180" i="28" s="1"/>
  <c r="E179" i="28"/>
  <c r="C179" i="28"/>
  <c r="B179" i="28"/>
  <c r="A179" i="28"/>
  <c r="AA179" i="28" s="1"/>
  <c r="C178" i="28"/>
  <c r="B178" i="28"/>
  <c r="A178" i="28"/>
  <c r="AA178" i="28" s="1"/>
  <c r="E177" i="28"/>
  <c r="C177" i="28"/>
  <c r="B177" i="28"/>
  <c r="A177" i="28"/>
  <c r="AA177" i="28" s="1"/>
  <c r="E176" i="28"/>
  <c r="C176" i="28"/>
  <c r="B176" i="28"/>
  <c r="A176" i="28"/>
  <c r="AA176" i="28" s="1"/>
  <c r="E175" i="28"/>
  <c r="C175" i="28"/>
  <c r="B175" i="28"/>
  <c r="A175" i="28"/>
  <c r="AA175" i="28" s="1"/>
  <c r="E174" i="28"/>
  <c r="C174" i="28"/>
  <c r="B174" i="28"/>
  <c r="A174" i="28"/>
  <c r="AA174" i="28" s="1"/>
  <c r="E173" i="28"/>
  <c r="C173" i="28"/>
  <c r="B173" i="28"/>
  <c r="A173" i="28"/>
  <c r="AA173" i="28" s="1"/>
  <c r="E172" i="28"/>
  <c r="C172" i="28"/>
  <c r="B172" i="28"/>
  <c r="A172" i="28"/>
  <c r="AA172" i="28" s="1"/>
  <c r="E171" i="28"/>
  <c r="C171" i="28"/>
  <c r="B171" i="28"/>
  <c r="A171" i="28"/>
  <c r="AA171" i="28" s="1"/>
  <c r="E170" i="28"/>
  <c r="C170" i="28"/>
  <c r="B170" i="28"/>
  <c r="A170" i="28"/>
  <c r="AA170" i="28" s="1"/>
  <c r="E169" i="28"/>
  <c r="C169" i="28"/>
  <c r="B169" i="28"/>
  <c r="A169" i="28"/>
  <c r="AA169" i="28" s="1"/>
  <c r="E168" i="28"/>
  <c r="C168" i="28"/>
  <c r="B168" i="28"/>
  <c r="A168" i="28"/>
  <c r="AA168" i="28" s="1"/>
  <c r="E167" i="28"/>
  <c r="C167" i="28"/>
  <c r="B167" i="28"/>
  <c r="A167" i="28"/>
  <c r="AA167" i="28" s="1"/>
  <c r="E166" i="28"/>
  <c r="C166" i="28"/>
  <c r="B166" i="28"/>
  <c r="A166" i="28"/>
  <c r="AA166" i="28" s="1"/>
  <c r="E165" i="28"/>
  <c r="C165" i="28"/>
  <c r="B165" i="28"/>
  <c r="A165" i="28"/>
  <c r="AA165" i="28" s="1"/>
  <c r="E164" i="28"/>
  <c r="C164" i="28"/>
  <c r="B164" i="28"/>
  <c r="A164" i="28"/>
  <c r="AA164" i="28" s="1"/>
  <c r="E163" i="28"/>
  <c r="C163" i="28"/>
  <c r="B163" i="28"/>
  <c r="A163" i="28"/>
  <c r="AA163" i="28" s="1"/>
  <c r="E162" i="28"/>
  <c r="C162" i="28"/>
  <c r="B162" i="28"/>
  <c r="A162" i="28"/>
  <c r="AA162" i="28" s="1"/>
  <c r="E161" i="28"/>
  <c r="C161" i="28"/>
  <c r="B161" i="28"/>
  <c r="A161" i="28"/>
  <c r="AA161" i="28" s="1"/>
  <c r="E160" i="28"/>
  <c r="C160" i="28"/>
  <c r="B160" i="28"/>
  <c r="A160" i="28"/>
  <c r="AA160" i="28" s="1"/>
  <c r="E159" i="28"/>
  <c r="C159" i="28"/>
  <c r="B159" i="28"/>
  <c r="A159" i="28"/>
  <c r="AA159" i="28" s="1"/>
  <c r="E158" i="28"/>
  <c r="C158" i="28"/>
  <c r="B158" i="28"/>
  <c r="A158" i="28"/>
  <c r="AA158" i="28" s="1"/>
  <c r="C157" i="28"/>
  <c r="B157" i="28"/>
  <c r="A157" i="28"/>
  <c r="AA157" i="28" s="1"/>
  <c r="C156" i="28"/>
  <c r="B156" i="28"/>
  <c r="A156" i="28"/>
  <c r="AA156" i="28" s="1"/>
  <c r="E152" i="28"/>
  <c r="C152" i="28"/>
  <c r="B152" i="28"/>
  <c r="A152" i="28"/>
  <c r="AA152" i="28" s="1"/>
  <c r="E151" i="28"/>
  <c r="C151" i="28"/>
  <c r="B151" i="28"/>
  <c r="A151" i="28"/>
  <c r="AA151" i="28" s="1"/>
  <c r="E150" i="28"/>
  <c r="C150" i="28"/>
  <c r="B150" i="28"/>
  <c r="A150" i="28"/>
  <c r="AA150" i="28" s="1"/>
  <c r="E149" i="28"/>
  <c r="C149" i="28"/>
  <c r="B149" i="28"/>
  <c r="A149" i="28"/>
  <c r="AA149" i="28" s="1"/>
  <c r="E148" i="28"/>
  <c r="C148" i="28"/>
  <c r="B148" i="28"/>
  <c r="A148" i="28"/>
  <c r="AA148" i="28" s="1"/>
  <c r="E143" i="28"/>
  <c r="C143" i="28"/>
  <c r="B143" i="28"/>
  <c r="A143" i="28"/>
  <c r="AA143" i="28" s="1"/>
  <c r="E142" i="28"/>
  <c r="C142" i="28"/>
  <c r="B142" i="28"/>
  <c r="A142" i="28"/>
  <c r="AA142" i="28" s="1"/>
  <c r="E141" i="28"/>
  <c r="C141" i="28"/>
  <c r="B141" i="28"/>
  <c r="A141" i="28"/>
  <c r="AA141" i="28" s="1"/>
  <c r="E140" i="28"/>
  <c r="C140" i="28"/>
  <c r="B140" i="28"/>
  <c r="A140" i="28"/>
  <c r="AA140" i="28" s="1"/>
  <c r="E139" i="28"/>
  <c r="C139" i="28"/>
  <c r="B139" i="28"/>
  <c r="A139" i="28"/>
  <c r="AA139" i="28" s="1"/>
  <c r="E138" i="28"/>
  <c r="C138" i="28"/>
  <c r="B138" i="28"/>
  <c r="A138" i="28"/>
  <c r="AA138" i="28" s="1"/>
  <c r="E137" i="28"/>
  <c r="C137" i="28"/>
  <c r="B137" i="28"/>
  <c r="A137" i="28"/>
  <c r="AA137" i="28" s="1"/>
  <c r="E136" i="28"/>
  <c r="C136" i="28"/>
  <c r="B136" i="28"/>
  <c r="A136" i="28"/>
  <c r="AA136" i="28" s="1"/>
  <c r="E135" i="28"/>
  <c r="C135" i="28"/>
  <c r="B135" i="28"/>
  <c r="A135" i="28"/>
  <c r="AA135" i="28" s="1"/>
  <c r="E134" i="28"/>
  <c r="C134" i="28"/>
  <c r="B134" i="28"/>
  <c r="A134" i="28"/>
  <c r="AA134" i="28" s="1"/>
  <c r="E132" i="28"/>
  <c r="C132" i="28"/>
  <c r="B132" i="28"/>
  <c r="A132" i="28"/>
  <c r="AA132" i="28" s="1"/>
  <c r="E131" i="28"/>
  <c r="C131" i="28"/>
  <c r="B131" i="28"/>
  <c r="A131" i="28"/>
  <c r="AA131" i="28" s="1"/>
  <c r="E130" i="28"/>
  <c r="C130" i="28"/>
  <c r="B130" i="28"/>
  <c r="A130" i="28"/>
  <c r="AA130" i="28" s="1"/>
  <c r="E129" i="28"/>
  <c r="C129" i="28"/>
  <c r="B129" i="28"/>
  <c r="A129" i="28"/>
  <c r="AA129" i="28" s="1"/>
  <c r="E128" i="28"/>
  <c r="C128" i="28"/>
  <c r="B128" i="28"/>
  <c r="A128" i="28"/>
  <c r="AA128" i="28" s="1"/>
  <c r="E127" i="28"/>
  <c r="C127" i="28"/>
  <c r="B127" i="28"/>
  <c r="A127" i="28"/>
  <c r="AA127" i="28" s="1"/>
  <c r="E126" i="28"/>
  <c r="C126" i="28"/>
  <c r="B126" i="28"/>
  <c r="A126" i="28"/>
  <c r="AA126" i="28" s="1"/>
  <c r="E125" i="28"/>
  <c r="C125" i="28"/>
  <c r="B125" i="28"/>
  <c r="A125" i="28"/>
  <c r="AA125" i="28" s="1"/>
  <c r="E124" i="28"/>
  <c r="C124" i="28"/>
  <c r="B124" i="28"/>
  <c r="A124" i="28"/>
  <c r="AA124" i="28" s="1"/>
  <c r="E123" i="28"/>
  <c r="L123" i="28" s="1"/>
  <c r="C123" i="28"/>
  <c r="B123" i="28"/>
  <c r="A123" i="28"/>
  <c r="AA123" i="28" s="1"/>
  <c r="E122" i="28"/>
  <c r="L122" i="28" s="1"/>
  <c r="C122" i="28"/>
  <c r="B122" i="28"/>
  <c r="A122" i="28"/>
  <c r="AA122" i="28" s="1"/>
  <c r="E121" i="28"/>
  <c r="C121" i="28"/>
  <c r="B121" i="28"/>
  <c r="A121" i="28"/>
  <c r="AA121" i="28" s="1"/>
  <c r="E120" i="28"/>
  <c r="C120" i="28"/>
  <c r="B120" i="28"/>
  <c r="A120" i="28"/>
  <c r="AA120" i="28" s="1"/>
  <c r="E119" i="28"/>
  <c r="C119" i="28"/>
  <c r="B119" i="28"/>
  <c r="A119" i="28"/>
  <c r="AA119" i="28" s="1"/>
  <c r="E117" i="28"/>
  <c r="C117" i="28"/>
  <c r="B117" i="28"/>
  <c r="A117" i="28"/>
  <c r="AA117" i="28" s="1"/>
  <c r="E115" i="28"/>
  <c r="C115" i="28"/>
  <c r="B115" i="28"/>
  <c r="A115" i="28"/>
  <c r="AA115" i="28" s="1"/>
  <c r="E114" i="28"/>
  <c r="C114" i="28"/>
  <c r="B114" i="28"/>
  <c r="A114" i="28"/>
  <c r="AA114" i="28" s="1"/>
  <c r="E113" i="28"/>
  <c r="C113" i="28"/>
  <c r="B113" i="28"/>
  <c r="A113" i="28"/>
  <c r="AA113" i="28" s="1"/>
  <c r="E112" i="28"/>
  <c r="C112" i="28"/>
  <c r="B112" i="28"/>
  <c r="A112" i="28"/>
  <c r="AA112" i="28" s="1"/>
  <c r="E111" i="28"/>
  <c r="C111" i="28"/>
  <c r="B111" i="28"/>
  <c r="A111" i="28"/>
  <c r="AA111" i="28" s="1"/>
  <c r="E110" i="28"/>
  <c r="C110" i="28"/>
  <c r="B110" i="28"/>
  <c r="A110" i="28"/>
  <c r="AA110" i="28" s="1"/>
  <c r="E109" i="28"/>
  <c r="C109" i="28"/>
  <c r="B109" i="28"/>
  <c r="A109" i="28"/>
  <c r="AA109" i="28" s="1"/>
  <c r="E108" i="28"/>
  <c r="C108" i="28"/>
  <c r="B108" i="28"/>
  <c r="A108" i="28"/>
  <c r="AA108" i="28" s="1"/>
  <c r="E107" i="28"/>
  <c r="C107" i="28"/>
  <c r="B107" i="28"/>
  <c r="A107" i="28"/>
  <c r="AA107" i="28" s="1"/>
  <c r="E106" i="28"/>
  <c r="C106" i="28"/>
  <c r="B106" i="28"/>
  <c r="A106" i="28"/>
  <c r="AA106" i="28" s="1"/>
  <c r="E105" i="28"/>
  <c r="C105" i="28"/>
  <c r="B105" i="28"/>
  <c r="A105" i="28"/>
  <c r="AA105" i="28" s="1"/>
  <c r="E104" i="28"/>
  <c r="C104" i="28"/>
  <c r="B104" i="28"/>
  <c r="A104" i="28"/>
  <c r="AA104" i="28" s="1"/>
  <c r="E103" i="28"/>
  <c r="C103" i="28"/>
  <c r="B103" i="28"/>
  <c r="A103" i="28"/>
  <c r="AA103" i="28" s="1"/>
  <c r="E102" i="28"/>
  <c r="C102" i="28"/>
  <c r="B102" i="28"/>
  <c r="A102" i="28"/>
  <c r="AA102" i="28" s="1"/>
  <c r="E101" i="28"/>
  <c r="C101" i="28"/>
  <c r="B101" i="28"/>
  <c r="A101" i="28"/>
  <c r="AA101" i="28" s="1"/>
  <c r="E100" i="28"/>
  <c r="C100" i="28"/>
  <c r="B100" i="28"/>
  <c r="A100" i="28"/>
  <c r="AA100" i="28" s="1"/>
  <c r="C99" i="28"/>
  <c r="B99" i="28"/>
  <c r="A99" i="28"/>
  <c r="AA99" i="28" s="1"/>
  <c r="E98" i="28"/>
  <c r="C98" i="28"/>
  <c r="B98" i="28"/>
  <c r="A98" i="28"/>
  <c r="AA98" i="28" s="1"/>
  <c r="E97" i="28"/>
  <c r="C97" i="28"/>
  <c r="B97" i="28"/>
  <c r="A97" i="28"/>
  <c r="AA97" i="28" s="1"/>
  <c r="E96" i="28"/>
  <c r="C96" i="28"/>
  <c r="B96" i="28"/>
  <c r="A96" i="28"/>
  <c r="AA96" i="28" s="1"/>
  <c r="E95" i="28"/>
  <c r="C95" i="28"/>
  <c r="B95" i="28"/>
  <c r="A95" i="28"/>
  <c r="AA95" i="28" s="1"/>
  <c r="E94" i="28"/>
  <c r="C94" i="28"/>
  <c r="B94" i="28"/>
  <c r="A94" i="28"/>
  <c r="AA94" i="28" s="1"/>
  <c r="E93" i="28"/>
  <c r="C93" i="28"/>
  <c r="B93" i="28"/>
  <c r="A93" i="28"/>
  <c r="AA93" i="28" s="1"/>
  <c r="E92" i="28"/>
  <c r="C92" i="28"/>
  <c r="B92" i="28"/>
  <c r="A92" i="28"/>
  <c r="AA92" i="28" s="1"/>
  <c r="E91" i="28"/>
  <c r="C91" i="28"/>
  <c r="B91" i="28"/>
  <c r="A91" i="28"/>
  <c r="AA91" i="28" s="1"/>
  <c r="E90" i="28"/>
  <c r="C90" i="28"/>
  <c r="B90" i="28"/>
  <c r="A90" i="28"/>
  <c r="AA90" i="28" s="1"/>
  <c r="E89" i="28"/>
  <c r="C89" i="28"/>
  <c r="B89" i="28"/>
  <c r="A89" i="28"/>
  <c r="AA89" i="28" s="1"/>
  <c r="E88" i="28"/>
  <c r="C88" i="28"/>
  <c r="B88" i="28"/>
  <c r="A88" i="28"/>
  <c r="AA88" i="28" s="1"/>
  <c r="E87" i="28"/>
  <c r="C87" i="28"/>
  <c r="B87" i="28"/>
  <c r="A87" i="28"/>
  <c r="AA87" i="28" s="1"/>
  <c r="E86" i="28"/>
  <c r="C86" i="28"/>
  <c r="B86" i="28"/>
  <c r="A86" i="28"/>
  <c r="AA86" i="28" s="1"/>
  <c r="E85" i="28"/>
  <c r="C85" i="28"/>
  <c r="B85" i="28"/>
  <c r="E84" i="28"/>
  <c r="C84" i="28"/>
  <c r="B84" i="28"/>
  <c r="E83" i="28"/>
  <c r="C83" i="28"/>
  <c r="B83" i="28"/>
  <c r="E82" i="28"/>
  <c r="C82" i="28"/>
  <c r="B82" i="28"/>
  <c r="E81" i="28"/>
  <c r="C81" i="28"/>
  <c r="B81" i="28"/>
  <c r="C80" i="28"/>
  <c r="B80" i="28"/>
  <c r="E79" i="28"/>
  <c r="C79" i="28"/>
  <c r="B79" i="28"/>
  <c r="A79" i="28"/>
  <c r="AA79" i="28" s="1"/>
  <c r="E78" i="28"/>
  <c r="C78" i="28"/>
  <c r="B78" i="28"/>
  <c r="A78" i="28"/>
  <c r="AA78" i="28" s="1"/>
  <c r="E77" i="28"/>
  <c r="C77" i="28"/>
  <c r="B77" i="28"/>
  <c r="A77" i="28"/>
  <c r="AA77" i="28" s="1"/>
  <c r="E76" i="28"/>
  <c r="C76" i="28"/>
  <c r="B76" i="28"/>
  <c r="A76" i="28"/>
  <c r="AA76" i="28" s="1"/>
  <c r="E75" i="28"/>
  <c r="C75" i="28"/>
  <c r="B75" i="28"/>
  <c r="A75" i="28"/>
  <c r="AA75" i="28" s="1"/>
  <c r="E74" i="28"/>
  <c r="C74" i="28"/>
  <c r="B74" i="28"/>
  <c r="A74" i="28"/>
  <c r="AA74" i="28" s="1"/>
  <c r="E73" i="28"/>
  <c r="C73" i="28"/>
  <c r="B73" i="28"/>
  <c r="A73" i="28"/>
  <c r="AA73" i="28" s="1"/>
  <c r="E72" i="28"/>
  <c r="C72" i="28"/>
  <c r="B72" i="28"/>
  <c r="A72" i="28"/>
  <c r="AA72" i="28" s="1"/>
  <c r="E71" i="28"/>
  <c r="C71" i="28"/>
  <c r="A71" i="28"/>
  <c r="AA71" i="28" s="1"/>
  <c r="C70" i="28"/>
  <c r="B70" i="28"/>
  <c r="A70" i="28"/>
  <c r="AA70" i="28" s="1"/>
  <c r="E69" i="28"/>
  <c r="C69" i="28"/>
  <c r="B69" i="28"/>
  <c r="A69" i="28"/>
  <c r="AA69" i="28" s="1"/>
  <c r="E68" i="28"/>
  <c r="C68" i="28"/>
  <c r="B68" i="28"/>
  <c r="A68" i="28"/>
  <c r="AA68" i="28" s="1"/>
  <c r="E67" i="28"/>
  <c r="C67" i="28"/>
  <c r="B67" i="28"/>
  <c r="A67" i="28"/>
  <c r="AA67" i="28" s="1"/>
  <c r="E66" i="28"/>
  <c r="C66" i="28"/>
  <c r="B66" i="28"/>
  <c r="A66" i="28"/>
  <c r="AA66" i="28" s="1"/>
  <c r="E65" i="28"/>
  <c r="L65" i="28" s="1"/>
  <c r="C29" i="99" s="1"/>
  <c r="C65" i="28"/>
  <c r="B65" i="28"/>
  <c r="A65" i="28"/>
  <c r="AA65" i="28" s="1"/>
  <c r="E64" i="28"/>
  <c r="C64" i="28"/>
  <c r="B64" i="28"/>
  <c r="A64" i="28"/>
  <c r="AA64" i="28" s="1"/>
  <c r="E63" i="28"/>
  <c r="C63" i="28"/>
  <c r="B63" i="28"/>
  <c r="A63" i="28"/>
  <c r="AA63" i="28" s="1"/>
  <c r="E62" i="28"/>
  <c r="C62" i="28"/>
  <c r="B62" i="28"/>
  <c r="A62" i="28"/>
  <c r="AA62" i="28" s="1"/>
  <c r="E61" i="28"/>
  <c r="C61" i="28"/>
  <c r="B61" i="28"/>
  <c r="A61" i="28"/>
  <c r="AA61" i="28" s="1"/>
  <c r="E59" i="28"/>
  <c r="C59" i="28"/>
  <c r="B59" i="28"/>
  <c r="A59" i="28"/>
  <c r="AA59" i="28" s="1"/>
  <c r="E58" i="28"/>
  <c r="C58" i="28"/>
  <c r="B58" i="28"/>
  <c r="A58" i="28"/>
  <c r="AA58" i="28" s="1"/>
  <c r="E57" i="28"/>
  <c r="C57" i="28"/>
  <c r="B57" i="28"/>
  <c r="A57" i="28"/>
  <c r="AA57" i="28" s="1"/>
  <c r="E56" i="28"/>
  <c r="C56" i="28"/>
  <c r="B56" i="28"/>
  <c r="A56" i="28"/>
  <c r="AA56" i="28" s="1"/>
  <c r="E52" i="28"/>
  <c r="C52" i="28"/>
  <c r="B52" i="28"/>
  <c r="A52" i="28"/>
  <c r="AA52" i="28" s="1"/>
  <c r="E51" i="28"/>
  <c r="C51" i="28"/>
  <c r="B51" i="28"/>
  <c r="A51" i="28"/>
  <c r="AA51" i="28" s="1"/>
  <c r="E50" i="28"/>
  <c r="C50" i="28"/>
  <c r="B50" i="28"/>
  <c r="A50" i="28"/>
  <c r="AA50" i="28" s="1"/>
  <c r="E49" i="28"/>
  <c r="C49" i="28"/>
  <c r="B49" i="28"/>
  <c r="A49" i="28"/>
  <c r="AA49" i="28" s="1"/>
  <c r="E48" i="28"/>
  <c r="C48" i="28"/>
  <c r="B48" i="28"/>
  <c r="A48" i="28"/>
  <c r="AA48" i="28" s="1"/>
  <c r="E47" i="28"/>
  <c r="C47" i="28"/>
  <c r="B47" i="28"/>
  <c r="A47" i="28"/>
  <c r="AA47" i="28" s="1"/>
  <c r="E46" i="28"/>
  <c r="C46" i="28"/>
  <c r="B46" i="28"/>
  <c r="A46" i="28"/>
  <c r="AA46" i="28" s="1"/>
  <c r="E45" i="28"/>
  <c r="C45" i="28"/>
  <c r="B45" i="28"/>
  <c r="A45" i="28"/>
  <c r="AA45" i="28" s="1"/>
  <c r="E44" i="28"/>
  <c r="C44" i="28"/>
  <c r="B44" i="28"/>
  <c r="A44" i="28"/>
  <c r="AA44" i="28" s="1"/>
  <c r="E43" i="28"/>
  <c r="C43" i="28"/>
  <c r="B43" i="28"/>
  <c r="A43" i="28"/>
  <c r="AA43" i="28" s="1"/>
  <c r="E42" i="28"/>
  <c r="C42" i="28"/>
  <c r="B42" i="28"/>
  <c r="A42" i="28"/>
  <c r="AA42" i="28" s="1"/>
  <c r="E41" i="28"/>
  <c r="C41" i="28"/>
  <c r="B41" i="28"/>
  <c r="A41" i="28"/>
  <c r="AA41" i="28" s="1"/>
  <c r="E40" i="28"/>
  <c r="C40" i="28"/>
  <c r="B40" i="28"/>
  <c r="A40" i="28"/>
  <c r="AA40" i="28" s="1"/>
  <c r="E39" i="28"/>
  <c r="C39" i="28"/>
  <c r="B39" i="28"/>
  <c r="A39" i="28"/>
  <c r="AA39" i="28" s="1"/>
  <c r="E38" i="28"/>
  <c r="C38" i="28"/>
  <c r="B38" i="28"/>
  <c r="A38" i="28"/>
  <c r="AA38" i="28" s="1"/>
  <c r="E37" i="28"/>
  <c r="C37" i="28"/>
  <c r="B37" i="28"/>
  <c r="A37" i="28"/>
  <c r="AA37" i="28" s="1"/>
  <c r="E36" i="28"/>
  <c r="C36" i="28"/>
  <c r="B36" i="28"/>
  <c r="A36" i="28"/>
  <c r="AA36" i="28" s="1"/>
  <c r="E35" i="28"/>
  <c r="C35" i="28"/>
  <c r="B35" i="28"/>
  <c r="A35" i="28"/>
  <c r="AA35" i="28" s="1"/>
  <c r="H34" i="28"/>
  <c r="E34" i="28"/>
  <c r="C34" i="28"/>
  <c r="B34" i="28"/>
  <c r="A34" i="28"/>
  <c r="AA34" i="28" s="1"/>
  <c r="E33" i="28"/>
  <c r="C33" i="28"/>
  <c r="B33" i="28"/>
  <c r="A33" i="28"/>
  <c r="AA33" i="28" s="1"/>
  <c r="E32" i="28"/>
  <c r="C32" i="28"/>
  <c r="B32" i="28"/>
  <c r="A32" i="28"/>
  <c r="AA32" i="28" s="1"/>
  <c r="E31" i="28"/>
  <c r="C31" i="28"/>
  <c r="B31" i="28"/>
  <c r="A31" i="28"/>
  <c r="AA31" i="28" s="1"/>
  <c r="E30" i="28"/>
  <c r="C30" i="28"/>
  <c r="B30" i="28"/>
  <c r="A30" i="28"/>
  <c r="AA30" i="28" s="1"/>
  <c r="E29" i="28"/>
  <c r="C29" i="28"/>
  <c r="B29" i="28"/>
  <c r="A29" i="28"/>
  <c r="AA29" i="28" s="1"/>
  <c r="E28" i="28"/>
  <c r="C28" i="28"/>
  <c r="B28" i="28"/>
  <c r="A28" i="28"/>
  <c r="AA28" i="28" s="1"/>
  <c r="E27" i="28"/>
  <c r="C27" i="28"/>
  <c r="B27" i="28"/>
  <c r="A27" i="28"/>
  <c r="AA27" i="28" s="1"/>
  <c r="E26" i="28"/>
  <c r="C26" i="28"/>
  <c r="B26" i="28"/>
  <c r="A26" i="28"/>
  <c r="AA26" i="28" s="1"/>
  <c r="E25" i="28"/>
  <c r="C25" i="28"/>
  <c r="B25" i="28"/>
  <c r="A25" i="28"/>
  <c r="AA25" i="28" s="1"/>
  <c r="E24" i="28"/>
  <c r="C24" i="28"/>
  <c r="B24" i="28"/>
  <c r="A24" i="28"/>
  <c r="AA24" i="28" s="1"/>
  <c r="E23" i="28"/>
  <c r="C23" i="28"/>
  <c r="B23" i="28"/>
  <c r="A23" i="28"/>
  <c r="AA23" i="28" s="1"/>
  <c r="E22" i="28"/>
  <c r="C22" i="28"/>
  <c r="B22" i="28"/>
  <c r="A22" i="28"/>
  <c r="AA22" i="28" s="1"/>
  <c r="E21" i="28"/>
  <c r="C21" i="28"/>
  <c r="B21" i="28"/>
  <c r="A21" i="28"/>
  <c r="AA21" i="28" s="1"/>
  <c r="E20" i="28"/>
  <c r="C20" i="28"/>
  <c r="B20" i="28"/>
  <c r="A20" i="28"/>
  <c r="AA20" i="28" s="1"/>
  <c r="E19" i="28"/>
  <c r="C19" i="28"/>
  <c r="B19" i="28"/>
  <c r="A19" i="28"/>
  <c r="AA19" i="28" s="1"/>
  <c r="E18" i="28"/>
  <c r="C18" i="28"/>
  <c r="B18" i="28"/>
  <c r="A18" i="28"/>
  <c r="AA18" i="28" s="1"/>
  <c r="E17" i="28"/>
  <c r="C17" i="28"/>
  <c r="B17" i="28"/>
  <c r="A17" i="28"/>
  <c r="AA17" i="28" s="1"/>
  <c r="E16" i="28"/>
  <c r="C16" i="28"/>
  <c r="B16" i="28"/>
  <c r="A16" i="28"/>
  <c r="AA16" i="28" s="1"/>
  <c r="E15" i="28"/>
  <c r="C15" i="28"/>
  <c r="B15" i="28"/>
  <c r="A15" i="28"/>
  <c r="AA15" i="28" s="1"/>
  <c r="E14" i="28"/>
  <c r="C14" i="28"/>
  <c r="B14" i="28"/>
  <c r="A14" i="28"/>
  <c r="AA14" i="28" s="1"/>
  <c r="E13" i="28"/>
  <c r="C13" i="28"/>
  <c r="B13" i="28"/>
  <c r="A13" i="28"/>
  <c r="AA13" i="28" s="1"/>
  <c r="E12" i="28"/>
  <c r="C12" i="28"/>
  <c r="B12" i="28"/>
  <c r="A12" i="28"/>
  <c r="AA12" i="28" s="1"/>
  <c r="E11" i="28"/>
  <c r="C11" i="28"/>
  <c r="B11" i="28"/>
  <c r="A11" i="28"/>
  <c r="AA11" i="28" s="1"/>
  <c r="C10" i="28"/>
  <c r="B10" i="28"/>
  <c r="A10" i="28"/>
  <c r="AA10" i="28" s="1"/>
  <c r="E9" i="28"/>
  <c r="C9" i="28"/>
  <c r="B9" i="28"/>
  <c r="A9" i="28"/>
  <c r="AA9" i="28" s="1"/>
  <c r="E8" i="28"/>
  <c r="C8" i="28"/>
  <c r="B8" i="28"/>
  <c r="A8" i="28"/>
  <c r="AA8" i="28" s="1"/>
  <c r="G7" i="28"/>
  <c r="E7" i="28"/>
  <c r="C7" i="28"/>
  <c r="B7" i="28"/>
  <c r="A7" i="28"/>
  <c r="AA7" i="28" s="1"/>
  <c r="E6" i="28"/>
  <c r="C6" i="28"/>
  <c r="B6" i="28"/>
  <c r="A6" i="28"/>
  <c r="AA6" i="28" s="1"/>
  <c r="E5" i="28"/>
  <c r="C5" i="28"/>
  <c r="B5" i="28"/>
  <c r="A5" i="28"/>
  <c r="AA5" i="28" s="1"/>
  <c r="C2" i="28"/>
  <c r="G267" i="1"/>
  <c r="G263" i="1"/>
  <c r="H260" i="1"/>
  <c r="G260" i="1" s="1"/>
  <c r="H259" i="1"/>
  <c r="G259" i="1" s="1"/>
  <c r="H258" i="1"/>
  <c r="G258" i="1" s="1"/>
  <c r="G257" i="1"/>
  <c r="G256" i="1"/>
  <c r="G255" i="1"/>
  <c r="G254" i="1"/>
  <c r="G247" i="1"/>
  <c r="G243" i="1"/>
  <c r="G242" i="1"/>
  <c r="G238" i="1"/>
  <c r="H235" i="1"/>
  <c r="G235" i="1" s="1"/>
  <c r="H234" i="1"/>
  <c r="H233" i="1"/>
  <c r="G232" i="1"/>
  <c r="H229" i="1"/>
  <c r="G229" i="1" s="1"/>
  <c r="H228" i="1"/>
  <c r="G228" i="1"/>
  <c r="H227" i="1"/>
  <c r="G227" i="1"/>
  <c r="G226" i="1"/>
  <c r="G221" i="1"/>
  <c r="G220" i="1"/>
  <c r="G219" i="1"/>
  <c r="G218" i="1"/>
  <c r="G216" i="1"/>
  <c r="F210" i="1"/>
  <c r="G209" i="1"/>
  <c r="G208" i="1"/>
  <c r="G207" i="1"/>
  <c r="G206" i="1"/>
  <c r="F204" i="1"/>
  <c r="G203" i="1"/>
  <c r="G202" i="1"/>
  <c r="G201" i="1"/>
  <c r="G200" i="1"/>
  <c r="F198" i="1"/>
  <c r="E157" i="28"/>
  <c r="E156" i="28"/>
  <c r="G182" i="1"/>
  <c r="G177" i="1"/>
  <c r="G173" i="1"/>
  <c r="G166" i="1"/>
  <c r="G165" i="1"/>
  <c r="G162" i="1"/>
  <c r="G161" i="1"/>
  <c r="H154" i="1"/>
  <c r="G154" i="1" s="1"/>
  <c r="G153" i="1"/>
  <c r="G152" i="1"/>
  <c r="G150" i="1"/>
  <c r="G149" i="1"/>
  <c r="G148" i="1"/>
  <c r="G147" i="1"/>
  <c r="G146" i="1"/>
  <c r="G145" i="1"/>
  <c r="G144" i="1"/>
  <c r="G143" i="1"/>
  <c r="H137" i="1"/>
  <c r="G137" i="1" s="1"/>
  <c r="G136" i="1"/>
  <c r="G134" i="1"/>
  <c r="G132" i="1"/>
  <c r="G131" i="1"/>
  <c r="G129" i="1"/>
  <c r="G128" i="1"/>
  <c r="G127" i="1"/>
  <c r="H122" i="1"/>
  <c r="G122" i="1" s="1"/>
  <c r="G108" i="1"/>
  <c r="G106" i="1"/>
  <c r="G105" i="1"/>
  <c r="H103" i="1"/>
  <c r="G103" i="1"/>
  <c r="H138" i="1"/>
  <c r="E80" i="28"/>
  <c r="G92" i="1"/>
  <c r="G90" i="1"/>
  <c r="G72" i="28"/>
  <c r="G81" i="1"/>
  <c r="G79" i="1"/>
  <c r="H76" i="1"/>
  <c r="G76" i="1" s="1"/>
  <c r="G74" i="1"/>
  <c r="G71" i="1"/>
  <c r="G68" i="1"/>
  <c r="G67" i="1"/>
  <c r="H59" i="1"/>
  <c r="G59" i="1"/>
  <c r="H78" i="1"/>
  <c r="I78" i="1" s="1"/>
  <c r="G58" i="1"/>
  <c r="G57" i="1"/>
  <c r="G56" i="1"/>
  <c r="G55" i="1"/>
  <c r="G54" i="1"/>
  <c r="G53" i="1"/>
  <c r="G52" i="1"/>
  <c r="G51" i="1"/>
  <c r="G50" i="1"/>
  <c r="G49" i="1"/>
  <c r="G48" i="1"/>
  <c r="G47" i="1"/>
  <c r="G46" i="1"/>
  <c r="G44" i="1"/>
  <c r="G41" i="1"/>
  <c r="O34" i="28"/>
  <c r="H39" i="1"/>
  <c r="G39" i="1" s="1"/>
  <c r="O33" i="28"/>
  <c r="G37" i="1"/>
  <c r="G36" i="1"/>
  <c r="G35" i="1"/>
  <c r="G34" i="1"/>
  <c r="G33" i="1"/>
  <c r="G32" i="1"/>
  <c r="G31" i="1"/>
  <c r="G30" i="1"/>
  <c r="G28" i="1"/>
  <c r="G27" i="1"/>
  <c r="H25" i="1"/>
  <c r="G25" i="1" s="1"/>
  <c r="O21" i="28"/>
  <c r="O20" i="28"/>
  <c r="G22" i="1"/>
  <c r="G20" i="1"/>
  <c r="G13" i="1"/>
  <c r="G12" i="1"/>
  <c r="G10" i="1"/>
  <c r="G9" i="1"/>
  <c r="L260" i="28"/>
  <c r="AB260" i="28" s="1"/>
  <c r="I138" i="1" l="1"/>
  <c r="H121" i="28" s="1"/>
  <c r="H68" i="28"/>
  <c r="L247" i="28"/>
  <c r="AB247" i="28" s="1"/>
  <c r="L211" i="28"/>
  <c r="AB211" i="28" s="1"/>
  <c r="L207" i="28"/>
  <c r="AB207" i="28" s="1"/>
  <c r="L208" i="28"/>
  <c r="AB208" i="28" s="1"/>
  <c r="L203" i="28"/>
  <c r="L205" i="28"/>
  <c r="L202" i="28"/>
  <c r="AB202" i="28" s="1"/>
  <c r="L204" i="28"/>
  <c r="AB204" i="28" s="1"/>
  <c r="L206" i="28"/>
  <c r="AB206" i="28" s="1"/>
  <c r="L199" i="28"/>
  <c r="AB199" i="28" s="1"/>
  <c r="L201" i="28"/>
  <c r="AB201" i="28" s="1"/>
  <c r="L200" i="28"/>
  <c r="AB200" i="28" s="1"/>
  <c r="L196" i="28"/>
  <c r="L192" i="28"/>
  <c r="AB192" i="28" s="1"/>
  <c r="L188" i="28"/>
  <c r="AB188" i="28" s="1"/>
  <c r="L193" i="28"/>
  <c r="AB193" i="28" s="1"/>
  <c r="L187" i="28"/>
  <c r="AB187" i="28" s="1"/>
  <c r="L186" i="28"/>
  <c r="L185" i="28"/>
  <c r="L184" i="28"/>
  <c r="AB184" i="28" s="1"/>
  <c r="L183" i="28"/>
  <c r="AB183" i="28" s="1"/>
  <c r="L182" i="28"/>
  <c r="AB182" i="28" s="1"/>
  <c r="L180" i="28"/>
  <c r="AB180" i="28" s="1"/>
  <c r="L179" i="28"/>
  <c r="AB179" i="28" s="1"/>
  <c r="L181" i="28"/>
  <c r="AB181" i="28" s="1"/>
  <c r="L178" i="28"/>
  <c r="L177" i="28"/>
  <c r="AB177" i="28" s="1"/>
  <c r="L173" i="28"/>
  <c r="AB173" i="28" s="1"/>
  <c r="L175" i="28"/>
  <c r="AB175" i="28" s="1"/>
  <c r="L174" i="28"/>
  <c r="AB174" i="28" s="1"/>
  <c r="L176" i="28"/>
  <c r="AB176" i="28" s="1"/>
  <c r="L170" i="28"/>
  <c r="AB170" i="28" s="1"/>
  <c r="L172" i="28"/>
  <c r="AB172" i="28" s="1"/>
  <c r="L171" i="28"/>
  <c r="AB171" i="28" s="1"/>
  <c r="L167" i="28"/>
  <c r="AB167" i="28" s="1"/>
  <c r="L169" i="28"/>
  <c r="AB169" i="28" s="1"/>
  <c r="L166" i="28"/>
  <c r="L168" i="28"/>
  <c r="AB168" i="28" s="1"/>
  <c r="L162" i="28"/>
  <c r="AB162" i="28" s="1"/>
  <c r="L164" i="28"/>
  <c r="AB164" i="28" s="1"/>
  <c r="L163" i="28"/>
  <c r="AB163" i="28" s="1"/>
  <c r="L165" i="28"/>
  <c r="AB165" i="28" s="1"/>
  <c r="L159" i="28"/>
  <c r="AB159" i="28" s="1"/>
  <c r="L160" i="28"/>
  <c r="AB160" i="28" s="1"/>
  <c r="L158" i="28"/>
  <c r="AB158" i="28" s="1"/>
  <c r="L161" i="28"/>
  <c r="AB161" i="28" s="1"/>
  <c r="L157" i="28"/>
  <c r="L156" i="28"/>
  <c r="AB156" i="28" s="1"/>
  <c r="L152" i="28"/>
  <c r="AB152" i="28" s="1"/>
  <c r="L151" i="28"/>
  <c r="AB151" i="28" s="1"/>
  <c r="L150" i="28"/>
  <c r="AB150" i="28" s="1"/>
  <c r="L149" i="28"/>
  <c r="AB149" i="28" s="1"/>
  <c r="L148" i="28"/>
  <c r="AB148" i="28" s="1"/>
  <c r="L143" i="28"/>
  <c r="AB143" i="28" s="1"/>
  <c r="L142" i="28"/>
  <c r="L141" i="28"/>
  <c r="AB141" i="28" s="1"/>
  <c r="L139" i="28"/>
  <c r="AB139" i="28" s="1"/>
  <c r="L140" i="28"/>
  <c r="AB140" i="28" s="1"/>
  <c r="L138" i="28"/>
  <c r="L137" i="28"/>
  <c r="AB137" i="28" s="1"/>
  <c r="L136" i="28"/>
  <c r="AB136" i="28" s="1"/>
  <c r="L135" i="28"/>
  <c r="F7" i="89" s="1"/>
  <c r="F11" i="89" s="1"/>
  <c r="F18" i="89" s="1"/>
  <c r="L134" i="28"/>
  <c r="AB134" i="28" s="1"/>
  <c r="L132" i="28"/>
  <c r="AB132" i="28" s="1"/>
  <c r="L131" i="28"/>
  <c r="AB131" i="28" s="1"/>
  <c r="L130" i="28"/>
  <c r="AB130" i="28" s="1"/>
  <c r="L129" i="28"/>
  <c r="AB129" i="28" s="1"/>
  <c r="L128" i="28"/>
  <c r="AB128" i="28" s="1"/>
  <c r="L127" i="28"/>
  <c r="AB127" i="28" s="1"/>
  <c r="L126" i="28"/>
  <c r="AB126" i="28" s="1"/>
  <c r="L125" i="28"/>
  <c r="L124" i="28"/>
  <c r="AB124" i="28" s="1"/>
  <c r="AB122" i="28"/>
  <c r="L121" i="28"/>
  <c r="AB121" i="28" s="1"/>
  <c r="L120" i="28"/>
  <c r="AB120" i="28" s="1"/>
  <c r="L119" i="28"/>
  <c r="AB119" i="28" s="1"/>
  <c r="L117" i="28"/>
  <c r="AB117" i="28" s="1"/>
  <c r="L113" i="28"/>
  <c r="AB113" i="28" s="1"/>
  <c r="L115" i="28"/>
  <c r="AB115" i="28" s="1"/>
  <c r="L112" i="28"/>
  <c r="AB112" i="28" s="1"/>
  <c r="L114" i="28"/>
  <c r="L107" i="28"/>
  <c r="AB107" i="28" s="1"/>
  <c r="L111" i="28"/>
  <c r="L108" i="28"/>
  <c r="AB108" i="28" s="1"/>
  <c r="L110" i="28"/>
  <c r="AB110" i="28" s="1"/>
  <c r="L109" i="28"/>
  <c r="L103" i="28"/>
  <c r="AB103" i="28" s="1"/>
  <c r="L105" i="28"/>
  <c r="AB105" i="28" s="1"/>
  <c r="L104" i="28"/>
  <c r="AB104" i="28" s="1"/>
  <c r="L106" i="28"/>
  <c r="AB106" i="28" s="1"/>
  <c r="L102" i="28"/>
  <c r="AB102" i="28" s="1"/>
  <c r="L100" i="28"/>
  <c r="AB100" i="28" s="1"/>
  <c r="L101" i="28"/>
  <c r="AB101" i="28" s="1"/>
  <c r="L98" i="28"/>
  <c r="AB98" i="28" s="1"/>
  <c r="L95" i="28"/>
  <c r="AB95" i="28" s="1"/>
  <c r="L97" i="28"/>
  <c r="AB97" i="28" s="1"/>
  <c r="L94" i="28"/>
  <c r="L96" i="28"/>
  <c r="L90" i="28"/>
  <c r="L92" i="28"/>
  <c r="AB92" i="28" s="1"/>
  <c r="L93" i="28"/>
  <c r="AB93" i="28" s="1"/>
  <c r="L91" i="28"/>
  <c r="AB91" i="28" s="1"/>
  <c r="L88" i="28"/>
  <c r="AB88" i="28" s="1"/>
  <c r="L87" i="28"/>
  <c r="AB87" i="28" s="1"/>
  <c r="L89" i="28"/>
  <c r="AB89" i="28" s="1"/>
  <c r="L86" i="28"/>
  <c r="AB86" i="28" s="1"/>
  <c r="L84" i="28"/>
  <c r="AB84" i="28" s="1"/>
  <c r="L85" i="28"/>
  <c r="AB85" i="28" s="1"/>
  <c r="L83" i="28"/>
  <c r="AB83" i="28" s="1"/>
  <c r="L82" i="28"/>
  <c r="L81" i="28"/>
  <c r="AB81" i="28" s="1"/>
  <c r="L79" i="28"/>
  <c r="AB79" i="28" s="1"/>
  <c r="L78" i="28"/>
  <c r="AB78" i="28" s="1"/>
  <c r="L80" i="28"/>
  <c r="L77" i="28"/>
  <c r="AB77" i="28" s="1"/>
  <c r="L76" i="28"/>
  <c r="L75" i="28"/>
  <c r="AB75" i="28" s="1"/>
  <c r="L72" i="28"/>
  <c r="L74" i="28"/>
  <c r="L71" i="28"/>
  <c r="AB71" i="28" s="1"/>
  <c r="L73" i="28"/>
  <c r="AB73" i="28" s="1"/>
  <c r="L69" i="28"/>
  <c r="D8" i="93" s="1"/>
  <c r="L68" i="28"/>
  <c r="AB68" i="28" s="1"/>
  <c r="L67" i="28"/>
  <c r="L66" i="28"/>
  <c r="AB66" i="28" s="1"/>
  <c r="L62" i="28"/>
  <c r="L64" i="28"/>
  <c r="C31" i="99" s="1"/>
  <c r="E31" i="99" s="1"/>
  <c r="L61" i="28"/>
  <c r="AB61" i="28" s="1"/>
  <c r="L63" i="28"/>
  <c r="C30" i="99" s="1"/>
  <c r="E30" i="99" s="1"/>
  <c r="L58" i="28"/>
  <c r="L57" i="28"/>
  <c r="AB57" i="28" s="1"/>
  <c r="L59" i="28"/>
  <c r="C26" i="99" s="1"/>
  <c r="L56" i="28"/>
  <c r="AB56" i="28" s="1"/>
  <c r="L50" i="28"/>
  <c r="AB50" i="28" s="1"/>
  <c r="L52" i="28"/>
  <c r="AB52" i="28" s="1"/>
  <c r="L51" i="28"/>
  <c r="C14" i="99" s="1"/>
  <c r="L47" i="28"/>
  <c r="C17" i="99" s="1"/>
  <c r="L49" i="28"/>
  <c r="AB49" i="28" s="1"/>
  <c r="L48" i="28"/>
  <c r="D9" i="93" s="1"/>
  <c r="L46" i="28"/>
  <c r="C20" i="99" s="1"/>
  <c r="L44" i="28"/>
  <c r="C11" i="99" s="1"/>
  <c r="E11" i="99" s="1"/>
  <c r="L43" i="28"/>
  <c r="C9" i="99" s="1"/>
  <c r="E9" i="99" s="1"/>
  <c r="L45" i="28"/>
  <c r="AB45" i="28" s="1"/>
  <c r="L42" i="28"/>
  <c r="AB42" i="28" s="1"/>
  <c r="L39" i="28"/>
  <c r="C8" i="99" s="1"/>
  <c r="L41" i="28"/>
  <c r="AB41" i="28" s="1"/>
  <c r="L38" i="28"/>
  <c r="C7" i="99" s="1"/>
  <c r="E7" i="99" s="1"/>
  <c r="L40" i="28"/>
  <c r="AB40" i="28" s="1"/>
  <c r="L37" i="28"/>
  <c r="AB37" i="28" s="1"/>
  <c r="L36" i="28"/>
  <c r="AB36" i="28" s="1"/>
  <c r="L29" i="28"/>
  <c r="AB29" i="28" s="1"/>
  <c r="L26" i="28"/>
  <c r="AB26" i="28" s="1"/>
  <c r="L34" i="28"/>
  <c r="AB34" i="28" s="1"/>
  <c r="L31" i="28"/>
  <c r="AB31" i="28" s="1"/>
  <c r="L28" i="28"/>
  <c r="AB28" i="28" s="1"/>
  <c r="L25" i="28"/>
  <c r="AB25" i="28" s="1"/>
  <c r="L33" i="28"/>
  <c r="AB33" i="28" s="1"/>
  <c r="L30" i="28"/>
  <c r="AB30" i="28" s="1"/>
  <c r="L27" i="28"/>
  <c r="AB27" i="28" s="1"/>
  <c r="L35" i="28"/>
  <c r="AB35" i="28" s="1"/>
  <c r="L24" i="28"/>
  <c r="AB24" i="28" s="1"/>
  <c r="L32" i="28"/>
  <c r="AB32" i="28" s="1"/>
  <c r="L23" i="28"/>
  <c r="AB23" i="28" s="1"/>
  <c r="L22" i="28"/>
  <c r="AB22" i="28" s="1"/>
  <c r="L21" i="28"/>
  <c r="AB21" i="28" s="1"/>
  <c r="L20" i="28"/>
  <c r="AB20" i="28" s="1"/>
  <c r="L19" i="28"/>
  <c r="AB19" i="28" s="1"/>
  <c r="L18" i="28"/>
  <c r="AB18" i="28" s="1"/>
  <c r="L16" i="28"/>
  <c r="AB16" i="28" s="1"/>
  <c r="L15" i="28"/>
  <c r="AB15" i="28" s="1"/>
  <c r="L14" i="28"/>
  <c r="AB14" i="28" s="1"/>
  <c r="L13" i="28"/>
  <c r="AB13" i="28" s="1"/>
  <c r="L12" i="28"/>
  <c r="AB12" i="28" s="1"/>
  <c r="L11" i="28"/>
  <c r="AB11" i="28" s="1"/>
  <c r="L9" i="28"/>
  <c r="AB9" i="28" s="1"/>
  <c r="L8" i="28"/>
  <c r="AB8" i="28" s="1"/>
  <c r="L6" i="28"/>
  <c r="AB6" i="28" s="1"/>
  <c r="L5" i="28"/>
  <c r="L197" i="28"/>
  <c r="AB197" i="28" s="1"/>
  <c r="L7" i="28"/>
  <c r="AB7" i="28" s="1"/>
  <c r="L17" i="28"/>
  <c r="O107" i="28"/>
  <c r="L249" i="28"/>
  <c r="AB249" i="28" s="1"/>
  <c r="L250" i="28"/>
  <c r="AB250" i="28" s="1"/>
  <c r="L248" i="28"/>
  <c r="AB248" i="28" s="1"/>
  <c r="L251" i="28"/>
  <c r="AB251" i="28" s="1"/>
  <c r="E99" i="28"/>
  <c r="E10" i="28"/>
  <c r="L10" i="28" s="1"/>
  <c r="G14" i="1"/>
  <c r="G15" i="1"/>
  <c r="G16" i="1"/>
  <c r="G17" i="1"/>
  <c r="G18" i="1"/>
  <c r="G19" i="1"/>
  <c r="E70" i="28"/>
  <c r="O89" i="28"/>
  <c r="O51" i="28"/>
  <c r="O19" i="28"/>
  <c r="F9" i="28"/>
  <c r="H137" i="28"/>
  <c r="F191" i="1"/>
  <c r="F211" i="1" s="1"/>
  <c r="N21" i="88" l="1"/>
  <c r="E21" i="88" s="1"/>
  <c r="G21" i="88" s="1"/>
  <c r="AB166" i="28"/>
  <c r="N19" i="88"/>
  <c r="E19" i="88" s="1"/>
  <c r="G19" i="88" s="1"/>
  <c r="N28" i="88"/>
  <c r="E28" i="88" s="1"/>
  <c r="G28" i="88" s="1"/>
  <c r="C10" i="99"/>
  <c r="E10" i="99" s="1"/>
  <c r="E12" i="99" s="1"/>
  <c r="D12" i="93"/>
  <c r="L9" i="88"/>
  <c r="E29" i="99"/>
  <c r="C28" i="99"/>
  <c r="E28" i="99" s="1"/>
  <c r="E26" i="99"/>
  <c r="AB157" i="28"/>
  <c r="N11" i="88"/>
  <c r="D11" i="93"/>
  <c r="AB64" i="28"/>
  <c r="D24" i="93"/>
  <c r="AB46" i="28"/>
  <c r="D18" i="93"/>
  <c r="D13" i="93"/>
  <c r="D21" i="93"/>
  <c r="D6" i="93"/>
  <c r="AB39" i="28"/>
  <c r="D7" i="93"/>
  <c r="AB47" i="28"/>
  <c r="AB65" i="28"/>
  <c r="D22" i="93"/>
  <c r="G14" i="88"/>
  <c r="D23" i="93"/>
  <c r="AB72" i="28"/>
  <c r="AB82" i="28"/>
  <c r="AB109" i="28"/>
  <c r="N18" i="88"/>
  <c r="E18" i="88" s="1"/>
  <c r="G18" i="88" s="1"/>
  <c r="AB125" i="28"/>
  <c r="N27" i="88"/>
  <c r="E27" i="88" s="1"/>
  <c r="G27" i="88" s="1"/>
  <c r="AB76" i="28"/>
  <c r="N16" i="88"/>
  <c r="G16" i="88" s="1"/>
  <c r="AB5" i="28"/>
  <c r="AB90" i="28"/>
  <c r="AB114" i="28"/>
  <c r="M20" i="88"/>
  <c r="N20" i="88" s="1"/>
  <c r="E20" i="88" s="1"/>
  <c r="G20" i="88" s="1"/>
  <c r="AB62" i="28"/>
  <c r="AB196" i="28"/>
  <c r="AB63" i="28"/>
  <c r="AB44" i="28"/>
  <c r="AB48" i="28"/>
  <c r="AB17" i="28"/>
  <c r="AB178" i="28"/>
  <c r="F24" i="89"/>
  <c r="L236" i="28"/>
  <c r="AB236" i="28" s="1"/>
  <c r="L70" i="28"/>
  <c r="AB70" i="28" s="1"/>
  <c r="AB111" i="28"/>
  <c r="AB185" i="28"/>
  <c r="AB205" i="28"/>
  <c r="AB74" i="28"/>
  <c r="AB186" i="28"/>
  <c r="AB203" i="28"/>
  <c r="AB142" i="28"/>
  <c r="AB58" i="28"/>
  <c r="AB67" i="28"/>
  <c r="AB69" i="28"/>
  <c r="AB96" i="28"/>
  <c r="AB123" i="28"/>
  <c r="AB138" i="28"/>
  <c r="F199" i="28"/>
  <c r="AB135" i="28"/>
  <c r="AB94" i="28"/>
  <c r="L99" i="28"/>
  <c r="L235" i="28"/>
  <c r="AB80" i="28"/>
  <c r="L234" i="28"/>
  <c r="AB234" i="28" s="1"/>
  <c r="AB59" i="28"/>
  <c r="AB51" i="28"/>
  <c r="AB43" i="28"/>
  <c r="AB38" i="28"/>
  <c r="L233" i="28"/>
  <c r="AB233" i="28" s="1"/>
  <c r="AB10" i="28"/>
  <c r="F34" i="28"/>
  <c r="G136" i="28"/>
  <c r="F68" i="28"/>
  <c r="G109" i="28"/>
  <c r="F121" i="28"/>
  <c r="F87" i="28"/>
  <c r="G125" i="28"/>
  <c r="F119" i="28"/>
  <c r="F104" i="28"/>
  <c r="F176" i="28"/>
  <c r="F18" i="28"/>
  <c r="F98" i="28"/>
  <c r="F175" i="28"/>
  <c r="F64" i="28"/>
  <c r="F25" i="28"/>
  <c r="F193" i="28"/>
  <c r="F96" i="28"/>
  <c r="F94" i="28"/>
  <c r="F49" i="28"/>
  <c r="F93" i="28"/>
  <c r="F201" i="28"/>
  <c r="F126" i="28"/>
  <c r="F192" i="28"/>
  <c r="F142" i="28"/>
  <c r="F91" i="28"/>
  <c r="F86" i="28"/>
  <c r="F186" i="28"/>
  <c r="F185" i="28"/>
  <c r="F135" i="28"/>
  <c r="F180" i="28"/>
  <c r="F174" i="28"/>
  <c r="F65" i="28"/>
  <c r="F188" i="28"/>
  <c r="F131" i="28"/>
  <c r="F100" i="28"/>
  <c r="F72" i="28"/>
  <c r="F173" i="28"/>
  <c r="F8" i="28"/>
  <c r="F48" i="28"/>
  <c r="F102" i="28"/>
  <c r="F105" i="28"/>
  <c r="F132" i="28"/>
  <c r="F50" i="28"/>
  <c r="F101" i="28"/>
  <c r="F35" i="28"/>
  <c r="F183" i="28"/>
  <c r="F140" i="28"/>
  <c r="F31" i="28"/>
  <c r="F58" i="28"/>
  <c r="F6" i="28"/>
  <c r="F148" i="28"/>
  <c r="F45" i="28"/>
  <c r="F139" i="28"/>
  <c r="F27" i="28"/>
  <c r="F30" i="28"/>
  <c r="F97" i="28"/>
  <c r="F95" i="28"/>
  <c r="F42" i="28"/>
  <c r="F29" i="28"/>
  <c r="F179" i="28"/>
  <c r="F129" i="28"/>
  <c r="F28" i="28"/>
  <c r="F23" i="28"/>
  <c r="F115" i="28"/>
  <c r="F22" i="28"/>
  <c r="F110" i="28"/>
  <c r="F90" i="28"/>
  <c r="F103" i="28"/>
  <c r="F37" i="28"/>
  <c r="F78" i="28"/>
  <c r="F47" i="28"/>
  <c r="F128" i="28"/>
  <c r="F46" i="28"/>
  <c r="F26" i="28"/>
  <c r="F24" i="28"/>
  <c r="F38" i="28"/>
  <c r="F61" i="28"/>
  <c r="F76" i="28"/>
  <c r="F39" i="28"/>
  <c r="F43" i="28"/>
  <c r="D1" i="28"/>
  <c r="G107" i="28"/>
  <c r="H205" i="28"/>
  <c r="G121" i="28"/>
  <c r="F127" i="28"/>
  <c r="F200" i="28"/>
  <c r="F107" i="28"/>
  <c r="H187" i="28"/>
  <c r="F44" i="28"/>
  <c r="F17" i="28"/>
  <c r="F5" i="28"/>
  <c r="F137" i="28"/>
  <c r="F41" i="28"/>
  <c r="G34" i="28"/>
  <c r="G51" i="28"/>
  <c r="F52" i="28"/>
  <c r="F51" i="28"/>
  <c r="F21" i="28"/>
  <c r="H204" i="28"/>
  <c r="G21" i="28"/>
  <c r="G137" i="28"/>
  <c r="F143" i="28"/>
  <c r="F150" i="28"/>
  <c r="F89" i="28"/>
  <c r="G89" i="28"/>
  <c r="F109" i="28"/>
  <c r="F73" i="28"/>
  <c r="F125" i="28"/>
  <c r="F124" i="28"/>
  <c r="F63" i="28"/>
  <c r="F62" i="28"/>
  <c r="F33" i="28"/>
  <c r="F7" i="28"/>
  <c r="G120" i="28"/>
  <c r="F120" i="28"/>
  <c r="F67" i="28"/>
  <c r="G67" i="28"/>
  <c r="G68" i="28"/>
  <c r="G33" i="28"/>
  <c r="F59" i="28"/>
  <c r="F136" i="28"/>
  <c r="H182" i="28"/>
  <c r="F181" i="28"/>
  <c r="H203" i="28"/>
  <c r="F196" i="28"/>
  <c r="F184" i="28"/>
  <c r="E44" i="88" l="1"/>
  <c r="D26" i="93"/>
  <c r="E32" i="99"/>
  <c r="E34" i="99" s="1"/>
  <c r="C32" i="99"/>
  <c r="C12" i="99"/>
  <c r="C15" i="99" s="1"/>
  <c r="C18" i="99" s="1"/>
  <c r="D14" i="93"/>
  <c r="AB235" i="28"/>
  <c r="L8" i="88"/>
  <c r="O11" i="88" s="1"/>
  <c r="F11" i="88"/>
  <c r="G11" i="88"/>
  <c r="N25" i="88"/>
  <c r="G25" i="88" s="1"/>
  <c r="G32" i="88"/>
  <c r="L237" i="28"/>
  <c r="AB237" i="28" s="1"/>
  <c r="AB99" i="28"/>
  <c r="G205" i="28"/>
  <c r="G203" i="28"/>
  <c r="F70" i="28"/>
  <c r="G204" i="28"/>
  <c r="F205" i="28"/>
  <c r="F187" i="28"/>
  <c r="F204" i="28"/>
  <c r="F182" i="28"/>
  <c r="F203" i="28"/>
  <c r="C34" i="99" l="1"/>
  <c r="D28" i="93"/>
  <c r="B21" i="99"/>
  <c r="B22" i="99"/>
  <c r="C21" i="99"/>
  <c r="L263" i="28"/>
  <c r="L265" i="28" s="1"/>
  <c r="G44" i="88" l="1"/>
  <c r="F25" i="89" l="1"/>
</calcChain>
</file>

<file path=xl/sharedStrings.xml><?xml version="1.0" encoding="utf-8"?>
<sst xmlns="http://schemas.openxmlformats.org/spreadsheetml/2006/main" count="6528" uniqueCount="2654">
  <si>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</si>
  <si>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</si>
  <si>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</si>
  <si>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</si>
  <si>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</si>
  <si>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</si>
  <si>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</si>
  <si>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t>Construction in progress</t>
  </si>
  <si>
    <t>Capital Assets for Electric Fund</t>
  </si>
  <si>
    <t>Gross value:</t>
  </si>
  <si>
    <t>Notes to the Financial Statements -Summary Changes in Long-Term Liability</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</si>
  <si>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</si>
  <si>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</si>
  <si>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</si>
  <si>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</si>
  <si>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</si>
  <si>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</si>
  <si>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</si>
  <si>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</si>
  <si>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</si>
  <si>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</si>
  <si>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</si>
  <si>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</si>
  <si>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</si>
  <si>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</si>
  <si>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</si>
  <si>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</si>
  <si>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</si>
  <si>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</si>
  <si>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</si>
  <si>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t>Upload Amounts</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</si>
  <si>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</si>
  <si>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</si>
  <si>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</si>
  <si>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</si>
  <si>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</si>
  <si>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</si>
  <si>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</si>
  <si>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</si>
  <si>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</si>
  <si>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</si>
  <si>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Description</t>
  </si>
  <si>
    <t>Account #</t>
  </si>
  <si>
    <t>Fiscal Year Reviewer Corrections</t>
  </si>
  <si>
    <t>Fiscal Year Unit Input</t>
  </si>
  <si>
    <t xml:space="preserve">                    FINISHED</t>
  </si>
  <si>
    <t>IMPORT</t>
  </si>
  <si>
    <t>Annual depreciation expense:</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</si>
  <si>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</si>
  <si>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</si>
  <si>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</si>
  <si>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</si>
  <si>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</si>
  <si>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</si>
  <si>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</si>
  <si>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</si>
  <si>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</si>
  <si>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</si>
  <si>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</si>
  <si>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</si>
  <si>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</si>
  <si>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</si>
  <si>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</si>
  <si>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</si>
  <si>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</si>
  <si>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</si>
  <si>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</si>
  <si>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</si>
  <si>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</si>
  <si>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</si>
  <si>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</si>
  <si>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Calculation</t>
  </si>
  <si>
    <t>Total</t>
  </si>
  <si>
    <t>Without Including Restricted Cash</t>
  </si>
  <si>
    <t>Fund Balance Available for Appropriation - G.S. §159-8(a)</t>
  </si>
  <si>
    <t>Encumbrances at June 30 (listed in the notes)……………………………...…………………………</t>
  </si>
  <si>
    <t>Unavailable or Unearned Revenues Arising from Cash Receipts ……………………………</t>
  </si>
  <si>
    <t>Fund Balance Available for Appropriation ……………………………………………………….</t>
  </si>
  <si>
    <t>Total Restricted by State Statue………………………………………….…………………………………………..</t>
  </si>
  <si>
    <t>Restricted by State Statute Presented on Financial Statements</t>
  </si>
  <si>
    <t>Less</t>
  </si>
  <si>
    <t>Restricted - Stabilization by State Statute (LGC calculation)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</si>
  <si>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</si>
  <si>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</si>
  <si>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</si>
  <si>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</si>
  <si>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</si>
  <si>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</si>
  <si>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</si>
  <si>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</si>
  <si>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 xml:space="preserve">    Fund Balance Available  as % of Expenditures …………………………..........</t>
  </si>
  <si>
    <t xml:space="preserve"> Restricted Cash</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</si>
  <si>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</si>
  <si>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</si>
  <si>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</si>
  <si>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</si>
  <si>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</si>
  <si>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</si>
  <si>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</si>
  <si>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</si>
  <si>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</si>
  <si>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</si>
  <si>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</si>
  <si>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</si>
  <si>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Statutory Calculation of Fund Balance Available for Appropriation At June 30 for the General Fund
Restricted - Stabilization by State Statute</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</si>
  <si>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</si>
  <si>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</si>
  <si>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</si>
  <si>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</si>
  <si>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</si>
  <si>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</si>
  <si>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</si>
  <si>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</si>
  <si>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</si>
  <si>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</si>
  <si>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Select Current Liabilities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</si>
  <si>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</si>
  <si>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</si>
  <si>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</si>
  <si>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</si>
  <si>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</si>
  <si>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</si>
  <si>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</si>
  <si>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</si>
  <si>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</si>
  <si>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</si>
  <si>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</si>
  <si>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</si>
  <si>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</si>
  <si>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</si>
  <si>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</si>
  <si>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</si>
  <si>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</si>
  <si>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</si>
  <si>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</si>
  <si>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out</t>
  </si>
  <si>
    <t>Statement of Activities - Governmental</t>
  </si>
  <si>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</si>
  <si>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</si>
  <si>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</si>
  <si>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</si>
  <si>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</si>
  <si>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</si>
  <si>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t xml:space="preserve">    General Fund Only - Statement of Revenue, Expenditures and Changes in Fund Balance </t>
  </si>
  <si>
    <t>General Fund-Rev, Exp. Change in Fund Balance</t>
  </si>
  <si>
    <t>Total Liabilities and deferred inflows</t>
  </si>
  <si>
    <t>Total Net position</t>
  </si>
  <si>
    <t xml:space="preserve">Statement of Net Position - Electric Fund </t>
  </si>
  <si>
    <t>Amount of inventories and prepaids</t>
  </si>
  <si>
    <t>Total liabilities and total deferred inflows</t>
  </si>
  <si>
    <t>Total net position</t>
  </si>
  <si>
    <t>Total Operating revenues</t>
  </si>
  <si>
    <t>Depreciation and amortization expense</t>
  </si>
  <si>
    <t>Total Operating expenses</t>
  </si>
  <si>
    <t>Interest expense</t>
  </si>
  <si>
    <t>Charges for services</t>
  </si>
  <si>
    <t>Electrical power purchases</t>
  </si>
  <si>
    <t>Fiduciary Statements</t>
  </si>
  <si>
    <t>Cash and Investment Note</t>
  </si>
  <si>
    <t>OPEB Note</t>
  </si>
  <si>
    <t>Transfer Note</t>
  </si>
  <si>
    <t>Fund Balance Note</t>
  </si>
  <si>
    <t>Amount of the Water Sewer Fund Balance appropriated in next year's budget?</t>
  </si>
  <si>
    <t>Analysis of Current Tax Levy Schedule</t>
  </si>
  <si>
    <t>Accumulated depreciation</t>
  </si>
  <si>
    <t>Gov.-Capital Assets Schedule in the Notes</t>
  </si>
  <si>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</si>
  <si>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</si>
  <si>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</si>
  <si>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</si>
  <si>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</si>
  <si>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</si>
  <si>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</si>
  <si>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t>Liabilities……………………………………………………………….………………………….</t>
  </si>
  <si>
    <t>Statement of Revenues, Expenses, and Changes in Fund Net Position</t>
  </si>
  <si>
    <t>Gov - Restricted Cash &amp; Investments</t>
  </si>
  <si>
    <t>GA-Total Unrestricted Cash &amp; Investments</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</si>
  <si>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</si>
  <si>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</si>
  <si>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</si>
  <si>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</si>
  <si>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</si>
  <si>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</si>
  <si>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</si>
  <si>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</si>
  <si>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</si>
  <si>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</si>
  <si>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</si>
  <si>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</si>
  <si>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</si>
  <si>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</si>
  <si>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</si>
  <si>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</si>
  <si>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</si>
  <si>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Powell Bill in FB</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</si>
  <si>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</si>
  <si>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</si>
  <si>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</si>
  <si>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</si>
  <si>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</si>
  <si>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</si>
  <si>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</si>
  <si>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</si>
  <si>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</si>
  <si>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</si>
  <si>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</si>
  <si>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</si>
  <si>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</si>
  <si>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</si>
  <si>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</si>
  <si>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</si>
  <si>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</si>
  <si>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</si>
  <si>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</si>
  <si>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</si>
  <si>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</si>
  <si>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</si>
  <si>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</si>
  <si>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</si>
  <si>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</si>
  <si>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</si>
  <si>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</si>
  <si>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</si>
  <si>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</si>
  <si>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</si>
  <si>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</si>
  <si>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</si>
  <si>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</si>
  <si>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</si>
  <si>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</si>
  <si>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</si>
  <si>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</si>
  <si>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</si>
  <si>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</si>
  <si>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</si>
  <si>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</si>
  <si>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</si>
  <si>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</si>
  <si>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</si>
  <si>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</si>
  <si>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</si>
  <si>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</si>
  <si>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</si>
  <si>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</si>
  <si>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</si>
  <si>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</si>
  <si>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</si>
  <si>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</si>
  <si>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</si>
  <si>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</si>
  <si>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</si>
  <si>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</si>
  <si>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</si>
  <si>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</si>
  <si>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</si>
  <si>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</si>
  <si>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</si>
  <si>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</si>
  <si>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</si>
  <si>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</si>
  <si>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</si>
  <si>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</si>
  <si>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</si>
  <si>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</si>
  <si>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</si>
  <si>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</si>
  <si>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</si>
  <si>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</si>
  <si>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</si>
  <si>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</si>
  <si>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</si>
  <si>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</si>
  <si>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</si>
  <si>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</si>
  <si>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</si>
  <si>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</si>
  <si>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</si>
  <si>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</si>
  <si>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</si>
  <si>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</si>
  <si>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</si>
  <si>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</si>
  <si>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Select Your Unit's Name from the drop down box in cell D2</t>
  </si>
  <si>
    <t>Water Sewer Memo,
Water Sewer Dashboard</t>
  </si>
  <si>
    <t>Notes to the Financial Statements - Law Enforcement Officers' Special Separation Allowance Note</t>
  </si>
  <si>
    <t>LEO Note</t>
  </si>
  <si>
    <t>Notes to the Financial Statements -Cash and Investments - Bond/Debt Proceeds</t>
  </si>
  <si>
    <t>Amount of Inventories and Prepaid expenses in current assets</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</si>
  <si>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</si>
  <si>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</si>
  <si>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</si>
  <si>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</si>
  <si>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Fund Statements - all Governmental Funds</t>
  </si>
  <si>
    <t>Information</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</si>
  <si>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</si>
  <si>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</si>
  <si>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</si>
  <si>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</si>
  <si>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</si>
  <si>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If unit does not answer you do not have to pursue</t>
  </si>
  <si>
    <t>GW-positive internal balance</t>
  </si>
  <si>
    <t>GW-negative internal balance</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</si>
  <si>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</si>
  <si>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</si>
  <si>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</si>
  <si>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</si>
  <si>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</si>
  <si>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</si>
  <si>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</si>
  <si>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If unit did not answer you do not need to pursue.</t>
  </si>
  <si>
    <t>Error Amounts</t>
  </si>
  <si>
    <t>Error Count</t>
  </si>
  <si>
    <t>Advance To: Interfund loan receivable-portion of repayment plan longer than 12 months</t>
  </si>
  <si>
    <t>GF-Advance To - Asset</t>
  </si>
  <si>
    <t>WS -  Advance To - Asset</t>
  </si>
  <si>
    <t>WS - Advance From - Liability</t>
  </si>
  <si>
    <t>EF - Advance To - Asset</t>
  </si>
  <si>
    <t>EF - Advance from - Liability</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</si>
  <si>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</si>
  <si>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</si>
  <si>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</si>
  <si>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</si>
  <si>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</si>
  <si>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</si>
  <si>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</si>
  <si>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</si>
  <si>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</si>
  <si>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</si>
  <si>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</si>
  <si>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</si>
  <si>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50 - Became Operational</t>
  </si>
  <si>
    <t>51 - Ceased Operations</t>
  </si>
  <si>
    <t>52 - No Change</t>
  </si>
  <si>
    <t>Status of Water Sewer</t>
  </si>
  <si>
    <t>Statement of Activities                               (all governmental and business funds)</t>
  </si>
  <si>
    <t>https://www.nctreasurer.com/slg/lfm/financial-analysis/Pages/Analysis-by-Population.aspx</t>
  </si>
  <si>
    <t>Interest income from statement of activities</t>
  </si>
  <si>
    <t>Long-Term Liability Note - Governmental Activities</t>
  </si>
  <si>
    <t>Amount the unit paid out in benefits under LEO special separation allowance to retired law enforcement officers this fiscal year if you report under GASB 68 or GASB 73.</t>
  </si>
  <si>
    <t>The total LEO pension liability if you report under GASB 68 or GASB 73.</t>
  </si>
  <si>
    <t>Total LEO pension liability under GASB 68 or 73</t>
  </si>
  <si>
    <t>Unit paid to Officers under LEO under 68 or 73</t>
  </si>
  <si>
    <t>LEO Plan fiduciary net position</t>
  </si>
  <si>
    <t>If you have LEO pension assets and are reporting under GASB 68 please enter "Plan Fiduciary Net Position" which can be found on your RSI schedules and the Notes.</t>
  </si>
  <si>
    <t>OPEB
 Note or RSI</t>
  </si>
  <si>
    <t>Notes or formulas</t>
  </si>
  <si>
    <t>OPEB
RSI</t>
  </si>
  <si>
    <t>LEO
RSI</t>
  </si>
  <si>
    <t>Debt Issued within next 12 months</t>
  </si>
  <si>
    <t/>
  </si>
  <si>
    <t>LEOSSA – What is the plan’s fiduciary net position as a percentage of the total pension liability?  Please enter as percentage value; for example, 83.5% should be entered as 83.5.  If assets have not been set aside in a trust, please enter 0.0</t>
  </si>
  <si>
    <t>FS., OPEB  note or RSI</t>
  </si>
  <si>
    <t>FS., Pension note or RSI</t>
  </si>
  <si>
    <t>Notes to the Financial Statements - Pension Note</t>
  </si>
  <si>
    <t>FS., OPEB note or RSI</t>
  </si>
  <si>
    <t>Does the County collect real estate property taxes on your behalf? Select "1" for "yes and "2" for "No"</t>
  </si>
  <si>
    <t>County collects real estate property on your behalf</t>
  </si>
  <si>
    <t>Net Pension Liability</t>
  </si>
  <si>
    <t>Determination of Fiscal Health</t>
  </si>
  <si>
    <t>Fund Balance, Unassigned</t>
  </si>
  <si>
    <t>Debt Service Fund</t>
  </si>
  <si>
    <t>Water Sewer Net Position Statement</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</si>
  <si>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</si>
  <si>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</si>
  <si>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</si>
  <si>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</si>
  <si>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</si>
  <si>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</si>
  <si>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</si>
  <si>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</si>
  <si>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</si>
  <si>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</si>
  <si>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</si>
  <si>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</si>
  <si>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</si>
  <si>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</si>
  <si>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</si>
  <si>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</si>
  <si>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</si>
  <si>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</si>
  <si>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</si>
  <si>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</si>
  <si>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</si>
  <si>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Acct #</t>
  </si>
  <si>
    <t>Fund balance, Assigned (total of all assigned components)</t>
  </si>
  <si>
    <t>Amount of the General Fund Balance appropriated in next year's budget. As reported on the General Fund Balance Sheet.</t>
  </si>
  <si>
    <t>Unit Data From Audit Worksheet</t>
  </si>
  <si>
    <t>Durham</t>
  </si>
  <si>
    <t>Gaston</t>
  </si>
  <si>
    <t>Henderson</t>
  </si>
  <si>
    <t>Macon</t>
  </si>
  <si>
    <t>Rockingham</t>
  </si>
  <si>
    <t>Chapel Hill</t>
  </si>
  <si>
    <t>Charlotte</t>
  </si>
  <si>
    <t>Greensboro</t>
  </si>
  <si>
    <t>Greenville</t>
  </si>
  <si>
    <t>High Point</t>
  </si>
  <si>
    <t>Wake Forest</t>
  </si>
  <si>
    <t>Wilmington</t>
  </si>
  <si>
    <t>Winston-Salem</t>
  </si>
  <si>
    <t>MANDATORY</t>
  </si>
  <si>
    <t>All Fields Must Be Completed</t>
  </si>
  <si>
    <t>Title of Official</t>
  </si>
  <si>
    <t>Date                        (Enter as "MM/DD/YYYY")</t>
  </si>
  <si>
    <t>Telephone number</t>
  </si>
  <si>
    <t>E-mail address</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</si>
  <si>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</si>
  <si>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</si>
  <si>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</si>
  <si>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</si>
  <si>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</si>
  <si>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</si>
  <si>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</si>
  <si>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WS-Total Current Assets as presented on the Statement of Net Position</t>
  </si>
  <si>
    <t>Units that have a Tourism Development Authority reported in their audit report</t>
  </si>
  <si>
    <t>Total OPEB benefits - total OPEB liability
If you do not provide benefit, please enter 0</t>
  </si>
  <si>
    <t>Total OPEB benefits- OPEB plan fiduciary net position
If no fiduciary net position, enter 0</t>
  </si>
  <si>
    <t xml:space="preserve">Total Current assets as listed on the Electric Net Position Statement.  
</t>
  </si>
  <si>
    <t>OPEB-Plan's fiduciary net position as a % of total OPEB liability</t>
  </si>
  <si>
    <t>Do you use prepared food/occupancy tax revenue stream to support debt.  Yes =1 No=2</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</si>
  <si>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</si>
  <si>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</si>
  <si>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</si>
  <si>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Please enter any current liabilities that are payable from restricted assets and included in account 626 above</t>
  </si>
  <si>
    <t xml:space="preserve"> Statement of Cash Flows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</si>
  <si>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</si>
  <si>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</si>
  <si>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</si>
  <si>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</si>
  <si>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</si>
  <si>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</si>
  <si>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</si>
  <si>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</si>
  <si>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Indian Beach</t>
  </si>
  <si>
    <t>Jackson</t>
  </si>
  <si>
    <t>Kingstown</t>
  </si>
  <si>
    <t>Love Valley</t>
  </si>
  <si>
    <t>Lucama</t>
  </si>
  <si>
    <t>Lumberton</t>
  </si>
  <si>
    <t>Macclesfield</t>
  </si>
  <si>
    <t>Magnolia</t>
  </si>
  <si>
    <t>Maysville</t>
  </si>
  <si>
    <t>Dashboard; Determination of Fiscal Health</t>
  </si>
  <si>
    <t>WS-Any current assets that are restricted (Cash, Accounts Rec., etc..) and included in account 654 above</t>
  </si>
  <si>
    <t>Electric-Any current assets that are restricted (Cash, Accounts Rec., etc..) and included in account 657 above</t>
  </si>
  <si>
    <t>WS-Any current assets that are restricted (Cash, Accounts Rec., etc..)</t>
  </si>
  <si>
    <t>LEO - plan's fiduciary net position as a % of total pension liability</t>
  </si>
  <si>
    <t>Single Audit Only - Type of compliance report(s) issued:  #1- all unmodified; #2- at least one other (qualified, adverse)</t>
  </si>
  <si>
    <t>Single Audit Only - Coronavirus Relief Fund expenditures (21.019)</t>
  </si>
  <si>
    <t>The below information must be completed 
in order to process your audit report.</t>
  </si>
  <si>
    <t>Net OPEB Liability RHBF</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</si>
  <si>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</si>
  <si>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</si>
  <si>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</si>
  <si>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</si>
  <si>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</si>
  <si>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</si>
  <si>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</si>
  <si>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</si>
  <si>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</si>
  <si>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</si>
  <si>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N/A</t>
  </si>
  <si>
    <t>Is the Independent Auditor's Report Opinion Unmodified?</t>
  </si>
  <si>
    <t>Form completed by:</t>
  </si>
  <si>
    <t>Title:</t>
  </si>
  <si>
    <t>Version:</t>
  </si>
  <si>
    <t>Date:</t>
  </si>
  <si>
    <t>Is the Independent Auditor's Report Opinion Unmodified</t>
  </si>
  <si>
    <t>Is there a finding for lack of segregation of duties at this unit</t>
  </si>
  <si>
    <t>Is there a finding for lack of technical skills, knowledge and experience (SKE) at this unit</t>
  </si>
  <si>
    <t>Aberdeen</t>
  </si>
  <si>
    <t>Andrews</t>
  </si>
  <si>
    <t>Anson County</t>
  </si>
  <si>
    <t>Askewville</t>
  </si>
  <si>
    <t>Badin</t>
  </si>
  <si>
    <t>Bath</t>
  </si>
  <si>
    <t>Belhaven</t>
  </si>
  <si>
    <t>Belville</t>
  </si>
  <si>
    <t>Bertie County</t>
  </si>
  <si>
    <t>Bethel</t>
  </si>
  <si>
    <t>Black Creek</t>
  </si>
  <si>
    <t>Boardman</t>
  </si>
  <si>
    <t>Bolton</t>
  </si>
  <si>
    <t>Brevard</t>
  </si>
  <si>
    <t>Castalia</t>
  </si>
  <si>
    <t>Cerro Gordo</t>
  </si>
  <si>
    <t>Chimney Rock</t>
  </si>
  <si>
    <t>Colerain</t>
  </si>
  <si>
    <t>Columbia</t>
  </si>
  <si>
    <t>Dobbins Heights</t>
  </si>
  <si>
    <t>Dover</t>
  </si>
  <si>
    <t>Earl</t>
  </si>
  <si>
    <t>East Laurinburg</t>
  </si>
  <si>
    <t>East Spencer</t>
  </si>
  <si>
    <t>Edgecombe County</t>
  </si>
  <si>
    <t>Ellerbe</t>
  </si>
  <si>
    <t>Elm City</t>
  </si>
  <si>
    <t>Enfield</t>
  </si>
  <si>
    <t>Everetts</t>
  </si>
  <si>
    <t>Fair Bluff</t>
  </si>
  <si>
    <t>Fairmont</t>
  </si>
  <si>
    <t>Fontana Dam</t>
  </si>
  <si>
    <t>Four Oaks</t>
  </si>
  <si>
    <t>Franklinville</t>
  </si>
  <si>
    <t>Fremont</t>
  </si>
  <si>
    <t>Glen Alpine</t>
  </si>
  <si>
    <t>Goldsboro</t>
  </si>
  <si>
    <t>Greenevers</t>
  </si>
  <si>
    <t>Grover</t>
  </si>
  <si>
    <t>Halifax</t>
  </si>
  <si>
    <t>Hamilton</t>
  </si>
  <si>
    <t>Hamlet</t>
  </si>
  <si>
    <t>Hoffman</t>
  </si>
  <si>
    <t>Holly Ridge</t>
  </si>
  <si>
    <t>Hookerton</t>
  </si>
  <si>
    <t>Hyde County</t>
  </si>
  <si>
    <t>Milton</t>
  </si>
  <si>
    <t>Montreat</t>
  </si>
  <si>
    <t>Mount Olive</t>
  </si>
  <si>
    <t>Navassa</t>
  </si>
  <si>
    <t>Newport</t>
  </si>
  <si>
    <t>Newton Grove</t>
  </si>
  <si>
    <t>Norlina</t>
  </si>
  <si>
    <t>Norman</t>
  </si>
  <si>
    <t>Northampton County</t>
  </si>
  <si>
    <t>Norwood</t>
  </si>
  <si>
    <t>Oak City</t>
  </si>
  <si>
    <t>Pender County</t>
  </si>
  <si>
    <t>Pikeville</t>
  </si>
  <si>
    <t>Pilot Mountain</t>
  </si>
  <si>
    <t>Polkville</t>
  </si>
  <si>
    <t>Pollocksville</t>
  </si>
  <si>
    <t>Princeville</t>
  </si>
  <si>
    <t>Proctorville</t>
  </si>
  <si>
    <t>Ramseur</t>
  </si>
  <si>
    <t>Ranlo</t>
  </si>
  <si>
    <t>Red Springs</t>
  </si>
  <si>
    <t>Rich Square</t>
  </si>
  <si>
    <t>Robbins</t>
  </si>
  <si>
    <t>Robersonville</t>
  </si>
  <si>
    <t>Ronda</t>
  </si>
  <si>
    <t>Scotland County</t>
  </si>
  <si>
    <t>Scotland Neck</t>
  </si>
  <si>
    <t>Sedalia</t>
  </si>
  <si>
    <t>Sharpsburg</t>
  </si>
  <si>
    <t>Snow Hill</t>
  </si>
  <si>
    <t>Spring Lake</t>
  </si>
  <si>
    <t>Taylorsville</t>
  </si>
  <si>
    <t>Taylortown</t>
  </si>
  <si>
    <t>Tryon</t>
  </si>
  <si>
    <t>Tyrrell County</t>
  </si>
  <si>
    <t>Vanceboro</t>
  </si>
  <si>
    <t>Vass</t>
  </si>
  <si>
    <t>Whitakers</t>
  </si>
  <si>
    <t>Wilkesboro</t>
  </si>
  <si>
    <t>No Revaluation with next two years</t>
  </si>
  <si>
    <t>Unsure</t>
  </si>
  <si>
    <t>Statutory Calculation</t>
  </si>
  <si>
    <t>Actual Financial Reporting (per Audit Report)</t>
  </si>
  <si>
    <t>3% of Gross Capital Assets for the Prior Yr.</t>
  </si>
  <si>
    <t>Gross Capital Assets-Prior Year</t>
  </si>
  <si>
    <t>Results</t>
  </si>
  <si>
    <t>5% of Gross Annual Revenue of the Prior Yr.</t>
  </si>
  <si>
    <t xml:space="preserve">Amount Transferred per Audit </t>
  </si>
  <si>
    <t>Payment in Lieu of Taxes</t>
  </si>
  <si>
    <t>Actual Pilot per Audit</t>
  </si>
  <si>
    <t xml:space="preserve">Calculated Pilot </t>
  </si>
  <si>
    <t xml:space="preserve">PILOT </t>
  </si>
  <si>
    <t>Current property tax rate</t>
  </si>
  <si>
    <t>Compliance</t>
  </si>
  <si>
    <t>Allowable Transfer per statute</t>
  </si>
  <si>
    <t>Is Unit following G.S. 159B-39?</t>
  </si>
  <si>
    <t>Payment in Lieu of Taxes Error:</t>
  </si>
  <si>
    <t>Notes:</t>
  </si>
  <si>
    <t xml:space="preserve">Comments: </t>
  </si>
  <si>
    <t>Amount of transfer out to the General Fund that is for Payment in Lieu of Taxes (PILOT)</t>
  </si>
  <si>
    <t>Decrease</t>
  </si>
  <si>
    <t>No Change</t>
  </si>
  <si>
    <t>Performance Indicator</t>
  </si>
  <si>
    <t>Unit Number:</t>
  </si>
  <si>
    <t>Equal or greater than 1</t>
  </si>
  <si>
    <t>Less than 3%</t>
  </si>
  <si>
    <t>Unit Data from Audit Worksheet tab : (654-655-579-510)/(633-634-635-636-637-638-578)</t>
  </si>
  <si>
    <t>Date the Auditor presented or plans to present the Audit to the Governing Board</t>
  </si>
  <si>
    <t>Of the transfers-in above in acct # 352, list amount of transfers-in that were used to support Water Sewer operations  (exclude capital transfers)</t>
  </si>
  <si>
    <t>Unit Data from Audit worksheet tab : (984-985)/985</t>
  </si>
  <si>
    <t>Unit Data from Audit worksheet tab :  CCH acct # 991</t>
  </si>
  <si>
    <t>No over-expenditures</t>
  </si>
  <si>
    <t>hidden data</t>
  </si>
  <si>
    <t>Unit Data from Audit worksheet tab : (657-658-511-581)/(639-640-641-642-643-644-580)</t>
  </si>
  <si>
    <t>TD Auditor</t>
  </si>
  <si>
    <t>Ad valorem tax collected (including motor vehicle and prior years) reported on budget actual statement</t>
  </si>
  <si>
    <t>Ad valorem tax budgeted (including motor vehicle and prior years) reported on budget actual statement</t>
  </si>
  <si>
    <t>Does Unit expect to issue debt next fiscal year</t>
  </si>
  <si>
    <t>Number of significant deficiency findings (other than in Questions 15-18 )</t>
  </si>
  <si>
    <t>Number of material weaknesses findings (other than in Questions 15-18)</t>
  </si>
  <si>
    <t>Auditor indicated that there was at least one Performance indicator of Concern on the PI tab</t>
  </si>
  <si>
    <t>Tax rate for year audited</t>
  </si>
  <si>
    <t>Unit Name:</t>
  </si>
  <si>
    <t>D</t>
  </si>
  <si>
    <t>E</t>
  </si>
  <si>
    <t>F</t>
  </si>
  <si>
    <t>G</t>
  </si>
  <si>
    <t>H</t>
  </si>
  <si>
    <t>PROPERTY TAX RATES AND REVALUATION SCHEDULES FOR NORTH CAROLINA COUNTIES</t>
  </si>
  <si>
    <t>(All rates per $100 valuation*)</t>
  </si>
  <si>
    <t>Year</t>
  </si>
  <si>
    <t>Next</t>
  </si>
  <si>
    <t>Tax</t>
  </si>
  <si>
    <t>of latest</t>
  </si>
  <si>
    <t>scheduled</t>
  </si>
  <si>
    <t>Counties</t>
  </si>
  <si>
    <t>Rate</t>
  </si>
  <si>
    <t>revaluation</t>
  </si>
  <si>
    <t>accounts set-up in 2020 that are equivalent to account 44</t>
  </si>
  <si>
    <t>=654-655-579)</t>
  </si>
  <si>
    <t>accounts set-up in 2020 that are equivalent to account 45</t>
  </si>
  <si>
    <t>=(633-634-635-636-637-638-578)</t>
  </si>
  <si>
    <t>accounts set-up in 2020 that are equivalent to account 47</t>
  </si>
  <si>
    <t>accounts set-up in 2020 that are equivalent to account 48</t>
  </si>
  <si>
    <t>=(657-658-581)</t>
  </si>
  <si>
    <t>=(639-640-641-642-643-644-580)</t>
  </si>
  <si>
    <t>accounts set-up in 2020 that are equivalent to account 336</t>
  </si>
  <si>
    <t>=626-627-628-629-630-631-632</t>
  </si>
  <si>
    <t>Cell L219 contains formula to sum accounts listed in cell E219</t>
  </si>
  <si>
    <t>Cell L220 contains formula to sum accounts listed in cell E220</t>
  </si>
  <si>
    <t xml:space="preserve">Gov - Select Current Liabilities </t>
  </si>
  <si>
    <t xml:space="preserve">WS - Total Current Assets </t>
  </si>
  <si>
    <t xml:space="preserve">WS - Select Current Liabilities </t>
  </si>
  <si>
    <t xml:space="preserve">Electric - Total Current Assets </t>
  </si>
  <si>
    <t>Total Current assets.  
Include amounts of prepaids and inventory.  
Exclude any current assets identified as restricted.
Exclude "Advance To:-portion of interfund loans with repayment longer than 12 months</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</si>
  <si>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</si>
  <si>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Cell L224 contains link that has to be relinked to prior year  "YYYY Data(H)" tab</t>
  </si>
  <si>
    <t>Do you operate a landfill that will be closing  or have a significant portion closing within the next 5 years?  Select "1" for Yes and "2" for No</t>
  </si>
  <si>
    <t xml:space="preserve">Estimated cost not yet budgeted of any mandate placed on unit by DEQ, a court order or some similar requirement (that has no realistic appeal path). </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</si>
  <si>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</si>
  <si>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Cell L221 contains formula to sum accounts listed in cell E221</t>
  </si>
  <si>
    <t>Cell L222 contains formula to sum accounts listed in cell E222</t>
  </si>
  <si>
    <t>Cell L223 contains formula to sum accounts listed in cell E223</t>
  </si>
  <si>
    <t>Cell L225 contains link that has to be relinked to prior year  "YYYY Data(H)" tab</t>
  </si>
  <si>
    <t>Cell L226 contains link that has to be relinked to prior year "YYYY Data(H)" tab</t>
  </si>
  <si>
    <t>must be populated  in L column for database upload</t>
  </si>
  <si>
    <t>Must be linked to unit number on Unit Datat from Audit Worksheet tab</t>
  </si>
  <si>
    <t xml:space="preserve"> formula in E column - use for handling date from TD Info Completed by Auditor tab uploading to database</t>
  </si>
  <si>
    <t>TD</t>
  </si>
  <si>
    <t>Did the Unit have debt service payments deferred or restructured in this fiscal year? (does not include refinancings designed to take advantage of lower interest rates)  Select Yes, No, or NA</t>
  </si>
  <si>
    <t>TD-Did unit have their debt service payments restructured in this fiscal year</t>
  </si>
  <si>
    <t>Total Transfers in - all funds (operating and capital)</t>
  </si>
  <si>
    <t>Did the Unit have any of the following occur:
1.  Bond covenants were not met
2.  Debt service payments made late?  Deferred payments authorized by LGC or other state
     agencies should not be counted as late for purposes of this question.</t>
  </si>
  <si>
    <t>TD Info Completed by Auditor : CCH acct # 974</t>
  </si>
  <si>
    <t>Muni</t>
  </si>
  <si>
    <t>Minimum Threshold</t>
  </si>
  <si>
    <r>
      <t>Gross Capital Assets-</t>
    </r>
    <r>
      <rPr>
        <b/>
        <sz val="11"/>
        <rFont val="Calibri"/>
        <family val="2"/>
        <scheme val="minor"/>
      </rPr>
      <t>Prior Year</t>
    </r>
  </si>
  <si>
    <r>
      <t>Gross Annual Revenue-</t>
    </r>
    <r>
      <rPr>
        <b/>
        <sz val="11"/>
        <rFont val="Calibri"/>
        <family val="2"/>
        <scheme val="minor"/>
      </rPr>
      <t>Prior Year</t>
    </r>
  </si>
  <si>
    <r>
      <rPr>
        <u/>
        <sz val="8"/>
        <color indexed="8"/>
        <rFont val="Calibri"/>
        <family val="2"/>
        <scheme val="minor"/>
      </rPr>
      <t>Current liabilities</t>
    </r>
    <r>
      <rPr>
        <sz val="8"/>
        <color indexed="8"/>
        <rFont val="Calibri"/>
        <family val="2"/>
        <scheme val="minor"/>
      </rPr>
      <t xml:space="preserve">
</t>
    </r>
    <r>
      <rPr>
        <b/>
        <sz val="8"/>
        <color indexed="8"/>
        <rFont val="Calibri"/>
        <family val="2"/>
        <scheme val="minor"/>
      </rPr>
      <t>Include:</t>
    </r>
    <r>
      <rPr>
        <sz val="8"/>
        <color indexed="8"/>
        <rFont val="Calibri"/>
        <family val="2"/>
        <scheme val="minor"/>
      </rPr>
      <t xml:space="preserve">   Current liabilities and current portion of long-term debt. 
</t>
    </r>
    <r>
      <rPr>
        <b/>
        <sz val="8"/>
        <color indexed="8"/>
        <rFont val="Calibri"/>
        <family val="2"/>
        <scheme val="minor"/>
      </rPr>
      <t>Exclude</t>
    </r>
    <r>
      <rPr>
        <sz val="8"/>
        <color indexed="8"/>
        <rFont val="Calibri"/>
        <family val="2"/>
        <scheme val="minor"/>
      </rPr>
      <t xml:space="preserve">:   Bond Anticipation Notes
                  Compensated  Absences
                  Pension liabilities
                  Liabilities payable from restricted assets
                  Other post employment liabilities (OPEB)
                  Deferred inflows.
</t>
    </r>
  </si>
  <si>
    <r>
      <rPr>
        <u/>
        <sz val="8"/>
        <color indexed="8"/>
        <rFont val="Calibri"/>
        <family val="2"/>
        <scheme val="minor"/>
      </rPr>
      <t>Total Current assets</t>
    </r>
    <r>
      <rPr>
        <sz val="8"/>
        <color indexed="8"/>
        <rFont val="Calibri"/>
        <family val="2"/>
        <scheme val="minor"/>
      </rPr>
      <t xml:space="preserve">.  
</t>
    </r>
    <r>
      <rPr>
        <b/>
        <sz val="8"/>
        <rFont val="Calibri"/>
        <family val="2"/>
        <scheme val="minor"/>
      </rPr>
      <t>Exclude</t>
    </r>
    <r>
      <rPr>
        <sz val="8"/>
        <rFont val="Calibri"/>
        <family val="2"/>
        <scheme val="minor"/>
      </rPr>
      <t xml:space="preserve"> any current assets identified as restricted.
</t>
    </r>
    <r>
      <rPr>
        <b/>
        <sz val="8"/>
        <color indexed="17"/>
        <rFont val="Calibri"/>
        <family val="2"/>
        <scheme val="minor"/>
      </rPr>
      <t>Exclude "Advance To": portion of interfund loan with repayment longer than 12 months.</t>
    </r>
  </si>
  <si>
    <r>
      <rPr>
        <u/>
        <sz val="8"/>
        <rFont val="Calibri"/>
        <family val="2"/>
        <scheme val="minor"/>
      </rPr>
      <t>Current liabilities</t>
    </r>
    <r>
      <rPr>
        <sz val="8"/>
        <rFont val="Calibri"/>
        <family val="2"/>
        <scheme val="minor"/>
      </rPr>
      <t xml:space="preserve">.  
</t>
    </r>
    <r>
      <rPr>
        <b/>
        <sz val="8"/>
        <rFont val="Calibri"/>
        <family val="2"/>
        <scheme val="minor"/>
      </rPr>
      <t xml:space="preserve">Include:  </t>
    </r>
    <r>
      <rPr>
        <sz val="8"/>
        <rFont val="Calibri"/>
        <family val="2"/>
        <scheme val="minor"/>
      </rPr>
      <t xml:space="preserve"> Current liabilities and current portions of long-term debt
</t>
    </r>
    <r>
      <rPr>
        <b/>
        <sz val="8"/>
        <rFont val="Calibri"/>
        <family val="2"/>
        <scheme val="minor"/>
      </rPr>
      <t xml:space="preserve">Exclude:  </t>
    </r>
    <r>
      <rPr>
        <b/>
        <sz val="8"/>
        <color indexed="17"/>
        <rFont val="Calibri"/>
        <family val="2"/>
        <scheme val="minor"/>
      </rPr>
      <t xml:space="preserve">"Advance From"-portion of interfund loans with repayment longer than 12 months,
                   Bond anticipation notes, </t>
    </r>
    <r>
      <rPr>
        <sz val="8"/>
        <rFont val="Calibri"/>
        <family val="2"/>
        <scheme val="minor"/>
      </rPr>
      <t xml:space="preserve">
                   Compensated absences, 
                   Pension liabilities, 
                   Other post-employment liabilities (OPEB), 
                   Closure/postclosure liabilities, 
                   Payables from restricted assets
                   Deferred inflows.</t>
    </r>
  </si>
  <si>
    <t>Please enter your tax rate for ad valorem in effect for fiscal year audited.  Example 60 cents per 100 would be entered as .60</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</si>
  <si>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</si>
  <si>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t xml:space="preserve">Unit's share of Retirement Health Benefit Fund </t>
    </r>
    <r>
      <rPr>
        <sz val="11"/>
        <color rgb="FFFF0000"/>
        <rFont val="Calibri"/>
        <family val="2"/>
        <scheme val="minor"/>
      </rPr>
      <t>Net</t>
    </r>
    <r>
      <rPr>
        <sz val="11"/>
        <color theme="1"/>
        <rFont val="Calibri"/>
        <family val="2"/>
        <scheme val="minor"/>
      </rPr>
      <t xml:space="preserve"> OPEB Liability ($s)
- unit of government is a participating employer in the </t>
    </r>
    <r>
      <rPr>
        <b/>
        <sz val="11"/>
        <color theme="1"/>
        <rFont val="Calibri"/>
        <family val="2"/>
        <scheme val="minor"/>
      </rPr>
      <t>State's RHBF</t>
    </r>
    <r>
      <rPr>
        <sz val="11"/>
        <color theme="1"/>
        <rFont val="Calibri"/>
        <family val="2"/>
        <scheme val="minor"/>
      </rPr>
      <t xml:space="preserve"> </t>
    </r>
  </si>
  <si>
    <r>
      <rPr>
        <sz val="11"/>
        <color rgb="FF0070C0"/>
        <rFont val="Calibri"/>
        <family val="2"/>
        <scheme val="minor"/>
      </rPr>
      <t xml:space="preserve">Please note - Account 621 - if applicable - </t>
    </r>
    <r>
      <rPr>
        <sz val="11"/>
        <rFont val="Calibri"/>
        <family val="2"/>
        <scheme val="minor"/>
      </rPr>
      <t xml:space="preserve">See RSI Schedule of PROPORTIONATE SHARE OF </t>
    </r>
    <r>
      <rPr>
        <b/>
        <sz val="11"/>
        <rFont val="Calibri"/>
        <family val="2"/>
        <scheme val="minor"/>
      </rPr>
      <t>NET</t>
    </r>
    <r>
      <rPr>
        <sz val="11"/>
        <rFont val="Calibri"/>
        <family val="2"/>
        <scheme val="minor"/>
      </rPr>
      <t xml:space="preserve"> OPEB LIABILITY - RETIREE HEALTH BENEFIT FUND REQUIRED SUPPLEMENTARY INFORMATION</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</si>
  <si>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</si>
  <si>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</si>
  <si>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</si>
  <si>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</si>
  <si>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</si>
  <si>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 xml:space="preserve"> 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cash held by a third party. </t>
    </r>
  </si>
  <si>
    <r>
      <t xml:space="preserve"> </t>
    </r>
    <r>
      <rPr>
        <u/>
        <sz val="11"/>
        <color indexed="8"/>
        <rFont val="Calibri"/>
        <family val="2"/>
        <scheme val="minor"/>
      </rPr>
      <t>All restricted Cash and investments</t>
    </r>
  </si>
  <si>
    <r>
      <t xml:space="preserve">Record any </t>
    </r>
    <r>
      <rPr>
        <b/>
        <u/>
        <sz val="11"/>
        <color indexed="8"/>
        <rFont val="Calibri"/>
        <family val="2"/>
        <scheme val="minor"/>
      </rPr>
      <t>positive</t>
    </r>
    <r>
      <rPr>
        <u/>
        <sz val="11"/>
        <color indexed="8"/>
        <rFont val="Calibri"/>
        <family val="2"/>
        <scheme val="minor"/>
      </rPr>
      <t xml:space="preserve"> Internal balances on the net position statements that appear in the Asset Section of the Net Position Statement</t>
    </r>
  </si>
  <si>
    <r>
      <t>Record any</t>
    </r>
    <r>
      <rPr>
        <b/>
        <u/>
        <sz val="11"/>
        <color indexed="8"/>
        <rFont val="Calibri"/>
        <family val="2"/>
        <scheme val="minor"/>
      </rPr>
      <t xml:space="preserve"> negative</t>
    </r>
    <r>
      <rPr>
        <u/>
        <sz val="11"/>
        <color indexed="8"/>
        <rFont val="Calibri"/>
        <family val="2"/>
        <scheme val="minor"/>
      </rPr>
      <t xml:space="preserve"> Internal balances on the net position statements that appear in the Asset Section of the Net Position Statement.
</t>
    </r>
    <r>
      <rPr>
        <b/>
        <sz val="11"/>
        <color indexed="60"/>
        <rFont val="Calibri"/>
        <family val="2"/>
        <scheme val="minor"/>
      </rPr>
      <t xml:space="preserve">
Enter as a positive</t>
    </r>
  </si>
  <si>
    <r>
      <rPr>
        <u/>
        <sz val="11"/>
        <color indexed="8"/>
        <rFont val="Calibri"/>
        <family val="2"/>
        <scheme val="minor"/>
      </rPr>
      <t xml:space="preserve">Total Current liabilities </t>
    </r>
    <r>
      <rPr>
        <u/>
        <sz val="11"/>
        <color rgb="FFFF0000"/>
        <rFont val="Calibri"/>
        <family val="2"/>
        <scheme val="minor"/>
      </rPr>
      <t>(as reported on Statement of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t>
    </r>
  </si>
  <si>
    <r>
      <t xml:space="preserve">Please enter any bond anticipation notes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</si>
  <si>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</si>
  <si>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</si>
  <si>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OPEB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</si>
  <si>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</si>
  <si>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rPr>
        <u/>
        <sz val="11"/>
        <color indexed="8"/>
        <rFont val="Calibri"/>
        <family val="2"/>
        <scheme val="minor"/>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scheme val="minor"/>
      </rPr>
      <t xml:space="preserve">Exclude - </t>
    </r>
    <r>
      <rPr>
        <sz val="11"/>
        <color theme="1"/>
        <rFont val="Calibri"/>
        <family val="2"/>
        <scheme val="minor"/>
      </rPr>
      <t>unearned revenues that are listed in deferred inflows.</t>
    </r>
  </si>
  <si>
    <r>
      <t>Total Net Position, Unrestricted -</t>
    </r>
    <r>
      <rPr>
        <u/>
        <sz val="11"/>
        <color indexed="60"/>
        <rFont val="Calibri"/>
        <family val="2"/>
        <scheme val="minor"/>
      </rPr>
      <t xml:space="preserve"> enter negative unrestricted net position as a negative)</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</si>
  <si>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</si>
  <si>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General revenues
</t>
    </r>
    <r>
      <rPr>
        <b/>
        <u/>
        <sz val="11"/>
        <color indexed="8"/>
        <rFont val="Calibri"/>
        <family val="2"/>
        <scheme val="minor"/>
      </rPr>
      <t>E</t>
    </r>
    <r>
      <rPr>
        <b/>
        <sz val="11"/>
        <color indexed="8"/>
        <rFont val="Calibri"/>
        <family val="2"/>
        <scheme val="minor"/>
      </rPr>
      <t>xclude:</t>
    </r>
    <r>
      <rPr>
        <sz val="11"/>
        <color indexed="8"/>
        <rFont val="Calibri"/>
        <family val="2"/>
        <scheme val="minor"/>
      </rPr>
      <t xml:space="preserve"> transfers-in or out,
                 special items,
                 extraordinary amounts</t>
    </r>
  </si>
  <si>
    <r>
      <t>Total Transfers in</t>
    </r>
    <r>
      <rPr>
        <sz val="11"/>
        <color theme="1"/>
        <rFont val="Calibri"/>
        <family val="2"/>
        <scheme val="minor"/>
      </rPr>
      <t xml:space="preserve">    </t>
    </r>
    <r>
      <rPr>
        <sz val="11"/>
        <color indexed="60"/>
        <rFont val="Calibri"/>
        <family val="2"/>
        <scheme val="minor"/>
      </rPr>
      <t>(Preference is that transfers-in  are not netted against transfers-out)</t>
    </r>
  </si>
  <si>
    <r>
      <t>Total Transfers out</t>
    </r>
    <r>
      <rPr>
        <sz val="11"/>
        <color theme="1"/>
        <rFont val="Calibri"/>
        <family val="2"/>
        <scheme val="minor"/>
      </rPr>
      <t xml:space="preserve">    </t>
    </r>
    <r>
      <rPr>
        <sz val="11"/>
        <color indexed="60"/>
        <rFont val="Calibri"/>
        <family val="2"/>
        <scheme val="minor"/>
      </rPr>
      <t>(Preference is that transfers-in  are not netted against transfers-out)</t>
    </r>
  </si>
  <si>
    <r>
      <rPr>
        <u/>
        <sz val="11"/>
        <color indexed="8"/>
        <rFont val="Calibri"/>
        <family val="2"/>
        <scheme val="minor"/>
      </rPr>
      <t>Total Special and Extraordinary items</t>
    </r>
    <r>
      <rPr>
        <sz val="11"/>
        <color theme="1"/>
        <rFont val="Calibri"/>
        <family val="2"/>
        <scheme val="minor"/>
      </rPr>
      <t xml:space="preserve">.   </t>
    </r>
    <r>
      <rPr>
        <sz val="11"/>
        <color indexed="60"/>
        <rFont val="Calibri"/>
        <family val="2"/>
        <scheme val="minor"/>
      </rPr>
      <t xml:space="preserve"> (Amounts that increase net position are recorded as positive and amounts that decrease net position are recorded as negative)</t>
    </r>
  </si>
  <si>
    <r>
      <rPr>
        <u/>
        <sz val="11"/>
        <color indexed="8"/>
        <rFont val="Calibri"/>
        <family val="2"/>
        <scheme val="minor"/>
      </rPr>
      <t>Total 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</si>
  <si>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Any adjustment to beginning net position including rounding, prior period adjustments and restatements</t>
    </r>
    <r>
      <rPr>
        <sz val="11"/>
        <color theme="1"/>
        <rFont val="Calibri"/>
        <family val="2"/>
        <scheme val="minor"/>
      </rPr>
      <t xml:space="preserve">.  </t>
    </r>
    <r>
      <rPr>
        <sz val="11"/>
        <color indexed="60"/>
        <rFont val="Calibri"/>
        <family val="2"/>
        <scheme val="minor"/>
      </rPr>
      <t xml:space="preserve"> (Increases to net position are positive; decreases to net position are negative)</t>
    </r>
  </si>
  <si>
    <r>
      <t xml:space="preserve">Amount of interest income and investment income recognized as revenue in your audit report for all governmental and proprietary funds.  </t>
    </r>
    <r>
      <rPr>
        <sz val="11"/>
        <color indexed="60"/>
        <rFont val="Calibri"/>
        <family val="2"/>
        <scheme val="minor"/>
      </rPr>
      <t xml:space="preserve">In the past we have asked you to adjust this number, but this year we would like the number as it appears on your Statement of Activities </t>
    </r>
    <r>
      <rPr>
        <u/>
        <sz val="11"/>
        <color indexed="60"/>
        <rFont val="Calibri"/>
        <family val="2"/>
        <scheme val="minor"/>
      </rPr>
      <t>without</t>
    </r>
    <r>
      <rPr>
        <sz val="11"/>
        <color indexed="60"/>
        <rFont val="Calibri"/>
        <family val="2"/>
        <scheme val="minor"/>
      </rPr>
      <t xml:space="preserve"> adjustment.</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</si>
  <si>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</si>
  <si>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t xml:space="preserve">All unrestricted cash and investments.  
</t>
    </r>
    <r>
      <rPr>
        <b/>
        <sz val="11"/>
        <color indexed="8"/>
        <rFont val="Calibri"/>
        <family val="2"/>
        <scheme val="minor"/>
      </rPr>
      <t>Exclude</t>
    </r>
    <r>
      <rPr>
        <sz val="11"/>
        <color indexed="8"/>
        <rFont val="Calibri"/>
        <family val="2"/>
        <scheme val="minor"/>
      </rPr>
      <t xml:space="preserve"> restricted cash and cash held by a third party. </t>
    </r>
  </si>
  <si>
    <r>
      <rPr>
        <u/>
        <sz val="11"/>
        <color indexed="8"/>
        <rFont val="Calibri"/>
        <family val="2"/>
        <scheme val="minor"/>
      </rPr>
      <t>Total Liabilities payable from restricted assets</t>
    </r>
    <r>
      <rPr>
        <sz val="11"/>
        <color theme="1"/>
        <rFont val="Calibri"/>
        <family val="2"/>
        <scheme val="minor"/>
      </rPr>
      <t xml:space="preserve"> </t>
    </r>
    <r>
      <rPr>
        <sz val="11"/>
        <color indexed="60"/>
        <rFont val="Calibri"/>
        <family val="2"/>
        <scheme val="minor"/>
      </rPr>
      <t>(only complete if this is listed in your financial statements for the general fund and the auditor has listed the cash to be used to pay the liabilities as restricted)</t>
    </r>
  </si>
  <si>
    <r>
      <rPr>
        <u/>
        <sz val="11"/>
        <color indexed="8"/>
        <rFont val="Calibri"/>
        <family val="2"/>
        <scheme val="minor"/>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scheme val="minor"/>
      </rPr>
      <t>Exclude</t>
    </r>
    <r>
      <rPr>
        <sz val="11"/>
        <color indexed="60"/>
        <rFont val="Calibri"/>
        <family val="2"/>
        <scheme val="minor"/>
      </rPr>
      <t xml:space="preserve"> </t>
    </r>
    <r>
      <rPr>
        <sz val="11"/>
        <color indexed="8"/>
        <rFont val="Calibri"/>
        <family val="2"/>
        <scheme val="minor"/>
      </rPr>
      <t xml:space="preserve">all deferred inflows. 
</t>
    </r>
    <r>
      <rPr>
        <b/>
        <sz val="11"/>
        <color indexed="8"/>
        <rFont val="Calibri"/>
        <family val="2"/>
        <scheme val="minor"/>
      </rPr>
      <t>Include</t>
    </r>
    <r>
      <rPr>
        <sz val="11"/>
        <color indexed="8"/>
        <rFont val="Calibri"/>
        <family val="2"/>
        <scheme val="minor"/>
      </rPr>
      <t xml:space="preserve"> advance from(long-term portion of interfund loans)</t>
    </r>
  </si>
  <si>
    <r>
      <rPr>
        <u/>
        <sz val="11"/>
        <color indexed="8"/>
        <rFont val="Calibri"/>
        <family val="2"/>
        <scheme val="minor"/>
      </rPr>
      <t>General fund deferred inflows derived from cash receipts</t>
    </r>
    <r>
      <rPr>
        <sz val="11"/>
        <color indexed="8"/>
        <rFont val="Calibri"/>
        <family val="2"/>
        <scheme val="minor"/>
      </rPr>
      <t xml:space="preserve">. 
</t>
    </r>
    <r>
      <rPr>
        <sz val="11"/>
        <color indexed="60"/>
        <rFont val="Calibri"/>
        <family val="2"/>
        <scheme val="minor"/>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</si>
  <si>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scheme val="minor"/>
      </rPr>
      <t>Total Deferred inflows not derived from cash receipts.</t>
    </r>
    <r>
      <rPr>
        <sz val="11"/>
        <color indexed="8"/>
        <rFont val="Calibri"/>
        <family val="2"/>
        <scheme val="minor"/>
      </rPr>
      <t xml:space="preserve">  </t>
    </r>
    <r>
      <rPr>
        <sz val="11"/>
        <color indexed="60"/>
        <rFont val="Calibri"/>
        <family val="2"/>
        <scheme val="minor"/>
      </rPr>
      <t>Deferred inflows on the face of the statements can include cash and non-cash.  You may have to refer to the note disclosure where the cash and non-cash is broken out.</t>
    </r>
  </si>
  <si>
    <r>
      <rPr>
        <u/>
        <sz val="11"/>
        <color indexed="8"/>
        <rFont val="Calibri"/>
        <family val="2"/>
        <scheme val="minor"/>
      </rPr>
      <t>Fund balance, Restricted for Streets</t>
    </r>
    <r>
      <rPr>
        <sz val="11"/>
        <color theme="1"/>
        <rFont val="Calibri"/>
        <family val="2"/>
        <scheme val="minor"/>
      </rPr>
      <t xml:space="preserve"> (unspent Powell Bill balance).  </t>
    </r>
    <r>
      <rPr>
        <sz val="11"/>
        <color indexed="60"/>
        <rFont val="Calibri"/>
        <family val="2"/>
        <scheme val="minor"/>
      </rPr>
      <t>You may have to refer to the note disclosure where restricted fund balance is described.</t>
    </r>
  </si>
  <si>
    <r>
      <rPr>
        <u/>
        <sz val="11"/>
        <color indexed="8"/>
        <rFont val="Calibri"/>
        <family val="2"/>
        <scheme val="minor"/>
      </rPr>
      <t>Total Fund balance</t>
    </r>
    <r>
      <rPr>
        <sz val="11"/>
        <color theme="1"/>
        <rFont val="Calibri"/>
        <family val="2"/>
        <scheme val="minor"/>
      </rPr>
      <t xml:space="preserve"> </t>
    </r>
    <r>
      <rPr>
        <sz val="11"/>
        <color indexed="60"/>
        <rFont val="Calibri"/>
        <family val="2"/>
        <scheme val="minor"/>
      </rPr>
      <t>(enter fund deficits as negative)</t>
    </r>
  </si>
  <si>
    <r>
      <rPr>
        <b/>
        <sz val="11"/>
        <color indexed="8"/>
        <rFont val="Calibri"/>
        <family val="2"/>
        <scheme val="minor"/>
      </rPr>
      <t>General Fund</t>
    </r>
    <r>
      <rPr>
        <sz val="11"/>
        <color indexed="8"/>
        <rFont val="Calibri"/>
        <family val="2"/>
        <scheme val="minor"/>
      </rPr>
      <t xml:space="preserve"> - Budget Actual Statement</t>
    </r>
  </si>
  <si>
    <r>
      <rPr>
        <u/>
        <sz val="11"/>
        <color indexed="8"/>
        <rFont val="Calibri"/>
        <family val="2"/>
        <scheme val="minor"/>
      </rPr>
      <t>Total Intergovernmental revenue</t>
    </r>
    <r>
      <rPr>
        <sz val="11"/>
        <color theme="1"/>
        <rFont val="Calibri"/>
        <family val="2"/>
        <scheme val="minor"/>
      </rPr>
      <t xml:space="preserve"> 
</t>
    </r>
    <r>
      <rPr>
        <b/>
        <sz val="11"/>
        <color indexed="8"/>
        <rFont val="Calibri"/>
        <family val="2"/>
        <scheme val="minor"/>
      </rPr>
      <t>Include</t>
    </r>
    <r>
      <rPr>
        <sz val="11"/>
        <color indexed="8"/>
        <rFont val="Calibri"/>
        <family val="2"/>
        <scheme val="minor"/>
      </rPr>
      <t xml:space="preserve"> restricted and unrestricted revenues</t>
    </r>
  </si>
  <si>
    <r>
      <rPr>
        <u/>
        <sz val="11"/>
        <color indexed="8"/>
        <rFont val="Calibri"/>
        <family val="2"/>
        <scheme val="minor"/>
      </rPr>
      <t>Debt service expenditures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principal, interest paid, and bond/debt issuance costs on long-term debt</t>
    </r>
  </si>
  <si>
    <r>
      <rPr>
        <u/>
        <sz val="11"/>
        <rFont val="Calibri"/>
        <family val="2"/>
        <scheme val="minor"/>
      </rPr>
      <t>Total expenditures</t>
    </r>
    <r>
      <rPr>
        <sz val="11"/>
        <rFont val="Calibri"/>
        <family val="2"/>
        <scheme val="minor"/>
      </rPr>
      <t xml:space="preserve">  
</t>
    </r>
    <r>
      <rPr>
        <b/>
        <sz val="11"/>
        <rFont val="Calibri"/>
        <family val="2"/>
        <scheme val="minor"/>
      </rPr>
      <t>Exclude</t>
    </r>
    <r>
      <rPr>
        <sz val="11"/>
        <rFont val="Calibri"/>
        <family val="2"/>
        <scheme val="minor"/>
      </rPr>
      <t xml:space="preserve"> expenditures in the "other financing sources (uses)" section.
</t>
    </r>
  </si>
  <si>
    <r>
      <t xml:space="preserve">Total Transfers in   </t>
    </r>
    <r>
      <rPr>
        <sz val="11"/>
        <color indexed="60"/>
        <rFont val="Calibri"/>
        <family val="2"/>
        <scheme val="minor"/>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</si>
  <si>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scheme val="minor"/>
      </rPr>
      <t>(Preference is that transfers-in  are not netted against transfers-out)</t>
    </r>
  </si>
  <si>
    <r>
      <rPr>
        <u/>
        <sz val="11"/>
        <rFont val="Calibri"/>
        <family val="2"/>
        <scheme val="minor"/>
      </rPr>
      <t>Total Proceeds from all long-term debt issuances</t>
    </r>
    <r>
      <rPr>
        <sz val="11"/>
        <rFont val="Calibri"/>
        <family val="2"/>
        <scheme val="minor"/>
      </rPr>
      <t xml:space="preserve"> 
</t>
    </r>
    <r>
      <rPr>
        <b/>
        <sz val="11"/>
        <rFont val="Calibri"/>
        <family val="2"/>
        <scheme val="minor"/>
      </rPr>
      <t xml:space="preserve">Exclude </t>
    </r>
    <r>
      <rPr>
        <sz val="11"/>
        <rFont val="Calibri"/>
        <family val="2"/>
        <scheme val="minor"/>
      </rPr>
      <t>proceeds from refundings</t>
    </r>
  </si>
  <si>
    <r>
      <rPr>
        <u/>
        <sz val="11"/>
        <color indexed="8"/>
        <rFont val="Calibri"/>
        <family val="2"/>
        <scheme val="minor"/>
      </rPr>
      <t>Change in fund balance</t>
    </r>
    <r>
      <rPr>
        <sz val="11"/>
        <color theme="1"/>
        <rFont val="Calibri"/>
        <family val="2"/>
        <scheme val="minor"/>
      </rPr>
      <t xml:space="preserve"> - </t>
    </r>
    <r>
      <rPr>
        <sz val="11"/>
        <color indexed="60"/>
        <rFont val="Calibri"/>
        <family val="2"/>
        <scheme val="minor"/>
      </rPr>
      <t>(Increase in Fund balance is recorded as a positive and a decrease in fund balance is recorded as a negative)</t>
    </r>
  </si>
  <si>
    <r>
      <rPr>
        <u/>
        <sz val="11"/>
        <color indexed="8"/>
        <rFont val="Calibri"/>
        <family val="2"/>
        <scheme val="minor"/>
      </rPr>
      <t>Any adjustment to beginning fund balance including rounding, prior period adjustments and restatements.</t>
    </r>
    <r>
      <rPr>
        <sz val="11"/>
        <color theme="1"/>
        <rFont val="Calibri"/>
        <family val="2"/>
        <scheme val="minor"/>
      </rPr>
      <t xml:space="preserve">  </t>
    </r>
    <r>
      <rPr>
        <sz val="11"/>
        <color indexed="60"/>
        <rFont val="Calibri"/>
        <family val="2"/>
        <scheme val="minor"/>
      </rPr>
      <t xml:space="preserve"> (Amounts that increase fund balance are recorded as positive and amounts that decrease fund balance are recorded as negative)</t>
    </r>
  </si>
  <si>
    <r>
      <rPr>
        <u/>
        <sz val="11"/>
        <color indexed="8"/>
        <rFont val="Calibri"/>
        <family val="2"/>
        <scheme val="minor"/>
      </rPr>
      <t>Debt service expenditures from all governmental funds</t>
    </r>
    <r>
      <rPr>
        <sz val="11"/>
        <color theme="1"/>
        <rFont val="Calibri"/>
        <family val="2"/>
        <scheme val="minor"/>
      </rPr>
      <t>.  Include principal, interest paid, and debt issuance costs on long-term debt.</t>
    </r>
  </si>
  <si>
    <r>
      <rPr>
        <b/>
        <sz val="11"/>
        <color indexed="8"/>
        <rFont val="Calibri"/>
        <family val="2"/>
        <scheme val="minor"/>
      </rPr>
      <t>Statement of Net Position - Water and Sewer Operations</t>
    </r>
    <r>
      <rPr>
        <sz val="11"/>
        <color indexed="8"/>
        <rFont val="Calibri"/>
        <family val="2"/>
        <scheme val="minor"/>
      </rPr>
      <t xml:space="preserve"> - If unit maintains separate funds please combine all water, sewer,</t>
    </r>
  </si>
  <si>
    <r>
      <rPr>
        <b/>
        <sz val="11"/>
        <color indexed="8"/>
        <rFont val="Calibri"/>
        <family val="2"/>
        <scheme val="minor"/>
      </rPr>
      <t>Water Sewe</t>
    </r>
    <r>
      <rPr>
        <sz val="11"/>
        <color indexed="8"/>
        <rFont val="Calibri"/>
        <family val="2"/>
        <scheme val="minor"/>
      </rPr>
      <t>r Net Position Statement</t>
    </r>
  </si>
  <si>
    <r>
      <rPr>
        <u/>
        <sz val="11"/>
        <color indexed="8"/>
        <rFont val="Calibri"/>
        <family val="2"/>
        <scheme val="minor"/>
      </rPr>
      <t>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and/or restricted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</si>
  <si>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both billed and unbilled amounts.</t>
    </r>
  </si>
  <si>
    <r>
      <rPr>
        <u/>
        <sz val="11"/>
        <rFont val="Calibri"/>
        <family val="2"/>
        <scheme val="minor"/>
      </rPr>
      <t>Water Sewer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</si>
  <si>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WS Net Position Statement</t>
    </r>
    <r>
      <rPr>
        <sz val="11"/>
        <color indexed="8"/>
        <rFont val="Calibri"/>
        <family val="2"/>
        <scheme val="minor"/>
      </rPr>
      <t xml:space="preserve">.  
</t>
    </r>
  </si>
  <si>
    <r>
      <rPr>
        <u/>
        <sz val="11"/>
        <rFont val="Calibri"/>
        <family val="2"/>
        <scheme val="minor"/>
      </rPr>
      <t xml:space="preserve">Water Sewer - Advance From: 
</t>
    </r>
    <r>
      <rPr>
        <sz val="11"/>
        <rFont val="Calibri"/>
        <family val="2"/>
        <scheme val="minor"/>
      </rPr>
      <t>Interfund loan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</si>
  <si>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enter negative unrestricted net position as a negative</t>
    </r>
  </si>
  <si>
    <r>
      <rPr>
        <b/>
        <sz val="11"/>
        <color indexed="8"/>
        <rFont val="Calibri"/>
        <family val="2"/>
        <scheme val="minor"/>
      </rPr>
      <t>Electric Fund</t>
    </r>
    <r>
      <rPr>
        <sz val="11"/>
        <color indexed="8"/>
        <rFont val="Calibri"/>
        <family val="2"/>
        <scheme val="minor"/>
      </rPr>
      <t xml:space="preserve"> Net Position Statement</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</si>
  <si>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any restricted cash and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</si>
  <si>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billed and unbilled amounts </t>
    </r>
  </si>
  <si>
    <r>
      <rPr>
        <u/>
        <sz val="11"/>
        <rFont val="Calibri"/>
        <family val="2"/>
        <scheme val="minor"/>
      </rPr>
      <t>Electric Fund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</si>
  <si>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Electric Net Position Statement</t>
    </r>
    <r>
      <rPr>
        <sz val="11"/>
        <color indexed="8"/>
        <rFont val="Calibri"/>
        <family val="2"/>
        <scheme val="minor"/>
      </rPr>
      <t xml:space="preserve">.  
</t>
    </r>
  </si>
  <si>
    <r>
      <rPr>
        <u/>
        <sz val="11"/>
        <rFont val="Calibri"/>
        <family val="2"/>
        <scheme val="minor"/>
      </rPr>
      <t>Electric Fund - Advance From:</t>
    </r>
    <r>
      <rPr>
        <sz val="11"/>
        <rFont val="Calibri"/>
        <family val="2"/>
        <scheme val="minor"/>
      </rPr>
      <t xml:space="preserve">
Interfund loans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</si>
  <si>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Amount of negative unrestricted net position should be entered as a negative amount and the amount of positive unrestricted net position should be entered as a positive amount.</t>
    </r>
  </si>
  <si>
    <r>
      <rPr>
        <b/>
        <sz val="11"/>
        <color indexed="8"/>
        <rFont val="Calibri"/>
        <family val="2"/>
        <scheme val="minor"/>
      </rPr>
      <t>Water Sewer</t>
    </r>
    <r>
      <rPr>
        <sz val="11"/>
        <color indexed="8"/>
        <rFont val="Calibri"/>
        <family val="2"/>
        <scheme val="minor"/>
      </rPr>
      <t xml:space="preserve"> Revenue, Expenses &amp; Changes in Fund Net Position</t>
    </r>
  </si>
  <si>
    <r>
      <rPr>
        <u/>
        <sz val="11"/>
        <color indexed="8"/>
        <rFont val="Calibri"/>
        <family val="2"/>
        <scheme val="minor"/>
      </rPr>
      <t>Charges for services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tap, capacity fees and other misc. income .</t>
    </r>
  </si>
  <si>
    <r>
      <rPr>
        <u/>
        <sz val="11"/>
        <color indexed="8"/>
        <rFont val="Calibri"/>
        <family val="2"/>
        <scheme val="minor"/>
      </rPr>
      <t>Total all non-operating revenues</t>
    </r>
    <r>
      <rPr>
        <sz val="11"/>
        <color indexed="10"/>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</si>
  <si>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any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</si>
  <si>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Capital contributions</t>
    </r>
    <r>
      <rPr>
        <sz val="11"/>
        <color theme="1"/>
        <rFont val="Calibri"/>
        <family val="2"/>
        <scheme val="minor"/>
      </rPr>
      <t>.</t>
    </r>
    <r>
      <rPr>
        <sz val="11"/>
        <color indexed="60"/>
        <rFont val="Calibri"/>
        <family val="2"/>
        <scheme val="minor"/>
      </rPr>
      <t xml:space="preserve"> Only include positive capital contributions.  Negative capital contributions should be included with 'Total all non-operating expenses.'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</si>
  <si>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</si>
  <si>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scheme val="minor"/>
      </rPr>
      <t>Increase amounts to beginning net position should be entered as a positive amount and (decreases) should be entered as a negative amount.</t>
    </r>
  </si>
  <si>
    <r>
      <rPr>
        <b/>
        <sz val="11"/>
        <color indexed="8"/>
        <rFont val="Calibri"/>
        <family val="2"/>
        <scheme val="minor"/>
      </rPr>
      <t>Electric Fund</t>
    </r>
    <r>
      <rPr>
        <sz val="11"/>
        <color indexed="8"/>
        <rFont val="Calibri"/>
        <family val="2"/>
        <scheme val="minor"/>
      </rPr>
      <t xml:space="preserve"> Revenue, Expenses &amp; Changes in Fund Net Position</t>
    </r>
  </si>
  <si>
    <r>
      <rPr>
        <u/>
        <sz val="11"/>
        <color indexed="8"/>
        <rFont val="Calibri"/>
        <family val="2"/>
        <scheme val="minor"/>
      </rPr>
      <t xml:space="preserve">Total all the non-operating revenues  </t>
    </r>
    <r>
      <rPr>
        <sz val="11"/>
        <color indexed="8"/>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</si>
  <si>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</si>
  <si>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
    </r>
    <r>
      <rPr>
        <u/>
        <sz val="11"/>
        <rFont val="Calibri"/>
        <family val="2"/>
        <scheme val="minor"/>
      </rPr>
      <t>tal Contributions</t>
    </r>
    <r>
      <rPr>
        <sz val="11"/>
        <rFont val="Calibri"/>
        <family val="2"/>
        <scheme val="minor"/>
      </rPr>
      <t xml:space="preserve">.  
</t>
    </r>
    <r>
      <rPr>
        <b/>
        <sz val="11"/>
        <rFont val="Calibri"/>
        <family val="2"/>
        <scheme val="minor"/>
      </rPr>
      <t xml:space="preserve">Include </t>
    </r>
    <r>
      <rPr>
        <sz val="11"/>
        <rFont val="Calibri"/>
        <family val="2"/>
        <scheme val="minor"/>
      </rPr>
      <t>only positive capital Contributions.</t>
    </r>
    <r>
      <rPr>
        <b/>
        <sz val="11"/>
        <rFont val="Calibri"/>
        <family val="2"/>
        <scheme val="minor"/>
      </rPr>
      <t xml:space="preserve">  </t>
    </r>
    <r>
      <rPr>
        <sz val="11"/>
        <color indexed="60"/>
        <rFont val="Calibri"/>
        <family val="2"/>
        <scheme val="minor"/>
      </rPr>
      <t>Negative capital contributions should be included with 'Total all non-operating expenses.'</t>
    </r>
  </si>
  <si>
    <r>
      <rPr>
        <u/>
        <sz val="11"/>
        <color indexed="8"/>
        <rFont val="Calibri"/>
        <family val="2"/>
        <scheme val="minor"/>
      </rPr>
      <t>Total Transfers In</t>
    </r>
    <r>
      <rPr>
        <sz val="11"/>
        <color theme="1"/>
        <rFont val="Calibri"/>
        <family val="2"/>
        <scheme val="minor"/>
      </rPr>
      <t xml:space="preserve"> (From all Funds)</t>
    </r>
  </si>
  <si>
    <r>
      <rPr>
        <u/>
        <sz val="11"/>
        <color indexed="8"/>
        <rFont val="Calibri"/>
        <family val="2"/>
        <scheme val="minor"/>
      </rPr>
      <t>Total Transfers Out</t>
    </r>
    <r>
      <rPr>
        <sz val="11"/>
        <color theme="1"/>
        <rFont val="Calibri"/>
        <family val="2"/>
        <scheme val="minor"/>
      </rPr>
      <t xml:space="preserve"> (To all funds)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</si>
  <si>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</si>
  <si>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electric net position due to rounding, prior period adjustments and restatements</t>
    </r>
    <r>
      <rPr>
        <sz val="11"/>
        <color indexed="60"/>
        <rFont val="Calibri"/>
        <family val="2"/>
        <scheme val="minor"/>
      </rPr>
      <t>.  Increase amounts to beginning net position should be entered as a positive amount and (decreases) should be entered as a negative amount.</t>
    </r>
  </si>
  <si>
    <r>
      <rPr>
        <b/>
        <sz val="11"/>
        <color indexed="8"/>
        <rFont val="Calibri"/>
        <family val="2"/>
        <scheme val="minor"/>
      </rPr>
      <t>Water and Sewer Operations</t>
    </r>
    <r>
      <rPr>
        <sz val="11"/>
        <color indexed="8"/>
        <rFont val="Calibri"/>
        <family val="2"/>
        <scheme val="minor"/>
      </rPr>
      <t xml:space="preserve"> - If unit maintains separate funds please combine all water, sewer,</t>
    </r>
  </si>
  <si>
    <r>
      <t xml:space="preserve">and wastewater funds into one activity for purposes of this worksheet.  </t>
    </r>
    <r>
      <rPr>
        <b/>
        <sz val="11"/>
        <color indexed="8"/>
        <rFont val="Calibri"/>
        <family val="2"/>
        <scheme val="minor"/>
      </rPr>
      <t>Exclude stormwater funds</t>
    </r>
    <r>
      <rPr>
        <sz val="11"/>
        <color indexed="8"/>
        <rFont val="Calibri"/>
        <family val="2"/>
        <scheme val="minor"/>
      </rPr>
      <t xml:space="preserve">.  Only fill out this section if </t>
    </r>
  </si>
  <si>
    <r>
      <t xml:space="preserve">Water Sewer </t>
    </r>
    <r>
      <rPr>
        <sz val="11"/>
        <color indexed="8"/>
        <rFont val="Calibri"/>
        <family val="2"/>
        <scheme val="minor"/>
      </rPr>
      <t>Cash Flow Statement</t>
    </r>
  </si>
  <si>
    <r>
      <rPr>
        <u/>
        <sz val="11"/>
        <color indexed="8"/>
        <rFont val="Calibri"/>
        <family val="2"/>
        <scheme val="minor"/>
      </rPr>
      <t xml:space="preserve">Total 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</si>
  <si>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</si>
  <si>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Principal paid on long-term debt</t>
    </r>
    <r>
      <rPr>
        <sz val="11"/>
        <color theme="1"/>
        <rFont val="Calibri"/>
        <family val="2"/>
        <scheme val="minor"/>
      </rPr>
      <t xml:space="preserve">.  </t>
    </r>
    <r>
      <rPr>
        <sz val="11"/>
        <color indexed="60"/>
        <rFont val="Calibri"/>
        <family val="2"/>
        <scheme val="minor"/>
      </rPr>
      <t>Amount should be reduced by principal payments for debt refunding.</t>
    </r>
  </si>
  <si>
    <r>
      <t xml:space="preserve">Electric Fund </t>
    </r>
    <r>
      <rPr>
        <sz val="11"/>
        <color indexed="8"/>
        <rFont val="Calibri"/>
        <family val="2"/>
        <scheme val="minor"/>
      </rPr>
      <t>Cash Flow Statement</t>
    </r>
  </si>
  <si>
    <r>
      <rPr>
        <u/>
        <sz val="11"/>
        <color indexed="8"/>
        <rFont val="Calibri"/>
        <family val="2"/>
        <scheme val="minor"/>
      </rPr>
      <t xml:space="preserve">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</si>
  <si>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</si>
  <si>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</si>
  <si>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r>
      <rPr>
        <u/>
        <sz val="11"/>
        <color indexed="8"/>
        <rFont val="Calibri"/>
        <family val="2"/>
        <scheme val="minor"/>
      </rPr>
      <t>Cash and Investment</t>
    </r>
    <r>
      <rPr>
        <sz val="11"/>
        <color indexed="8"/>
        <rFont val="Calibri"/>
        <family val="2"/>
        <scheme val="minor"/>
      </rPr>
      <t xml:space="preserve"> - </t>
    </r>
    <r>
      <rPr>
        <sz val="11"/>
        <color indexed="60"/>
        <rFont val="Calibri"/>
        <family val="2"/>
        <scheme val="minor"/>
      </rPr>
      <t>Please list the book value of any unspent debt proceeds (bonds, installment, etc.) in any funds as of June 30.  This information may be on the face of your statements or in the notes</t>
    </r>
  </si>
  <si>
    <r>
      <t xml:space="preserve">Total Assets </t>
    </r>
    <r>
      <rPr>
        <b/>
        <sz val="11"/>
        <color indexed="8"/>
        <rFont val="Calibri"/>
        <family val="2"/>
        <scheme val="minor"/>
      </rPr>
      <t>being depreciated</t>
    </r>
    <r>
      <rPr>
        <sz val="11"/>
        <color theme="1"/>
        <rFont val="Calibri"/>
        <family val="2"/>
        <scheme val="minor"/>
      </rPr>
      <t xml:space="preserve"> for Governmental Activities:</t>
    </r>
  </si>
  <si>
    <r>
      <rPr>
        <u/>
        <sz val="11"/>
        <color indexed="8"/>
        <rFont val="Calibri"/>
        <family val="2"/>
        <scheme val="minor"/>
      </rPr>
      <t>Gross value.</t>
    </r>
    <r>
      <rPr>
        <sz val="11"/>
        <color theme="1"/>
        <rFont val="Calibri"/>
        <family val="2"/>
        <scheme val="minor"/>
      </rPr>
      <t xml:space="preserve"> </t>
    </r>
    <r>
      <rPr>
        <b/>
        <sz val="11"/>
        <color indexed="8"/>
        <rFont val="Calibri"/>
        <family val="2"/>
        <scheme val="minor"/>
      </rPr>
      <t xml:space="preserve"> 
Exclude</t>
    </r>
    <r>
      <rPr>
        <sz val="11"/>
        <color theme="1"/>
        <rFont val="Calibri"/>
        <family val="2"/>
        <scheme val="minor"/>
      </rPr>
      <t xml:space="preserve"> non-depreciable.</t>
    </r>
  </si>
  <si>
    <r>
      <t xml:space="preserve">Assets </t>
    </r>
    <r>
      <rPr>
        <b/>
        <sz val="11"/>
        <color indexed="8"/>
        <rFont val="Calibri"/>
        <family val="2"/>
        <scheme val="minor"/>
      </rPr>
      <t>not being depreciated</t>
    </r>
    <r>
      <rPr>
        <sz val="11"/>
        <color theme="1"/>
        <rFont val="Calibri"/>
        <family val="2"/>
        <scheme val="minor"/>
      </rPr>
      <t xml:space="preserve"> for Water and Sewer Activities:</t>
    </r>
  </si>
  <si>
    <r>
      <rPr>
        <u/>
        <sz val="11"/>
        <color indexed="8"/>
        <rFont val="Calibri"/>
        <family val="2"/>
        <scheme val="minor"/>
      </rPr>
      <t>Land and all other non depreciable capital assets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construction in progress</t>
    </r>
  </si>
  <si>
    <r>
      <t>Total Assets not being depreciated for</t>
    </r>
    <r>
      <rPr>
        <b/>
        <u/>
        <sz val="11"/>
        <color indexed="8"/>
        <rFont val="Calibri"/>
        <family val="2"/>
        <scheme val="minor"/>
      </rPr>
      <t xml:space="preserve"> Water and Sewer</t>
    </r>
    <r>
      <rPr>
        <u/>
        <sz val="11"/>
        <color indexed="8"/>
        <rFont val="Calibri"/>
        <family val="2"/>
        <scheme val="minor"/>
      </rPr>
      <t xml:space="preserve"> Activities</t>
    </r>
  </si>
  <si>
    <r>
      <t xml:space="preserve">Assets </t>
    </r>
    <r>
      <rPr>
        <b/>
        <sz val="11"/>
        <color indexed="8"/>
        <rFont val="Calibri"/>
        <family val="2"/>
        <scheme val="minor"/>
      </rPr>
      <t>being depreciated</t>
    </r>
    <r>
      <rPr>
        <sz val="11"/>
        <color theme="1"/>
        <rFont val="Calibri"/>
        <family val="2"/>
        <scheme val="minor"/>
      </rPr>
      <t xml:space="preserve"> for Water and Sewer Activities:</t>
    </r>
  </si>
  <si>
    <r>
      <t xml:space="preserve">Total Gross Value Assets </t>
    </r>
    <r>
      <rPr>
        <b/>
        <sz val="11"/>
        <color indexed="8"/>
        <rFont val="Calibri"/>
        <family val="2"/>
        <scheme val="minor"/>
      </rPr>
      <t>being depreciated</t>
    </r>
    <r>
      <rPr>
        <sz val="11"/>
        <color theme="1"/>
        <rFont val="Calibri"/>
        <family val="2"/>
        <scheme val="minor"/>
      </rPr>
      <t xml:space="preserve"> for Water and Sewer Activities</t>
    </r>
  </si>
  <si>
    <r>
      <t xml:space="preserve">Total Assets Gross value </t>
    </r>
    <r>
      <rPr>
        <b/>
        <u/>
        <sz val="11"/>
        <color indexed="8"/>
        <rFont val="Calibri"/>
        <family val="2"/>
        <scheme val="minor"/>
      </rPr>
      <t>not being depreciated</t>
    </r>
    <r>
      <rPr>
        <u/>
        <sz val="11"/>
        <color indexed="8"/>
        <rFont val="Calibri"/>
        <family val="2"/>
        <scheme val="minor"/>
      </rPr>
      <t xml:space="preserve"> for Electric Fund</t>
    </r>
  </si>
  <si>
    <r>
      <t xml:space="preserve">Long-Term Liability Note - </t>
    </r>
    <r>
      <rPr>
        <b/>
        <sz val="11"/>
        <color indexed="8"/>
        <rFont val="Calibri"/>
        <family val="2"/>
        <scheme val="minor"/>
      </rPr>
      <t>Governmental Activities</t>
    </r>
  </si>
  <si>
    <r>
      <rPr>
        <u/>
        <sz val="11"/>
        <color indexed="8"/>
        <rFont val="Calibri"/>
        <family val="2"/>
        <scheme val="minor"/>
      </rPr>
      <t xml:space="preserve">Decreases made (principal paid) on Long-Term Debt in current fiscal year.  Reduce for </t>
    </r>
    <r>
      <rPr>
        <b/>
        <u/>
        <sz val="11"/>
        <color indexed="8"/>
        <rFont val="Calibri"/>
        <family val="2"/>
        <scheme val="minor"/>
      </rPr>
      <t>debt refunding</t>
    </r>
    <r>
      <rPr>
        <u/>
        <sz val="11"/>
        <color indexed="8"/>
        <rFont val="Calibri"/>
        <family val="2"/>
        <scheme val="minor"/>
      </rPr>
      <t>.</t>
    </r>
  </si>
  <si>
    <r>
      <t xml:space="preserve">Long-Term Liability Note - </t>
    </r>
    <r>
      <rPr>
        <b/>
        <sz val="11"/>
        <color indexed="8"/>
        <rFont val="Calibri"/>
        <family val="2"/>
        <scheme val="minor"/>
      </rPr>
      <t>Water Sewer Activities</t>
    </r>
  </si>
  <si>
    <r>
      <t>Long-Term Liability Note -</t>
    </r>
    <r>
      <rPr>
        <b/>
        <sz val="11"/>
        <color indexed="8"/>
        <rFont val="Calibri"/>
        <family val="2"/>
        <scheme val="minor"/>
      </rPr>
      <t xml:space="preserve"> Electric Activities</t>
    </r>
  </si>
  <si>
    <r>
      <rPr>
        <u/>
        <sz val="11"/>
        <color indexed="8"/>
        <rFont val="Calibri"/>
        <family val="2"/>
        <scheme val="minor"/>
      </rPr>
      <t>Amount of Transfers from the General Fund to the Debt Service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</si>
  <si>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General Fund to the Electric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</si>
  <si>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Electric Fund to the General Fund</t>
    </r>
    <r>
      <rPr>
        <sz val="11"/>
        <color theme="1"/>
        <rFont val="Calibri"/>
        <family val="2"/>
        <scheme val="minor"/>
      </rPr>
      <t xml:space="preserve">  </t>
    </r>
    <r>
      <rPr>
        <sz val="11"/>
        <color indexed="60"/>
        <rFont val="Calibri"/>
        <family val="2"/>
        <scheme val="minor"/>
      </rPr>
      <t xml:space="preserve">(Enter as positive)
</t>
    </r>
    <r>
      <rPr>
        <b/>
        <sz val="11"/>
        <rFont val="Calibri"/>
        <family val="2"/>
        <scheme val="minor"/>
      </rPr>
      <t>Include</t>
    </r>
    <r>
      <rPr>
        <sz val="11"/>
        <rFont val="Calibri"/>
        <family val="2"/>
        <scheme val="minor"/>
      </rPr>
      <t>:  Payment in Lieu of Taxes (PILOT)</t>
    </r>
  </si>
  <si>
    <r>
      <rPr>
        <u/>
        <sz val="11"/>
        <color indexed="8"/>
        <rFont val="Calibri"/>
        <family val="2"/>
        <scheme val="minor"/>
      </rPr>
      <t>General Fund -  Total Encumbrances.</t>
    </r>
    <r>
      <rPr>
        <sz val="11"/>
        <color theme="1"/>
        <rFont val="Calibri"/>
        <family val="2"/>
        <scheme val="minor"/>
      </rPr>
      <t xml:space="preserve">  </t>
    </r>
    <r>
      <rPr>
        <sz val="11"/>
        <color indexed="60"/>
        <rFont val="Calibri"/>
        <family val="2"/>
        <scheme val="minor"/>
      </rPr>
      <t>You will probably have to refer to the note disclosure where the amount of encumbrances is listed.</t>
    </r>
  </si>
  <si>
    <r>
      <rPr>
        <b/>
        <sz val="11"/>
        <color indexed="8"/>
        <rFont val="Calibri"/>
        <family val="2"/>
        <scheme val="minor"/>
      </rPr>
      <t>Water Sewer</t>
    </r>
    <r>
      <rPr>
        <sz val="11"/>
        <color indexed="8"/>
        <rFont val="Calibri"/>
        <family val="2"/>
        <scheme val="minor"/>
      </rPr>
      <t xml:space="preserve"> - Budget Actual Statement</t>
    </r>
  </si>
  <si>
    <r>
      <rPr>
        <u/>
        <sz val="11"/>
        <color indexed="8"/>
        <rFont val="Calibri"/>
        <family val="2"/>
        <scheme val="minor"/>
      </rPr>
      <t xml:space="preserve">Amount of Water Sewer revenues and other financing sources over expenditures and other uses
</t>
    </r>
    <r>
      <rPr>
        <b/>
        <u/>
        <sz val="11"/>
        <color indexed="8"/>
        <rFont val="Calibri"/>
        <family val="2"/>
        <scheme val="minor"/>
      </rPr>
      <t xml:space="preserve">Exclude:  All transfers and capital contributions
Exclude:  Capital Project funds
</t>
    </r>
    <r>
      <rPr>
        <sz val="11"/>
        <color indexed="60"/>
        <rFont val="Calibri"/>
        <family val="2"/>
        <scheme val="minor"/>
      </rPr>
      <t>This schedule is usually found behind the notes and should be entered as a positive or negative as indicated on your audit report</t>
    </r>
  </si>
  <si>
    <r>
      <rPr>
        <b/>
        <sz val="11"/>
        <color indexed="8"/>
        <rFont val="Calibri"/>
        <family val="2"/>
        <scheme val="minor"/>
      </rPr>
      <t>Water Sewer</t>
    </r>
    <r>
      <rPr>
        <sz val="11"/>
        <color indexed="8"/>
        <rFont val="Calibri"/>
        <family val="2"/>
        <scheme val="minor"/>
      </rPr>
      <t xml:space="preserve"> - Disclosed in the Notes or in the recently approved Budget for next year.</t>
    </r>
  </si>
  <si>
    <r>
      <t xml:space="preserve">Analysis of Current Tax Levy Schedule - Unit-Wide - </t>
    </r>
    <r>
      <rPr>
        <b/>
        <sz val="11"/>
        <color indexed="60"/>
        <rFont val="Calibri"/>
        <family val="2"/>
        <scheme val="minor"/>
      </rPr>
      <t xml:space="preserve">Pull percentages from this LGC-required schedule, </t>
    </r>
  </si>
  <si>
    <r>
      <rPr>
        <u/>
        <sz val="11"/>
        <rFont val="Calibri"/>
        <family val="2"/>
        <scheme val="minor"/>
      </rPr>
      <t>Please enter the Net Current year's levy -- Motor vehicles</t>
    </r>
    <r>
      <rPr>
        <sz val="11"/>
        <rFont val="Calibri"/>
        <family val="2"/>
        <scheme val="minor"/>
      </rPr>
      <t xml:space="preserve"> (only) </t>
    </r>
    <r>
      <rPr>
        <sz val="11"/>
        <color indexed="60"/>
        <rFont val="Calibri"/>
        <family val="2"/>
        <scheme val="minor"/>
      </rPr>
      <t xml:space="preserve">(after adjusting for discoveries and abatements)
</t>
    </r>
    <r>
      <rPr>
        <b/>
        <sz val="11"/>
        <color indexed="8"/>
        <rFont val="Calibri"/>
        <family val="2"/>
        <scheme val="minor"/>
      </rPr>
      <t xml:space="preserve">Exclude </t>
    </r>
    <r>
      <rPr>
        <sz val="11"/>
        <color indexed="8"/>
        <rFont val="Calibri"/>
        <family val="2"/>
        <scheme val="minor"/>
      </rPr>
      <t>supplemental taxes</t>
    </r>
  </si>
  <si>
    <r>
      <t xml:space="preserve">Uncollected Taxes - Curr Year's Levy Exclude Motor Vehicles
</t>
    </r>
    <r>
      <rPr>
        <b/>
        <sz val="11"/>
        <rFont val="Calibri"/>
        <family val="2"/>
        <scheme val="minor"/>
      </rPr>
      <t>Exclude</t>
    </r>
    <r>
      <rPr>
        <sz val="11"/>
        <rFont val="Calibri"/>
        <family val="2"/>
        <scheme val="minor"/>
      </rPr>
      <t xml:space="preserve"> supplemental taxes</t>
    </r>
  </si>
  <si>
    <r>
      <t xml:space="preserve">Uncollected Taxes - Curr Year's Levy Motor Vehicles
</t>
    </r>
    <r>
      <rPr>
        <b/>
        <sz val="11"/>
        <rFont val="Calibri"/>
        <family val="2"/>
        <scheme val="minor"/>
      </rPr>
      <t>Exclude</t>
    </r>
    <r>
      <rPr>
        <sz val="11"/>
        <rFont val="Calibri"/>
        <family val="2"/>
        <scheme val="minor"/>
      </rPr>
      <t xml:space="preserve"> supplemental taxes</t>
    </r>
  </si>
  <si>
    <r>
      <t xml:space="preserve">Tax collection rate- Total Levy UNIT-WIDE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</si>
  <si>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rFont val="Calibri"/>
        <family val="2"/>
        <scheme val="minor"/>
      </rPr>
      <t>Tax collection rate - Excluding Registered motor vehicles</t>
    </r>
    <r>
      <rPr>
        <u/>
        <sz val="11"/>
        <color indexed="60"/>
        <rFont val="Calibri"/>
        <family val="2"/>
        <scheme val="minor"/>
      </rPr>
      <t xml:space="preserve">
</t>
    </r>
    <r>
      <rPr>
        <b/>
        <sz val="11"/>
        <rFont val="Calibri"/>
        <family val="2"/>
        <scheme val="minor"/>
      </rPr>
      <t>Exclude</t>
    </r>
    <r>
      <rPr>
        <sz val="11"/>
        <rFont val="Calibri"/>
        <family val="2"/>
        <scheme val="minor"/>
      </rPr>
      <t xml:space="preserve"> supplemental taxes</t>
    </r>
    <r>
      <rPr>
        <sz val="11"/>
        <color indexed="60"/>
        <rFont val="Calibri"/>
        <family val="2"/>
        <scheme val="minor"/>
      </rPr>
      <t xml:space="preserve">
(Enter as a percentage with two decimal places)</t>
    </r>
  </si>
  <si>
    <r>
      <t xml:space="preserve">Tax collection rate - Registered motor vehicles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</si>
  <si>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color indexed="8"/>
        <rFont val="Calibri"/>
        <family val="2"/>
        <scheme val="minor"/>
      </rPr>
      <t>Property Tax Increase for Year Audited</t>
    </r>
    <r>
      <rPr>
        <sz val="11"/>
        <color theme="1"/>
        <rFont val="Calibri"/>
        <family val="2"/>
        <scheme val="minor"/>
      </rPr>
      <t xml:space="preserve">- </t>
    </r>
    <r>
      <rPr>
        <sz val="11"/>
        <color indexed="60"/>
        <rFont val="Calibri"/>
        <family val="2"/>
        <scheme val="minor"/>
      </rPr>
      <t xml:space="preserve">enter amount of  increase in cents per $100 - leave blank if no increase 
</t>
    </r>
    <r>
      <rPr>
        <b/>
        <sz val="11"/>
        <color indexed="8"/>
        <rFont val="Calibri"/>
        <family val="2"/>
        <scheme val="minor"/>
      </rPr>
      <t>Exclude</t>
    </r>
    <r>
      <rPr>
        <sz val="11"/>
        <color indexed="8"/>
        <rFont val="Calibri"/>
        <family val="2"/>
        <scheme val="minor"/>
      </rPr>
      <t xml:space="preserve"> supplemental taxes</t>
    </r>
  </si>
  <si>
    <r>
      <rPr>
        <u/>
        <sz val="11"/>
        <color indexed="8"/>
        <rFont val="Calibri"/>
        <family val="2"/>
        <scheme val="minor"/>
      </rPr>
      <t>Property Tax Increase for budget year after fiscal year being reported</t>
    </r>
    <r>
      <rPr>
        <sz val="11"/>
        <color theme="1"/>
        <rFont val="Calibri"/>
        <family val="2"/>
        <scheme val="minor"/>
      </rPr>
      <t xml:space="preserve"> - </t>
    </r>
    <r>
      <rPr>
        <sz val="11"/>
        <color indexed="60"/>
        <rFont val="Calibri"/>
        <family val="2"/>
        <scheme val="minor"/>
      </rPr>
      <t xml:space="preserve">enter amount of increase in cents per $100- leave blank if no increase
</t>
    </r>
    <r>
      <rPr>
        <b/>
        <sz val="11"/>
        <color indexed="8"/>
        <rFont val="Calibri"/>
        <family val="2"/>
        <scheme val="minor"/>
      </rPr>
      <t>Exclude</t>
    </r>
    <r>
      <rPr>
        <sz val="11"/>
        <color indexed="8"/>
        <rFont val="Calibri"/>
        <family val="2"/>
        <scheme val="minor"/>
      </rPr>
      <t xml:space="preserve"> supplemental taxes</t>
    </r>
  </si>
  <si>
    <t>Messages</t>
  </si>
  <si>
    <r>
      <t xml:space="preserve">Amount of Ad valorem tax </t>
    </r>
    <r>
      <rPr>
        <b/>
        <sz val="14"/>
        <color theme="1"/>
        <rFont val="Calibri"/>
        <family val="2"/>
        <scheme val="minor"/>
      </rPr>
      <t>collected</t>
    </r>
    <r>
      <rPr>
        <sz val="11"/>
        <color theme="1"/>
        <rFont val="Calibri"/>
        <family val="2"/>
        <scheme val="minor"/>
      </rPr>
      <t xml:space="preserve"> (including motor vehicle and prior years) reported on budget actual statement</t>
    </r>
  </si>
  <si>
    <r>
      <t xml:space="preserve">Amount of Ad valorem tax </t>
    </r>
    <r>
      <rPr>
        <b/>
        <sz val="14"/>
        <color theme="1"/>
        <rFont val="Calibri"/>
        <family val="2"/>
        <scheme val="minor"/>
      </rPr>
      <t>budgeted</t>
    </r>
    <r>
      <rPr>
        <sz val="11"/>
        <color theme="1"/>
        <rFont val="Calibri"/>
        <family val="2"/>
        <scheme val="minor"/>
      </rPr>
      <t xml:space="preserve"> (including motor vehicle and prior years) reported on budget actual statement</t>
    </r>
  </si>
  <si>
    <r>
      <rPr>
        <u/>
        <sz val="11"/>
        <color indexed="8"/>
        <rFont val="Calibri"/>
        <family val="2"/>
        <scheme val="minor"/>
      </rPr>
      <t>Current liabilities</t>
    </r>
    <r>
      <rPr>
        <u/>
        <sz val="11"/>
        <color rgb="FFFF0000"/>
        <rFont val="Calibri"/>
        <family val="2"/>
        <scheme val="minor"/>
      </rPr>
      <t xml:space="preserve"> (as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positive</t>
    </r>
  </si>
  <si>
    <r>
      <t xml:space="preserve">Please enter any compensated absences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</si>
  <si>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t xml:space="preserve">Please enter any bond anticipation notes that are classified as current liabilities and included in account 633 above </t>
    </r>
    <r>
      <rPr>
        <sz val="11"/>
        <color theme="5" tint="-0.249977111117893"/>
        <rFont val="Calibri"/>
        <family val="2"/>
        <scheme val="minor"/>
      </rPr>
      <t xml:space="preserve">(amounts entered should agree to the current amount included in the changes to long-term debt note)
</t>
    </r>
    <r>
      <rPr>
        <sz val="11"/>
        <rFont val="Calibri"/>
        <family val="2"/>
        <scheme val="minor"/>
      </rPr>
      <t>Enter as positive</t>
    </r>
  </si>
  <si>
    <r>
      <t xml:space="preserve">Unearned revenue (arising from cash receipts) that were included in Current Liabilities in the question in account 633 above.
</t>
    </r>
    <r>
      <rPr>
        <sz val="11"/>
        <color theme="1"/>
        <rFont val="Calibri"/>
        <family val="2"/>
        <scheme val="minor"/>
      </rPr>
      <t xml:space="preserve">
Enter as positive</t>
    </r>
  </si>
  <si>
    <r>
      <t xml:space="preserve">Please enter any OPEB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</si>
  <si>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t>Please enter any current liabilities that are payable from restricted assets and included in account 633 above.
Enter as positive</t>
  </si>
  <si>
    <r>
      <t xml:space="preserve">Please enter any pension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</si>
  <si>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rPr>
        <u/>
        <sz val="11"/>
        <color indexed="8"/>
        <rFont val="Calibri"/>
        <family val="2"/>
        <scheme val="minor"/>
      </rPr>
      <t xml:space="preserve">Current liabilities </t>
    </r>
    <r>
      <rPr>
        <u/>
        <sz val="11"/>
        <color rgb="FFFF0000"/>
        <rFont val="Calibri"/>
        <family val="2"/>
        <scheme val="minor"/>
      </rPr>
      <t>(as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a positive</t>
    </r>
  </si>
  <si>
    <r>
      <t xml:space="preserve">Please enter any bond anticipation notes that are classified as current liabilities and included in account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</si>
  <si>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r>
      <t xml:space="preserve">Please enter any compensated absences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</si>
  <si>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r>
      <t xml:space="preserve">Please enter any pension liabilities that are classified as current liabilities and included account in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</si>
  <si>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t>Please enter any current liabilities that are payable from restricted assets and included in account 639 above. 
Enter as a positive</t>
  </si>
  <si>
    <r>
      <t xml:space="preserve">Please enter any OPEB liabilities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</si>
  <si>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t>Unearned revenue (arising from cash receipts) that were included in Current Liabilities in account 639 above.
Enter as a positive</t>
  </si>
  <si>
    <t>If you answered "yes" to question #988 above, will you have the closure/postclosure cost fully funded by the date of closure?  Select "1" for Yes,  "2" for No, or "3" for N/A.</t>
  </si>
  <si>
    <t>Leave blank if data not available</t>
  </si>
  <si>
    <t>Debt Service Fund Balance</t>
  </si>
  <si>
    <t>Did unit have problems with debt service payments being late, debt restructured or not meeting bond covenants</t>
  </si>
  <si>
    <t>If you answered "yes" to question CCH #988 above, will you have the closure/postclosure cost fully funded by the date of closure</t>
  </si>
  <si>
    <t>Greater than 16% (2 months)</t>
  </si>
  <si>
    <t>Unit Data from Audit worksheet tab :  CCH acct # 986 is greater than (CCH 85+CCH 351)*.03</t>
  </si>
  <si>
    <r>
      <rPr>
        <b/>
        <sz val="11"/>
        <color theme="1"/>
        <rFont val="Calibri"/>
        <family val="2"/>
        <scheme val="minor"/>
      </rPr>
      <t>Water and Sewer Operations</t>
    </r>
    <r>
      <rPr>
        <sz val="11"/>
        <color theme="1"/>
        <rFont val="Calibri"/>
        <family val="2"/>
        <scheme val="minor"/>
      </rPr>
      <t xml:space="preserve">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r>
  </si>
  <si>
    <t>Select Unit Name from Drop Down List</t>
  </si>
  <si>
    <t>Section 1: Data Collection NOTE:  the data submitted below may be used in various published reports</t>
  </si>
  <si>
    <t>Aulander</t>
  </si>
  <si>
    <t>Ayden</t>
  </si>
  <si>
    <t>Bailey</t>
  </si>
  <si>
    <t>Belmont</t>
  </si>
  <si>
    <t>Bunn</t>
  </si>
  <si>
    <t>Casar</t>
  </si>
  <si>
    <t>Chocowinity</t>
  </si>
  <si>
    <t>Clarkton</t>
  </si>
  <si>
    <t>Cofield</t>
  </si>
  <si>
    <t>Conetoe</t>
  </si>
  <si>
    <t>Creswell</t>
  </si>
  <si>
    <t>Dallas</t>
  </si>
  <si>
    <t>Elizabeth City</t>
  </si>
  <si>
    <t>Erwin</t>
  </si>
  <si>
    <t>Eureka</t>
  </si>
  <si>
    <t>Gibson</t>
  </si>
  <si>
    <t>Green Level</t>
  </si>
  <si>
    <t>Hassell</t>
  </si>
  <si>
    <t>Haw River</t>
  </si>
  <si>
    <t>Hertford</t>
  </si>
  <si>
    <t>Micro</t>
  </si>
  <si>
    <t>Middleburg</t>
  </si>
  <si>
    <t>Mint Hill</t>
  </si>
  <si>
    <t>Mount Holly</t>
  </si>
  <si>
    <t>Plymouth</t>
  </si>
  <si>
    <t>Richfield</t>
  </si>
  <si>
    <t>Roseboro</t>
  </si>
  <si>
    <t>Rosman</t>
  </si>
  <si>
    <t>Rowland</t>
  </si>
  <si>
    <t>Roxboro</t>
  </si>
  <si>
    <t>Ruth</t>
  </si>
  <si>
    <t>Siler City</t>
  </si>
  <si>
    <t>Stanley</t>
  </si>
  <si>
    <t>Stonewall</t>
  </si>
  <si>
    <t>Tabor City</t>
  </si>
  <si>
    <t>Teachey</t>
  </si>
  <si>
    <t>Waco</t>
  </si>
  <si>
    <t>Walnut Creek</t>
  </si>
  <si>
    <t>Warrenton</t>
  </si>
  <si>
    <t>White Lake</t>
  </si>
  <si>
    <t>Winton</t>
  </si>
  <si>
    <t>Yanceyville</t>
  </si>
  <si>
    <t>Caswell County</t>
  </si>
  <si>
    <t>Cherokee County</t>
  </si>
  <si>
    <t>Columbus County</t>
  </si>
  <si>
    <t>Martin County</t>
  </si>
  <si>
    <t>GENERAL FUND:</t>
  </si>
  <si>
    <t>Unit Results</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</si>
  <si>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water and/or sewer system may not be sustainable.</t>
  </si>
  <si>
    <t>Greater than zero</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</si>
  <si>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electric system may not be sustainable.</t>
  </si>
  <si>
    <t>GENERAL PERFORMANCE INDICATORS:</t>
  </si>
  <si>
    <t>Target</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</si>
  <si>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</si>
  <si>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Any estimated decrease</t>
  </si>
  <si>
    <t>You indicated that you expect a decrease in property value for your next property revaluation which could result in lost tax revenue.</t>
  </si>
  <si>
    <t>Please indicate if you expect your revaluation to increase, decrease, or no change.  If you are not listed please select N/A</t>
  </si>
  <si>
    <t>I</t>
  </si>
  <si>
    <t>Do you operate a landfill that will be closing  or have a significant portion closing within the next 5 years</t>
  </si>
  <si>
    <t>Please have the completed audit report available to complete this form.  ALL questions must be answered before submitting to the portal.</t>
  </si>
  <si>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 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</si>
  <si>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</si>
  <si>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</si>
  <si>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</si>
  <si>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</si>
  <si>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</si>
  <si>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</si>
  <si>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</si>
  <si>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</si>
  <si>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</si>
  <si>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</si>
  <si>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We cannot complete our review process when "protection" is placed on the submitted documents.</t>
  </si>
  <si>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</si>
  <si>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</si>
  <si>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t>Agrees</t>
  </si>
  <si>
    <t>from 2021 control Sheet</t>
  </si>
  <si>
    <t>from collection tab</t>
  </si>
  <si>
    <t>Intergovernmental Data Code</t>
  </si>
  <si>
    <t>WS - Total Current Assets</t>
  </si>
  <si>
    <t>WS - Select Current Liabilities</t>
  </si>
  <si>
    <t>Electric - Total Current Assets</t>
  </si>
  <si>
    <t>WS Cap Asset - Land &amp; other Non-Construction</t>
  </si>
  <si>
    <t>Gov - Select Current Liabilities</t>
  </si>
  <si>
    <t>GA- Total General revenues (No transfers, special, extraordinary items)(SOA)</t>
  </si>
  <si>
    <t>WS - Total Non-Operating Revenues-exclude capital contrib.</t>
  </si>
  <si>
    <t>Electric - Total Transfers Out (to all funds)</t>
  </si>
  <si>
    <t>Gen Fund - Any Adj. to Beginning Net Position</t>
  </si>
  <si>
    <t>Gen Fund - Total Expenditures</t>
  </si>
  <si>
    <t>Gen Fund - Proceeds from LTD</t>
  </si>
  <si>
    <t>Amount of the Water Sewer Fund Balance appropriated in next year's budget</t>
  </si>
  <si>
    <t>OPEB
1-implicit rate only
2-no benefit
3-benfit
4- state health plan</t>
  </si>
  <si>
    <t>Yes  or "1" indicates unit has defined benefit other than the ones adm. By the state</t>
  </si>
  <si>
    <t>WS-Advance From - Liability</t>
  </si>
  <si>
    <t>WS-Advance To - Asset</t>
  </si>
  <si>
    <t>Electric-Advance From - Liability</t>
  </si>
  <si>
    <t>Electric-Advance To - Asset</t>
  </si>
  <si>
    <t>GF - Advance to</t>
  </si>
  <si>
    <t>Compliance opinion - enter "1" for clean Opinion or "2" for other than clean opinion</t>
  </si>
  <si>
    <t>LEO - plan's fiduary net position as a % of total pension liability</t>
  </si>
  <si>
    <t>Do you expect to issue debt requiring LGC approval within 12 months from the date that the audit is submitted - select "1" for year and "2" for no</t>
  </si>
  <si>
    <t>IMPORT TAB ONLY - OPEB - If a unit is an employer participant in the State's RHBF (Retiree Health Benefit Fund) then only the Net OPEB liability is available and should be put in the reviewer correction field, column D.  It should be the total amount of t</t>
  </si>
  <si>
    <t>Unit's Share of Net Pension Liability ($s)
- unit of government is a participating employer in the State's TSERS (Teachers' and State Employees' Retirement System) or the LGERS (Local Governmental Employees' Retirement System).</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</si>
  <si>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</si>
  <si>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</si>
  <si>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</si>
  <si>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</si>
  <si>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</si>
  <si>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</si>
  <si>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GW-Current Liabilities - closure/Postclosure</t>
  </si>
  <si>
    <t>Debt Service Funds Total Fund Balance</t>
  </si>
  <si>
    <t>WS-Any current assets that are restricted (Cash, Accounts Rec., ect.)</t>
  </si>
  <si>
    <t>Electric-Total Current Assets as presented on the Statement of Net Position</t>
  </si>
  <si>
    <t>Electric-Any current assets that are restricted (Cash, Accounts Rec., ect.)</t>
  </si>
  <si>
    <t>OPEB- Total OPEB liability</t>
  </si>
  <si>
    <t>OPEB-OPEB plan fiduciary net position</t>
  </si>
  <si>
    <t>Single Audit Only - Other CARES Act /Coronavirus funding</t>
  </si>
  <si>
    <t>TD-Was a Unmodified Audit Opinion issued?</t>
  </si>
  <si>
    <t>TD-Was there a finding for lack of segregation of duties at this unit?</t>
  </si>
  <si>
    <t>First name of finance officer or interim finance officer (please enter GÇ£vacantGÇ¥ for first or last name if the position is currently vacant)</t>
  </si>
  <si>
    <t>Peggy</t>
  </si>
  <si>
    <t>Susan</t>
  </si>
  <si>
    <t>Last name of finance officer or interim finance officer (please enter GÇ£vacantGÇ¥ for first or last name if the position is currently vacant)</t>
  </si>
  <si>
    <t>Is the finance officer serving in a permanent role or an interim role? (permanent/interim/vacant)</t>
  </si>
  <si>
    <t>Has the finance officer been formally appointed by the local government, public authority, or designated official?  (Y/N)</t>
  </si>
  <si>
    <t>TD-Is there a finding for lack of technical skills, knowledge and experience (SKE) at this unit?</t>
  </si>
  <si>
    <t>Date on which the local government, public authority, or designated official appointed the finance officer? (If the date of appointment by the board is difficult to find you may enter January 1 and the year)</t>
  </si>
  <si>
    <t>1/1/2021</t>
  </si>
  <si>
    <t>1/1/2010</t>
  </si>
  <si>
    <t>1/1/2020</t>
  </si>
  <si>
    <t>TD-Is there is a going concern finding noted in the audit report?</t>
  </si>
  <si>
    <t>TD-Number of significant deficiency findings (other than in Questions 10-13 )</t>
  </si>
  <si>
    <t>TD-Number of material weaknesses findings (other than in Questions 10-13)</t>
  </si>
  <si>
    <t>Has the finance officer or interim finance officer submitted (or has ensured the submission of) all required and applicable reports, including but not limited to, the annual audit report (N.C.G.S. 159-34), the semi-annual report on cash and investments (GÇ£</t>
  </si>
  <si>
    <t>TD-Did unit have their debt service payments restructured in this fiscal year? (does not include refinancings designed to take advantage of lower interest rates)</t>
  </si>
  <si>
    <t>Name of Official who signed the Data Input Worksheet</t>
  </si>
  <si>
    <t>Title of Official who signed the Data input Worksheet</t>
  </si>
  <si>
    <t>Finance Director</t>
  </si>
  <si>
    <t>Finance Officer</t>
  </si>
  <si>
    <t>Town Clerk</t>
  </si>
  <si>
    <t>Town Manager</t>
  </si>
  <si>
    <t>Date the FO signed the Data Input worksheet</t>
  </si>
  <si>
    <t>Telephone number of the FO who signed the data input worksheet</t>
  </si>
  <si>
    <t>E-mail address of FO who signed the data input worksheet</t>
  </si>
  <si>
    <t>Did the Unit have any of the following occur:
1.  Were any debt service payments deferred or restructured in this fiscal year? (does not include refinancings designed to take advantage of lower interest rates)
2.  Bond covenants were not met
3.  Debt serv</t>
  </si>
  <si>
    <t>The Auditor will submit the Audit Report to the LGC within five months plus one day after the fiscal year end.-á (for units with a June 30th fiscal year-end this would be December 1)-á-á Select Yes or No</t>
  </si>
  <si>
    <t>Amount of Ad valorem tax collected (including motor vehicle and prior years) reported on budget actual statement</t>
  </si>
  <si>
    <t>Amount of Ad valorem tax budgeted (including motor vehicle and prior years) reported on budget actual statement</t>
  </si>
  <si>
    <t>Estimated cost of any mandate placed on unit by DEQ, a court order or some similar requirement (that has no realistic appeal path) that the finacial effect will be greater that 3% of the WS budget and is not already been budgeted.</t>
  </si>
  <si>
    <t>Do you operate a landfill that will be closing  or have a significant portion closing within the next 5 years?</t>
  </si>
  <si>
    <t>If you answered "yes" to question CCH #988 above, will you have the closure/postclosure cost fully funded by the date of closure?</t>
  </si>
  <si>
    <t>The Counties listed in cell H260 are scheduled to revalue property listing by 1/1/2022 according to the Dept. of Revenue records.  Please indicate if you expect your revaluation to increase, decrease, or no change.  If you are not listed please select N/A</t>
  </si>
  <si>
    <t>Total of Above Accounts</t>
  </si>
  <si>
    <t>Total Assets less Internal Balances Formula: =385-576</t>
  </si>
  <si>
    <t>Reverse import tab calculation to value reported on DIW unit data from audit worksheet tab for account 385</t>
  </si>
  <si>
    <t>Total Current Liabilites less Internal Balances Formula: =626-576</t>
  </si>
  <si>
    <t>Reverse import tab calculation to value reported on unit DIW data from audit worksheet tab for account 626</t>
  </si>
  <si>
    <t>Total Liabilities and total deferred inflows less internal balances Formula: =338-576</t>
  </si>
  <si>
    <t>Reverse import tab calculation to value reported on DIW unit data from audit worksheet tab for account 338</t>
  </si>
  <si>
    <t>DIW Water and/or Sewer Section Formula: If (996 = 0.01| "LGC Records indicate that your unit has an operational Water and/or Sewer system and needs to complete the Water Sewer Question"||)</t>
  </si>
  <si>
    <t>Message is linked  to DIW unit data from audit worksheet tab as reminder to provide water and sewer financial information if unit has water and sewer operations</t>
  </si>
  <si>
    <t>LGC Records indicate that your unit has an operational Water and/or Sewer system and needs to complete the Water Sewer Question</t>
  </si>
  <si>
    <t>GF FBA without Powell Bill Formula: 506+536-4-5-6-11+647</t>
  </si>
  <si>
    <t>Numerator in formula for GF FBA% of Exp w/o Powell Bill. New Account 647 for FY 2020 added to formula</t>
  </si>
  <si>
    <t>GF Exp and Tran out Formula: 532+20+509-533-508</t>
  </si>
  <si>
    <t>Denominator in formula for GF FBA% of Exp w/o Powell Bill</t>
  </si>
  <si>
    <t>New Account 647 for FY 2020 added to formula</t>
  </si>
  <si>
    <t>Enterprise Fund Quick Ratio Formula: =(13-534)/14</t>
  </si>
  <si>
    <t>WS Quick Ratio Formula: (654-655-579-510)/(633-634-635-636-637-638-578)</t>
  </si>
  <si>
    <t>New accounts and new formula beginning in FY 2020.  Ratio calculated before FY 2020 will not be accurate</t>
  </si>
  <si>
    <t>Statistic reported on DIW FPIC tab</t>
  </si>
  <si>
    <t>WS Quick Ratio Formula: (44-510)/45</t>
  </si>
  <si>
    <t>Formula used beginning in FY 2012  is currently used for various website and memo reports.  Formula 10 ratio should match this ratio beginning in FY 2020.</t>
  </si>
  <si>
    <t>Elec Quick ratio Formula: (657-658-511-581)/(639-640-641-642-643-644-580)</t>
  </si>
  <si>
    <t>New accounts and new formula beginning in FY 2020. Ratio calculated prior to FY 2020 will not be accurate.</t>
  </si>
  <si>
    <t>Elec Quick Ratio Formula: (47-511)/48</t>
  </si>
  <si>
    <t>Formula used beginning in FY 2012  is currently used for various website and memo reports. Formula 14 ratio should match this ratio beginning in FY 2020.</t>
  </si>
  <si>
    <t>Gov - Select Current Liabilities plus adjustment for account 576 negative internal blances on import tab Formula: 626-627-628-629-630-631-632</t>
  </si>
  <si>
    <t>Gov - Select Current Liabilities - new accounts and new formula beginning in FY 2020 (626-627-628-629-630-631-632). Account 576 negative internal balance is added to account 626 on import tab. Formula 18 and Formulas 19 should have the same value.</t>
  </si>
  <si>
    <t>Gov - Select Current Liabilities Formula: 336</t>
  </si>
  <si>
    <t>Gov - Select Current Liabilities = The sum of accounts (626-627-628-629-630-631-632) plus account 576 negative internal balance is reported in account 336 on import tab. Formulas 18 and Formula 19 should have the same value. The sum of these accounts are used by the Benchmarking Tool on the website.</t>
  </si>
  <si>
    <t>not on unit data from audit -Total</t>
  </si>
  <si>
    <t>St. Helena</t>
  </si>
  <si>
    <t>St. James</t>
  </si>
  <si>
    <t>St. Pauls</t>
  </si>
  <si>
    <t>Staley</t>
  </si>
  <si>
    <t>Stallings</t>
  </si>
  <si>
    <t>Stanfield</t>
  </si>
  <si>
    <t>Stantonsburg</t>
  </si>
  <si>
    <t>Star</t>
  </si>
  <si>
    <t>Statesville</t>
  </si>
  <si>
    <t>Stedman</t>
  </si>
  <si>
    <t>Stem</t>
  </si>
  <si>
    <t>Stokesdale</t>
  </si>
  <si>
    <t>Stoneville</t>
  </si>
  <si>
    <t>Stovall</t>
  </si>
  <si>
    <t>Sugar Mountain</t>
  </si>
  <si>
    <t>Summerfield</t>
  </si>
  <si>
    <t>Sunset Beach</t>
  </si>
  <si>
    <t>Surf City</t>
  </si>
  <si>
    <t>Swansboro</t>
  </si>
  <si>
    <t>Swepsonville</t>
  </si>
  <si>
    <t>Sylva</t>
  </si>
  <si>
    <t>Tar Heel</t>
  </si>
  <si>
    <t>Tarboro</t>
  </si>
  <si>
    <t>Thomasville</t>
  </si>
  <si>
    <t>Tobaccoville</t>
  </si>
  <si>
    <t>Topsail Beach</t>
  </si>
  <si>
    <t>Trent Woods</t>
  </si>
  <si>
    <t>Trenton</t>
  </si>
  <si>
    <t>Trinity</t>
  </si>
  <si>
    <t>Troutman</t>
  </si>
  <si>
    <t>Troy</t>
  </si>
  <si>
    <t>Turkey</t>
  </si>
  <si>
    <t>Unionville</t>
  </si>
  <si>
    <t>Valdese</t>
  </si>
  <si>
    <t>Vandemere</t>
  </si>
  <si>
    <t>Varnamtown</t>
  </si>
  <si>
    <t>Wade</t>
  </si>
  <si>
    <t>Wadesboro</t>
  </si>
  <si>
    <t>Wagram</t>
  </si>
  <si>
    <t>Walkertown</t>
  </si>
  <si>
    <t>Wallace</t>
  </si>
  <si>
    <t>Wallburg</t>
  </si>
  <si>
    <t>Walnut Cove</t>
  </si>
  <si>
    <t>Walstonburg</t>
  </si>
  <si>
    <t>Warsaw</t>
  </si>
  <si>
    <t>Washington</t>
  </si>
  <si>
    <t>Washington Park</t>
  </si>
  <si>
    <t>Watha</t>
  </si>
  <si>
    <t>Waxhaw</t>
  </si>
  <si>
    <t>Waynesville</t>
  </si>
  <si>
    <t>Weaverville</t>
  </si>
  <si>
    <t>Webster</t>
  </si>
  <si>
    <t>Weddington</t>
  </si>
  <si>
    <t>Weldon</t>
  </si>
  <si>
    <t>Wendell</t>
  </si>
  <si>
    <t>Wentworth</t>
  </si>
  <si>
    <t>Wesley Chapel</t>
  </si>
  <si>
    <t>West Jefferson</t>
  </si>
  <si>
    <t>Whispering Pines</t>
  </si>
  <si>
    <t>Whiteville</t>
  </si>
  <si>
    <t>Whitsett</t>
  </si>
  <si>
    <t>Williamston</t>
  </si>
  <si>
    <t>Wilson</t>
  </si>
  <si>
    <t>Wilson's Mills</t>
  </si>
  <si>
    <t>Windsor</t>
  </si>
  <si>
    <t>Winfall</t>
  </si>
  <si>
    <t>Wingate</t>
  </si>
  <si>
    <t>Winterville</t>
  </si>
  <si>
    <t>Woodfin</t>
  </si>
  <si>
    <t>Woodland</t>
  </si>
  <si>
    <t>Wrightsville Beach</t>
  </si>
  <si>
    <t>Yadkinville</t>
  </si>
  <si>
    <t>Youngsville</t>
  </si>
  <si>
    <t>Zebulon</t>
  </si>
  <si>
    <t>Graham</t>
  </si>
  <si>
    <t>Hudson</t>
  </si>
  <si>
    <t>Town Administrator</t>
  </si>
  <si>
    <t>Governmental Activities - Benchmarking Tool uses account 336 in the code to calculate liquidity quick ratio.  Must be included on imported to CCH and SQL database.  Memos used these accounts as well.</t>
  </si>
  <si>
    <t>Governmental Activities - Benchmarking Tool uses account 336 in the code to calculate liquidity quick ratio.  Must be included on imported to CCH and SQL database. Memos used these accounts as well.</t>
  </si>
  <si>
    <t>Telephone Number and Ext., etc.</t>
  </si>
  <si>
    <t>formula code</t>
  </si>
  <si>
    <t>Linda</t>
  </si>
  <si>
    <t>1/1/2015</t>
  </si>
  <si>
    <t>7/1/2020</t>
  </si>
  <si>
    <t xml:space="preserve">PERFORMANCE INDICATORS </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</si>
  <si>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 unit must submit a "Response to the Auditor's Findings, Recommendations, and Fiscal Matters" within 60 days from the auditor's board presentation.  The response must address all performance indicators shaded in red.</t>
  </si>
  <si>
    <t>This column provides the accounts and formula used in the calculation.  If the Unit Results cell is red, please verify that the data is entered correctly in the "Unit Data From Audit Worksheet" or "TD Info Completed by Auditor" as indicated for accounts listed in Column J.</t>
  </si>
  <si>
    <t>1.</t>
  </si>
  <si>
    <t>2.</t>
  </si>
  <si>
    <t>Units of government are grouped by general fund expenditures for purposes of evaluating available fund balance as a percentage of expenditures (GF FBA%).  Each grouping category has its own minimum threshold. If you are in the lower quartile your GF FBA% might be considered a performance indicator of concern and you might be asked to communicate to us. To the left are the minimum thresholds for Municipalities and Counties.</t>
  </si>
  <si>
    <t>3.</t>
  </si>
  <si>
    <t>4.</t>
  </si>
  <si>
    <t>Note: If more than one performance indicator is identified,  one proposed solution may solve all water and sewer performance indicators.</t>
  </si>
  <si>
    <t>5.</t>
  </si>
  <si>
    <t>Cash Flow Indicators:</t>
  </si>
  <si>
    <t>6.</t>
  </si>
  <si>
    <t>7.</t>
  </si>
  <si>
    <t>The rate structure of the Water and Sewer Fund should support the operating expenses of the fund without operating subsidies or transfers from other funds.</t>
  </si>
  <si>
    <t>Note: If more than one performance indicator is identified,  one proposed solution may solve all electric performance indicators.</t>
  </si>
  <si>
    <t>The unit had problems with debt service payments being late and/or did not comply with the bond covenants.</t>
  </si>
  <si>
    <t>You indicated that you expect a decrease in property value for your next property revaluation.   In your FPIC Response Letter please discuss the magnitude of the drop in valuation, the overall cause of the drop and how you plan to recover the lost revenues.</t>
  </si>
  <si>
    <t>The unit has expenditures that exceed the legal budget ordinance.  This indicates that the unit's purchase order system, contract approval process and / or payment process is not in compliance with North Carolina General Statute 159.</t>
  </si>
  <si>
    <t>Ahoskie</t>
  </si>
  <si>
    <t>Alamance</t>
  </si>
  <si>
    <t>Albemarle</t>
  </si>
  <si>
    <t>Alliance</t>
  </si>
  <si>
    <t>Transfers to Electric Capital Projects Per Audit</t>
  </si>
  <si>
    <t>Angier</t>
  </si>
  <si>
    <t>Ansonville</t>
  </si>
  <si>
    <t>Apex</t>
  </si>
  <si>
    <t>Arapahoe</t>
  </si>
  <si>
    <t>Archdale</t>
  </si>
  <si>
    <t>Archer Lodge</t>
  </si>
  <si>
    <t>Asheboro</t>
  </si>
  <si>
    <t>Asheville</t>
  </si>
  <si>
    <t>Atkinson</t>
  </si>
  <si>
    <t>Amount Transferred minus PILOT and Transfers to Electric Capital Projects</t>
  </si>
  <si>
    <t>Atlantic Beach</t>
  </si>
  <si>
    <t>Aurora</t>
  </si>
  <si>
    <t>Autryville</t>
  </si>
  <si>
    <t>Bakersville</t>
  </si>
  <si>
    <t>Bald Head Island</t>
  </si>
  <si>
    <t>Banner Elk</t>
  </si>
  <si>
    <t>Bayboro</t>
  </si>
  <si>
    <t>Bear Grass</t>
  </si>
  <si>
    <t>Beaufort</t>
  </si>
  <si>
    <t>Beech Mountain</t>
  </si>
  <si>
    <t>Bethania</t>
  </si>
  <si>
    <t>Belwood</t>
  </si>
  <si>
    <t>Benson</t>
  </si>
  <si>
    <t>Bermuda Run</t>
  </si>
  <si>
    <t>Bessemer City</t>
  </si>
  <si>
    <t>Beulaville</t>
  </si>
  <si>
    <t>Biltmore Forest</t>
  </si>
  <si>
    <t>Biscoe</t>
  </si>
  <si>
    <t>Black Mountain</t>
  </si>
  <si>
    <t>Bladenboro</t>
  </si>
  <si>
    <t>Blowing Rock</t>
  </si>
  <si>
    <t>Bogue</t>
  </si>
  <si>
    <t>Boiling Springs</t>
  </si>
  <si>
    <t>Boiling Spring Lakes</t>
  </si>
  <si>
    <t>Bolivia</t>
  </si>
  <si>
    <t>Boone</t>
  </si>
  <si>
    <t>Boonville</t>
  </si>
  <si>
    <t>Bostic</t>
  </si>
  <si>
    <t>Bridgeton</t>
  </si>
  <si>
    <t>Broadway</t>
  </si>
  <si>
    <t>Brookford</t>
  </si>
  <si>
    <t>Brunswick</t>
  </si>
  <si>
    <t>Bryson City</t>
  </si>
  <si>
    <t>Burgaw</t>
  </si>
  <si>
    <t>Burlington</t>
  </si>
  <si>
    <t>Burnsville</t>
  </si>
  <si>
    <t>Butner</t>
  </si>
  <si>
    <t>Cajah's Mountain</t>
  </si>
  <si>
    <t>Calabash</t>
  </si>
  <si>
    <t>Calypso</t>
  </si>
  <si>
    <t>Cameron</t>
  </si>
  <si>
    <t>Candor</t>
  </si>
  <si>
    <t>Canton</t>
  </si>
  <si>
    <t>Cape Carteret</t>
  </si>
  <si>
    <t>Carolina Beach</t>
  </si>
  <si>
    <t>Carolina Shores</t>
  </si>
  <si>
    <t>Carrboro</t>
  </si>
  <si>
    <t>Carthage</t>
  </si>
  <si>
    <t>Cary</t>
  </si>
  <si>
    <t>Caswell Beach</t>
  </si>
  <si>
    <t>Catawba</t>
  </si>
  <si>
    <t>Cedar Point</t>
  </si>
  <si>
    <t>Cedar Rock</t>
  </si>
  <si>
    <t>Chadbourn</t>
  </si>
  <si>
    <t>Cherryville</t>
  </si>
  <si>
    <t>China Grove</t>
  </si>
  <si>
    <t>Claremont</t>
  </si>
  <si>
    <t>Clayton</t>
  </si>
  <si>
    <t>Clemmons</t>
  </si>
  <si>
    <t>Cleveland</t>
  </si>
  <si>
    <t>Clinton</t>
  </si>
  <si>
    <t>Clyde</t>
  </si>
  <si>
    <t>Coats</t>
  </si>
  <si>
    <t>Columbus</t>
  </si>
  <si>
    <t>Como</t>
  </si>
  <si>
    <t>Concord</t>
  </si>
  <si>
    <t>Connelly Springs</t>
  </si>
  <si>
    <t>Conover</t>
  </si>
  <si>
    <t>Conway</t>
  </si>
  <si>
    <t>Cooleemee</t>
  </si>
  <si>
    <t>Cornelius</t>
  </si>
  <si>
    <t>Cove City</t>
  </si>
  <si>
    <t>Cramerton</t>
  </si>
  <si>
    <t>Creedmoor</t>
  </si>
  <si>
    <t>Crossnore</t>
  </si>
  <si>
    <t>Danbury</t>
  </si>
  <si>
    <t>Davidson</t>
  </si>
  <si>
    <t>Denton</t>
  </si>
  <si>
    <t>Dillsboro</t>
  </si>
  <si>
    <t>Dobson</t>
  </si>
  <si>
    <t>Dortches</t>
  </si>
  <si>
    <t>Drexel</t>
  </si>
  <si>
    <t>Dublin</t>
  </si>
  <si>
    <t>Duck</t>
  </si>
  <si>
    <t>Dunn</t>
  </si>
  <si>
    <t>East Arcadia</t>
  </si>
  <si>
    <t>East Bend</t>
  </si>
  <si>
    <t>Eastover</t>
  </si>
  <si>
    <t>Eden</t>
  </si>
  <si>
    <t>Edenton</t>
  </si>
  <si>
    <t>Elizabethtown</t>
  </si>
  <si>
    <t>Elk Park</t>
  </si>
  <si>
    <t>Elkin</t>
  </si>
  <si>
    <t>Ellenboro</t>
  </si>
  <si>
    <t>Elon</t>
  </si>
  <si>
    <t>Emerald Isle</t>
  </si>
  <si>
    <t>Fairview</t>
  </si>
  <si>
    <t>Faison</t>
  </si>
  <si>
    <t>Faith</t>
  </si>
  <si>
    <t>Falcon</t>
  </si>
  <si>
    <t>Falkland</t>
  </si>
  <si>
    <t>Fallston</t>
  </si>
  <si>
    <t>Farmville</t>
  </si>
  <si>
    <t>Fayetteville</t>
  </si>
  <si>
    <t>Flat Rock</t>
  </si>
  <si>
    <t>Fletcher</t>
  </si>
  <si>
    <t>Forest City</t>
  </si>
  <si>
    <t>Forest Hills</t>
  </si>
  <si>
    <t>Fountain</t>
  </si>
  <si>
    <t>Foxfire Village</t>
  </si>
  <si>
    <t>Franklin</t>
  </si>
  <si>
    <t>Franklinton</t>
  </si>
  <si>
    <t>Fuquay-Varina</t>
  </si>
  <si>
    <t>Gamewell</t>
  </si>
  <si>
    <t>Garland</t>
  </si>
  <si>
    <t>Garner</t>
  </si>
  <si>
    <t>Garysburg</t>
  </si>
  <si>
    <t>Gastonia</t>
  </si>
  <si>
    <t>Gatesville</t>
  </si>
  <si>
    <t>Gibsonville</t>
  </si>
  <si>
    <t>Godwin</t>
  </si>
  <si>
    <t>Goldston</t>
  </si>
  <si>
    <t>Grandfather Village</t>
  </si>
  <si>
    <t>Granite Falls</t>
  </si>
  <si>
    <t>Granite Quarry</t>
  </si>
  <si>
    <t>Grantsboro</t>
  </si>
  <si>
    <t>Grifton</t>
  </si>
  <si>
    <t>Grimesland</t>
  </si>
  <si>
    <t>Harmony</t>
  </si>
  <si>
    <t>Harrells</t>
  </si>
  <si>
    <t>Harrellsville</t>
  </si>
  <si>
    <t>Harrisburg</t>
  </si>
  <si>
    <t>Havelock</t>
  </si>
  <si>
    <t>Hayesville</t>
  </si>
  <si>
    <t>Hemby Bridge</t>
  </si>
  <si>
    <t>Hendersonville</t>
  </si>
  <si>
    <t>Hickory</t>
  </si>
  <si>
    <t>High Shoals</t>
  </si>
  <si>
    <t>Highlands</t>
  </si>
  <si>
    <t>Hildebran</t>
  </si>
  <si>
    <t>Hillsborough</t>
  </si>
  <si>
    <t>Hobgood</t>
  </si>
  <si>
    <t>Holden Beach</t>
  </si>
  <si>
    <t>Holly Springs</t>
  </si>
  <si>
    <t>Hope Mills</t>
  </si>
  <si>
    <t>Hot Springs</t>
  </si>
  <si>
    <t>Huntersville</t>
  </si>
  <si>
    <t>Indian Trail</t>
  </si>
  <si>
    <t>Jacksonville</t>
  </si>
  <si>
    <t>Jamestown</t>
  </si>
  <si>
    <t>Jamesville</t>
  </si>
  <si>
    <t>Jefferson</t>
  </si>
  <si>
    <t>Jonesville</t>
  </si>
  <si>
    <t>Kannapolis</t>
  </si>
  <si>
    <t>Kelford</t>
  </si>
  <si>
    <t>Kenansville</t>
  </si>
  <si>
    <t>Kenly</t>
  </si>
  <si>
    <t>Kernersville</t>
  </si>
  <si>
    <t>Kill Devil Hills</t>
  </si>
  <si>
    <t>King</t>
  </si>
  <si>
    <t>Kings Mountain</t>
  </si>
  <si>
    <t>Kinston</t>
  </si>
  <si>
    <t>Kittrell</t>
  </si>
  <si>
    <t>Kitty Hawk</t>
  </si>
  <si>
    <t>Knightdale</t>
  </si>
  <si>
    <t>Kure Beach</t>
  </si>
  <si>
    <t>La Grange</t>
  </si>
  <si>
    <t>Lake Lure</t>
  </si>
  <si>
    <t>Lake Park</t>
  </si>
  <si>
    <t>Lake Santeetlah</t>
  </si>
  <si>
    <t>Lake Waccamaw</t>
  </si>
  <si>
    <t>Landis</t>
  </si>
  <si>
    <t>Lansing</t>
  </si>
  <si>
    <t>Lasker</t>
  </si>
  <si>
    <t>Lattimore</t>
  </si>
  <si>
    <t>Laurel Park</t>
  </si>
  <si>
    <t>Laurinburg</t>
  </si>
  <si>
    <t>Lawndale</t>
  </si>
  <si>
    <t>Leggett</t>
  </si>
  <si>
    <t>Leland</t>
  </si>
  <si>
    <t>Lenoir</t>
  </si>
  <si>
    <t>Lewiston-Woodville</t>
  </si>
  <si>
    <t>Lewisville</t>
  </si>
  <si>
    <t>Lexington</t>
  </si>
  <si>
    <t>Liberty</t>
  </si>
  <si>
    <t>Lilesville</t>
  </si>
  <si>
    <t>Lillington</t>
  </si>
  <si>
    <t>Lincolnton</t>
  </si>
  <si>
    <t>Linden</t>
  </si>
  <si>
    <t>Littleton</t>
  </si>
  <si>
    <t>Locust</t>
  </si>
  <si>
    <t>Long View</t>
  </si>
  <si>
    <t>Louisburg</t>
  </si>
  <si>
    <t>Lowell</t>
  </si>
  <si>
    <t>Lumber Bridge</t>
  </si>
  <si>
    <t>Madison</t>
  </si>
  <si>
    <t>Maggie Valley</t>
  </si>
  <si>
    <t>Maiden</t>
  </si>
  <si>
    <t>Manteo</t>
  </si>
  <si>
    <t>Marietta</t>
  </si>
  <si>
    <t>Marion</t>
  </si>
  <si>
    <t>Mars Hill</t>
  </si>
  <si>
    <t>Marshall</t>
  </si>
  <si>
    <t>Marshville</t>
  </si>
  <si>
    <t>Marvin</t>
  </si>
  <si>
    <t>Matthews</t>
  </si>
  <si>
    <t>Maxton</t>
  </si>
  <si>
    <t>Mayodan</t>
  </si>
  <si>
    <t>McAdenville</t>
  </si>
  <si>
    <t>McDonald</t>
  </si>
  <si>
    <t>McFarlan</t>
  </si>
  <si>
    <t>Mebane</t>
  </si>
  <si>
    <t>Mesic</t>
  </si>
  <si>
    <t>Middlesex</t>
  </si>
  <si>
    <t>Midland</t>
  </si>
  <si>
    <t>Midway</t>
  </si>
  <si>
    <t>Mills River</t>
  </si>
  <si>
    <t>Mineral Springs</t>
  </si>
  <si>
    <t>Minnesott Beach</t>
  </si>
  <si>
    <t>Misenheimer</t>
  </si>
  <si>
    <t>Mocksville</t>
  </si>
  <si>
    <t>Momeyer</t>
  </si>
  <si>
    <t>Monroe</t>
  </si>
  <si>
    <t>Mooresboro</t>
  </si>
  <si>
    <t>Mooresville</t>
  </si>
  <si>
    <t>Morehead City</t>
  </si>
  <si>
    <t>Morganton</t>
  </si>
  <si>
    <t>Morrisville</t>
  </si>
  <si>
    <t>Morven</t>
  </si>
  <si>
    <t>Mount Airy</t>
  </si>
  <si>
    <t>Mount Gilead</t>
  </si>
  <si>
    <t>Mount Pleasant</t>
  </si>
  <si>
    <t>Murfreesboro</t>
  </si>
  <si>
    <t>Murphy</t>
  </si>
  <si>
    <t>Nags Head</t>
  </si>
  <si>
    <t>Nashville</t>
  </si>
  <si>
    <t>New Bern</t>
  </si>
  <si>
    <t>New London</t>
  </si>
  <si>
    <t>Newland</t>
  </si>
  <si>
    <t>Newton</t>
  </si>
  <si>
    <t>North Topsail Beach</t>
  </si>
  <si>
    <t>North Wilkesboro</t>
  </si>
  <si>
    <t>Northwest</t>
  </si>
  <si>
    <t>Oak Island</t>
  </si>
  <si>
    <t>Oak Ridge</t>
  </si>
  <si>
    <t>Oakboro</t>
  </si>
  <si>
    <t>Ocean Isle Beach</t>
  </si>
  <si>
    <t>Old Fort</t>
  </si>
  <si>
    <t>Oriental</t>
  </si>
  <si>
    <t>Orrum</t>
  </si>
  <si>
    <t>Ossipee</t>
  </si>
  <si>
    <t>Oxford</t>
  </si>
  <si>
    <t>Pantego</t>
  </si>
  <si>
    <t>Parkton</t>
  </si>
  <si>
    <t>Parmele</t>
  </si>
  <si>
    <t>Patterson Springs</t>
  </si>
  <si>
    <t>Peachland</t>
  </si>
  <si>
    <t>Peletier</t>
  </si>
  <si>
    <t>Pembroke</t>
  </si>
  <si>
    <t>Pine Knoll Shores</t>
  </si>
  <si>
    <t>Pine Level</t>
  </si>
  <si>
    <t>Pinebluff</t>
  </si>
  <si>
    <t>Pinehurst</t>
  </si>
  <si>
    <t>Pinetops</t>
  </si>
  <si>
    <t>Pineville</t>
  </si>
  <si>
    <t>Pink Hill</t>
  </si>
  <si>
    <t>Pittsboro</t>
  </si>
  <si>
    <t>Pleasant Garden</t>
  </si>
  <si>
    <t>Polkton</t>
  </si>
  <si>
    <t>Powellsville</t>
  </si>
  <si>
    <t>Princeton</t>
  </si>
  <si>
    <t>Raeford</t>
  </si>
  <si>
    <t>Raleigh</t>
  </si>
  <si>
    <t>Randleman</t>
  </si>
  <si>
    <t>Raynham</t>
  </si>
  <si>
    <t>Red Cross</t>
  </si>
  <si>
    <t>Red Oak</t>
  </si>
  <si>
    <t>Reidsville</t>
  </si>
  <si>
    <t>Rennert</t>
  </si>
  <si>
    <t>Rhodhiss</t>
  </si>
  <si>
    <t>Richlands</t>
  </si>
  <si>
    <t>River Bend</t>
  </si>
  <si>
    <t>Roanoke Rapids</t>
  </si>
  <si>
    <t>Robbinsville</t>
  </si>
  <si>
    <t>Rockwell</t>
  </si>
  <si>
    <t>Rocky Mount</t>
  </si>
  <si>
    <t>Rolesville</t>
  </si>
  <si>
    <t>Roper</t>
  </si>
  <si>
    <t>Rose Hill</t>
  </si>
  <si>
    <t>Roxobel</t>
  </si>
  <si>
    <t>Rural Hall</t>
  </si>
  <si>
    <t>Rutherford College</t>
  </si>
  <si>
    <t>Rutherfordton</t>
  </si>
  <si>
    <t>Salemburg</t>
  </si>
  <si>
    <t>Salisbury</t>
  </si>
  <si>
    <t>Saluda</t>
  </si>
  <si>
    <t>Sandy Creek</t>
  </si>
  <si>
    <t>Sandyfield</t>
  </si>
  <si>
    <t>Sanford</t>
  </si>
  <si>
    <t>Saratoga</t>
  </si>
  <si>
    <t>Sawmills</t>
  </si>
  <si>
    <t>Seaboard</t>
  </si>
  <si>
    <t>Seagrove</t>
  </si>
  <si>
    <t>Selma</t>
  </si>
  <si>
    <t>Seven Devils</t>
  </si>
  <si>
    <t>Seven Springs</t>
  </si>
  <si>
    <t>Severn</t>
  </si>
  <si>
    <t>Shallotte</t>
  </si>
  <si>
    <t>Shelby</t>
  </si>
  <si>
    <t>Simpson</t>
  </si>
  <si>
    <t>Sims</t>
  </si>
  <si>
    <t>Smithfield</t>
  </si>
  <si>
    <t>Southern Pines</t>
  </si>
  <si>
    <t>Southern Shores</t>
  </si>
  <si>
    <t>Southport</t>
  </si>
  <si>
    <t>Sparta</t>
  </si>
  <si>
    <t>Speed</t>
  </si>
  <si>
    <t>Spencer</t>
  </si>
  <si>
    <t>Spindale</t>
  </si>
  <si>
    <t>Spring Hope</t>
  </si>
  <si>
    <t>Spruce Pine</t>
  </si>
  <si>
    <r>
      <rPr>
        <b/>
        <i/>
        <sz val="11"/>
        <rFont val="Calibri"/>
        <family val="2"/>
        <scheme val="minor"/>
      </rPr>
      <t>Payment in Lieu of Taxes Error (cell f27):</t>
    </r>
    <r>
      <rPr>
        <i/>
        <sz val="11"/>
        <rFont val="Calibri"/>
        <family val="2"/>
        <scheme val="minor"/>
      </rPr>
      <t xml:space="preserve">  When the "Actual Pilot" (cell F16) doesn't agree with the "Calculated Pilot" (cell G16) you will get an error message requiring you to investigate variance.</t>
    </r>
  </si>
  <si>
    <t>Less:</t>
  </si>
  <si>
    <t>Encumbrances at June 30 - General Fund (listed in the notes)</t>
  </si>
  <si>
    <t xml:space="preserve">Expenditures: </t>
  </si>
  <si>
    <t>Adjustments:</t>
  </si>
  <si>
    <r>
      <t xml:space="preserve">
In the past, units of government have been grouped by population to evaluate ratios and benchmarking (including Fund Balance Available).  Beginning with fiscal year 2020, we have grouped units by General Fund expenditures for purposes of evaluating the minimum amount of fund balance a unit needs to operate.  A unit's General Fund expenditures proved to be a better correlation to the amount of funds balance needed to operate, especially for units with large higher education or tourism populations. </t>
    </r>
    <r>
      <rPr>
        <b/>
        <sz val="14"/>
        <rFont val="Calibri"/>
        <family val="2"/>
        <scheme val="minor"/>
      </rPr>
      <t xml:space="preserve"> Activity from Debt Service Funds (if applicable) is included in the calculation because these funds typically originate from the General Fund and are transferred to a Debt Service Fund.</t>
    </r>
    <r>
      <rPr>
        <b/>
        <sz val="14"/>
        <color theme="1"/>
        <rFont val="Calibri"/>
        <family val="2"/>
        <scheme val="minor"/>
      </rPr>
      <t xml:space="preserve">
The table below lists the thresholds that are used in the analysis of your unit's fiscal health.  These thresholds were determined based on an analysis of previous years </t>
    </r>
    <r>
      <rPr>
        <b/>
        <sz val="14"/>
        <rFont val="Calibri"/>
        <family val="2"/>
        <scheme val="minor"/>
      </rPr>
      <t xml:space="preserve">general fund activity.  These thresholds will be monitored and updated as applicable. </t>
    </r>
  </si>
  <si>
    <t xml:space="preserve">This indicator shows that the local government did not collect 3% (or more) of its budgeted ad valorem taxes.  This could be an indicator of negative economic events, inaccurate budgeting, and/or issues with the collection process.  Uncollected revenues at the 3% level represent several pennies of the tax rate.  </t>
  </si>
  <si>
    <t>Spencer Mountain</t>
  </si>
  <si>
    <t>Column B</t>
  </si>
  <si>
    <t>Column F</t>
  </si>
  <si>
    <t>Transfers to Electric Capital Projects</t>
  </si>
  <si>
    <t>Percent of</t>
  </si>
  <si>
    <t>Gross Fixed</t>
  </si>
  <si>
    <t>Assets</t>
  </si>
  <si>
    <t>Amount of transfer out of the Electric to the General Fund that is for Payment in Lieu of Taxes (PILOT)</t>
  </si>
  <si>
    <t>Revenue</t>
  </si>
  <si>
    <t>Gross  Annual</t>
  </si>
  <si>
    <t>Amount expended for Powell Bill expenditures in the General Fund</t>
  </si>
  <si>
    <t>Electric Fund Revenue, Expenses &amp; Changes in Fund Net Position</t>
  </si>
  <si>
    <t>Electric Fund Revenue, Expenses &amp; Changes in Fund Net Position or Notes to Financial Statements</t>
  </si>
  <si>
    <t>Water &amp; Sewer Revenue, Expenses &amp; Changes in Fund Net Position</t>
  </si>
  <si>
    <t xml:space="preserve"> Mark to Market unrealized losses in the Electric Fund.</t>
  </si>
  <si>
    <t>Total ARPA funds actually expended since inception as of June 30th.  Do not include encumbered funds in this number.</t>
  </si>
  <si>
    <t>Did your audit disclose as a finding that the unit’s records were not completed by the agreed upon time? (Yes or No)</t>
  </si>
  <si>
    <t>Did your audit disclose as a finding any budget violations? (Yes or No)</t>
  </si>
  <si>
    <t>Did your audit disclose as a finding any statutory violations? (not including budget violations) (Yes or No)</t>
  </si>
  <si>
    <t xml:space="preserve">Is there a finding for lack of segregation of duties at this unit? </t>
  </si>
  <si>
    <t>Is there a finding for lack of technical skills, knowledge and experience (SKE) at this unit?</t>
  </si>
  <si>
    <t>Date (MM/DD/YYYY)</t>
  </si>
  <si>
    <t>Data Collection</t>
  </si>
  <si>
    <t>Unit Number</t>
  </si>
  <si>
    <t>Electric Fund  Transfer Policy</t>
  </si>
  <si>
    <t>NC Municipal Power Agency Number 1</t>
  </si>
  <si>
    <t>G.S. 159B-39</t>
  </si>
  <si>
    <t>subtotal of transfers to other funds</t>
  </si>
  <si>
    <t>Enter Numbers from Current Year Audit</t>
  </si>
  <si>
    <t>Values from Prior Year Audit</t>
  </si>
  <si>
    <t>NC Eastern Municipal Power Agency</t>
  </si>
  <si>
    <r>
      <rPr>
        <u/>
        <sz val="11"/>
        <color indexed="8"/>
        <rFont val="Calibri"/>
        <family val="2"/>
        <scheme val="minor"/>
      </rPr>
      <t>Did unit raise Water Sewer rates during the audited fiscal period</t>
    </r>
    <r>
      <rPr>
        <sz val="11"/>
        <color theme="1"/>
        <rFont val="Calibri"/>
        <family val="2"/>
        <scheme val="minor"/>
      </rPr>
      <t>? -</t>
    </r>
    <r>
      <rPr>
        <sz val="11"/>
        <color indexed="60"/>
        <rFont val="Calibri"/>
        <family val="2"/>
        <scheme val="minor"/>
      </rPr>
      <t xml:space="preserve"> answer Yes =1 or No= 2</t>
    </r>
  </si>
  <si>
    <r>
      <rPr>
        <u/>
        <sz val="11"/>
        <color indexed="8"/>
        <rFont val="Calibri"/>
        <family val="2"/>
        <scheme val="minor"/>
      </rPr>
      <t>Did unit raise Water Sewer rates during the budget year following the audited fiscal year</t>
    </r>
    <r>
      <rPr>
        <sz val="11"/>
        <color theme="1"/>
        <rFont val="Calibri"/>
        <family val="2"/>
        <scheme val="minor"/>
      </rPr>
      <t xml:space="preserve">? - </t>
    </r>
    <r>
      <rPr>
        <sz val="11"/>
        <color indexed="60"/>
        <rFont val="Calibri"/>
        <family val="2"/>
        <scheme val="minor"/>
      </rPr>
      <t>answer Yes=1 or No=2</t>
    </r>
  </si>
  <si>
    <r>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r>
    <r>
      <rPr>
        <b/>
        <sz val="11"/>
        <color theme="1"/>
        <rFont val="Calibri"/>
        <family val="2"/>
        <scheme val="minor"/>
      </rPr>
      <t xml:space="preserve">Select "1" for Yes and "2" for No.
</t>
    </r>
  </si>
  <si>
    <t>Trial Balance</t>
  </si>
  <si>
    <t>TD Info Completed by Auditor : CCH acct # 1057</t>
  </si>
  <si>
    <t xml:space="preserve">NC DEPARTMENT OF STATE TREASURER- STATE AND LOCAL GOVERNMENT FINANCE DIVISION
TD Info Completed by Auditor
</t>
  </si>
  <si>
    <t>Please see the INSTRUCTIONS worksheet before completing this form</t>
  </si>
  <si>
    <t>Positive Fund Balance</t>
  </si>
  <si>
    <t>The General Fund has a fund deficit which means that the unit's revenues and other receipts are inadequate to support its operations.  G.S. 159 13(b)(2) requires that the board fund the full amount of a prior fiscal year's deficit in the current fiscal year's budget.  Therefore, this deficit should have been funded immediately after the June 30, fiscal year-end.  The law requires such action be taken to stop any further deterioration of the overall financial condition of the fund.  Please let us know if the deficit was funded in the budget, and what actions the unit plans to take to bring the general fund balance up to an acceptable level.</t>
  </si>
  <si>
    <t>Positive Change in Fund Balance</t>
  </si>
  <si>
    <t>The General Fund had total fund balance less than zero - Fund Deficit</t>
  </si>
  <si>
    <t>TD Info Completed by Auditor : CCH acct # 1059</t>
  </si>
  <si>
    <t>Total American Rescue Plan Act (ARPA) of 2021-Coronavrius State &amp; Local Fiscal Recovery Funds actually expended since inception as of June 30th.  Do not include encumbered funds in this number.</t>
  </si>
  <si>
    <t>Total American Rescue Plan Act (ARPA) of 2021-Coronavrius State &amp; Local Fiscal Recovery Funds encumbered or obligated and not yet expended since inception as of June 30th.</t>
  </si>
  <si>
    <t xml:space="preserve">Explanation of Performance Indicator
</t>
  </si>
  <si>
    <t>If the General Fund has more expenditures than revenues because of operational issues and fund balance was appropriated to cover the loss, the continuation of this practice could result in deterioration of a unit's fund balance available.</t>
  </si>
  <si>
    <t>TD Info Completed by Auditor : CCH acct # 1055, 1056, 1058, 955 and 957</t>
  </si>
  <si>
    <r>
      <t xml:space="preserve">Notes From Auditor
</t>
    </r>
    <r>
      <rPr>
        <sz val="11"/>
        <rFont val="Calibri"/>
        <family val="2"/>
        <scheme val="minor"/>
      </rPr>
      <t xml:space="preserve">The Auditor can use the cells below to provide additional details that are pertinent to the performance indicator. </t>
    </r>
    <r>
      <rPr>
        <b/>
        <sz val="11"/>
        <rFont val="Calibri"/>
        <family val="2"/>
        <scheme val="minor"/>
      </rPr>
      <t>Please be aware even if notes are provided, an official response is still required (if applicable).</t>
    </r>
  </si>
  <si>
    <t>Use of General Fund Balance (account #23)</t>
  </si>
  <si>
    <t>DIW Batch Total</t>
  </si>
  <si>
    <r>
      <t xml:space="preserve">Mark to Market unrealized losses in the Water and Sewer Fund. </t>
    </r>
    <r>
      <rPr>
        <sz val="11"/>
        <color theme="5" tint="-0.499984740745262"/>
        <rFont val="Calibri"/>
        <family val="2"/>
        <scheme val="minor"/>
      </rPr>
      <t>(enter as a negative number)</t>
    </r>
  </si>
  <si>
    <r>
      <t xml:space="preserve"> Mark to Market unrealized losses in the Electric Fund. </t>
    </r>
    <r>
      <rPr>
        <sz val="11"/>
        <color theme="5" tint="-0.499984740745262"/>
        <rFont val="Calibri"/>
        <family val="2"/>
        <scheme val="minor"/>
      </rPr>
      <t>(enter as a negative number)</t>
    </r>
  </si>
  <si>
    <r>
      <t>Electric transfers-out have exceeded the amounts described in GS 159B-39.  If your unit is a member of the North Carolina Eastern Municipal Power Agency it appears you have violated the GS.  
                                                     OR</t>
    </r>
    <r>
      <rPr>
        <b/>
        <u/>
        <sz val="11"/>
        <rFont val="Calibri"/>
        <family val="2"/>
        <scheme val="minor"/>
      </rPr>
      <t xml:space="preserve">
</t>
    </r>
    <r>
      <rPr>
        <b/>
        <sz val="11"/>
        <rFont val="Calibri"/>
        <family val="2"/>
        <scheme val="minor"/>
      </rPr>
      <t xml:space="preserve">If you are not a member of the Eastern Municipal Power Agency it appears that you have violated your unit's transfer policy.
</t>
    </r>
  </si>
  <si>
    <t>Unit Data from Audit Worksheet tab : 9</t>
  </si>
  <si>
    <t>The budgeted ad valorem tax (including motor vehicles) for the General Fund had more than 3% uncollected for the fiscal year audited. Decreases are shown by a negative percentage.</t>
  </si>
  <si>
    <t>Operating Net Income (Loss) excluding depreciation, including debt service principal and interest</t>
  </si>
  <si>
    <t>Prior year CCH accounts 527, 356 and 93 along with current CCH account of this Data Input worksheet 648,366, 990 and 1051 were used in this calculation</t>
  </si>
  <si>
    <t>TD Info Completed by Auditor : CCH acct # 973</t>
  </si>
  <si>
    <r>
      <t>Mark to Market unrealized losses in the General Fund.</t>
    </r>
    <r>
      <rPr>
        <sz val="11"/>
        <color theme="5" tint="-0.499984740745262"/>
        <rFont val="Calibri"/>
        <family val="2"/>
        <scheme val="minor"/>
      </rPr>
      <t xml:space="preserve"> </t>
    </r>
    <r>
      <rPr>
        <sz val="11"/>
        <color theme="9" tint="-0.499984740745262"/>
        <rFont val="Calibri"/>
        <family val="2"/>
        <scheme val="minor"/>
      </rPr>
      <t>(enter as a negative number)</t>
    </r>
  </si>
  <si>
    <t>If unit is an employer participant in one of the State Cost Sharing Plans rows 185 - 187 should be blank.  Unless they have an additional single employer plan.</t>
  </si>
  <si>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located </t>
    </r>
    <r>
      <rPr>
        <sz val="12"/>
        <color rgb="FFFF0000"/>
        <rFont val="Cambria"/>
        <family val="1"/>
      </rPr>
      <t>at the end</t>
    </r>
    <r>
      <rPr>
        <sz val="12"/>
        <color theme="1"/>
        <rFont val="Cambria"/>
        <family val="1"/>
      </rPr>
      <t xml:space="preserve"> of the worksheet.  The worksheet must be </t>
    </r>
    <r>
      <rPr>
        <b/>
        <sz val="12"/>
        <color indexed="8"/>
        <rFont val="Cambria"/>
        <family val="1"/>
      </rPr>
      <t>submitted with the unit’s audit report</t>
    </r>
    <r>
      <rPr>
        <sz val="12"/>
        <color indexed="8"/>
        <rFont val="Cambria"/>
        <family val="1"/>
      </rPr>
      <t>.</t>
    </r>
  </si>
  <si>
    <r>
      <rPr>
        <b/>
        <i/>
        <sz val="11"/>
        <rFont val="Calibri"/>
        <family val="2"/>
        <scheme val="minor"/>
      </rPr>
      <t>Amount Transferred minus PILOT (cell F18)</t>
    </r>
    <r>
      <rPr>
        <i/>
        <sz val="11"/>
        <rFont val="Calibri"/>
        <family val="2"/>
        <scheme val="minor"/>
      </rPr>
      <t xml:space="preserve"> is calculated by taking the Amount Transferred per Audit (cell F7) and subtracts tranfers to electric capital project funds (cell f8). The calculation then subtracts the greater amount of PILOT (cells F16 or G16). When cell F18 exceeds the statutory calculation in cell F25, you will get an error message "No, unit exceeds limit by:"</t>
    </r>
  </si>
  <si>
    <t># of other matters that auditor asked the unit to respond to</t>
  </si>
  <si>
    <t xml:space="preserve">Unrestricted Cash and Investments </t>
  </si>
  <si>
    <t xml:space="preserve">Restricted cash and investments </t>
  </si>
  <si>
    <t>Total Fund Balance (From Audited Financial Statements) …………………</t>
  </si>
  <si>
    <t>Formula</t>
  </si>
  <si>
    <t>Non Spendable -  Inventory, Prepaids, or Other …………………</t>
  </si>
  <si>
    <t>Restricted - Stabilization by State Statute (From Audited Financial Statements) ……………</t>
  </si>
  <si>
    <t xml:space="preserve">    Negative Debt Refunding</t>
  </si>
  <si>
    <t xml:space="preserve">    Positive Debt Refunding</t>
  </si>
  <si>
    <t xml:space="preserve">          Total Expenditures (As Adjusted) ………………………………...…………………….</t>
  </si>
  <si>
    <t>=532+20+509-533-508</t>
  </si>
  <si>
    <t>Column C Formula</t>
  </si>
  <si>
    <t>Fund Balance Available for Performance Indicator</t>
  </si>
  <si>
    <t>General Fund Cash and investments - restricted…........................................................................................................</t>
  </si>
  <si>
    <t>Debt Service Fund Fund Balance…..................................................................................................................................</t>
  </si>
  <si>
    <t>Liabilities- General Fund…...................................................................................................................................................</t>
  </si>
  <si>
    <t>Gen Fund - Current Liabilities</t>
  </si>
  <si>
    <t>Unavailable or unearned revenues arising from cash receipts - General Fund…............................................................</t>
  </si>
  <si>
    <t>Gen Fund -deferred inflows derived from Cash Receipts</t>
  </si>
  <si>
    <t>Total expenditures - General Fund…................................................................................................................................</t>
  </si>
  <si>
    <t>Transfers out-General Fund…......................................................................................................................................................</t>
  </si>
  <si>
    <t>Gen Fund - Transfer Out</t>
  </si>
  <si>
    <t>Negative Debt Refunding….................................................................................................................................................</t>
  </si>
  <si>
    <t>Issuance of capital leases &amp; installment purchases - General Fund….............................</t>
  </si>
  <si>
    <t>Positive Debt Refunding…...................................................................................................................................................</t>
  </si>
  <si>
    <t>Total expenditures (As Adjusted)….................................................</t>
  </si>
  <si>
    <t>Fund Balance Available  as % of Expenditures….........</t>
  </si>
  <si>
    <t>Fund Balance Available for Appropriation/Total Expenditure (As Adjusted)</t>
  </si>
  <si>
    <t>General Fund Cash and investments - unrestricted…........................................................................................................</t>
  </si>
  <si>
    <t>Powell Bill Expenditures</t>
  </si>
  <si>
    <t>Fund Balance Available</t>
  </si>
  <si>
    <t>=532+20+509-533-508-1050</t>
  </si>
  <si>
    <t>Excluding Powell Bill Restricted Cash</t>
  </si>
  <si>
    <t xml:space="preserve">Calculation of Fund Balance Available at June 30 
Including Debt Service Fund for Performance Indicator
</t>
  </si>
  <si>
    <t>Account Number</t>
  </si>
  <si>
    <t xml:space="preserve"> Are the  ARPA-related funds on target to be committed by December 31, 2024 (Yes or No)</t>
  </si>
  <si>
    <t>Total ARPA funds committed and not yet expended since inception as of June 30th</t>
  </si>
  <si>
    <t>Are the  ARPA-related funds on target to be completely expended by December 31, 2026 (Yes or No)</t>
  </si>
  <si>
    <t xml:space="preserve"> Did your audit disclose as a finding bank reconciliations or subsidiary ledger reconciliations not performed timely (Yes or No)</t>
  </si>
  <si>
    <t>Did your audit disclose as a finding that the unit’s records were not completed by the agreed upon time (Yes or No)</t>
  </si>
  <si>
    <t>Did your audit disclose as a finding any statutory violations (not including budget violations) (Yes or No)</t>
  </si>
  <si>
    <t>Please enter the Total Fund Balance for any Debt Service Funds from the Budgeted to Actual statement</t>
  </si>
  <si>
    <t>Unit Data from Audit Worksheet tab: (506+536-4-5-6-11+647)/(532+509+20-533-508-1050)</t>
  </si>
  <si>
    <t>GF FBA% of Exp w/o Powell Bill Formula: (506+536-4-5-6-11+647)/(532+20+509-533-508)</t>
  </si>
  <si>
    <t>Mark to Market unrealized losses in the General Fund</t>
  </si>
  <si>
    <t>Mark to Market unrealized losses in the Water and Sewer Fund</t>
  </si>
  <si>
    <t>=506+536-4-6-5</t>
  </si>
  <si>
    <t>=9-(506+536-4-6-5)</t>
  </si>
  <si>
    <t>=9-(506+536-4-6-5)-7</t>
  </si>
  <si>
    <t>Column E Formula</t>
  </si>
  <si>
    <t>=506-4-6-5</t>
  </si>
  <si>
    <r>
      <t xml:space="preserve">Telephone number - </t>
    </r>
    <r>
      <rPr>
        <b/>
        <sz val="11"/>
        <color theme="1"/>
        <rFont val="Calibri"/>
        <family val="2"/>
        <scheme val="minor"/>
      </rPr>
      <t>enter only telephone number</t>
    </r>
    <r>
      <rPr>
        <sz val="11"/>
        <color theme="1"/>
        <rFont val="Calibri"/>
        <family val="2"/>
        <scheme val="minor"/>
      </rPr>
      <t xml:space="preserve"> ###-###-####</t>
    </r>
  </si>
  <si>
    <t>Enter telephone extension, etc.</t>
  </si>
  <si>
    <r>
      <t>Date on which the local government, public authority, or designated official appointed the finance officer?</t>
    </r>
    <r>
      <rPr>
        <b/>
        <sz val="11"/>
        <color theme="5" tint="-0.249977111117893"/>
        <rFont val="Calibri"/>
        <family val="2"/>
        <scheme val="minor"/>
      </rPr>
      <t xml:space="preserve"> </t>
    </r>
    <r>
      <rPr>
        <sz val="11"/>
        <color theme="1"/>
        <rFont val="Calibri"/>
        <family val="2"/>
        <scheme val="minor"/>
      </rPr>
      <t xml:space="preserve">     </t>
    </r>
    <r>
      <rPr>
        <b/>
        <sz val="11"/>
        <color theme="1"/>
        <rFont val="Calibri"/>
        <family val="2"/>
        <scheme val="minor"/>
      </rPr>
      <t>Date Format  MM/DD/YYYY</t>
    </r>
  </si>
  <si>
    <r>
      <t xml:space="preserve">Indicate if your water/sewer system:
50 - Became Operational
51 - Ceased Operations
52 - No Change
</t>
    </r>
    <r>
      <rPr>
        <b/>
        <sz val="11"/>
        <color theme="1"/>
        <rFont val="Calibri"/>
        <family val="2"/>
        <scheme val="minor"/>
      </rPr>
      <t>Select from drop down.</t>
    </r>
  </si>
  <si>
    <r>
      <t xml:space="preserve">Do you use prepared food/occupancy tax revenue stream to support debt?  </t>
    </r>
    <r>
      <rPr>
        <b/>
        <sz val="11"/>
        <color theme="1"/>
        <rFont val="Calibri"/>
        <family val="2"/>
        <scheme val="minor"/>
      </rPr>
      <t>Select "1" for Yes and "2" for No</t>
    </r>
    <r>
      <rPr>
        <sz val="11"/>
        <color theme="1"/>
        <rFont val="Calibri"/>
        <family val="2"/>
        <scheme val="minor"/>
      </rPr>
      <t xml:space="preserve"> from drop down list.</t>
    </r>
  </si>
  <si>
    <r>
      <t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t>
    </r>
    <r>
      <rPr>
        <b/>
        <sz val="11"/>
        <color theme="1"/>
        <rFont val="Calibri"/>
        <family val="2"/>
        <scheme val="minor"/>
      </rPr>
      <t>Select from drop down list.</t>
    </r>
    <r>
      <rPr>
        <sz val="11"/>
        <color theme="1"/>
        <rFont val="Calibri"/>
        <family val="2"/>
        <scheme val="minor"/>
      </rPr>
      <t xml:space="preserve">
</t>
    </r>
  </si>
  <si>
    <r>
      <t xml:space="preserve">Do you expect to issue debt requiring LGC approval within 12 months from the date that the audit is submitted - </t>
    </r>
    <r>
      <rPr>
        <b/>
        <sz val="11"/>
        <color theme="1"/>
        <rFont val="Calibri"/>
        <family val="2"/>
        <scheme val="minor"/>
      </rPr>
      <t>select "1" for yes and "2" for no</t>
    </r>
  </si>
  <si>
    <t>Other Electricity</t>
  </si>
  <si>
    <t>Rick</t>
  </si>
  <si>
    <t>Krystal</t>
  </si>
  <si>
    <t>Carolyn</t>
  </si>
  <si>
    <t>Rhonda</t>
  </si>
  <si>
    <t>Smith</t>
  </si>
  <si>
    <t>Williams</t>
  </si>
  <si>
    <t>Interim Finance Officer</t>
  </si>
  <si>
    <t>Deputy Finance Officer</t>
  </si>
  <si>
    <t>This calculation subtracts operating expenses  from operating revenues. Depreciation expense is not included the calculation but debt principal and interest payments are included.  A negative balance indicates that your rates are not covering your operating expenses and debt service payments.</t>
  </si>
  <si>
    <t xml:space="preserve">This calculation subtracts operating expenses  from operating revenues. Depreciation expense is not included the calculation but debt principal and interest payments are included.  A negative balance indicates that your rates are not covering your operating expenses.  </t>
  </si>
  <si>
    <t>Unit Data from Audit Worksheet tab : 84-85+49-331-89</t>
  </si>
  <si>
    <t>Unit Data from Audit worksheet tab : 93-94+52-100-98</t>
  </si>
  <si>
    <t>Unit Data from Audit worksheet tab : 90/(364+94-52+100)</t>
  </si>
  <si>
    <t>Unit Data from Audit worksheet tab : 80/(85+351-49+331)</t>
  </si>
  <si>
    <t>Capital Assets for Water and Sewer Activity (If unit maintains separate funds please combine all water, sewer and wastewater funds into one activity for purposes of this worksheet)
Exclude Stormwater funds</t>
  </si>
  <si>
    <t xml:space="preserve"> Did the unit have a board-appointed finance officer or board-appointed interim finance officer for the entire fiscal year (Yes or No)</t>
  </si>
  <si>
    <t>Has the finance officer or interim finance officer been formally appointed by the local government, public authority, or designated official?  (Y/N)</t>
  </si>
  <si>
    <t>TD Info Completed by Auditor : CCH acct # 1067</t>
  </si>
  <si>
    <t>Section 2:</t>
  </si>
  <si>
    <t xml:space="preserve">Does the unit have a self-insurance fund? </t>
  </si>
  <si>
    <t>Does the unit have a self-insurance fund</t>
  </si>
  <si>
    <t>American Rescue Plan Act (ARPA)</t>
  </si>
  <si>
    <t>Unrestricted cash /total expenses excluding depreciation, including debt service principal</t>
  </si>
  <si>
    <t xml:space="preserve">Is there is a going concern noted in the audit report? </t>
  </si>
  <si>
    <r>
      <t xml:space="preserve">Number of </t>
    </r>
    <r>
      <rPr>
        <b/>
        <sz val="11"/>
        <color theme="1"/>
        <rFont val="Calibri"/>
        <family val="2"/>
        <scheme val="minor"/>
      </rPr>
      <t>significant deficiency</t>
    </r>
    <r>
      <rPr>
        <sz val="11"/>
        <color theme="1"/>
        <rFont val="Calibri"/>
        <family val="2"/>
        <scheme val="minor"/>
      </rPr>
      <t xml:space="preserve"> findings (financial statement findings only)
</t>
    </r>
    <r>
      <rPr>
        <sz val="11"/>
        <color rgb="FFFF0000"/>
        <rFont val="Calibri"/>
        <family val="2"/>
        <scheme val="minor"/>
      </rPr>
      <t>Exclude findings reported in questions  907, 951</t>
    </r>
  </si>
  <si>
    <t>If the unit is self-insured for employee health care, does the unit use a qualified consultant to establish rates and appropriate reserve levels?</t>
  </si>
  <si>
    <t>If the unit is self-insured for employee health care, does the unit use a qualified consultant to establish rates and appropriate reserve levels</t>
  </si>
  <si>
    <r>
      <t xml:space="preserve">Number of </t>
    </r>
    <r>
      <rPr>
        <b/>
        <sz val="11"/>
        <color theme="1"/>
        <rFont val="Calibri"/>
        <family val="2"/>
        <scheme val="minor"/>
      </rPr>
      <t>material weakness</t>
    </r>
    <r>
      <rPr>
        <sz val="11"/>
        <color theme="1"/>
        <rFont val="Calibri"/>
        <family val="2"/>
        <scheme val="minor"/>
      </rPr>
      <t xml:space="preserve"> findings (financial statement findings only)
</t>
    </r>
    <r>
      <rPr>
        <sz val="11"/>
        <color rgb="FFFF0000"/>
        <rFont val="Calibri"/>
        <family val="2"/>
        <scheme val="minor"/>
      </rPr>
      <t>Exclude findings reported in questions  907, 951</t>
    </r>
  </si>
  <si>
    <t>Transfers from General Fund to Water and Sewer Fund</t>
  </si>
  <si>
    <t>Transfers from Water and Sewer to General Fund</t>
  </si>
  <si>
    <r>
      <t xml:space="preserve">The Unit had material weaknesses, significant deficiencies, statutory violations and/or items identified on the </t>
    </r>
    <r>
      <rPr>
        <b/>
        <i/>
        <sz val="11"/>
        <rFont val="Calibri"/>
        <family val="2"/>
        <scheme val="minor"/>
      </rPr>
      <t>TD Info Completed by Auditor</t>
    </r>
    <r>
      <rPr>
        <b/>
        <sz val="11"/>
        <rFont val="Calibri"/>
        <family val="2"/>
        <scheme val="minor"/>
      </rPr>
      <t xml:space="preserve"> tab that should be addressed in the FPIC Response Letter.  </t>
    </r>
  </si>
  <si>
    <t>This is a description question that is retained on the data input tab - This information is not uploaded to CCH or our data base</t>
  </si>
  <si>
    <t>Capital -</t>
  </si>
  <si>
    <t>Operations -</t>
  </si>
  <si>
    <t>WS-Please enter any pension liabilities that are classified as current liabilities and included in account 633 above (amounts entered should agree to the current amount included in the changes to long-term debt note)</t>
  </si>
  <si>
    <t>WS-Please enter any current liabilities that are payable from restricted assets and included row 12 above (amounts entered should agree to the current amount included in the changes to long-term debt note)</t>
  </si>
  <si>
    <t>WS-Please enter any OPEB liabilities that are classified as current liabilities and included in account 633 above (amounts entered should agree to the current amount included in the changes to long-term debt note)</t>
  </si>
  <si>
    <t xml:space="preserve">Electric-Current liabilities (as reported on the Statement of Fund Net Position)
Include:   Current liabilities including current portion of long-term debt.  Deferred inflows should not be included in Current Liabilities  
</t>
  </si>
  <si>
    <t>Electric-Please enter any bond anticipation notes that are classified as current liabilities and included in account 639 above (amounts entered should agree to the current amount included in the changes to long-term debt note)</t>
  </si>
  <si>
    <t>Electric-Please enter any compensated absences that are classified as current liabilities and included in account 639 above (amounts entered should agree to the current amount included in the changes to long-term debt note)</t>
  </si>
  <si>
    <t>Electric-Please enter any pension liabilities that are classified as current liabilities and included account in 639 above (amounts entered should agree to the current amount included in the changes to long-term debt note)</t>
  </si>
  <si>
    <t>Electric-Please enter any current liabilities that are payable from restricted assets and included in account 639 above.</t>
  </si>
  <si>
    <t>Electric-Please enter any OPEB liabilities that are classified as current liabilities and included in account 639 above (amounts entered should agree to the current amount included in the changes to long-term debt note)</t>
  </si>
  <si>
    <t>Lisa</t>
  </si>
  <si>
    <t>Jones</t>
  </si>
  <si>
    <t>Beam</t>
  </si>
  <si>
    <t>1/25/2023</t>
  </si>
  <si>
    <t>7/1/2022</t>
  </si>
  <si>
    <t>9/8/2022</t>
  </si>
  <si>
    <t>yes</t>
  </si>
  <si>
    <t>10/26/2022</t>
  </si>
  <si>
    <t>10/27/2022</t>
  </si>
  <si>
    <t>1/4/2023</t>
  </si>
  <si>
    <t>11/22/2022</t>
  </si>
  <si>
    <t>11/14/2022</t>
  </si>
  <si>
    <t>11/30/2022</t>
  </si>
  <si>
    <t>12/19/2022</t>
  </si>
  <si>
    <t>3/31/2023</t>
  </si>
  <si>
    <t>10/31/2022</t>
  </si>
  <si>
    <t>12/20/2022</t>
  </si>
  <si>
    <t>11/28/2022</t>
  </si>
  <si>
    <t>9/30/2022</t>
  </si>
  <si>
    <t>3/1/2023</t>
  </si>
  <si>
    <t>12/1/2022</t>
  </si>
  <si>
    <t>12/28/2022</t>
  </si>
  <si>
    <t>10/28/2022</t>
  </si>
  <si>
    <t>11/17/2022</t>
  </si>
  <si>
    <t>Number of other matters that auditor asked the unit to respond to.</t>
  </si>
  <si>
    <t>3/14/2023</t>
  </si>
  <si>
    <t>12/13/2022</t>
  </si>
  <si>
    <t>1/10/2023</t>
  </si>
  <si>
    <t>2/15/2023</t>
  </si>
  <si>
    <t>11/15/2022</t>
  </si>
  <si>
    <t>1/31/2023</t>
  </si>
  <si>
    <t>5/1/2023</t>
  </si>
  <si>
    <t>1/3/2023</t>
  </si>
  <si>
    <t>12/5/2022</t>
  </si>
  <si>
    <t>12/6/2022</t>
  </si>
  <si>
    <t>3/7/2023</t>
  </si>
  <si>
    <t>1/16/2023</t>
  </si>
  <si>
    <t>10/17/2022</t>
  </si>
  <si>
    <t>11/21/2022</t>
  </si>
  <si>
    <t>Amount transferred from the Electric Fund to an Electric Capital Project Fund</t>
  </si>
  <si>
    <t>Mark to Market unrealized losses in the General Fund.</t>
  </si>
  <si>
    <t>Mark to Market unrealized losses in the Water and Sewer Fund.</t>
  </si>
  <si>
    <t>Mark to Market unrealized losses in the Electric Fund.</t>
  </si>
  <si>
    <t>Did your audit disclose as a finding bank reconciliations or subsidiary ledger reconciliations not performed timely? (Yes or No)</t>
  </si>
  <si>
    <t>Did your audit disclose as a finding that the unitGÇÖs records were not completed by the agreed upon time? (Yes or No)</t>
  </si>
  <si>
    <t>Did the unit have a board-appointed finance officer the entire fiscal year? (Yes or No)?</t>
  </si>
  <si>
    <t>Total ARPA funds actually expended since inception as of June 30th. -áDo not include encumbered funds in this number.</t>
  </si>
  <si>
    <t>Total ARPA funds committed and not yet expended since inception as of June 30th.</t>
  </si>
  <si>
    <t>Are the-á ARPA-related funds on target to be committed by December 31, 2024? (Yes or No)</t>
  </si>
  <si>
    <t>Are the-á ARPA-related funds on target to be completely expended by December 31, 2026? (Yes or No)</t>
  </si>
  <si>
    <t>Single Audit Only - Coronavirus State and Local Recovery Funds expenditures (21.027)</t>
  </si>
  <si>
    <t>Single Audit Only - Opioid Settlement Funds</t>
  </si>
  <si>
    <t>Date Audit First Received</t>
  </si>
  <si>
    <t>2023-01-05</t>
  </si>
  <si>
    <t>2022-10-28</t>
  </si>
  <si>
    <t>2023-02-28</t>
  </si>
  <si>
    <t>2022-10-27</t>
  </si>
  <si>
    <t>2022-11-29</t>
  </si>
  <si>
    <t>2022-10-31</t>
  </si>
  <si>
    <t>2022-11-28</t>
  </si>
  <si>
    <t>2022-11-26</t>
  </si>
  <si>
    <t>2022-12-01</t>
  </si>
  <si>
    <t>2023-01-20</t>
  </si>
  <si>
    <t>2023-03-31</t>
  </si>
  <si>
    <t>2022-11-22</t>
  </si>
  <si>
    <t>2022-10-17</t>
  </si>
  <si>
    <t>2022-11-14</t>
  </si>
  <si>
    <t>2022-12-20</t>
  </si>
  <si>
    <t>WS - total operating revenues less total operating expenses plus depreciation less debt service principal payments and less debt service interest expense payments Formula: 84-85+49-331-89</t>
  </si>
  <si>
    <t>WS - unrestricted cash and investments divided by (total operating expenses plus total all non-operating expenses less depreciation plus debt service principal payments) Formula: 80/(85+351-49+331)</t>
  </si>
  <si>
    <t>Elec - total operating revenues less total operating expenses plus depreciation less debt service principal payments and less debt service interest expense payments Formula: 93-94+52-100-98</t>
  </si>
  <si>
    <t>Elec - unrestricted cash and investments divided by (total operating expenses plus total all non-operating expenses less depreciation plus debt service principal payments) Formula: 90/(94+364-52+100)</t>
  </si>
  <si>
    <t>sum</t>
  </si>
  <si>
    <t>Net Total row 279 less row 326</t>
  </si>
  <si>
    <t>New Account 647 for FY 2020 added to formula and new account 1050 added FY 2022</t>
  </si>
  <si>
    <t>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t>
  </si>
  <si>
    <r>
      <t>Fund balance available for appropriation is an important reserve for local governments to provide cash flow during pe</t>
    </r>
    <r>
      <rPr>
        <sz val="12"/>
        <rFont val="Calibri"/>
        <family val="2"/>
        <scheme val="minor"/>
      </rPr>
      <t xml:space="preserve">riods of declining revenues and to be used for emergencies and unforeseen expenditures.  The information to the left indicates the amount of available cash on hand.  You will also see the average for units of your size. </t>
    </r>
    <r>
      <rPr>
        <b/>
        <sz val="12"/>
        <rFont val="Calibri"/>
        <family val="2"/>
        <scheme val="minor"/>
      </rPr>
      <t xml:space="preserve"> Note that 8.33% represents enough fund balance to cover only one month of expenditures.</t>
    </r>
    <r>
      <rPr>
        <sz val="12"/>
        <rFont val="Calibri"/>
        <family val="2"/>
        <scheme val="minor"/>
      </rPr>
      <t xml:space="preserve">  Normally, a unit has to either increase revenues or decrease expenditures to increase fund balance available. 
This calculation looks at fund balance available plus debt service fund balance (if applicable) </t>
    </r>
    <r>
      <rPr>
        <sz val="12"/>
        <color theme="1"/>
        <rFont val="Calibri"/>
        <family val="2"/>
        <scheme val="minor"/>
      </rPr>
      <t xml:space="preserve">less Powell Bill </t>
    </r>
    <r>
      <rPr>
        <sz val="12"/>
        <rFont val="Calibri"/>
        <family val="2"/>
        <scheme val="minor"/>
      </rPr>
      <t>restricted fund balance</t>
    </r>
    <r>
      <rPr>
        <sz val="12"/>
        <color rgb="FFFF0000"/>
        <rFont val="Calibri"/>
        <family val="2"/>
        <scheme val="minor"/>
      </rPr>
      <t>.</t>
    </r>
    <r>
      <rPr>
        <sz val="12"/>
        <color theme="1"/>
        <rFont val="Calibri"/>
        <family val="2"/>
        <scheme val="minor"/>
      </rPr>
      <t xml:space="preserve">  This number is them divided by the total of total expenditures plus transfers out less bond proceeds and less amount expended for Powell Bill Expenditures.
</t>
    </r>
  </si>
  <si>
    <t>2021-2022</t>
  </si>
  <si>
    <t xml:space="preserve">CABARRUS </t>
  </si>
  <si>
    <t>Cabarrus County</t>
  </si>
  <si>
    <t xml:space="preserve">CARTERET </t>
  </si>
  <si>
    <t>Carteret County</t>
  </si>
  <si>
    <t xml:space="preserve">EDGECOMBE </t>
  </si>
  <si>
    <t xml:space="preserve">FRANKLIN </t>
  </si>
  <si>
    <t>Franklin County</t>
  </si>
  <si>
    <t xml:space="preserve">GRANVILLE </t>
  </si>
  <si>
    <t>Granville County</t>
  </si>
  <si>
    <t xml:space="preserve">HALIFAX </t>
  </si>
  <si>
    <t>Halifax County</t>
  </si>
  <si>
    <t xml:space="preserve">NASH </t>
  </si>
  <si>
    <t>Nash County</t>
  </si>
  <si>
    <t xml:space="preserve">PERQUIMANS </t>
  </si>
  <si>
    <t>Perquimans County</t>
  </si>
  <si>
    <t xml:space="preserve">PITT </t>
  </si>
  <si>
    <t>Pitt County</t>
  </si>
  <si>
    <t xml:space="preserve">RICHMOND </t>
  </si>
  <si>
    <t>Richmond County</t>
  </si>
  <si>
    <t xml:space="preserve">ROBESON </t>
  </si>
  <si>
    <t>Robeson County</t>
  </si>
  <si>
    <t xml:space="preserve">ROCKINGHAM </t>
  </si>
  <si>
    <t>Rockingham County</t>
  </si>
  <si>
    <t xml:space="preserve">VANCE </t>
  </si>
  <si>
    <t>Vance County</t>
  </si>
  <si>
    <t xml:space="preserve">WAKE </t>
  </si>
  <si>
    <t>Wake County</t>
  </si>
  <si>
    <t xml:space="preserve">WILSON </t>
  </si>
  <si>
    <t>Wilson County</t>
  </si>
  <si>
    <t xml:space="preserve">ALAMANCE </t>
  </si>
  <si>
    <t>Alamance County</t>
  </si>
  <si>
    <t xml:space="preserve">ALEXANDER </t>
  </si>
  <si>
    <t>Alexander County</t>
  </si>
  <si>
    <t xml:space="preserve">ALLEGHANY  </t>
  </si>
  <si>
    <t>Alleghany County</t>
  </si>
  <si>
    <t xml:space="preserve">ANSON </t>
  </si>
  <si>
    <t xml:space="preserve">ASHE </t>
  </si>
  <si>
    <t>Ashe County</t>
  </si>
  <si>
    <t xml:space="preserve">AVERY </t>
  </si>
  <si>
    <t>Avery County</t>
  </si>
  <si>
    <t xml:space="preserve">BEAUFORT </t>
  </si>
  <si>
    <t>Beaufort County</t>
  </si>
  <si>
    <t xml:space="preserve">BERTIE </t>
  </si>
  <si>
    <t xml:space="preserve">BLADEN </t>
  </si>
  <si>
    <t>Bladen County</t>
  </si>
  <si>
    <t xml:space="preserve">BRUNSWICK </t>
  </si>
  <si>
    <t>Brunswick County</t>
  </si>
  <si>
    <t xml:space="preserve">BUNCOMBE </t>
  </si>
  <si>
    <t>Buncombe County</t>
  </si>
  <si>
    <t xml:space="preserve">BURKE </t>
  </si>
  <si>
    <t>Burke County</t>
  </si>
  <si>
    <t xml:space="preserve">CALDWELL </t>
  </si>
  <si>
    <t>Caldwell County</t>
  </si>
  <si>
    <t xml:space="preserve">CAMDEN </t>
  </si>
  <si>
    <t>Camden County</t>
  </si>
  <si>
    <t xml:space="preserve">CASWELL </t>
  </si>
  <si>
    <t xml:space="preserve">CATAWBA </t>
  </si>
  <si>
    <t>Catawba County</t>
  </si>
  <si>
    <t xml:space="preserve">CHATHAM </t>
  </si>
  <si>
    <t>Chatham County</t>
  </si>
  <si>
    <t xml:space="preserve">CHEROKEE </t>
  </si>
  <si>
    <t xml:space="preserve">CHOWAN </t>
  </si>
  <si>
    <t>Chowan County</t>
  </si>
  <si>
    <t xml:space="preserve">CLAY </t>
  </si>
  <si>
    <t>Clay County</t>
  </si>
  <si>
    <t xml:space="preserve">CLEVELAND </t>
  </si>
  <si>
    <t>Cleveland County</t>
  </si>
  <si>
    <t xml:space="preserve">COLUMBUS </t>
  </si>
  <si>
    <t xml:space="preserve">CRAVEN </t>
  </si>
  <si>
    <t>Craven County</t>
  </si>
  <si>
    <t xml:space="preserve">CUMBERLAND </t>
  </si>
  <si>
    <t>Cumberland County</t>
  </si>
  <si>
    <t xml:space="preserve">CURRITUCK </t>
  </si>
  <si>
    <t>Currituck County</t>
  </si>
  <si>
    <t xml:space="preserve">DARE </t>
  </si>
  <si>
    <t>Dare County</t>
  </si>
  <si>
    <t xml:space="preserve">DAVIDSON </t>
  </si>
  <si>
    <t>Davidson County</t>
  </si>
  <si>
    <t xml:space="preserve">DAVIE </t>
  </si>
  <si>
    <t>Davie County</t>
  </si>
  <si>
    <t xml:space="preserve">DUPLIN </t>
  </si>
  <si>
    <t>Duplin County</t>
  </si>
  <si>
    <t xml:space="preserve">DURHAM </t>
  </si>
  <si>
    <t>Durham County</t>
  </si>
  <si>
    <t xml:space="preserve">FORSYTH </t>
  </si>
  <si>
    <t>Forsyth County</t>
  </si>
  <si>
    <t xml:space="preserve">GASTON </t>
  </si>
  <si>
    <t>Gaston County</t>
  </si>
  <si>
    <t xml:space="preserve">GATES </t>
  </si>
  <si>
    <t>Gates County</t>
  </si>
  <si>
    <t xml:space="preserve">GRAHAM </t>
  </si>
  <si>
    <t>Graham County</t>
  </si>
  <si>
    <t xml:space="preserve">GREENE </t>
  </si>
  <si>
    <t>Greene County</t>
  </si>
  <si>
    <t xml:space="preserve">GUILFORD </t>
  </si>
  <si>
    <t>Guilford County</t>
  </si>
  <si>
    <t xml:space="preserve">HARNETT </t>
  </si>
  <si>
    <t>Harnett County</t>
  </si>
  <si>
    <t xml:space="preserve">HAYWOOD </t>
  </si>
  <si>
    <t>Haywood County</t>
  </si>
  <si>
    <t xml:space="preserve">HENDERSON </t>
  </si>
  <si>
    <t>Henderson County</t>
  </si>
  <si>
    <t xml:space="preserve">HERTFORD </t>
  </si>
  <si>
    <t>Hertford County</t>
  </si>
  <si>
    <t xml:space="preserve">HOKE </t>
  </si>
  <si>
    <t>Hoke County</t>
  </si>
  <si>
    <t xml:space="preserve">HYDE </t>
  </si>
  <si>
    <t xml:space="preserve">IREDELL </t>
  </si>
  <si>
    <t>Iredell County</t>
  </si>
  <si>
    <t xml:space="preserve">JACKSON </t>
  </si>
  <si>
    <t>Jackson County</t>
  </si>
  <si>
    <t xml:space="preserve">JOHNSTON </t>
  </si>
  <si>
    <t>Johnston County</t>
  </si>
  <si>
    <t xml:space="preserve">JONES </t>
  </si>
  <si>
    <t>Jones County</t>
  </si>
  <si>
    <t xml:space="preserve">LEE </t>
  </si>
  <si>
    <t>Lee County</t>
  </si>
  <si>
    <t xml:space="preserve">LENOIR </t>
  </si>
  <si>
    <t>Lenoir County</t>
  </si>
  <si>
    <t xml:space="preserve">LINCOLN </t>
  </si>
  <si>
    <t>Lincoln County</t>
  </si>
  <si>
    <t xml:space="preserve">MACON </t>
  </si>
  <si>
    <t>Macon County</t>
  </si>
  <si>
    <t xml:space="preserve">MADISON </t>
  </si>
  <si>
    <t>Madison County</t>
  </si>
  <si>
    <t xml:space="preserve">MARTIN </t>
  </si>
  <si>
    <t xml:space="preserve">MCDOWELL </t>
  </si>
  <si>
    <t>Mcdowell County</t>
  </si>
  <si>
    <t xml:space="preserve">MECKLENBURG </t>
  </si>
  <si>
    <t>Mecklenburg County</t>
  </si>
  <si>
    <t xml:space="preserve">MITCHELL </t>
  </si>
  <si>
    <t>Mitchell County</t>
  </si>
  <si>
    <t xml:space="preserve">MONTGOMERY </t>
  </si>
  <si>
    <t>Montgomery County</t>
  </si>
  <si>
    <t xml:space="preserve">MOORE </t>
  </si>
  <si>
    <t>Moore County</t>
  </si>
  <si>
    <t xml:space="preserve">NEW HANOVER </t>
  </si>
  <si>
    <t>New Hanover County</t>
  </si>
  <si>
    <t xml:space="preserve">NORTHAMPTON </t>
  </si>
  <si>
    <t xml:space="preserve">ONSLOW </t>
  </si>
  <si>
    <t>Onslow County</t>
  </si>
  <si>
    <t xml:space="preserve">ORANGE </t>
  </si>
  <si>
    <t>Orange County</t>
  </si>
  <si>
    <t xml:space="preserve">PAMLICO </t>
  </si>
  <si>
    <t>Pamlico County</t>
  </si>
  <si>
    <t xml:space="preserve">PASQUOTANK </t>
  </si>
  <si>
    <t>Pasquotank County</t>
  </si>
  <si>
    <t xml:space="preserve">PENDER </t>
  </si>
  <si>
    <t xml:space="preserve">PERSON </t>
  </si>
  <si>
    <t>Person County</t>
  </si>
  <si>
    <t xml:space="preserve">POLK </t>
  </si>
  <si>
    <t>Polk County</t>
  </si>
  <si>
    <t xml:space="preserve">RANDOLPH </t>
  </si>
  <si>
    <t>Randolph County</t>
  </si>
  <si>
    <t xml:space="preserve">ROWAN </t>
  </si>
  <si>
    <t>Rowan County</t>
  </si>
  <si>
    <t xml:space="preserve">RUTHERFORD </t>
  </si>
  <si>
    <t>Rutherford County</t>
  </si>
  <si>
    <t xml:space="preserve">SAMPSON </t>
  </si>
  <si>
    <t>Sampson County</t>
  </si>
  <si>
    <t xml:space="preserve">SCOTLAND </t>
  </si>
  <si>
    <t xml:space="preserve">STANLY </t>
  </si>
  <si>
    <t>Stanly County</t>
  </si>
  <si>
    <t xml:space="preserve">STOKES </t>
  </si>
  <si>
    <t>Stokes County</t>
  </si>
  <si>
    <t xml:space="preserve">SURRY </t>
  </si>
  <si>
    <t>Surry County</t>
  </si>
  <si>
    <t xml:space="preserve">SWAIN </t>
  </si>
  <si>
    <t>Swain County</t>
  </si>
  <si>
    <t xml:space="preserve">TRANSYLVANIA </t>
  </si>
  <si>
    <t>Transylvania County</t>
  </si>
  <si>
    <t xml:space="preserve">TYRRELL </t>
  </si>
  <si>
    <t xml:space="preserve">UNION </t>
  </si>
  <si>
    <t>Union County</t>
  </si>
  <si>
    <t xml:space="preserve">WARREN </t>
  </si>
  <si>
    <t>Warren County</t>
  </si>
  <si>
    <t xml:space="preserve">WASHINGTON </t>
  </si>
  <si>
    <t>Washington County</t>
  </si>
  <si>
    <t xml:space="preserve">WATAUGA </t>
  </si>
  <si>
    <t>Watauga County</t>
  </si>
  <si>
    <t xml:space="preserve">WAYNE </t>
  </si>
  <si>
    <t>Wayne County</t>
  </si>
  <si>
    <t xml:space="preserve">WILKES </t>
  </si>
  <si>
    <t>Wilkes County</t>
  </si>
  <si>
    <t xml:space="preserve">YADKIN </t>
  </si>
  <si>
    <t>Yadkin County</t>
  </si>
  <si>
    <t xml:space="preserve">YANCEY </t>
  </si>
  <si>
    <t>Yancey County</t>
  </si>
  <si>
    <t>`</t>
  </si>
  <si>
    <r>
      <t xml:space="preserve">Transfers from General Fund to Water and Sewer Fund.  </t>
    </r>
    <r>
      <rPr>
        <sz val="11"/>
        <color theme="5" tint="-0.249977111117893"/>
        <rFont val="Calibri"/>
        <family val="2"/>
        <scheme val="minor"/>
      </rPr>
      <t>(Enter as positive)</t>
    </r>
  </si>
  <si>
    <r>
      <t xml:space="preserve">Transfers from Water and Sewer to General Fund.  </t>
    </r>
    <r>
      <rPr>
        <sz val="11"/>
        <color theme="5" tint="-0.249977111117893"/>
        <rFont val="Calibri"/>
        <family val="2"/>
        <scheme val="minor"/>
      </rPr>
      <t>(Enter as positive)</t>
    </r>
  </si>
  <si>
    <t xml:space="preserve">Was an AU-C Section 260 (The Auditor's Communication With Those Charged With Governance) letter issued?     </t>
  </si>
  <si>
    <r>
      <t xml:space="preserve">This indicator calculates how many month's worth of expenses (including debt principal but not depreciation) a unit can pay based on the amount of unrestricted cash at year-end.  The typical billing cycle is one month (8.33%) and one extra month usually gives a local government enough cash to handle unusual monthly expenses (16.66%). </t>
    </r>
    <r>
      <rPr>
        <b/>
        <sz val="12"/>
        <color theme="1"/>
        <rFont val="Calibri"/>
        <family val="2"/>
        <scheme val="minor"/>
      </rPr>
      <t xml:space="preserve"> This 16% would be the bare minimum necessary to keep the fund from experiencing cash flow issues.</t>
    </r>
  </si>
  <si>
    <t>Water and Sewer - Fund Revenue, Expenses &amp; Changes in Fund Net Position or Notes to Financial Statements</t>
  </si>
  <si>
    <t>Was an AU-C Section 265 (Communicating Internal Control Related Matters Identified in an Audit) letter issued?</t>
  </si>
  <si>
    <r>
      <t xml:space="preserve">This indicator identifies whether the unit has any material weaknesses, significant deficiencies, management letter comments or items identified on the </t>
    </r>
    <r>
      <rPr>
        <b/>
        <i/>
        <sz val="14"/>
        <color theme="1"/>
        <rFont val="Calibri"/>
        <family val="2"/>
        <scheme val="minor"/>
      </rPr>
      <t>TD Info Completed by Audit tab</t>
    </r>
    <r>
      <rPr>
        <b/>
        <sz val="14"/>
        <color theme="1"/>
        <rFont val="Calibri"/>
        <family val="2"/>
        <scheme val="minor"/>
      </rPr>
      <t xml:space="preserve"> including 1055, 1056, 1058, 955 and 957, that require a response.</t>
    </r>
  </si>
  <si>
    <t>This indicator advises whether or not the unit has issues with debt service payments or bond covenants.</t>
  </si>
  <si>
    <t>This indicator advises if any other issues that the unit should address in the FPIC response letter.</t>
  </si>
  <si>
    <t>GF FBA% of Exp w/o Powell Bill Formula: (506+536-4-5-6-11+647)/(532+20+509-533-508-1050)</t>
  </si>
  <si>
    <t>This indicator advises if there were electric transfers in violation of G.S. 159B-39 or in violation of the unit's transfer policy.</t>
  </si>
  <si>
    <r>
      <rPr>
        <u/>
        <sz val="11"/>
        <rFont val="Calibri"/>
        <family val="2"/>
        <scheme val="minor"/>
      </rPr>
      <t xml:space="preserve">Please enter the </t>
    </r>
    <r>
      <rPr>
        <b/>
        <u/>
        <sz val="11"/>
        <rFont val="Calibri"/>
        <family val="2"/>
        <scheme val="minor"/>
      </rPr>
      <t xml:space="preserve">Net Current year's levy for property </t>
    </r>
    <r>
      <rPr>
        <b/>
        <u/>
        <sz val="11"/>
        <color rgb="FFFF0000"/>
        <rFont val="Calibri"/>
        <family val="2"/>
        <scheme val="minor"/>
      </rPr>
      <t>excluding registered motor vehicles</t>
    </r>
    <r>
      <rPr>
        <sz val="11"/>
        <rFont val="Calibri"/>
        <family val="2"/>
        <scheme val="minor"/>
      </rPr>
      <t xml:space="preserve">-- </t>
    </r>
    <r>
      <rPr>
        <sz val="11"/>
        <color indexed="60"/>
        <rFont val="Calibri"/>
        <family val="2"/>
        <scheme val="minor"/>
      </rPr>
      <t xml:space="preserve">(after adjusting for discoveries and abatements) - </t>
    </r>
    <r>
      <rPr>
        <sz val="11"/>
        <rFont val="Calibri"/>
        <family val="2"/>
        <scheme val="minor"/>
      </rPr>
      <t xml:space="preserve">
</t>
    </r>
    <r>
      <rPr>
        <b/>
        <sz val="11"/>
        <rFont val="Calibri"/>
        <family val="2"/>
        <scheme val="minor"/>
      </rPr>
      <t>Exclude</t>
    </r>
    <r>
      <rPr>
        <sz val="11"/>
        <rFont val="Calibri"/>
        <family val="2"/>
        <scheme val="minor"/>
      </rPr>
      <t xml:space="preserve"> Supplemental Taxes</t>
    </r>
  </si>
  <si>
    <t xml:space="preserve"> Did your audit disclose bank reconciliations or subsidiary ledger reconciliations not performed timely? (Yes or No)</t>
  </si>
  <si>
    <t>=506+536+647-11-4-6-5</t>
  </si>
  <si>
    <r>
      <t xml:space="preserve">Does the Unit have a non-state administered pension plan?
</t>
    </r>
    <r>
      <rPr>
        <sz val="11"/>
        <color theme="5" tint="-0.249977111117893"/>
        <rFont val="Calibri"/>
        <family val="2"/>
        <scheme val="minor"/>
      </rPr>
      <t>(Note - OPEB is not a pension plan.)</t>
    </r>
  </si>
  <si>
    <r>
      <rPr>
        <b/>
        <i/>
        <sz val="12"/>
        <rFont val="Cambria"/>
        <family val="1"/>
      </rPr>
      <t xml:space="preserve"> Data Input Workbook</t>
    </r>
    <r>
      <rPr>
        <i/>
        <sz val="12"/>
        <rFont val="Cambria"/>
        <family val="1"/>
      </rPr>
      <t xml:space="preserve"> - This workbook combines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</si>
  <si>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t xml:space="preserve">This self-reported data is used in calculations including but not limited to: reporting Financial Performance Indicators (FPI), FPI thresholds, published memos, legislative reporting, and determining units placed on the Unit Assistance List (UAL). </t>
  </si>
  <si>
    <t xml:space="preserve">new </t>
  </si>
  <si>
    <t>Water and Sewer Condition of Assets</t>
  </si>
  <si>
    <t>new</t>
  </si>
  <si>
    <r>
      <t xml:space="preserve">There was appropriated fund balance for the General Fund in the 2023 budget </t>
    </r>
    <r>
      <rPr>
        <b/>
        <u/>
        <sz val="11"/>
        <color theme="1"/>
        <rFont val="Calibri"/>
        <family val="2"/>
        <scheme val="minor"/>
      </rPr>
      <t>AND</t>
    </r>
    <r>
      <rPr>
        <b/>
        <sz val="11"/>
        <color theme="1"/>
        <rFont val="Calibri"/>
        <family val="2"/>
        <scheme val="minor"/>
      </rPr>
      <t xml:space="preserve"> your change in fund balance was negative.  Please state if fund balance was used for operations or capital purposes </t>
    </r>
    <r>
      <rPr>
        <b/>
        <sz val="11"/>
        <color rgb="FFFF0000"/>
        <rFont val="Calibri"/>
        <family val="2"/>
        <scheme val="minor"/>
      </rPr>
      <t>in account 590 on the Unit Data from Audit Worksheet.</t>
    </r>
  </si>
  <si>
    <t xml:space="preserve">Are the American Rescue Plan Act (ARPA) of 2021-Coronavrius State &amp; Local Fiscal Recovery Funds on target to be committed by December 31, 2024? (Yes = 1 or No = 2or N/A = 3 if unit did not receive funds) </t>
  </si>
  <si>
    <t>Are the American Rescue Plan Act (ARPA) of 2021-Coronavrius State &amp; Local Fiscal Recovery Funds on target to be completely expended by December 31, 2026? (Yes = 1 or No = 2 or N/A = 3 if unit did not receive funds)</t>
  </si>
  <si>
    <t>Did your audit disclose any budget violations at the adopted ordinance level? (Yes or No)</t>
  </si>
  <si>
    <t>Did your audit disclose as a finding any statutory violations? (not including budget violations) (Yes or No) If the answer  is "Yes", review whether this needs to be disclosed in the Stewardship, Compliance and Accountability Note</t>
  </si>
  <si>
    <t>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t>
  </si>
  <si>
    <t>Does the Performance Indicator Print worksheet in this workbook have a red shaded cell?</t>
  </si>
  <si>
    <t>Please enter page number if information included in the audit report/other communications</t>
  </si>
  <si>
    <t>Cash &amp; Tax Memo, UAL Determination, Financial Performance Indicator</t>
  </si>
  <si>
    <t>Review Summary - FBA, UAL Determination, Financial Performation Indicator</t>
  </si>
  <si>
    <t>Determination of Fiscal Health, UAL Determination, Financial Performance Indicator</t>
  </si>
  <si>
    <t>Review Summary, UAL Determination, Financial Performance Indicator</t>
  </si>
  <si>
    <t>Error Detection, UAL Determination, Financial Performance Indicator</t>
  </si>
  <si>
    <t>Water Sewer Dashboard, UAL Determination, Financial Performance Indicator</t>
  </si>
  <si>
    <t>UAL Determination, Financial Performance Indicator</t>
  </si>
  <si>
    <t>Review Summary; Electric Memo, Financial Performance Indicator</t>
  </si>
  <si>
    <t>Dashboard; Determination of Fiscal Health, Financial Performance Indicator</t>
  </si>
  <si>
    <t>Determination of Fiscal Health, Financial Performance Indicator</t>
  </si>
  <si>
    <t>Dashboard, Electric Memo, Financial Performance Indicator</t>
  </si>
  <si>
    <t>Electric Memo, Financial Performance Indicator</t>
  </si>
  <si>
    <t>Electric Memo, Dashboard, Financial Performance Indicator</t>
  </si>
  <si>
    <t>Dashboard, Financial Performance Indicator</t>
  </si>
  <si>
    <t>Finance Performance Indicator</t>
  </si>
  <si>
    <t>Financial Performance Indicator</t>
  </si>
  <si>
    <t>Water Sewer Dashboard, Financial Performance Indicator</t>
  </si>
  <si>
    <t>Review Summary, Financial Performance Indicator</t>
  </si>
  <si>
    <t>Electric Fund Transfer worksheet, Financial Performance Indicator</t>
  </si>
  <si>
    <t>Electric Transfer Calculation, Financial Performance Indicator</t>
  </si>
  <si>
    <t xml:space="preserve"> 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t>
  </si>
  <si>
    <t>Unit Data from Audit worksheet tab:
 1-((523+524+525+526)/(515+516+517+518))</t>
  </si>
  <si>
    <t>The data collected in the Data Input Workbook is used for reporting purposes. This self-reported data is used in:  (1) determining units placed on the Unit Assistance List (2) calculation of Financial Indicators of Concern (3) Statistical Memos (4) internal reports used for audit review analysis.  Other state agencies and other governmental entities are provided with data that they use for their purposes on a recurring basis such as the Department of Environmental Quality and the UNC, School of Government, Environmental Finance Center.</t>
  </si>
  <si>
    <t>As of the publication date of this workbook, prior year self-reported numbers may not been received by the LGC staff, please contact LGC staff at lgcaudit@nctreasurer.com to have the prior year’s numbers populated on this worksheet.  Please include in email subject "Prior Year Financial Data."</t>
  </si>
  <si>
    <t>It appears your Water Sewer Fund has transfers-in for the support of operations that are greater than 3% of the total of operating and non-operating expenses.  Please discuss the purpose of such transfers-in and if you plan to continue these transfers-in.</t>
  </si>
  <si>
    <t>Unit Data from Audit Worksheet tab : 590 and 23</t>
  </si>
  <si>
    <r>
      <t xml:space="preserve">GENERAL FUND:
</t>
    </r>
    <r>
      <rPr>
        <b/>
        <sz val="11"/>
        <color rgb="FFFF0000"/>
        <rFont val="Calibri"/>
        <family val="2"/>
        <scheme val="minor"/>
      </rPr>
      <t>As of the publication date of this workbook, prior year self-reported numbers may not been received by the LGC staff, please contact LGC staff at lgcaudit@nctreasurer.com to have the prior year’s financial data populated on this worksheet.  Please include in email subject "Prior Year Financial Data."</t>
    </r>
  </si>
  <si>
    <r>
      <t xml:space="preserve">WATER SEWER FUND:
</t>
    </r>
    <r>
      <rPr>
        <b/>
        <sz val="11"/>
        <color rgb="FFFF0000"/>
        <rFont val="Calibri"/>
        <family val="2"/>
        <scheme val="minor"/>
      </rPr>
      <t>As of the publication date of this workbook, prior year self-reported numbers may not been received by the LGC staff, please contact LGC staff at lgcaudit@nctreasurer.com to have the prior year’s financial data populated on this worksheet.  Please include in email subject "Prior Year Financial Data."</t>
    </r>
  </si>
  <si>
    <r>
      <t xml:space="preserve">ELECTRIC FUND:
</t>
    </r>
    <r>
      <rPr>
        <b/>
        <sz val="11"/>
        <color rgb="FFFF0000"/>
        <rFont val="Calibri"/>
        <family val="2"/>
        <scheme val="minor"/>
      </rPr>
      <t>As of the publication date of this workbook, prior year self-reported numbers may not been received by the LGC staff, please contact LGC staff at lgcaudit@nctreasurer.com to have the prior year’s financial data populated on this worksheet.  Please include in email subject "Prior Year Financial Data."</t>
    </r>
  </si>
  <si>
    <t>12</t>
  </si>
  <si>
    <t>Director of Finance</t>
  </si>
  <si>
    <t>12/15/2023</t>
  </si>
  <si>
    <t>Was the finance officer or interim finance officer bonded (Yes or No) pursuant to G.S. 159-29</t>
  </si>
  <si>
    <t>Amount of ARPA funds expended in total for fiscal year for non-capital purposes</t>
  </si>
  <si>
    <t>Data documenting the unit's compliance with General Statue 159-25 is captured in account numbers 947, 948, 949, 950, and 952</t>
  </si>
  <si>
    <t>If the answer to 1059 is "No,"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t>
  </si>
  <si>
    <t>If the answer to 1059 is "No," was the unit without a board-appointed interim or permanent finance officer for more than 2 weeks at any time in the fiscal year</t>
  </si>
  <si>
    <t>Is there is a going concern noted in the audit report</t>
  </si>
  <si>
    <t>Did your audit disclose any budget violations at the adopted ordinance level (Yes or No)</t>
  </si>
  <si>
    <t>Does the Performance Indicator Print worksheet in this workbook have a red shaded cell</t>
  </si>
  <si>
    <t>TD Info Completed by Auditor tab: CCH acct # 1079</t>
  </si>
  <si>
    <t>Please do not answer this question unless the unit has a  water and/or sewer fund</t>
  </si>
  <si>
    <t>Water and Sewer Capital Assets Condition Ratio</t>
  </si>
  <si>
    <t xml:space="preserve">This capital assets condition ratio formula calculates the remaining useful life. A remaining useful asset value less than 0.50  may signal the need to replace the assets in the near future. </t>
  </si>
  <si>
    <t>The indicator is to determine if any time during the fiscal year, the unit was without a board-appointed finance officer.</t>
  </si>
  <si>
    <t>Remaining useful life of asset greater than or equal to 0.50</t>
  </si>
  <si>
    <t>What date was the audit report submitted to the LGC?  (Note audit reports are due four months after fiscal year end regardless of the contract submission date.)</t>
  </si>
  <si>
    <t xml:space="preserve">What date was the audit report submitted to the LGC? </t>
  </si>
  <si>
    <t>J</t>
  </si>
  <si>
    <t>C31</t>
  </si>
  <si>
    <t>C30</t>
  </si>
  <si>
    <t>Review</t>
  </si>
  <si>
    <t>The indicator is to determine if any time during the fiscal year, the unit was board-appointed finance officer was not bonded.</t>
  </si>
  <si>
    <r>
      <t xml:space="preserve">Are there additional issues the unit should address that affect the fiscal health or internal controls of the unit that were communicated to the unit during the audit presentation?   </t>
    </r>
    <r>
      <rPr>
        <b/>
        <u/>
        <sz val="11"/>
        <rFont val="Calibri"/>
        <family val="2"/>
        <scheme val="minor"/>
      </rPr>
      <t>Please include details of the issue in cell J46 to the right and in your FPIC Response.</t>
    </r>
  </si>
  <si>
    <t>Amount transferred from the Water and Sewer Fund to  Water and Sewer Capital Project Funds</t>
  </si>
  <si>
    <t>Fiscal Review, UAL Determination, Financial Performance Indicator</t>
  </si>
  <si>
    <t>Amount transferred from the Water and Sewer Fund to Water and Sewer Capital Project Funds</t>
  </si>
  <si>
    <t>Does the Unit have a non-state administered pension plan</t>
  </si>
  <si>
    <t>What date was the audit report submitted to the LGC?  (Note audit reports are due four months after fiscal year end regardless of the contract submission date.)  Enter as "MM/DD/YYYY"</t>
  </si>
  <si>
    <t>Capital Assets for Water and Sewer Activity</t>
  </si>
  <si>
    <r>
      <t xml:space="preserve">Please list the amount of ARPA funds expended in total this fiscal year for non-capital purposes.  Enter </t>
    </r>
    <r>
      <rPr>
        <sz val="11"/>
        <rFont val="Calibri"/>
        <family val="2"/>
        <scheme val="minor"/>
      </rPr>
      <t>"</t>
    </r>
    <r>
      <rPr>
        <b/>
        <sz val="11"/>
        <rFont val="Calibri"/>
        <family val="2"/>
        <scheme val="minor"/>
      </rPr>
      <t>0</t>
    </r>
    <r>
      <rPr>
        <sz val="11"/>
        <rFont val="Calibri"/>
        <family val="2"/>
        <scheme val="minor"/>
      </rPr>
      <t>"</t>
    </r>
    <r>
      <rPr>
        <sz val="11"/>
        <color theme="1"/>
        <rFont val="Calibri"/>
        <family val="2"/>
        <scheme val="minor"/>
      </rPr>
      <t xml:space="preserve"> if no ARPA funds expended for this fiscal year for non-capital purposes.</t>
    </r>
  </si>
  <si>
    <r>
      <t xml:space="preserve">The </t>
    </r>
    <r>
      <rPr>
        <sz val="11"/>
        <color rgb="FFFF0000"/>
        <rFont val="Calibri"/>
        <family val="2"/>
        <scheme val="minor"/>
      </rPr>
      <t>Counties listed in cell H260 and municipalities within these counties</t>
    </r>
    <r>
      <rPr>
        <sz val="11"/>
        <color theme="1"/>
        <rFont val="Calibri"/>
        <family val="2"/>
        <scheme val="minor"/>
      </rPr>
      <t xml:space="preserve"> are scheduled to revalue property listing by 1/1/2025 according to the Dept. of Revenue records.  Please indicate if you expect your revaluation to: 
Enter  "20" for increase, 
            "21" for decrease, 
            "22" for no change,
            "23" if this question is not applicable
</t>
    </r>
    <r>
      <rPr>
        <b/>
        <sz val="11"/>
        <color theme="1"/>
        <rFont val="Calibri"/>
        <family val="2"/>
        <scheme val="minor"/>
      </rPr>
      <t>Select from drop list.</t>
    </r>
  </si>
  <si>
    <r>
      <t xml:space="preserve">Date the auditor presented or plans to present Financial Performance Indicators of Concern (FPIC) to the Governing Board. </t>
    </r>
    <r>
      <rPr>
        <sz val="11"/>
        <color theme="9" tint="-0.499984740745262"/>
        <rFont val="Calibri"/>
        <family val="2"/>
        <scheme val="minor"/>
      </rPr>
      <t xml:space="preserve"> If there are no FPICs to present to the governing board,  enter "7/1/2024" to indicate that an FPIC response is not required.</t>
    </r>
  </si>
  <si>
    <t xml:space="preserve"> Fiscal Year 2024 -  Data Input Workbook incorporates the
Unit Data from Audit Worksheet, TD Info Completed by Auditor Worksheet, Performance Indicators Print Worksheet</t>
  </si>
  <si>
    <t xml:space="preserve">The TD Info Completed by Auditor Worksheet is to be filled out using the completed audit report for the fiscal year 2024. </t>
  </si>
  <si>
    <t>Please remember the original 2024 audit report submission cannot be processed unless we receive the following:</t>
  </si>
  <si>
    <t xml:space="preserve">- PDF file of the Audit Report named “Unit Name 2024 Audit”             </t>
  </si>
  <si>
    <t>- PDF file of all communication letters from the auditor to the unit  named “Unit Name 2024 comm #1”, “Unit Name 2024 comm #2”, etc.</t>
  </si>
  <si>
    <t xml:space="preserve">- Excel file named “Unit Name 2024 Data Input Workbook" </t>
  </si>
  <si>
    <t>If the 2024 Unit Data from Audit worksheet or the Performance Indicators Print spreadsheet is not populated with prior year's financial data for the unit of government, please email the data input workbook at lgcaudit@nctreasurer.com.  We will email you  the updated Data Input Workbook with the prior years' financial data ..</t>
  </si>
  <si>
    <t>Location of Documents for the 2024 Audit Submission Process</t>
  </si>
  <si>
    <t>Instructions for Audits with a Fiscal Year Ending Earlier than June 30, 2024</t>
  </si>
  <si>
    <t>If you are performing an audit for a year earlier than June 30, 2024, please email LGCAudit@nctreasurer.com, as you will need to use the appropriate transmittal and data input document for that time period.</t>
  </si>
  <si>
    <r>
      <t xml:space="preserve">The questions to the 2024 </t>
    </r>
    <r>
      <rPr>
        <b/>
        <i/>
        <u/>
        <sz val="12"/>
        <rFont val="Cambria"/>
        <family val="1"/>
      </rPr>
      <t>TD Info Completed by Auditor</t>
    </r>
    <r>
      <rPr>
        <b/>
        <i/>
        <sz val="12"/>
        <rFont val="Cambria"/>
        <family val="1"/>
      </rPr>
      <t xml:space="preserve"> tab assist our team in routing the audit report through our review process.  Please answer all questions before submitting the Data Input Workbook to the portal.  Incomplete TD Info Completed by Auditor tabs will be returned and may delay invoice processing.  </t>
    </r>
  </si>
  <si>
    <r>
      <t xml:space="preserve">If you appropriated General Fund Balance in your 2024 budget and your "change in fund balance": (account # 23 above) is </t>
    </r>
    <r>
      <rPr>
        <sz val="11"/>
        <color rgb="FFFF0000"/>
        <rFont val="Calibri"/>
        <family val="2"/>
        <scheme val="minor"/>
      </rPr>
      <t>negative</t>
    </r>
    <r>
      <rPr>
        <sz val="11"/>
        <color theme="1"/>
        <rFont val="Calibri"/>
        <family val="2"/>
        <scheme val="minor"/>
      </rPr>
      <t>, please select from the drop down box in column F either "operations" or "capital", whichever best describes what the fund balance was used for.  Briefly describe in column G to the right what the fund balance was used for.</t>
    </r>
  </si>
  <si>
    <r>
      <t xml:space="preserve">Please enter the fiscal year end reported on the unit's audited financial statements if other than 6/30/2024.  </t>
    </r>
    <r>
      <rPr>
        <b/>
        <sz val="11"/>
        <color theme="1"/>
        <rFont val="Calibri"/>
        <family val="2"/>
        <scheme val="minor"/>
      </rPr>
      <t xml:space="preserve">Do not delete 6/30/2024 if applicable. </t>
    </r>
    <r>
      <rPr>
        <sz val="11"/>
        <color theme="1"/>
        <rFont val="Calibri"/>
        <family val="2"/>
        <scheme val="minor"/>
      </rPr>
      <t xml:space="preserve">            Format "MM/DD/YYYY"</t>
    </r>
  </si>
  <si>
    <t>Fiscal Year 2024</t>
  </si>
  <si>
    <t>2024-2025</t>
  </si>
  <si>
    <t>reappraisal</t>
  </si>
  <si>
    <t>PROPERTY TAX RATES AND REAPPRAISAL SCHEDULES FOR NORTH CAROLINA COUNTIES</t>
  </si>
  <si>
    <t>did not use this report</t>
  </si>
  <si>
    <t xml:space="preserve">Beaufort, Buncombe, Caldwell, Carteret, Chatham, Cleveland, Cumberland, Dare, Davie, Duplin, Durham, Forsyth, Gates, Haywood, Jackson, Johnston, Lenoir, Martin, New Hanover, Orange, Person, Polk, Stanly, Stokes, Surry, Transylvania, Tyrrell, Union, Warren, Wayne, Wilkes </t>
  </si>
  <si>
    <t>If the fiscal year-end is other than 6/30/2024, 9/30/2024, 12/31/2024 or 3/31/2025, please contact us.</t>
  </si>
  <si>
    <t>3/11/2024</t>
  </si>
  <si>
    <t>1/18/2024</t>
  </si>
  <si>
    <t>3/12/2024</t>
  </si>
  <si>
    <t>5/8/2024</t>
  </si>
  <si>
    <t>8/14/2023</t>
  </si>
  <si>
    <t>12/4/2023</t>
  </si>
  <si>
    <t>PY2</t>
  </si>
  <si>
    <t>Audit Year 2022</t>
  </si>
  <si>
    <t>N/A -</t>
  </si>
  <si>
    <t>Patricia</t>
  </si>
  <si>
    <t>Sarah</t>
  </si>
  <si>
    <t>Angela</t>
  </si>
  <si>
    <t>permanent</t>
  </si>
  <si>
    <t>11/14/2023</t>
  </si>
  <si>
    <t>2/6/2023</t>
  </si>
  <si>
    <t>Finance officer</t>
  </si>
  <si>
    <t>Chief Financial Officer</t>
  </si>
  <si>
    <t>10/31/2023</t>
  </si>
  <si>
    <t>5/20/2024</t>
  </si>
  <si>
    <t>10/27/2023</t>
  </si>
  <si>
    <t>1/8/2024</t>
  </si>
  <si>
    <t>11/30/2023</t>
  </si>
  <si>
    <t>11/1/2023</t>
  </si>
  <si>
    <t>10/12/2023</t>
  </si>
  <si>
    <t>11/20/2023</t>
  </si>
  <si>
    <t>10/10/2023</t>
  </si>
  <si>
    <t>11/27/2023</t>
  </si>
  <si>
    <t>12/27/2023</t>
  </si>
  <si>
    <t>10/20/2023</t>
  </si>
  <si>
    <t>11/28/2023</t>
  </si>
  <si>
    <t>11/25/2023</t>
  </si>
  <si>
    <t>11/13/2023</t>
  </si>
  <si>
    <t>11/9/2023</t>
  </si>
  <si>
    <t>11/29/2023</t>
  </si>
  <si>
    <t>6/1/2024</t>
  </si>
  <si>
    <t>12/19/2023</t>
  </si>
  <si>
    <t>11/21/2023</t>
  </si>
  <si>
    <t>4/30/2024</t>
  </si>
  <si>
    <t>12/1/2023</t>
  </si>
  <si>
    <t>5/7/2024</t>
  </si>
  <si>
    <t>Were there any issues or other matters presented to the Governing Board regarding internal controls (not already listed as a material weakness or significant deficiency?</t>
  </si>
  <si>
    <t>2/8/2024</t>
  </si>
  <si>
    <t>12/18/2023</t>
  </si>
  <si>
    <t>6/25/2024</t>
  </si>
  <si>
    <t>3/17/2024</t>
  </si>
  <si>
    <t>12/5/2023</t>
  </si>
  <si>
    <t>12/12/2023</t>
  </si>
  <si>
    <t>7/1/2023</t>
  </si>
  <si>
    <t>1/9/2024</t>
  </si>
  <si>
    <t>12/13/2023</t>
  </si>
  <si>
    <t>2/1/2024</t>
  </si>
  <si>
    <t>5/14/2024</t>
  </si>
  <si>
    <t>1/10/2024</t>
  </si>
  <si>
    <t>2023-10-31</t>
  </si>
  <si>
    <t>2023-11-29</t>
  </si>
  <si>
    <t>2024-05-20</t>
  </si>
  <si>
    <t>2023-10-27</t>
  </si>
  <si>
    <t>2023-11-30</t>
  </si>
  <si>
    <t>2023-12-29</t>
  </si>
  <si>
    <t>2023-11-09</t>
  </si>
  <si>
    <t>2023-10-30</t>
  </si>
  <si>
    <t>2023-11-28</t>
  </si>
  <si>
    <t>2023-10-24</t>
  </si>
  <si>
    <t>2023-12-01</t>
  </si>
  <si>
    <t>2023-11-25</t>
  </si>
  <si>
    <t>2023-10-16</t>
  </si>
  <si>
    <t>2024-04-30</t>
  </si>
  <si>
    <t>2023-11-02</t>
  </si>
  <si>
    <t>Was the finance officer or interim finance officer bonded pursuant to G.S. 159-29 which requires that the finance officer give a true accounting and faithful performance bond in an amount not less than the greater of (1) $50,000 or (2) an amount equal to</t>
  </si>
  <si>
    <t>Does the unit have a self-insurance fund?</t>
  </si>
  <si>
    <t>Does the Unit have a non-state administrered pension plan?</t>
  </si>
  <si>
    <t>Please list the amount of ARPA funds expended in total this fiscal year for non-capital purposes.  Enter "zero" if no ARPA funds expended for this fiscal year for non-capital purposes.</t>
  </si>
  <si>
    <t>Transfers from General Fund to Water and Sewer Fund (Enter as positive.)</t>
  </si>
  <si>
    <t>Transfers from Water and Sewer to General Fund. (Enter as positive.)</t>
  </si>
  <si>
    <t>Amount transferred from the Water and Sewer Fund to a Water and Sewer Capital Project Fund</t>
  </si>
  <si>
    <t>If the answer to 1059 is "No" then was the unit without a board-appointed interim or permanent finance officer for more than 2 weeks at any time in the fiscal year? (Note:  Please include a noncompliance finding related to GS 159-24, GS 159-25(a)(2) or GS</t>
  </si>
  <si>
    <t>12/29/2023</t>
  </si>
  <si>
    <t>11/6/2023</t>
  </si>
  <si>
    <t>10/13/2023</t>
  </si>
  <si>
    <t>10/24/2023</t>
  </si>
  <si>
    <t xml:space="preserve">Was a  Management Letter issued by the auditor to the unit of government? </t>
  </si>
  <si>
    <t>Capital - By far, the most significant appropriations were for Town matching funds for a federal LAPP grant for the Main Street capital project. Also, other capital projects: Olde Towne resurfacing (Powell Bill), park field lights replacement, stormwater</t>
  </si>
  <si>
    <t>Capital - In FY2022, we had to pay unexpectedly higher costs for everyday goods as well as capital items such as vehicles.</t>
  </si>
  <si>
    <t>Capital - Growth projects</t>
  </si>
  <si>
    <t>Scott</t>
  </si>
  <si>
    <t>Allison</t>
  </si>
  <si>
    <t>Elizabeth</t>
  </si>
  <si>
    <t>Trina</t>
  </si>
  <si>
    <t>Tracy</t>
  </si>
  <si>
    <t>Sharon</t>
  </si>
  <si>
    <t>Chris</t>
  </si>
  <si>
    <t>Queen</t>
  </si>
  <si>
    <t>Erin</t>
  </si>
  <si>
    <t>Mandy</t>
  </si>
  <si>
    <t>Carmen</t>
  </si>
  <si>
    <t>Jennifer</t>
  </si>
  <si>
    <t>Marlene</t>
  </si>
  <si>
    <t>Abdul</t>
  </si>
  <si>
    <t>Amy</t>
  </si>
  <si>
    <t>Kay</t>
  </si>
  <si>
    <t>Charles</t>
  </si>
  <si>
    <t>John</t>
  </si>
  <si>
    <t>Annette</t>
  </si>
  <si>
    <t>Theodore</t>
  </si>
  <si>
    <t>Daniel</t>
  </si>
  <si>
    <t>Evelyn</t>
  </si>
  <si>
    <t>Terry</t>
  </si>
  <si>
    <t>Amie</t>
  </si>
  <si>
    <t>Jessica</t>
  </si>
  <si>
    <t>Sonya</t>
  </si>
  <si>
    <t>Teresa</t>
  </si>
  <si>
    <t>Julie</t>
  </si>
  <si>
    <t>Nathan</t>
  </si>
  <si>
    <t>Claudia</t>
  </si>
  <si>
    <t>Beth</t>
  </si>
  <si>
    <t>Brenda</t>
  </si>
  <si>
    <t>Karen</t>
  </si>
  <si>
    <t>Nancy</t>
  </si>
  <si>
    <t>Christine</t>
  </si>
  <si>
    <t>KATHRYN</t>
  </si>
  <si>
    <t>Shinita</t>
  </si>
  <si>
    <t>Helga</t>
  </si>
  <si>
    <t>Carol</t>
  </si>
  <si>
    <t>Isaac</t>
  </si>
  <si>
    <t>Margaret</t>
  </si>
  <si>
    <t>Gregory</t>
  </si>
  <si>
    <t>Oma</t>
  </si>
  <si>
    <t>Tess</t>
  </si>
  <si>
    <t>Bonnie</t>
  </si>
  <si>
    <t>Melanie</t>
  </si>
  <si>
    <t>Christie</t>
  </si>
  <si>
    <t>Cathy</t>
  </si>
  <si>
    <t>Michele</t>
  </si>
  <si>
    <t>Crystal</t>
  </si>
  <si>
    <t>Edwards</t>
  </si>
  <si>
    <t>Bradsher</t>
  </si>
  <si>
    <t>Sechriest</t>
  </si>
  <si>
    <t>Rowan</t>
  </si>
  <si>
    <t>Young</t>
  </si>
  <si>
    <t>Plowman</t>
  </si>
  <si>
    <t>Shearin</t>
  </si>
  <si>
    <t>McFarland</t>
  </si>
  <si>
    <t>Phillips</t>
  </si>
  <si>
    <t>Pearson</t>
  </si>
  <si>
    <t>Justice</t>
  </si>
  <si>
    <t>Capps</t>
  </si>
  <si>
    <t>Juhls</t>
  </si>
  <si>
    <t>Gilbert</t>
  </si>
  <si>
    <t>Johnson</t>
  </si>
  <si>
    <t>Parton</t>
  </si>
  <si>
    <t>Lambeth</t>
  </si>
  <si>
    <t>Baloch</t>
  </si>
  <si>
    <t>Stevens</t>
  </si>
  <si>
    <t>Luffman</t>
  </si>
  <si>
    <t>Sharpe</t>
  </si>
  <si>
    <t>Bauer</t>
  </si>
  <si>
    <t>Woodson</t>
  </si>
  <si>
    <t>Filli</t>
  </si>
  <si>
    <t>Craig</t>
  </si>
  <si>
    <t>Humerickhouse</t>
  </si>
  <si>
    <t>Bennett</t>
  </si>
  <si>
    <t>Hanaway</t>
  </si>
  <si>
    <t>Bargsley</t>
  </si>
  <si>
    <t>Outling</t>
  </si>
  <si>
    <t>Furches</t>
  </si>
  <si>
    <t>Osteen</t>
  </si>
  <si>
    <t>Youngs</t>
  </si>
  <si>
    <t>Bray</t>
  </si>
  <si>
    <t>Kelly</t>
  </si>
  <si>
    <t>Clontz</t>
  </si>
  <si>
    <t>Dempsey</t>
  </si>
  <si>
    <t>Bass</t>
  </si>
  <si>
    <t>BAKER</t>
  </si>
  <si>
    <t>Wrenwick</t>
  </si>
  <si>
    <t>Sommer</t>
  </si>
  <si>
    <t>Sappington</t>
  </si>
  <si>
    <t>Fergerson</t>
  </si>
  <si>
    <t>Norris, Jr.</t>
  </si>
  <si>
    <t>Wiecek</t>
  </si>
  <si>
    <t>Ellsworth</t>
  </si>
  <si>
    <t>Payne</t>
  </si>
  <si>
    <t>Siler</t>
  </si>
  <si>
    <t>Lockamy</t>
  </si>
  <si>
    <t>Brubaker-Speis</t>
  </si>
  <si>
    <t>Swain</t>
  </si>
  <si>
    <t>Trexler</t>
  </si>
  <si>
    <t>Choate</t>
  </si>
  <si>
    <t>Hutchinson</t>
  </si>
  <si>
    <t>Swafford</t>
  </si>
  <si>
    <t>Collins</t>
  </si>
  <si>
    <t>1/1/2014</t>
  </si>
  <si>
    <t>04/01/2017</t>
  </si>
  <si>
    <t>1/1/2011</t>
  </si>
  <si>
    <t>1/1/2017</t>
  </si>
  <si>
    <t>7/1/2019</t>
  </si>
  <si>
    <t>6/9/2006</t>
  </si>
  <si>
    <t>1/1/2013</t>
  </si>
  <si>
    <t>6/1/2020</t>
  </si>
  <si>
    <t>7/19/2022</t>
  </si>
  <si>
    <t>1/30/2022</t>
  </si>
  <si>
    <t>4/25/2016</t>
  </si>
  <si>
    <t>7/26/2021</t>
  </si>
  <si>
    <t>4/16/2012</t>
  </si>
  <si>
    <t>1/1/2019</t>
  </si>
  <si>
    <t>02/12/2018</t>
  </si>
  <si>
    <t>1/14/2020</t>
  </si>
  <si>
    <t>3/1/2017</t>
  </si>
  <si>
    <t>10/1/2021</t>
  </si>
  <si>
    <t>1/1/2023</t>
  </si>
  <si>
    <t>9/6/2013</t>
  </si>
  <si>
    <t>12/2/2018</t>
  </si>
  <si>
    <t>9/1/2021</t>
  </si>
  <si>
    <t>2/1/2019</t>
  </si>
  <si>
    <t>9/16/2008</t>
  </si>
  <si>
    <t>5/18/2021</t>
  </si>
  <si>
    <t>1/2/2019</t>
  </si>
  <si>
    <t>5/2/2016</t>
  </si>
  <si>
    <t>5/4/2020</t>
  </si>
  <si>
    <t>3/1/2018</t>
  </si>
  <si>
    <t>9/13/2013</t>
  </si>
  <si>
    <t>11/1/2004</t>
  </si>
  <si>
    <t>12/31/2014</t>
  </si>
  <si>
    <t>12/6/2005</t>
  </si>
  <si>
    <t>11/26/2021</t>
  </si>
  <si>
    <t>6/18/2018</t>
  </si>
  <si>
    <t>Scott Edwards</t>
  </si>
  <si>
    <t>Allison E. Bradsher</t>
  </si>
  <si>
    <t>Elizabeth Sechriest</t>
  </si>
  <si>
    <t>Sarah Rowan</t>
  </si>
  <si>
    <t>Lisa Young</t>
  </si>
  <si>
    <t>Trina Plowman</t>
  </si>
  <si>
    <t>Tracy Shearin</t>
  </si>
  <si>
    <t>Sharon McFarland</t>
  </si>
  <si>
    <t>chris phillips</t>
  </si>
  <si>
    <t>Dr Queen Parson</t>
  </si>
  <si>
    <t>Rick Justice</t>
  </si>
  <si>
    <t>Carolyn Capps</t>
  </si>
  <si>
    <t>Erin Juhls</t>
  </si>
  <si>
    <t>Mandy B. Gilbert</t>
  </si>
  <si>
    <t>Carmen Johnson</t>
  </si>
  <si>
    <t>Linda Parton</t>
  </si>
  <si>
    <t>Jennifer Lambeth</t>
  </si>
  <si>
    <t>Marlene Dunn</t>
  </si>
  <si>
    <t>Abdul Baloch</t>
  </si>
  <si>
    <t>Amy Stevens</t>
  </si>
  <si>
    <t>Wilda Luffman</t>
  </si>
  <si>
    <t>Charles Sharpe</t>
  </si>
  <si>
    <t>John Bauer</t>
  </si>
  <si>
    <t>Annette Jackson</t>
  </si>
  <si>
    <t>Theodore Filli</t>
  </si>
  <si>
    <t>Daniel H. Craig</t>
  </si>
  <si>
    <t>Evelyn Humerickhouse</t>
  </si>
  <si>
    <t>Terry Bennett</t>
  </si>
  <si>
    <t>Amie Hanaway</t>
  </si>
  <si>
    <t>Jessica Bargsley</t>
  </si>
  <si>
    <t>Sonya Outling</t>
  </si>
  <si>
    <t>Teresa Smith</t>
  </si>
  <si>
    <t>Wade Furches</t>
  </si>
  <si>
    <t>Julie Osteen</t>
  </si>
  <si>
    <t>Nathan Youngs</t>
  </si>
  <si>
    <t>Claudia Bray</t>
  </si>
  <si>
    <t>Beth Kelly</t>
  </si>
  <si>
    <t>Brenda Wilson</t>
  </si>
  <si>
    <t>Karen Clontz</t>
  </si>
  <si>
    <t>Nancy Dempsey</t>
  </si>
  <si>
    <t>Christine Bass</t>
  </si>
  <si>
    <t>Kathryn Baker</t>
  </si>
  <si>
    <t>Shinita Wrenwick</t>
  </si>
  <si>
    <t>Rhonda Sommer</t>
  </si>
  <si>
    <t>Helga Sappington</t>
  </si>
  <si>
    <t>Patricia Jones</t>
  </si>
  <si>
    <t>Carol Fergerson</t>
  </si>
  <si>
    <t>Isaac Norris, Jr.</t>
  </si>
  <si>
    <t>Margaret Wiecek</t>
  </si>
  <si>
    <t>Elizabeth B. Beam</t>
  </si>
  <si>
    <t>Susan Ellsworth</t>
  </si>
  <si>
    <t>Rhonda Payne</t>
  </si>
  <si>
    <t>Gregory Siler</t>
  </si>
  <si>
    <t>Oma Lockamy</t>
  </si>
  <si>
    <t>Tess Brubaker-Speis</t>
  </si>
  <si>
    <t>Bonnie Swain</t>
  </si>
  <si>
    <t>Melanie Trexler</t>
  </si>
  <si>
    <t>Peggy Choate</t>
  </si>
  <si>
    <t>Christie Hutchinson</t>
  </si>
  <si>
    <t>Cathy Swafford</t>
  </si>
  <si>
    <t>Michele  Collins</t>
  </si>
  <si>
    <t>Crystal Young</t>
  </si>
  <si>
    <t>Assistant City Manager of Administration/Finance Officer</t>
  </si>
  <si>
    <t>Town Clerk/Finance Officer</t>
  </si>
  <si>
    <t>Interim Finance Director</t>
  </si>
  <si>
    <t>Commissioner/Finance Officer</t>
  </si>
  <si>
    <t>President</t>
  </si>
  <si>
    <t>Financial Services Director</t>
  </si>
  <si>
    <t>Village Clerk/Finance Officer</t>
  </si>
  <si>
    <t>9/21/2023</t>
  </si>
  <si>
    <t>12/15/2022</t>
  </si>
  <si>
    <t>11/25/2022</t>
  </si>
  <si>
    <t>10/21/2022</t>
  </si>
  <si>
    <t>6/1/2023</t>
  </si>
  <si>
    <t>2/11/2023</t>
  </si>
  <si>
    <t>1/26/2023</t>
  </si>
  <si>
    <t>2/9/2024</t>
  </si>
  <si>
    <t>8/3/2023</t>
  </si>
  <si>
    <t>11/8/2022</t>
  </si>
  <si>
    <t>9/12/2023</t>
  </si>
  <si>
    <t>4/26/2023</t>
  </si>
  <si>
    <t>11/11/2022</t>
  </si>
  <si>
    <t>1/11/2023</t>
  </si>
  <si>
    <t>1/9/2023</t>
  </si>
  <si>
    <t>1/20/2022</t>
  </si>
  <si>
    <t>2/7/2023</t>
  </si>
  <si>
    <t>11/18/2022</t>
  </si>
  <si>
    <t>8/30/2022</t>
  </si>
  <si>
    <t>9/5/2022</t>
  </si>
  <si>
    <t>2/10/2023</t>
  </si>
  <si>
    <t>11/23/2022</t>
  </si>
  <si>
    <t>9/28/2022</t>
  </si>
  <si>
    <t>2/24/2023</t>
  </si>
  <si>
    <t>12/31/2022</t>
  </si>
  <si>
    <t>1/30/2023</t>
  </si>
  <si>
    <t>910-875-8161</t>
  </si>
  <si>
    <t>919-996-3215</t>
  </si>
  <si>
    <t>336-495-7507</t>
  </si>
  <si>
    <t>704-824-3461</t>
  </si>
  <si>
    <t>910-734-2701</t>
  </si>
  <si>
    <t>704-485-2002</t>
  </si>
  <si>
    <t>252-443-1239</t>
  </si>
  <si>
    <t>910-843-5241 ext.223</t>
  </si>
  <si>
    <t>336-349-1055</t>
  </si>
  <si>
    <t>910-743-1040</t>
  </si>
  <si>
    <t>828-396-8400</t>
  </si>
  <si>
    <t>704-463-1308</t>
  </si>
  <si>
    <t>910-324-3301</t>
  </si>
  <si>
    <t>252-638-3870 ext.204</t>
  </si>
  <si>
    <t>252-533-2871</t>
  </si>
  <si>
    <t>828-479-3250</t>
  </si>
  <si>
    <t>910-895-9088</t>
  </si>
  <si>
    <t>704-279-2180</t>
  </si>
  <si>
    <t>252-972-1334 ext.1334</t>
  </si>
  <si>
    <t>919-556-3506</t>
  </si>
  <si>
    <t>336-835-2061</t>
  </si>
  <si>
    <t>252-793-5527</t>
  </si>
  <si>
    <t>910-289-3159</t>
  </si>
  <si>
    <t>910-525-4121</t>
  </si>
  <si>
    <t>828-884-6859</t>
  </si>
  <si>
    <t>910-422-3333</t>
  </si>
  <si>
    <t>336-599-0168</t>
  </si>
  <si>
    <t>252-344-7791</t>
  </si>
  <si>
    <t>336-969-6856</t>
  </si>
  <si>
    <t>828-287-7943</t>
  </si>
  <si>
    <t>828-874-0333 ext.206</t>
  </si>
  <si>
    <t>828-429-4513 ext.10</t>
  </si>
  <si>
    <t>910-525-5650</t>
  </si>
  <si>
    <t>704-638-5302</t>
  </si>
  <si>
    <t>828-749-2581</t>
  </si>
  <si>
    <t>910-655-3153</t>
  </si>
  <si>
    <t>910-655-9877</t>
  </si>
  <si>
    <t>919-777-1106</t>
  </si>
  <si>
    <t>252-238-3487</t>
  </si>
  <si>
    <t>828-396-7903</t>
  </si>
  <si>
    <t>252-826-2107</t>
  </si>
  <si>
    <t>252-589-5061</t>
  </si>
  <si>
    <t>336-873-7307</t>
  </si>
  <si>
    <t>336-449-1132</t>
  </si>
  <si>
    <t>919-965-9841</t>
  </si>
  <si>
    <t>828-963-5343</t>
  </si>
  <si>
    <t>252-569-5241</t>
  </si>
  <si>
    <t>252-585-0144</t>
  </si>
  <si>
    <t>910-754-4032 ext.1005</t>
  </si>
  <si>
    <t>704-669-6612</t>
  </si>
  <si>
    <t>252-757-1430</t>
  </si>
  <si>
    <t>252-292-5647</t>
  </si>
  <si>
    <t>919-934-2116 ext.1106</t>
  </si>
  <si>
    <t>252-747-3414</t>
  </si>
  <si>
    <t>910-692-2971</t>
  </si>
  <si>
    <t>252-261-2394</t>
  </si>
  <si>
    <t>910-457-7906</t>
  </si>
  <si>
    <t>336-372-4257</t>
  </si>
  <si>
    <t>704-633-2231</t>
  </si>
  <si>
    <t>828-286-3466</t>
  </si>
  <si>
    <t>252-478-5186</t>
  </si>
  <si>
    <t>828-765-3000</t>
  </si>
  <si>
    <t>sedwards@raefordnc.org</t>
  </si>
  <si>
    <t>Allison.Bradsher@raleighnc.gov</t>
  </si>
  <si>
    <t>esechriest@cityofrandleman.com</t>
  </si>
  <si>
    <t>srowan@townofranlo.org</t>
  </si>
  <si>
    <t>townofraynhamnc@yahoo.com</t>
  </si>
  <si>
    <t>tplowman@stanlypartnership.org</t>
  </si>
  <si>
    <t>redoak@embarqmail.com</t>
  </si>
  <si>
    <t>financedirector@redsprings.org</t>
  </si>
  <si>
    <t>cphillips@ci.reidsville.nc.us</t>
  </si>
  <si>
    <t>rqepq@yahoo.com</t>
  </si>
  <si>
    <t>townofrhodhissnc@gmail.com</t>
  </si>
  <si>
    <t>richfieldnc@aol.com</t>
  </si>
  <si>
    <t>townclerk@richlandsnc.gov</t>
  </si>
  <si>
    <t>finance@riverbendnc.org</t>
  </si>
  <si>
    <t>cjohnson@roanokerapidsnc.com</t>
  </si>
  <si>
    <t>l.parton@townofrobbinsville.com</t>
  </si>
  <si>
    <t>jennifer@gorockingham.com</t>
  </si>
  <si>
    <t>clerk@rockwellnc.gov</t>
  </si>
  <si>
    <t>abdul.baloch@rockymountnc.gov</t>
  </si>
  <si>
    <t>amy.stevens@rolesville.nc.gov</t>
  </si>
  <si>
    <t>administration@townofronda.org</t>
  </si>
  <si>
    <t>townofroper@centurylink.net</t>
  </si>
  <si>
    <t>rosehill.administrator@embarqmail.com</t>
  </si>
  <si>
    <t>annettejackson@roseboronc.com</t>
  </si>
  <si>
    <t>rosmantown@comporium.net</t>
  </si>
  <si>
    <t>tfilli@townofrowland.com</t>
  </si>
  <si>
    <t>dcraig@dhcraigcpa.com</t>
  </si>
  <si>
    <t>townofroxbel@centurylink</t>
  </si>
  <si>
    <t>financedirector@ruralhall.com</t>
  </si>
  <si>
    <t>ahanaway@townofruthnc.gov</t>
  </si>
  <si>
    <t>townclerk@rutherfordcollegenc.us</t>
  </si>
  <si>
    <t>soutling@rutherfordton.net</t>
  </si>
  <si>
    <t>tsmith@salemburg-nc.com</t>
  </si>
  <si>
    <t>Wfurc@salisburync.gov</t>
  </si>
  <si>
    <t>saludafinance@cityofsaludanc.com</t>
  </si>
  <si>
    <t>townofsandycreek1988@outlook.com</t>
  </si>
  <si>
    <t>Sandy_Town@bellsouth.net</t>
  </si>
  <si>
    <t>beth.kelly@sanfordnc.net</t>
  </si>
  <si>
    <t>saratoga@saratoganc.org</t>
  </si>
  <si>
    <t>kclontz@townofsawmills.com</t>
  </si>
  <si>
    <t>ndempsey@townofscotlandneck.com</t>
  </si>
  <si>
    <t>stownhall@mchsi.com</t>
  </si>
  <si>
    <t>townofseagrove@centurylink.net</t>
  </si>
  <si>
    <t>sswren102@gmail.com</t>
  </si>
  <si>
    <t>rsommer@selma-nc.com</t>
  </si>
  <si>
    <t>townfinance@sevendevils.net</t>
  </si>
  <si>
    <t>townof7springs@gmail.com</t>
  </si>
  <si>
    <t>severnc@3rddoor.com</t>
  </si>
  <si>
    <t>INORRIS@TOWNOFSHALLOTTE.ORG</t>
  </si>
  <si>
    <t>mwiecek@sharpsburgnc.com</t>
  </si>
  <si>
    <t>beth.beam@cityofshelby.com</t>
  </si>
  <si>
    <t>finance@villageofsimpsonnc.com</t>
  </si>
  <si>
    <t>rpayne@townofsimsnc.com</t>
  </si>
  <si>
    <t>greg.siler@smithfield-nc.com</t>
  </si>
  <si>
    <t>financeofficer@snowhillnc.com</t>
  </si>
  <si>
    <t>Tspeis@southernpines.net</t>
  </si>
  <si>
    <t>bswain@southernshores-nc.gov</t>
  </si>
  <si>
    <t>mtrexler@cityofsouthport.com</t>
  </si>
  <si>
    <t>pchoate@townofsparta.org</t>
  </si>
  <si>
    <t>chutchinson@spencernc.gov</t>
  </si>
  <si>
    <t>cswafford@spindalenc.net</t>
  </si>
  <si>
    <t>m.collins@springhope.net</t>
  </si>
  <si>
    <t>finance@townofsprucepine-nc.gov</t>
  </si>
  <si>
    <t>10/15/2022</t>
  </si>
  <si>
    <t>10/25/2023</t>
  </si>
  <si>
    <t>12/22/2022</t>
  </si>
  <si>
    <t>5/13/2024</t>
  </si>
  <si>
    <t>3/13/2023</t>
  </si>
  <si>
    <t>3/15/2023</t>
  </si>
  <si>
    <t>6/27/2023</t>
  </si>
  <si>
    <t>2/16/2023</t>
  </si>
  <si>
    <t>2/14/2024</t>
  </si>
  <si>
    <t>11/1/2022</t>
  </si>
  <si>
    <t>12/18/2022</t>
  </si>
  <si>
    <t>2/1/2023</t>
  </si>
  <si>
    <t>3/10/2023</t>
  </si>
  <si>
    <t>11/2/2022</t>
  </si>
  <si>
    <t>2/21/2023</t>
  </si>
  <si>
    <t>2/28/2023</t>
  </si>
  <si>
    <t>3/4/2023</t>
  </si>
  <si>
    <t>1/15/2023</t>
  </si>
  <si>
    <t>9/6/2022</t>
  </si>
  <si>
    <t>2/9/2023</t>
  </si>
  <si>
    <t>4/17/2023</t>
  </si>
  <si>
    <t>2022-09-08</t>
  </si>
  <si>
    <t>2023-09-21</t>
  </si>
  <si>
    <t>2022-12-16</t>
  </si>
  <si>
    <t>2024-03-18</t>
  </si>
  <si>
    <t>2023-01-17</t>
  </si>
  <si>
    <t>2023-02-23</t>
  </si>
  <si>
    <t>2023-06-01</t>
  </si>
  <si>
    <t>2023-02-11</t>
  </si>
  <si>
    <t>2023-01-31</t>
  </si>
  <si>
    <t>2024-01-31</t>
  </si>
  <si>
    <t>2022-12-28</t>
  </si>
  <si>
    <t>2022-11-02</t>
  </si>
  <si>
    <t>2022-12-22</t>
  </si>
  <si>
    <t>2023-08-05</t>
  </si>
  <si>
    <t>2022-11-15</t>
  </si>
  <si>
    <t>2023-01-23</t>
  </si>
  <si>
    <t>2022-12-13</t>
  </si>
  <si>
    <t>2023-02-02</t>
  </si>
  <si>
    <t>2023-08-04</t>
  </si>
  <si>
    <t>2023-04-26</t>
  </si>
  <si>
    <t>2022-10-07</t>
  </si>
  <si>
    <t>2022-11-11</t>
  </si>
  <si>
    <t>2023-01-11</t>
  </si>
  <si>
    <t>2023-02-07</t>
  </si>
  <si>
    <t>2022-11-19</t>
  </si>
  <si>
    <t>2022-11-18</t>
  </si>
  <si>
    <t>2022-08-30</t>
  </si>
  <si>
    <t>2022-09-13</t>
  </si>
  <si>
    <t>2023-01-26</t>
  </si>
  <si>
    <t>2022-11-17</t>
  </si>
  <si>
    <t>2022-12-15</t>
  </si>
  <si>
    <t>2023-02-10</t>
  </si>
  <si>
    <t>2022-10-10</t>
  </si>
  <si>
    <t>2022-12-31</t>
  </si>
  <si>
    <t>2023-02-06</t>
  </si>
  <si>
    <t xml:space="preserve">                                 -  </t>
  </si>
  <si>
    <t>Saint Helena</t>
  </si>
  <si>
    <t>Saint James</t>
  </si>
  <si>
    <t>Saint Pauls</t>
  </si>
  <si>
    <t>Spencer Mountain                Incorporation Charter is inactive</t>
  </si>
  <si>
    <t>rounding</t>
  </si>
  <si>
    <t>#REF!</t>
  </si>
  <si>
    <t>Operations - Fund expenditures during fiscal year.</t>
  </si>
  <si>
    <t>Capital - Vehicle in Environmental Protection Department</t>
  </si>
  <si>
    <t>Capital - Crouse Park Expansion Project</t>
  </si>
  <si>
    <t>Capital - Expended funds of approximately $1.24 million for capital related items
mainly with equipment and vehicles.</t>
  </si>
  <si>
    <t>Reagan</t>
  </si>
  <si>
    <t>Sandra</t>
  </si>
  <si>
    <t>Kasey</t>
  </si>
  <si>
    <t>Jaqueline</t>
  </si>
  <si>
    <t>Ted</t>
  </si>
  <si>
    <t>Shirl</t>
  </si>
  <si>
    <t>Homer</t>
  </si>
  <si>
    <t>Sequoia</t>
  </si>
  <si>
    <t>kristi</t>
  </si>
  <si>
    <t>Greg</t>
  </si>
  <si>
    <t>April</t>
  </si>
  <si>
    <t>Lance</t>
  </si>
  <si>
    <t>Heather</t>
  </si>
  <si>
    <t>Hunter</t>
  </si>
  <si>
    <t>Day</t>
  </si>
  <si>
    <t>Russ</t>
  </si>
  <si>
    <t>Douglas</t>
  </si>
  <si>
    <t>Maynor</t>
  </si>
  <si>
    <t>Minton</t>
  </si>
  <si>
    <t>Dearmin</t>
  </si>
  <si>
    <t>Barnes</t>
  </si>
  <si>
    <t>Melton</t>
  </si>
  <si>
    <t>HAMPTON-DEIDI</t>
  </si>
  <si>
    <t>Medlin</t>
  </si>
  <si>
    <t>Norris Jr</t>
  </si>
  <si>
    <t>Flint</t>
  </si>
  <si>
    <t>Kann</t>
  </si>
  <si>
    <t>5/8/2023</t>
  </si>
  <si>
    <t>7/1/2024</t>
  </si>
  <si>
    <t>9/18/2023</t>
  </si>
  <si>
    <t>2/1/2018</t>
  </si>
  <si>
    <t>12/29/2022</t>
  </si>
  <si>
    <t>5/1/2015</t>
  </si>
  <si>
    <t>10/1/2013</t>
  </si>
  <si>
    <t>4/18/2006</t>
  </si>
  <si>
    <t>10/1/2023</t>
  </si>
  <si>
    <t>8/28/2023</t>
  </si>
  <si>
    <t>Allison Bradsher</t>
  </si>
  <si>
    <t>Reagan Day</t>
  </si>
  <si>
    <t>Sandra Russ</t>
  </si>
  <si>
    <t>Kasey Douglas</t>
  </si>
  <si>
    <t>Chris Phillips</t>
  </si>
  <si>
    <t>Jacqueline Maynor</t>
  </si>
  <si>
    <t>Mandy Gilbert</t>
  </si>
  <si>
    <t>Krystal Hunter</t>
  </si>
  <si>
    <t>Angela Woodson</t>
  </si>
  <si>
    <t>Ted Filli</t>
  </si>
  <si>
    <t>Daniel Craig</t>
  </si>
  <si>
    <t>Shirl Minton</t>
  </si>
  <si>
    <t>Homer Dearmin</t>
  </si>
  <si>
    <t>Sequoia Barnes</t>
  </si>
  <si>
    <t>Kelly Melton</t>
  </si>
  <si>
    <t>KRISTI</t>
  </si>
  <si>
    <t>Nancy Medlin</t>
  </si>
  <si>
    <t>Isaac Norris, Jr., CPA</t>
  </si>
  <si>
    <t>Greg Siler</t>
  </si>
  <si>
    <t>April Williams</t>
  </si>
  <si>
    <t>Lance Flint</t>
  </si>
  <si>
    <t>Heather Kann</t>
  </si>
  <si>
    <t>Michele Collins</t>
  </si>
  <si>
    <t>Town Clerk/Treasurer</t>
  </si>
  <si>
    <t>Treasurer - Town Clerk</t>
  </si>
  <si>
    <t>Finance Officer/Interim Town Manager</t>
  </si>
  <si>
    <t>HAMPTON-DIEDA</t>
  </si>
  <si>
    <t>Fiinance Officer</t>
  </si>
  <si>
    <t>Town Clerk/Finance Officerr</t>
  </si>
  <si>
    <t>6/21/2024</t>
  </si>
  <si>
    <t>11/8/2023</t>
  </si>
  <si>
    <t>10/17/2023</t>
  </si>
  <si>
    <t>10/16/2023</t>
  </si>
  <si>
    <t>10/18/2023</t>
  </si>
  <si>
    <t>12/28/2023</t>
  </si>
  <si>
    <t>9/27/2023</t>
  </si>
  <si>
    <t>10/30/2023</t>
  </si>
  <si>
    <t>1/31/2024</t>
  </si>
  <si>
    <t>5/6/2024</t>
  </si>
  <si>
    <t>12/6/2023</t>
  </si>
  <si>
    <t>1/22/2024</t>
  </si>
  <si>
    <t>3/18/2024</t>
  </si>
  <si>
    <t>3/21/2024</t>
  </si>
  <si>
    <t>1/12/2024</t>
  </si>
  <si>
    <t>4/17/2024</t>
  </si>
  <si>
    <t>3/31/2024</t>
  </si>
  <si>
    <t>9/22/2023</t>
  </si>
  <si>
    <t>10/6/2023</t>
  </si>
  <si>
    <t>10/9/2023</t>
  </si>
  <si>
    <t>10/26/2023</t>
  </si>
  <si>
    <t>2/2/2024</t>
  </si>
  <si>
    <t>3/26/2024</t>
  </si>
  <si>
    <t>4/26/2024</t>
  </si>
  <si>
    <t>5/31/2024</t>
  </si>
  <si>
    <t>11/15/2023</t>
  </si>
  <si>
    <t>11/10/2023</t>
  </si>
  <si>
    <t>10/3/2023</t>
  </si>
  <si>
    <t>3/6/2024</t>
  </si>
  <si>
    <t>910-875-8161 ext.223</t>
  </si>
  <si>
    <t>919-996-4970</t>
  </si>
  <si>
    <t>704-485-2005</t>
  </si>
  <si>
    <t>910-843-5241 ext.9222</t>
  </si>
  <si>
    <t>910-843-2162</t>
  </si>
  <si>
    <t>252-637-3870 ext.204</t>
  </si>
  <si>
    <t>252-972-1201</t>
  </si>
  <si>
    <t>910-289-3159 ext.101</t>
  </si>
  <si>
    <t>336-599-3116</t>
  </si>
  <si>
    <t>828-287-3520</t>
  </si>
  <si>
    <t>828-749-2581 ext.105</t>
  </si>
  <si>
    <t>919-558-9321</t>
  </si>
  <si>
    <t>919-934-2116</t>
  </si>
  <si>
    <t>252-261-2394 ext.224</t>
  </si>
  <si>
    <t>910-457-7900</t>
  </si>
  <si>
    <t>704-633-2231 ext.13</t>
  </si>
  <si>
    <t>allison.bradsher@raleighnc.gov</t>
  </si>
  <si>
    <t>rday@townofranlo.org</t>
  </si>
  <si>
    <t>townofraynhamc@yahoo.com</t>
  </si>
  <si>
    <t>dsjruss@mindspring.com</t>
  </si>
  <si>
    <t>kdouglas@redsprings.org</t>
  </si>
  <si>
    <t>jlmrelec@nc.rr.com</t>
  </si>
  <si>
    <t>krystal.hunter@rockymountnc.gov</t>
  </si>
  <si>
    <t>angela@townofrosehillnc.com</t>
  </si>
  <si>
    <t>dcraig@cityofroxboro.com</t>
  </si>
  <si>
    <t>townofroxobel@centurylink.net</t>
  </si>
  <si>
    <t>manager@ruralhall.com</t>
  </si>
  <si>
    <t>townmanager@rutherfordcollegenc.us</t>
  </si>
  <si>
    <t>Tsmith@salemburg-nc.com</t>
  </si>
  <si>
    <t>wfurc@salisburync.gov</t>
  </si>
  <si>
    <t>finance@townofsawmillsnc.com</t>
  </si>
  <si>
    <t>nmedlin@centralpinesnc.gov</t>
  </si>
  <si>
    <t>severnnc@3rddoor.com</t>
  </si>
  <si>
    <t>inorris@townofshallotte.org</t>
  </si>
  <si>
    <t>lflint@cityofsouthport.com</t>
  </si>
  <si>
    <t>hkann@spencernc.gov</t>
  </si>
  <si>
    <t>7/11/2024</t>
  </si>
  <si>
    <t>5/27/2024</t>
  </si>
  <si>
    <t>2/12/2024</t>
  </si>
  <si>
    <t>5/28/2024</t>
  </si>
  <si>
    <t>2/7/2024</t>
  </si>
  <si>
    <t>4/1/2024</t>
  </si>
  <si>
    <t>4/16/2024</t>
  </si>
  <si>
    <t>12/7/2023</t>
  </si>
  <si>
    <t>2/15/2024</t>
  </si>
  <si>
    <t>2023-11-20</t>
  </si>
  <si>
    <t>2024-06-21</t>
  </si>
  <si>
    <t>2024-02-21</t>
  </si>
  <si>
    <t>2023-11-10</t>
  </si>
  <si>
    <t>2024-05-24</t>
  </si>
  <si>
    <t>2023-10-19</t>
  </si>
  <si>
    <t>2023-10-17</t>
  </si>
  <si>
    <t>2023-11-01</t>
  </si>
  <si>
    <t>2023-11-08</t>
  </si>
  <si>
    <t>2024-02-16</t>
  </si>
  <si>
    <t>2024-02-02</t>
  </si>
  <si>
    <t>2024-05-09</t>
  </si>
  <si>
    <t>2023-12-12</t>
  </si>
  <si>
    <t>2024-02-09</t>
  </si>
  <si>
    <t>2023-12-28</t>
  </si>
  <si>
    <t>2024-03-21</t>
  </si>
  <si>
    <t>2024-01-12</t>
  </si>
  <si>
    <t>2024-02-15</t>
  </si>
  <si>
    <t>2024-04-17</t>
  </si>
  <si>
    <t>2024-04-01</t>
  </si>
  <si>
    <t>2023-09-27</t>
  </si>
  <si>
    <t>2023-10-06</t>
  </si>
  <si>
    <t>2023-11-14</t>
  </si>
  <si>
    <t>2023-09-29</t>
  </si>
  <si>
    <t>2024-03-26</t>
  </si>
  <si>
    <t>2024-04-28</t>
  </si>
  <si>
    <t>2/20/2024</t>
  </si>
  <si>
    <t>5/10/2024</t>
  </si>
  <si>
    <t>2/16/2024</t>
  </si>
  <si>
    <t>5/3/2024</t>
  </si>
  <si>
    <t>9/29/2023</t>
  </si>
  <si>
    <t>4/28/2024</t>
  </si>
  <si>
    <t>Version Date 10/16/2024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</si>
</sst>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0_);\(0.00\)"/>
    <numFmt numFmtId="171" formatCode="0.0_);\(0.0\)"/>
    <numFmt numFmtId="172" formatCode="_(* #,##0.0000_);_(* \(#,##0.0000\);_(* &quot;-&quot;??_);_(@_)"/>
    <numFmt numFmtId="173" formatCode="#,##0.0000_);[Red]\(#,##0.0000\)"/>
    <numFmt numFmtId="174" formatCode="#,##0.0_);\(#,##0.0\)"/>
    <numFmt numFmtId="175" formatCode="#,##0.0000_);\(#,##0.0000\)"/>
    <numFmt numFmtId="176" formatCode="_(* #,##0.00_);_(* \(#,##0.00\);_(* &quot;-&quot;_);_(@_)"/>
    <numFmt numFmtId="177" formatCode="_(* #,##0.00%_);[Red]_(* \(#,##0.00%\);_(0.00%_);@"/>
    <numFmt numFmtId="178" formatCode="m/d/yy;@"/>
    <numFmt numFmtId="179" formatCode="mm/dd/yyyy"/>
    <numFmt numFmtId="180" formatCode="#,##0.0"/>
    <numFmt numFmtId="181" formatCode="0.0000"/>
    <numFmt numFmtId="182" formatCode="_(* #,##0.000_);_(* \(#,##0.000\);_(* &quot;-&quot;??_);_(@_)"/>
    <numFmt numFmtId="183" formatCode="[&lt;=9999999]###\-####;\(###\)\ ###\-####"/>
    <numFmt numFmtId="184" formatCode="###\-###\-####"/>
    <numFmt numFmtId="185" formatCode="@*."/>
    <numFmt numFmtId="186" formatCode=".0000"/>
    <numFmt numFmtId="187" formatCode="#,##0.0_);[Red]\(#,##0.0\)"/>
    <numFmt numFmtId="188" formatCode="0.0_);[Red]\(0.0\)"/>
    <numFmt numFmtId="189" formatCode="0.0000_);[Red]\(0.0000\)"/>
    <numFmt numFmtId="190" formatCode="0.00_);[Red]\(0.00\)"/>
  </numFmts>
  <fonts count="199"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8"/>
      <name val="Calibri"/>
      <family val="2"/>
      <scheme val="minor"/>
    </font>
    <font>
      <sz val="11"/>
      <color rgb="FFC00000"/>
      <name val="Calibri"/>
      <family val="2"/>
      <scheme val="minor"/>
    </font>
    <font>
      <sz val="8"/>
      <color theme="1"/>
      <name val="Calibri"/>
      <family val="2"/>
      <scheme val="minor"/>
    </font>
    <font>
      <b/>
      <sz val="11"/>
      <name val="Calibri"/>
      <family val="2"/>
      <scheme val="minor"/>
    </font>
    <font>
      <b/>
      <sz val="11"/>
      <color indexed="8"/>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sz val="10"/>
      <color rgb="FF000000"/>
      <name val="Times New Roman"/>
      <family val="1"/>
    </font>
    <font>
      <sz val="10"/>
      <name val="Arial"/>
      <family val="2"/>
    </font>
    <font>
      <sz val="8"/>
      <name val="Arial"/>
      <family val="2"/>
    </font>
    <font>
      <sz val="12"/>
      <name val="Garamond"/>
      <family val="1"/>
    </font>
    <font>
      <sz val="10"/>
      <color rgb="FF000000"/>
      <name val="Times New Roman"/>
      <family val="1"/>
    </font>
    <font>
      <sz val="11"/>
      <color rgb="FF000000"/>
      <name val="Calibri"/>
      <family val="2"/>
      <scheme val="minor"/>
    </font>
    <font>
      <i/>
      <sz val="14"/>
      <color theme="1"/>
      <name val="Calibri"/>
      <family val="2"/>
      <scheme val="minor"/>
    </font>
    <font>
      <b/>
      <i/>
      <sz val="11"/>
      <name val="Calibri"/>
      <family val="2"/>
      <scheme val="minor"/>
    </font>
    <font>
      <i/>
      <sz val="11"/>
      <name val="Calibri"/>
      <family val="2"/>
      <scheme val="minor"/>
    </font>
    <font>
      <b/>
      <u/>
      <sz val="12"/>
      <color theme="1"/>
      <name val="Calibri"/>
      <family val="2"/>
      <scheme val="minor"/>
    </font>
    <font>
      <b/>
      <u/>
      <sz val="16"/>
      <color theme="1"/>
      <name val="Calibri"/>
      <family val="2"/>
      <scheme val="minor"/>
    </font>
    <font>
      <b/>
      <u/>
      <sz val="10"/>
      <color theme="1"/>
      <name val="Calibri"/>
      <family val="2"/>
      <scheme val="minor"/>
    </font>
    <font>
      <sz val="10"/>
      <color indexed="8"/>
      <name val="Calibri"/>
      <family val="2"/>
      <scheme val="minor"/>
    </font>
    <font>
      <u/>
      <sz val="10"/>
      <color theme="1"/>
      <name val="Calibri"/>
      <family val="2"/>
      <scheme val="minor"/>
    </font>
    <font>
      <b/>
      <i/>
      <u/>
      <sz val="10"/>
      <color theme="1"/>
      <name val="Calibri"/>
      <family val="2"/>
      <scheme val="minor"/>
    </font>
    <font>
      <sz val="8"/>
      <color indexed="8"/>
      <name val="Calibri"/>
      <family val="2"/>
      <scheme val="minor"/>
    </font>
    <font>
      <u/>
      <sz val="8"/>
      <color indexed="8"/>
      <name val="Calibri"/>
      <family val="2"/>
      <scheme val="minor"/>
    </font>
    <font>
      <b/>
      <sz val="8"/>
      <color indexed="8"/>
      <name val="Calibri"/>
      <family val="2"/>
      <scheme val="minor"/>
    </font>
    <font>
      <b/>
      <sz val="8"/>
      <name val="Calibri"/>
      <family val="2"/>
      <scheme val="minor"/>
    </font>
    <font>
      <b/>
      <sz val="8"/>
      <color indexed="17"/>
      <name val="Calibri"/>
      <family val="2"/>
      <scheme val="minor"/>
    </font>
    <font>
      <u/>
      <sz val="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b/>
      <sz val="11"/>
      <color indexed="60"/>
      <name val="Calibri"/>
      <family val="2"/>
      <scheme val="minor"/>
    </font>
    <font>
      <u/>
      <sz val="11"/>
      <color rgb="FFFF0000"/>
      <name val="Calibri"/>
      <family val="2"/>
      <scheme val="minor"/>
    </font>
    <font>
      <sz val="11"/>
      <color theme="5" tint="-0.249977111117893"/>
      <name val="Calibri"/>
      <family val="2"/>
      <scheme val="minor"/>
    </font>
    <font>
      <u/>
      <sz val="11"/>
      <color indexed="60"/>
      <name val="Calibri"/>
      <family val="2"/>
      <scheme val="minor"/>
    </font>
    <font>
      <sz val="11"/>
      <color indexed="60"/>
      <name val="Calibri"/>
      <family val="2"/>
      <scheme val="minor"/>
    </font>
    <font>
      <u/>
      <sz val="11"/>
      <name val="Calibri"/>
      <family val="2"/>
      <scheme val="minor"/>
    </font>
    <font>
      <sz val="11"/>
      <color indexed="10"/>
      <name val="Calibri"/>
      <family val="2"/>
      <scheme val="minor"/>
    </font>
    <font>
      <b/>
      <sz val="11"/>
      <color rgb="FFC00000"/>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b/>
      <u/>
      <sz val="11"/>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b/>
      <sz val="14"/>
      <name val="Calibri"/>
      <family val="2"/>
      <scheme val="minor"/>
    </font>
    <font>
      <b/>
      <sz val="12"/>
      <name val="Calibri"/>
      <family val="2"/>
      <scheme val="minor"/>
    </font>
    <font>
      <sz val="11"/>
      <color theme="1"/>
      <name val="Century Schoolbook"/>
      <family val="1"/>
    </font>
    <font>
      <i/>
      <sz val="14"/>
      <name val="Calibri"/>
      <family val="2"/>
      <scheme val="minor"/>
    </font>
    <font>
      <sz val="10"/>
      <name val="Arial"/>
      <family val="2"/>
    </font>
    <font>
      <b/>
      <sz val="16"/>
      <color theme="0"/>
      <name val="Calibri"/>
      <family val="2"/>
      <scheme val="minor"/>
    </font>
    <font>
      <sz val="10.5"/>
      <color theme="1"/>
      <name val="Calibri"/>
      <family val="2"/>
      <scheme val="minor"/>
    </font>
    <font>
      <b/>
      <u/>
      <sz val="11"/>
      <color theme="1"/>
      <name val="Calibri"/>
      <family val="2"/>
      <scheme val="minor"/>
    </font>
    <font>
      <sz val="11"/>
      <color theme="5" tint="-0.499984740745262"/>
      <name val="Calibri"/>
      <family val="2"/>
      <scheme val="minor"/>
    </font>
    <font>
      <sz val="11"/>
      <color theme="9" tint="-0.499984740745262"/>
      <name val="Calibri"/>
      <family val="2"/>
      <scheme val="minor"/>
    </font>
    <font>
      <b/>
      <i/>
      <sz val="12"/>
      <color rgb="FFFF0000"/>
      <name val="Cambria"/>
      <family val="1"/>
    </font>
    <font>
      <b/>
      <u/>
      <sz val="14"/>
      <color theme="1"/>
      <name val="Calibri"/>
      <family val="2"/>
      <scheme val="minor"/>
    </font>
    <font>
      <sz val="8"/>
      <name val="Arial"/>
      <family val="2"/>
    </font>
    <font>
      <sz val="10"/>
      <name val="Arial"/>
      <family val="2"/>
    </font>
    <font>
      <sz val="12"/>
      <name val="Garamond"/>
      <family val="1"/>
    </font>
    <font>
      <sz val="10"/>
      <color rgb="FF000000"/>
      <name val="Times New Roman"/>
      <family val="1"/>
    </font>
    <font>
      <sz val="12"/>
      <color rgb="FFFF0000"/>
      <name val="Calibri"/>
      <family val="2"/>
      <scheme val="minor"/>
    </font>
    <font>
      <sz val="12"/>
      <name val="Calibri"/>
      <family val="2"/>
      <scheme val="minor"/>
    </font>
    <font>
      <b/>
      <sz val="11"/>
      <name val="Times New Roman"/>
      <family val="1"/>
    </font>
    <font>
      <b/>
      <i/>
      <sz val="14"/>
      <color theme="1"/>
      <name val="Calibri"/>
      <family val="2"/>
      <scheme val="minor"/>
    </font>
    <font>
      <b/>
      <u/>
      <sz val="11"/>
      <color rgb="FFFF0000"/>
      <name val="Calibri"/>
      <family val="2"/>
      <scheme val="minor"/>
    </font>
    <font>
      <b/>
      <sz val="14"/>
      <color rgb="FFFF0000"/>
      <name val="Calibri"/>
      <family val="2"/>
      <scheme val="minor"/>
    </font>
    <font>
      <b/>
      <i/>
      <u/>
      <sz val="12"/>
      <name val="Cambria"/>
      <family val="1"/>
    </font>
    <font>
      <b/>
      <sz val="11"/>
      <color rgb="FFFF0000"/>
      <name val="Times New Roman"/>
      <family val="1"/>
    </font>
    <font>
      <sz val="8"/>
      <name val="Arial"/>
      <family val="2"/>
    </font>
    <font>
      <sz val="10"/>
      <name val="Arial"/>
      <family val="2"/>
    </font>
    <font>
      <sz val="12"/>
      <name val="Garamond"/>
      <family val="1"/>
    </font>
  </fonts>
  <fills count="87">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indexed="55"/>
        <bgColor indexed="64"/>
      </patternFill>
    </fill>
    <fill>
      <patternFill patternType="solid">
        <fgColor rgb="FFCCFFCC"/>
        <bgColor indexed="64"/>
      </patternFill>
    </fill>
    <fill>
      <patternFill patternType="solid">
        <fgColor rgb="FFDCFDD3"/>
        <bgColor indexed="64"/>
      </patternFill>
    </fill>
    <fill>
      <patternFill patternType="gray125">
        <fgColor auto="1"/>
        <bgColor auto="1"/>
      </patternFill>
    </fill>
    <fill>
      <patternFill patternType="solid">
        <fgColor rgb="FF92D050"/>
        <bgColor indexed="64"/>
      </patternFill>
    </fill>
    <fill>
      <patternFill patternType="solid">
        <fgColor theme="8" tint="0.79998168889431442"/>
        <bgColor indexed="64"/>
      </patternFill>
    </fill>
    <fill>
      <patternFill patternType="solid">
        <fgColor rgb="FF99FF66"/>
        <bgColor indexed="64"/>
      </patternFill>
    </fill>
  </fills>
  <borders count="1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style="thin">
        <color indexed="30"/>
      </top>
      <bottom style="thin">
        <color indexed="30"/>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style="medium">
        <color auto="1"/>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right/>
      <top style="thin">
        <color theme="0"/>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theme="0"/>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theme="3" tint="0.79998168889431442"/>
      </left>
      <right/>
      <top style="thin">
        <color theme="3" tint="0.79998168889431442"/>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
      <left style="thin">
        <color theme="3" tint="0.79998168889431442"/>
      </left>
      <right style="thin">
        <color theme="3" tint="0.79998168889431442"/>
      </right>
      <top/>
      <bottom style="thin">
        <color theme="3" tint="0.79998168889431442"/>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s>
  <cellStyleXfs count="32321">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9" fillId="0" borderId="0"/>
    <xf numFmtId="0" fontId="20" fillId="0" borderId="0"/>
    <xf numFmtId="0" fontId="19" fillId="0" borderId="0"/>
    <xf numFmtId="0" fontId="28" fillId="0" borderId="0"/>
    <xf numFmtId="0" fontId="19"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20"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8"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xf numFmtId="0" fontId="19" fillId="0" borderId="0"/>
    <xf numFmtId="0" fontId="19" fillId="0" borderId="0"/>
    <xf numFmtId="0" fontId="19" fillId="0" borderId="0"/>
    <xf numFmtId="0" fontId="33" fillId="0" borderId="0"/>
    <xf numFmtId="0" fontId="28" fillId="0" borderId="0"/>
    <xf numFmtId="0" fontId="19" fillId="0" borderId="0"/>
    <xf numFmtId="0" fontId="19" fillId="0" borderId="0"/>
    <xf numFmtId="0" fontId="33" fillId="0" borderId="0"/>
    <xf numFmtId="0" fontId="11" fillId="0" borderId="0"/>
    <xf numFmtId="0" fontId="11" fillId="0" borderId="0"/>
    <xf numFmtId="0" fontId="33" fillId="0" borderId="0"/>
    <xf numFmtId="0" fontId="19" fillId="0" borderId="0"/>
    <xf numFmtId="0" fontId="19" fillId="0" borderId="0"/>
    <xf numFmtId="0" fontId="19" fillId="0" borderId="0"/>
    <xf numFmtId="0" fontId="33" fillId="0" borderId="0"/>
    <xf numFmtId="0" fontId="33" fillId="0" borderId="0"/>
    <xf numFmtId="0" fontId="33" fillId="0" borderId="0"/>
    <xf numFmtId="0" fontId="19" fillId="0" borderId="0"/>
    <xf numFmtId="0" fontId="33" fillId="0" borderId="0"/>
    <xf numFmtId="0" fontId="19" fillId="0" borderId="0"/>
    <xf numFmtId="0" fontId="33" fillId="0" borderId="0"/>
    <xf numFmtId="0" fontId="33" fillId="0" borderId="0"/>
    <xf numFmtId="0" fontId="19" fillId="0" borderId="0"/>
    <xf numFmtId="0" fontId="33" fillId="0" borderId="0"/>
    <xf numFmtId="0" fontId="33" fillId="0" borderId="0"/>
    <xf numFmtId="0" fontId="33" fillId="0" borderId="0"/>
    <xf numFmtId="0" fontId="28"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29" fillId="0" borderId="0"/>
    <xf numFmtId="0" fontId="11" fillId="0" borderId="0"/>
    <xf numFmtId="0" fontId="11" fillId="0" borderId="0"/>
    <xf numFmtId="0" fontId="11" fillId="0" borderId="0"/>
    <xf numFmtId="0" fontId="11"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9" fillId="0" borderId="0"/>
    <xf numFmtId="0" fontId="29" fillId="0" borderId="0"/>
    <xf numFmtId="0" fontId="11" fillId="0" borderId="0"/>
    <xf numFmtId="0" fontId="11" fillId="0" borderId="0"/>
    <xf numFmtId="0" fontId="11" fillId="0" borderId="0"/>
    <xf numFmtId="0" fontId="1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xf numFmtId="0" fontId="21" fillId="0" borderId="0"/>
    <xf numFmtId="0" fontId="27"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0" fillId="0" borderId="0"/>
    <xf numFmtId="0" fontId="30" fillId="0" borderId="0"/>
    <xf numFmtId="0" fontId="21" fillId="0" borderId="0"/>
    <xf numFmtId="0" fontId="21" fillId="0" borderId="0"/>
    <xf numFmtId="0" fontId="21" fillId="0" borderId="0"/>
    <xf numFmtId="0" fontId="21" fillId="0" borderId="0"/>
    <xf numFmtId="0" fontId="33" fillId="0" borderId="0"/>
    <xf numFmtId="0" fontId="30" fillId="0" borderId="0"/>
    <xf numFmtId="0" fontId="21" fillId="0" borderId="0"/>
    <xf numFmtId="0" fontId="33" fillId="0" borderId="0"/>
    <xf numFmtId="0" fontId="21" fillId="0" borderId="0"/>
    <xf numFmtId="0" fontId="33"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21" fillId="0" borderId="0"/>
    <xf numFmtId="0" fontId="33" fillId="0" borderId="0"/>
    <xf numFmtId="0" fontId="33" fillId="0" borderId="0"/>
    <xf numFmtId="0" fontId="21" fillId="0" borderId="0"/>
    <xf numFmtId="0" fontId="33" fillId="0" borderId="0"/>
    <xf numFmtId="0" fontId="33" fillId="0" borderId="0"/>
    <xf numFmtId="0" fontId="33" fillId="0" borderId="0"/>
    <xf numFmtId="0" fontId="30"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4" fillId="0" borderId="0"/>
    <xf numFmtId="3" fontId="6" fillId="0" borderId="0"/>
    <xf numFmtId="0" fontId="11" fillId="5" borderId="7" applyNumberFormat="0" applyFont="0" applyAlignment="0" applyProtection="0"/>
    <xf numFmtId="0" fontId="11" fillId="5" borderId="7" applyNumberFormat="0" applyFont="0" applyAlignment="0" applyProtection="0"/>
    <xf numFmtId="0" fontId="29"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32"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6" fillId="0" borderId="0"/>
    <xf numFmtId="0" fontId="66" fillId="0" borderId="0"/>
    <xf numFmtId="0" fontId="65" fillId="0" borderId="0"/>
    <xf numFmtId="0" fontId="66" fillId="0" borderId="0"/>
    <xf numFmtId="0" fontId="66" fillId="0" borderId="0"/>
    <xf numFmtId="0" fontId="67" fillId="0" borderId="0"/>
    <xf numFmtId="0" fontId="66"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0" borderId="0"/>
    <xf numFmtId="0" fontId="67"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5" borderId="7" applyNumberFormat="0" applyFont="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65"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65" fillId="0" borderId="0"/>
    <xf numFmtId="0" fontId="65" fillId="0" borderId="0"/>
    <xf numFmtId="0" fontId="65" fillId="0" borderId="0"/>
    <xf numFmtId="0" fontId="65" fillId="0" borderId="0"/>
    <xf numFmtId="0" fontId="11" fillId="0" borderId="0"/>
    <xf numFmtId="0" fontId="65"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3" fillId="0" borderId="0"/>
    <xf numFmtId="0" fontId="33" fillId="0" borderId="0"/>
    <xf numFmtId="0" fontId="21" fillId="0" borderId="0"/>
    <xf numFmtId="0" fontId="33" fillId="0" borderId="0"/>
    <xf numFmtId="0" fontId="33" fillId="0" borderId="0"/>
    <xf numFmtId="0" fontId="33" fillId="0" borderId="0"/>
    <xf numFmtId="0" fontId="65"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3" fillId="0" borderId="0"/>
    <xf numFmtId="0" fontId="33" fillId="0" borderId="0"/>
    <xf numFmtId="0" fontId="33" fillId="0" borderId="0"/>
    <xf numFmtId="0" fontId="33" fillId="0" borderId="0"/>
    <xf numFmtId="0" fontId="33" fillId="0" borderId="0"/>
    <xf numFmtId="0" fontId="11" fillId="0" borderId="0"/>
    <xf numFmtId="0" fontId="67" fillId="0" borderId="0"/>
    <xf numFmtId="0" fontId="67" fillId="0" borderId="0"/>
    <xf numFmtId="0" fontId="67" fillId="0" borderId="0"/>
    <xf numFmtId="0" fontId="67"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67" fillId="0" borderId="0"/>
    <xf numFmtId="0" fontId="33" fillId="0" borderId="0"/>
    <xf numFmtId="0" fontId="33" fillId="0" borderId="0"/>
    <xf numFmtId="0" fontId="33" fillId="0" borderId="0"/>
    <xf numFmtId="0" fontId="33"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21"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66" fillId="0" borderId="0"/>
    <xf numFmtId="0" fontId="11" fillId="0" borderId="0"/>
    <xf numFmtId="0" fontId="11"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11" fillId="0" borderId="0"/>
    <xf numFmtId="0" fontId="21" fillId="0" borderId="0"/>
    <xf numFmtId="0" fontId="11" fillId="0" borderId="0"/>
    <xf numFmtId="0" fontId="11" fillId="0" borderId="0"/>
    <xf numFmtId="44" fontId="33"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3" fillId="0" borderId="0" applyFont="0" applyFill="0" applyBorder="0" applyAlignment="0" applyProtection="0"/>
    <xf numFmtId="0" fontId="19" fillId="0" borderId="0"/>
    <xf numFmtId="0" fontId="11" fillId="0" borderId="0"/>
    <xf numFmtId="43" fontId="33" fillId="0" borderId="0" applyFont="0" applyFill="0" applyBorder="0" applyAlignment="0" applyProtection="0"/>
    <xf numFmtId="0" fontId="11" fillId="0" borderId="0"/>
    <xf numFmtId="0" fontId="19" fillId="0" borderId="0"/>
    <xf numFmtId="0" fontId="19"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67" fillId="0" borderId="0"/>
    <xf numFmtId="0" fontId="1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21"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0" fontId="66" fillId="0" borderId="0"/>
    <xf numFmtId="0" fontId="19" fillId="0" borderId="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70" fillId="0" borderId="47" applyNumberFormat="0" applyFill="0" applyAlignment="0" applyProtection="0"/>
    <xf numFmtId="0" fontId="71" fillId="0" borderId="48" applyNumberFormat="0" applyFill="0" applyAlignment="0" applyProtection="0"/>
    <xf numFmtId="0" fontId="72" fillId="0" borderId="49" applyNumberFormat="0" applyFill="0" applyAlignment="0" applyProtection="0"/>
    <xf numFmtId="0" fontId="72" fillId="0" borderId="0" applyNumberFormat="0" applyFill="0" applyBorder="0" applyAlignment="0" applyProtection="0"/>
    <xf numFmtId="0" fontId="73" fillId="37" borderId="0" applyNumberFormat="0" applyBorder="0" applyAlignment="0" applyProtection="0"/>
    <xf numFmtId="0" fontId="74" fillId="38" borderId="0" applyNumberFormat="0" applyBorder="0" applyAlignment="0" applyProtection="0"/>
    <xf numFmtId="0" fontId="75" fillId="40" borderId="50" applyNumberFormat="0" applyAlignment="0" applyProtection="0"/>
    <xf numFmtId="0" fontId="76" fillId="41" borderId="51" applyNumberFormat="0" applyAlignment="0" applyProtection="0"/>
    <xf numFmtId="0" fontId="77" fillId="41" borderId="50" applyNumberFormat="0" applyAlignment="0" applyProtection="0"/>
    <xf numFmtId="0" fontId="78" fillId="0" borderId="52" applyNumberFormat="0" applyFill="0" applyAlignment="0" applyProtection="0"/>
    <xf numFmtId="0" fontId="79" fillId="42" borderId="53" applyNumberFormat="0" applyAlignment="0" applyProtection="0"/>
    <xf numFmtId="0" fontId="68" fillId="0" borderId="0" applyNumberFormat="0" applyFill="0" applyBorder="0" applyAlignment="0" applyProtection="0"/>
    <xf numFmtId="0" fontId="39" fillId="0" borderId="55" applyNumberFormat="0" applyFill="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8" borderId="0" applyNumberFormat="0" applyBorder="0" applyAlignment="0" applyProtection="0"/>
    <xf numFmtId="0" fontId="80" fillId="49" borderId="0" applyNumberFormat="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89" fillId="39" borderId="0" applyNumberFormat="0" applyBorder="0" applyAlignment="0" applyProtection="0"/>
    <xf numFmtId="0" fontId="33" fillId="43" borderId="54" applyNumberFormat="0" applyFont="0" applyAlignment="0" applyProtection="0"/>
    <xf numFmtId="40" fontId="82" fillId="0" borderId="17">
      <alignment horizontal="right"/>
    </xf>
    <xf numFmtId="0" fontId="83" fillId="0" borderId="0">
      <alignment horizontal="left"/>
    </xf>
    <xf numFmtId="49" fontId="11" fillId="0" borderId="0"/>
    <xf numFmtId="0" fontId="83" fillId="0" borderId="0">
      <alignment horizontal="left"/>
    </xf>
    <xf numFmtId="177" fontId="82" fillId="0" borderId="17">
      <alignment horizontal="right"/>
    </xf>
    <xf numFmtId="49" fontId="82"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7" fontId="11" fillId="0" borderId="0">
      <alignment horizontal="right"/>
    </xf>
    <xf numFmtId="49" fontId="11" fillId="0" borderId="0"/>
    <xf numFmtId="49" fontId="81" fillId="50" borderId="0">
      <alignment horizontal="right" vertical="center"/>
    </xf>
    <xf numFmtId="49" fontId="81" fillId="50" borderId="0">
      <alignment horizontal="left" vertical="center"/>
    </xf>
    <xf numFmtId="49" fontId="81" fillId="50" borderId="0">
      <alignment horizontal="center" vertical="center"/>
    </xf>
    <xf numFmtId="49" fontId="81" fillId="50" borderId="0">
      <alignment horizontal="center" vertical="center"/>
    </xf>
    <xf numFmtId="49" fontId="81" fillId="50" borderId="0">
      <alignment horizontal="right" vertical="center"/>
    </xf>
    <xf numFmtId="40" fontId="81" fillId="50" borderId="0">
      <alignment horizontal="right"/>
    </xf>
    <xf numFmtId="49" fontId="81" fillId="50"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7" fontId="11" fillId="0" borderId="0">
      <alignment horizontal="right"/>
    </xf>
    <xf numFmtId="49" fontId="11" fillId="0" borderId="0"/>
    <xf numFmtId="49" fontId="81" fillId="50" borderId="0">
      <alignment horizontal="center" vertical="center"/>
    </xf>
    <xf numFmtId="49" fontId="81" fillId="50" borderId="0">
      <alignment horizontal="center" vertical="center"/>
    </xf>
    <xf numFmtId="177" fontId="81" fillId="50" borderId="0">
      <alignment horizontal="center" vertical="center"/>
    </xf>
    <xf numFmtId="49" fontId="81" fillId="50" borderId="0">
      <alignment horizontal="right"/>
    </xf>
    <xf numFmtId="40" fontId="82" fillId="0" borderId="19">
      <alignment horizontal="right"/>
    </xf>
    <xf numFmtId="0" fontId="83" fillId="0" borderId="0">
      <alignment horizontal="left"/>
    </xf>
    <xf numFmtId="49" fontId="11" fillId="0" borderId="0"/>
    <xf numFmtId="0" fontId="83" fillId="0" borderId="0">
      <alignment horizontal="left"/>
    </xf>
    <xf numFmtId="177" fontId="82" fillId="0" borderId="19">
      <alignment horizontal="right"/>
    </xf>
    <xf numFmtId="49" fontId="82" fillId="0" borderId="0">
      <alignment horizontal="right"/>
    </xf>
    <xf numFmtId="49" fontId="11" fillId="0" borderId="0"/>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82" fillId="51" borderId="0">
      <alignment horizontal="center" vertical="center"/>
    </xf>
    <xf numFmtId="49" fontId="11" fillId="51" borderId="0">
      <alignment horizontal="left" vertical="center"/>
    </xf>
    <xf numFmtId="49" fontId="82" fillId="51" borderId="0">
      <alignment horizontal="center" vertical="center"/>
    </xf>
    <xf numFmtId="0" fontId="82" fillId="52" borderId="0">
      <alignment horizontal="left"/>
    </xf>
    <xf numFmtId="49" fontId="11" fillId="0" borderId="0"/>
    <xf numFmtId="0" fontId="82" fillId="52" borderId="0">
      <alignment horizontal="left"/>
    </xf>
    <xf numFmtId="40" fontId="82" fillId="0" borderId="0">
      <alignment horizontal="right"/>
    </xf>
    <xf numFmtId="49" fontId="81" fillId="50" borderId="0"/>
    <xf numFmtId="49" fontId="81" fillId="50" borderId="0"/>
    <xf numFmtId="49" fontId="11" fillId="0" borderId="0"/>
    <xf numFmtId="0" fontId="84" fillId="53" borderId="0" applyFont="0" applyFill="0">
      <alignment horizontal="left" vertical="top" wrapText="1"/>
    </xf>
    <xf numFmtId="40" fontId="84" fillId="0" borderId="0"/>
    <xf numFmtId="40" fontId="84" fillId="0" borderId="0"/>
    <xf numFmtId="0" fontId="84" fillId="0" borderId="0">
      <alignment horizontal="left"/>
    </xf>
    <xf numFmtId="0" fontId="84" fillId="0" borderId="0">
      <alignment horizontal="center"/>
    </xf>
    <xf numFmtId="0" fontId="85" fillId="0" borderId="0">
      <alignment horizontal="center"/>
    </xf>
    <xf numFmtId="0" fontId="86" fillId="50" borderId="0">
      <alignment horizontal="left"/>
    </xf>
    <xf numFmtId="0" fontId="86" fillId="50" borderId="0">
      <alignment horizontal="left"/>
    </xf>
    <xf numFmtId="0" fontId="85" fillId="0" borderId="0">
      <alignment horizontal="center"/>
    </xf>
    <xf numFmtId="40" fontId="87" fillId="0" borderId="18"/>
    <xf numFmtId="40" fontId="87" fillId="0" borderId="18"/>
    <xf numFmtId="0" fontId="87" fillId="0" borderId="0"/>
    <xf numFmtId="0" fontId="87" fillId="0" borderId="0"/>
    <xf numFmtId="0" fontId="85" fillId="0" borderId="0">
      <alignment horizontal="center"/>
    </xf>
    <xf numFmtId="0" fontId="88" fillId="54" borderId="0">
      <alignment horizontal="left"/>
    </xf>
    <xf numFmtId="0" fontId="88" fillId="54" borderId="0">
      <alignment horizontal="left"/>
    </xf>
    <xf numFmtId="40" fontId="82" fillId="0" borderId="0">
      <alignment horizontal="right"/>
    </xf>
    <xf numFmtId="0" fontId="83" fillId="0" borderId="0">
      <alignment horizontal="left"/>
    </xf>
    <xf numFmtId="49" fontId="11" fillId="0" borderId="0"/>
    <xf numFmtId="0" fontId="83" fillId="0" borderId="0">
      <alignment horizontal="left"/>
    </xf>
    <xf numFmtId="177" fontId="82" fillId="0" borderId="0">
      <alignment horizontal="right"/>
    </xf>
    <xf numFmtId="49" fontId="82" fillId="0" borderId="0" applyBorder="0">
      <alignment horizontal="right"/>
    </xf>
    <xf numFmtId="0" fontId="11" fillId="0" borderId="0"/>
    <xf numFmtId="49" fontId="90" fillId="53" borderId="0">
      <alignment horizontal="left"/>
    </xf>
    <xf numFmtId="49" fontId="90" fillId="53" borderId="0">
      <alignment horizontal="left"/>
    </xf>
    <xf numFmtId="0" fontId="91" fillId="53" borderId="0">
      <alignment horizontal="left"/>
    </xf>
    <xf numFmtId="178" fontId="91" fillId="53" borderId="0">
      <alignment horizontal="left"/>
    </xf>
    <xf numFmtId="40" fontId="82" fillId="0" borderId="0">
      <alignment horizontal="right"/>
    </xf>
    <xf numFmtId="49" fontId="92" fillId="53" borderId="0">
      <alignment horizontal="left"/>
    </xf>
    <xf numFmtId="49" fontId="92" fillId="53" borderId="0">
      <alignment horizontal="left"/>
    </xf>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0" fontId="82" fillId="0" borderId="14">
      <alignment horizontal="right"/>
    </xf>
    <xf numFmtId="0" fontId="82" fillId="52" borderId="0">
      <alignment horizontal="left"/>
    </xf>
    <xf numFmtId="49" fontId="11" fillId="0" borderId="0"/>
    <xf numFmtId="0" fontId="82" fillId="52" borderId="0">
      <alignment horizontal="left"/>
    </xf>
    <xf numFmtId="177" fontId="82" fillId="0" borderId="14">
      <alignment horizontal="right"/>
    </xf>
    <xf numFmtId="49" fontId="82" fillId="0" borderId="0">
      <alignment horizontal="right"/>
    </xf>
    <xf numFmtId="0" fontId="87" fillId="0" borderId="0"/>
    <xf numFmtId="40" fontId="84" fillId="0" borderId="18"/>
    <xf numFmtId="40" fontId="84" fillId="0" borderId="18"/>
    <xf numFmtId="0" fontId="84" fillId="0" borderId="0"/>
    <xf numFmtId="0" fontId="84" fillId="0" borderId="0"/>
    <xf numFmtId="40" fontId="84" fillId="0" borderId="0"/>
    <xf numFmtId="179" fontId="84" fillId="0" borderId="0"/>
    <xf numFmtId="40" fontId="84" fillId="0" borderId="0"/>
    <xf numFmtId="0" fontId="84" fillId="0" borderId="0"/>
    <xf numFmtId="0" fontId="84" fillId="0" borderId="0"/>
    <xf numFmtId="40" fontId="82" fillId="0" borderId="18">
      <alignment horizontal="right"/>
    </xf>
    <xf numFmtId="49" fontId="82" fillId="0" borderId="0">
      <alignment horizontal="left"/>
    </xf>
    <xf numFmtId="49" fontId="11" fillId="0" borderId="0"/>
    <xf numFmtId="49" fontId="82" fillId="0" borderId="0">
      <alignment horizontal="left"/>
    </xf>
    <xf numFmtId="177" fontId="82" fillId="0" borderId="18">
      <alignment horizontal="right"/>
    </xf>
    <xf numFmtId="49" fontId="82" fillId="0" borderId="0">
      <alignment horizontal="right"/>
    </xf>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43" borderId="54"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2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7" fillId="11"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4"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1" fillId="0" borderId="0"/>
    <xf numFmtId="0" fontId="2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7" fillId="13"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7" fillId="7" borderId="0" applyNumberFormat="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21"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11"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4"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9" fontId="3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2" fillId="20" borderId="0" applyFont="0" applyBorder="0" applyAlignment="0">
      <alignment horizontal="center" wrapText="1"/>
    </xf>
    <xf numFmtId="0" fontId="33" fillId="0" borderId="0"/>
    <xf numFmtId="43" fontId="1" fillId="0" borderId="0" applyFont="0" applyFill="0" applyBorder="0" applyAlignment="0" applyProtection="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19" fillId="0" borderId="0"/>
    <xf numFmtId="0" fontId="33" fillId="0" borderId="0"/>
    <xf numFmtId="0" fontId="33" fillId="0" borderId="0"/>
    <xf numFmtId="0" fontId="33"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2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19"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11" fillId="0" borderId="0"/>
    <xf numFmtId="43" fontId="33" fillId="0" borderId="0" applyFont="0" applyFill="0" applyBorder="0" applyAlignment="0" applyProtection="0"/>
    <xf numFmtId="0" fontId="7" fillId="7" borderId="0" applyNumberFormat="0" applyBorder="0" applyAlignment="0" applyProtection="0"/>
    <xf numFmtId="0" fontId="33" fillId="0" borderId="0"/>
    <xf numFmtId="0" fontId="7" fillId="11" borderId="0" applyNumberFormat="0" applyBorder="0" applyAlignment="0" applyProtection="0"/>
    <xf numFmtId="0" fontId="33" fillId="0" borderId="0"/>
    <xf numFmtId="0" fontId="19"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11" fillId="0" borderId="0"/>
    <xf numFmtId="0" fontId="11"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7" borderId="0" applyNumberFormat="0" applyBorder="0" applyAlignment="0" applyProtection="0"/>
    <xf numFmtId="0" fontId="11" fillId="0" borderId="0"/>
    <xf numFmtId="0" fontId="38" fillId="20" borderId="0" applyFont="0" applyBorder="0" applyAlignment="0">
      <alignment horizontal="center" wrapText="1"/>
    </xf>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0" fontId="21" fillId="0" borderId="0"/>
    <xf numFmtId="0" fontId="19" fillId="0" borderId="0"/>
    <xf numFmtId="0" fontId="11" fillId="0" borderId="0"/>
    <xf numFmtId="0" fontId="1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11" fillId="0" borderId="0"/>
    <xf numFmtId="0" fontId="33"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43" fontId="1"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9" fillId="0" borderId="0"/>
    <xf numFmtId="0" fontId="21" fillId="0" borderId="0"/>
    <xf numFmtId="44" fontId="34" fillId="0" borderId="0" applyFont="0" applyFill="0" applyBorder="0" applyAlignment="0" applyProtection="0"/>
    <xf numFmtId="43" fontId="33" fillId="0" borderId="0" applyFont="0" applyFill="0" applyBorder="0" applyAlignment="0" applyProtection="0"/>
    <xf numFmtId="0" fontId="19"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0" fontId="11" fillId="0" borderId="0"/>
    <xf numFmtId="0" fontId="33" fillId="0" borderId="0"/>
    <xf numFmtId="0" fontId="32" fillId="20" borderId="0" applyFont="0" applyBorder="0" applyAlignment="0">
      <alignment horizontal="center" wrapText="1"/>
    </xf>
    <xf numFmtId="0" fontId="33" fillId="0" borderId="0"/>
    <xf numFmtId="0" fontId="3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11" fillId="0" borderId="0"/>
    <xf numFmtId="44" fontId="1"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33" fillId="0" borderId="0"/>
    <xf numFmtId="0" fontId="19" fillId="0" borderId="0"/>
    <xf numFmtId="0" fontId="11"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2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9"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93"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xf numFmtId="0" fontId="33" fillId="61" borderId="0" applyNumberFormat="0" applyBorder="0" applyAlignment="0" applyProtection="0"/>
    <xf numFmtId="0" fontId="33" fillId="62" borderId="0" applyNumberFormat="0" applyBorder="0" applyAlignment="0" applyProtection="0"/>
    <xf numFmtId="0" fontId="33" fillId="64" borderId="0" applyNumberFormat="0" applyBorder="0" applyAlignment="0" applyProtection="0"/>
    <xf numFmtId="0" fontId="33" fillId="65" borderId="0" applyNumberFormat="0" applyBorder="0" applyAlignment="0" applyProtection="0"/>
    <xf numFmtId="0" fontId="33" fillId="67" borderId="0" applyNumberFormat="0" applyBorder="0" applyAlignment="0" applyProtection="0"/>
    <xf numFmtId="0" fontId="33" fillId="68" borderId="0" applyNumberFormat="0" applyBorder="0" applyAlignment="0" applyProtection="0"/>
    <xf numFmtId="0" fontId="33" fillId="70" borderId="0" applyNumberFormat="0" applyBorder="0" applyAlignment="0" applyProtection="0"/>
    <xf numFmtId="0" fontId="33" fillId="71" borderId="0" applyNumberFormat="0" applyBorder="0" applyAlignment="0" applyProtection="0"/>
    <xf numFmtId="0" fontId="34" fillId="55" borderId="0" applyNumberFormat="0" applyBorder="0" applyAlignment="0" applyProtection="0"/>
    <xf numFmtId="0" fontId="34" fillId="58" borderId="0" applyNumberFormat="0" applyBorder="0" applyAlignment="0" applyProtection="0"/>
    <xf numFmtId="0" fontId="34" fillId="61" borderId="0" applyNumberFormat="0" applyBorder="0" applyAlignment="0" applyProtection="0"/>
    <xf numFmtId="0" fontId="34" fillId="64" borderId="0" applyNumberFormat="0" applyBorder="0" applyAlignment="0" applyProtection="0"/>
    <xf numFmtId="0" fontId="34" fillId="67" borderId="0" applyNumberFormat="0" applyBorder="0" applyAlignment="0" applyProtection="0"/>
    <xf numFmtId="0" fontId="34" fillId="70"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2" borderId="0" applyNumberFormat="0" applyBorder="0" applyAlignment="0" applyProtection="0"/>
    <xf numFmtId="0" fontId="34" fillId="65" borderId="0" applyNumberFormat="0" applyBorder="0" applyAlignment="0" applyProtection="0"/>
    <xf numFmtId="0" fontId="34" fillId="68" borderId="0" applyNumberFormat="0" applyBorder="0" applyAlignment="0" applyProtection="0"/>
    <xf numFmtId="0" fontId="34" fillId="71" borderId="0" applyNumberFormat="0" applyBorder="0" applyAlignment="0" applyProtection="0"/>
    <xf numFmtId="0" fontId="80" fillId="57" borderId="0" applyNumberFormat="0" applyBorder="0" applyAlignment="0" applyProtection="0"/>
    <xf numFmtId="0" fontId="94" fillId="57" borderId="0" applyNumberFormat="0" applyBorder="0" applyAlignment="0" applyProtection="0"/>
    <xf numFmtId="0" fontId="80" fillId="60" borderId="0" applyNumberFormat="0" applyBorder="0" applyAlignment="0" applyProtection="0"/>
    <xf numFmtId="0" fontId="94" fillId="60" borderId="0" applyNumberFormat="0" applyBorder="0" applyAlignment="0" applyProtection="0"/>
    <xf numFmtId="0" fontId="80" fillId="63" borderId="0" applyNumberFormat="0" applyBorder="0" applyAlignment="0" applyProtection="0"/>
    <xf numFmtId="0" fontId="94" fillId="63" borderId="0" applyNumberFormat="0" applyBorder="0" applyAlignment="0" applyProtection="0"/>
    <xf numFmtId="0" fontId="80" fillId="66" borderId="0" applyNumberFormat="0" applyBorder="0" applyAlignment="0" applyProtection="0"/>
    <xf numFmtId="0" fontId="94" fillId="66" borderId="0" applyNumberFormat="0" applyBorder="0" applyAlignment="0" applyProtection="0"/>
    <xf numFmtId="0" fontId="80" fillId="69" borderId="0" applyNumberFormat="0" applyBorder="0" applyAlignment="0" applyProtection="0"/>
    <xf numFmtId="0" fontId="94" fillId="69" borderId="0" applyNumberFormat="0" applyBorder="0" applyAlignment="0" applyProtection="0"/>
    <xf numFmtId="0" fontId="80" fillId="72" borderId="0" applyNumberFormat="0" applyBorder="0" applyAlignment="0" applyProtection="0"/>
    <xf numFmtId="0" fontId="94" fillId="72"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5" fillId="38" borderId="0" applyNumberFormat="0" applyBorder="0" applyAlignment="0" applyProtection="0"/>
    <xf numFmtId="0" fontId="96" fillId="41" borderId="50" applyNumberFormat="0" applyAlignment="0" applyProtection="0"/>
    <xf numFmtId="0" fontId="97" fillId="42" borderId="5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98" fillId="0" borderId="0" applyNumberFormat="0" applyFill="0" applyBorder="0" applyAlignment="0" applyProtection="0"/>
    <xf numFmtId="0" fontId="99" fillId="37" borderId="0" applyNumberFormat="0" applyBorder="0" applyAlignment="0" applyProtection="0"/>
    <xf numFmtId="0" fontId="100" fillId="0" borderId="47" applyNumberFormat="0" applyFill="0" applyAlignment="0" applyProtection="0"/>
    <xf numFmtId="0" fontId="101" fillId="0" borderId="48" applyNumberFormat="0" applyFill="0" applyAlignment="0" applyProtection="0"/>
    <xf numFmtId="0" fontId="15" fillId="0" borderId="58" applyNumberFormat="0" applyFill="0" applyAlignment="0" applyProtection="0"/>
    <xf numFmtId="0" fontId="15" fillId="0" borderId="58" applyNumberFormat="0" applyFill="0" applyAlignment="0" applyProtection="0"/>
    <xf numFmtId="0" fontId="102" fillId="0" borderId="49" applyNumberFormat="0" applyFill="0" applyAlignment="0" applyProtection="0"/>
    <xf numFmtId="0" fontId="102" fillId="0" borderId="0" applyNumberFormat="0" applyFill="0" applyBorder="0" applyAlignment="0" applyProtection="0"/>
    <xf numFmtId="0" fontId="103" fillId="40" borderId="50" applyNumberFormat="0" applyAlignment="0" applyProtection="0"/>
    <xf numFmtId="0" fontId="104" fillId="0" borderId="52" applyNumberFormat="0" applyFill="0" applyAlignment="0" applyProtection="0"/>
    <xf numFmtId="0" fontId="105" fillId="39" borderId="0" applyNumberFormat="0" applyBorder="0" applyAlignment="0" applyProtection="0"/>
    <xf numFmtId="0" fontId="6" fillId="0" borderId="0"/>
    <xf numFmtId="0" fontId="34" fillId="0" borderId="0"/>
    <xf numFmtId="0" fontId="34" fillId="0" borderId="0"/>
    <xf numFmtId="0" fontId="34" fillId="0" borderId="0"/>
    <xf numFmtId="0" fontId="34" fillId="0" borderId="0"/>
    <xf numFmtId="0" fontId="6" fillId="0" borderId="0"/>
    <xf numFmtId="0" fontId="6" fillId="0" borderId="0"/>
    <xf numFmtId="0" fontId="11" fillId="0" borderId="0"/>
    <xf numFmtId="0" fontId="19" fillId="0" borderId="0"/>
    <xf numFmtId="0" fontId="11" fillId="0" borderId="0"/>
    <xf numFmtId="0" fontId="34" fillId="0" borderId="0"/>
    <xf numFmtId="0" fontId="33"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34" fillId="43" borderId="54" applyNumberFormat="0" applyFont="0" applyAlignment="0" applyProtection="0"/>
    <xf numFmtId="0" fontId="106" fillId="41" borderId="51" applyNumberFormat="0" applyAlignment="0" applyProtection="0"/>
    <xf numFmtId="9" fontId="6" fillId="0" borderId="0" applyFont="0" applyFill="0" applyBorder="0" applyAlignment="0" applyProtection="0"/>
    <xf numFmtId="0" fontId="107" fillId="0" borderId="0" applyNumberFormat="0" applyFill="0" applyBorder="0" applyAlignment="0" applyProtection="0"/>
    <xf numFmtId="0" fontId="108" fillId="0" borderId="55" applyNumberFormat="0" applyFill="0" applyAlignment="0" applyProtection="0"/>
    <xf numFmtId="0" fontId="109" fillId="0" borderId="0" applyNumberFormat="0" applyFill="0" applyBorder="0" applyAlignment="0" applyProtection="0"/>
    <xf numFmtId="0" fontId="112" fillId="0" borderId="0"/>
    <xf numFmtId="43" fontId="113" fillId="0" borderId="0" applyFont="0" applyFill="0" applyBorder="0" applyAlignment="0" applyProtection="0"/>
    <xf numFmtId="0" fontId="11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6" fillId="0" borderId="0"/>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33" fillId="0" borderId="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4" fillId="0" borderId="0"/>
    <xf numFmtId="0" fontId="11" fillId="0" borderId="0"/>
    <xf numFmtId="0" fontId="11" fillId="0" borderId="0"/>
    <xf numFmtId="0" fontId="33" fillId="0" borderId="0"/>
    <xf numFmtId="0" fontId="11" fillId="0" borderId="0"/>
    <xf numFmtId="0" fontId="19" fillId="0" borderId="0"/>
    <xf numFmtId="0" fontId="21" fillId="0" borderId="0"/>
    <xf numFmtId="0" fontId="11" fillId="0" borderId="0"/>
    <xf numFmtId="0" fontId="11" fillId="0" borderId="0"/>
    <xf numFmtId="0" fontId="19" fillId="0" borderId="0"/>
    <xf numFmtId="0" fontId="113" fillId="0" borderId="0"/>
    <xf numFmtId="0" fontId="11" fillId="0" borderId="0"/>
    <xf numFmtId="0" fontId="113"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33" fillId="0" borderId="0"/>
    <xf numFmtId="43" fontId="33" fillId="0" borderId="0" applyFont="0" applyFill="0" applyBorder="0" applyAlignment="0" applyProtection="0"/>
    <xf numFmtId="0" fontId="19" fillId="0" borderId="0"/>
    <xf numFmtId="0" fontId="21" fillId="0" borderId="0"/>
    <xf numFmtId="43" fontId="33" fillId="0" borderId="0" applyFont="0" applyFill="0" applyBorder="0" applyAlignment="0" applyProtection="0"/>
    <xf numFmtId="44"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3" fillId="0" borderId="0"/>
    <xf numFmtId="0" fontId="122" fillId="0" borderId="0"/>
    <xf numFmtId="43" fontId="112" fillId="0" borderId="0" applyFont="0" applyFill="0" applyBorder="0" applyAlignment="0" applyProtection="0"/>
    <xf numFmtId="0" fontId="112" fillId="0" borderId="0"/>
    <xf numFmtId="0" fontId="123" fillId="0" borderId="0"/>
    <xf numFmtId="0" fontId="33" fillId="0" borderId="0"/>
    <xf numFmtId="0" fontId="123" fillId="0" borderId="0"/>
    <xf numFmtId="43" fontId="112" fillId="0" borderId="0" applyFont="0" applyFill="0" applyBorder="0" applyAlignment="0" applyProtection="0"/>
    <xf numFmtId="0" fontId="112" fillId="0" borderId="0"/>
    <xf numFmtId="0" fontId="112" fillId="0" borderId="0"/>
    <xf numFmtId="0" fontId="112" fillId="0" borderId="0"/>
    <xf numFmtId="0" fontId="124" fillId="0" borderId="0"/>
    <xf numFmtId="0" fontId="124" fillId="0" borderId="0"/>
    <xf numFmtId="0" fontId="125" fillId="0" borderId="0"/>
    <xf numFmtId="0" fontId="124" fillId="0" borderId="0"/>
    <xf numFmtId="0" fontId="123" fillId="0" borderId="0"/>
    <xf numFmtId="0" fontId="124" fillId="0" borderId="0"/>
    <xf numFmtId="0" fontId="123"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3" fillId="0" borderId="0"/>
    <xf numFmtId="0" fontId="123" fillId="0" borderId="0"/>
    <xf numFmtId="0" fontId="124" fillId="0" borderId="0"/>
    <xf numFmtId="0" fontId="123" fillId="0" borderId="0"/>
    <xf numFmtId="0" fontId="123" fillId="0" borderId="0"/>
    <xf numFmtId="0" fontId="125" fillId="0" borderId="0"/>
    <xf numFmtId="0" fontId="123" fillId="5" borderId="7" applyNumberFormat="0" applyFont="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3"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3" fillId="5" borderId="7" applyNumberFormat="0" applyFont="0" applyAlignment="0" applyProtection="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3" fillId="0" borderId="0"/>
    <xf numFmtId="0" fontId="125" fillId="0" borderId="0"/>
    <xf numFmtId="0" fontId="123" fillId="0" borderId="0"/>
    <xf numFmtId="0" fontId="125" fillId="0" borderId="0"/>
    <xf numFmtId="0" fontId="123" fillId="0" borderId="0"/>
    <xf numFmtId="0" fontId="126"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26" fillId="0" borderId="0"/>
    <xf numFmtId="0" fontId="124" fillId="0" borderId="0"/>
    <xf numFmtId="0" fontId="124" fillId="0" borderId="0"/>
    <xf numFmtId="0" fontId="12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5" fillId="0" borderId="0"/>
    <xf numFmtId="0" fontId="125"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26" fillId="0" borderId="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21" fillId="0" borderId="0"/>
    <xf numFmtId="9"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21" fillId="0" borderId="0"/>
    <xf numFmtId="0" fontId="33" fillId="0" borderId="0"/>
    <xf numFmtId="0" fontId="11" fillId="0" borderId="0"/>
    <xf numFmtId="0" fontId="21" fillId="0" borderId="0"/>
    <xf numFmtId="0" fontId="21"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3" fillId="0" borderId="0" applyFont="0" applyFill="0" applyBorder="0" applyAlignment="0" applyProtection="0"/>
    <xf numFmtId="43" fontId="33"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19" fillId="0" borderId="0"/>
    <xf numFmtId="0" fontId="2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3" fillId="43" borderId="54" applyNumberFormat="0" applyFont="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19" fillId="0" borderId="0"/>
    <xf numFmtId="0" fontId="21"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21" fillId="0" borderId="0"/>
    <xf numFmtId="43" fontId="34"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0" fontId="11" fillId="0" borderId="0"/>
    <xf numFmtId="0" fontId="33" fillId="0" borderId="0"/>
    <xf numFmtId="0" fontId="11" fillId="0" borderId="0"/>
    <xf numFmtId="0" fontId="11" fillId="0" borderId="0"/>
    <xf numFmtId="0" fontId="34" fillId="43" borderId="54" applyNumberFormat="0" applyFont="0" applyAlignment="0" applyProtection="0"/>
    <xf numFmtId="0" fontId="11" fillId="0" borderId="0"/>
    <xf numFmtId="0" fontId="11" fillId="0" borderId="0"/>
    <xf numFmtId="0" fontId="33" fillId="0" borderId="0"/>
    <xf numFmtId="0" fontId="11" fillId="0" borderId="0"/>
    <xf numFmtId="0" fontId="11" fillId="0" borderId="0"/>
    <xf numFmtId="0" fontId="34" fillId="0" borderId="0"/>
    <xf numFmtId="44" fontId="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0" fontId="19" fillId="0" borderId="0"/>
    <xf numFmtId="0" fontId="19" fillId="0" borderId="0"/>
    <xf numFmtId="0" fontId="11"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3"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12" fillId="0" borderId="0"/>
    <xf numFmtId="43" fontId="112" fillId="0" borderId="0" applyFont="0" applyFill="0" applyBorder="0" applyAlignment="0" applyProtection="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74" fillId="0" borderId="0"/>
    <xf numFmtId="0" fontId="176" fillId="0" borderId="0"/>
    <xf numFmtId="43" fontId="176" fillId="0" borderId="0" applyFont="0" applyFill="0" applyBorder="0" applyAlignment="0" applyProtection="0"/>
    <xf numFmtId="44" fontId="176"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84" fillId="0" borderId="0"/>
    <xf numFmtId="0" fontId="184" fillId="0" borderId="0"/>
    <xf numFmtId="0" fontId="185" fillId="0" borderId="0"/>
    <xf numFmtId="0" fontId="185" fillId="0" borderId="0"/>
    <xf numFmtId="0" fontId="185" fillId="0" borderId="0"/>
    <xf numFmtId="0" fontId="185" fillId="0" borderId="0"/>
    <xf numFmtId="0" fontId="186" fillId="0" borderId="0"/>
    <xf numFmtId="0" fontId="184" fillId="0" borderId="0"/>
    <xf numFmtId="0" fontId="185" fillId="0" borderId="0"/>
    <xf numFmtId="0" fontId="185" fillId="0" borderId="0"/>
    <xf numFmtId="0" fontId="184" fillId="0" borderId="0"/>
    <xf numFmtId="0" fontId="185" fillId="0" borderId="0"/>
    <xf numFmtId="0" fontId="185" fillId="0" borderId="0"/>
    <xf numFmtId="0" fontId="186"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4" fillId="0" borderId="0"/>
    <xf numFmtId="0" fontId="185" fillId="0" borderId="0"/>
    <xf numFmtId="0" fontId="185" fillId="0" borderId="0"/>
    <xf numFmtId="0" fontId="184" fillId="0" borderId="0"/>
    <xf numFmtId="0" fontId="185" fillId="0" borderId="0"/>
    <xf numFmtId="0" fontId="185" fillId="0" borderId="0"/>
    <xf numFmtId="0" fontId="186" fillId="0" borderId="0"/>
    <xf numFmtId="0" fontId="185" fillId="5" borderId="7" applyNumberFormat="0" applyFont="0" applyAlignment="0" applyProtection="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5" fillId="0" borderId="0"/>
    <xf numFmtId="0" fontId="186"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5" fillId="5" borderId="7" applyNumberFormat="0" applyFont="0" applyAlignment="0" applyProtection="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6" fillId="0" borderId="0"/>
    <xf numFmtId="0" fontId="185" fillId="0" borderId="0"/>
    <xf numFmtId="0" fontId="186" fillId="0" borderId="0"/>
    <xf numFmtId="0" fontId="185" fillId="0" borderId="0"/>
    <xf numFmtId="0" fontId="186" fillId="0" borderId="0"/>
    <xf numFmtId="0" fontId="185" fillId="0" borderId="0"/>
    <xf numFmtId="0" fontId="187"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7" fillId="0" borderId="0"/>
    <xf numFmtId="0" fontId="184" fillId="0" borderId="0"/>
    <xf numFmtId="0" fontId="184"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6" fillId="0" borderId="0"/>
    <xf numFmtId="0" fontId="186" fillId="0" borderId="0"/>
    <xf numFmtId="0" fontId="187" fillId="0" borderId="0"/>
    <xf numFmtId="0" fontId="21" fillId="0" borderId="0"/>
    <xf numFmtId="0" fontId="19" fillId="0" borderId="0"/>
    <xf numFmtId="0" fontId="21" fillId="0" borderId="0"/>
    <xf numFmtId="0" fontId="112"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27" fillId="0" borderId="0"/>
    <xf numFmtId="0" fontId="196" fillId="0" borderId="0"/>
    <xf numFmtId="0" fontId="197" fillId="0" borderId="0"/>
    <xf numFmtId="0" fontId="197" fillId="0" borderId="0"/>
    <xf numFmtId="0" fontId="196" fillId="0" borderId="0"/>
    <xf numFmtId="0" fontId="197" fillId="0" borderId="0"/>
    <xf numFmtId="0" fontId="197" fillId="0" borderId="0"/>
    <xf numFmtId="0" fontId="198" fillId="0" borderId="0"/>
    <xf numFmtId="0" fontId="196" fillId="0" borderId="0"/>
    <xf numFmtId="0" fontId="196" fillId="0" borderId="0"/>
    <xf numFmtId="0" fontId="196" fillId="0" borderId="0"/>
    <xf numFmtId="0" fontId="196" fillId="0" borderId="0"/>
    <xf numFmtId="0" fontId="19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6" fillId="0" borderId="0"/>
    <xf numFmtId="0" fontId="196" fillId="0" borderId="0"/>
    <xf numFmtId="0" fontId="196" fillId="0" borderId="0"/>
    <xf numFmtId="0" fontId="19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6" fillId="0" borderId="0"/>
    <xf numFmtId="0" fontId="196" fillId="0" borderId="0"/>
    <xf numFmtId="0" fontId="196" fillId="0" borderId="0"/>
    <xf numFmtId="0" fontId="196" fillId="0" borderId="0"/>
    <xf numFmtId="0" fontId="19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8" fillId="0" borderId="0"/>
    <xf numFmtId="0" fontId="198" fillId="0" borderId="0"/>
    <xf numFmtId="0" fontId="198" fillId="0" borderId="0"/>
    <xf numFmtId="0" fontId="198" fillId="0" borderId="0"/>
    <xf numFmtId="0" fontId="198" fillId="0" borderId="0"/>
    <xf numFmtId="0" fontId="197" fillId="5" borderId="7" applyNumberFormat="0" applyFont="0" applyAlignment="0" applyProtection="0"/>
    <xf numFmtId="0" fontId="196" fillId="0" borderId="0"/>
    <xf numFmtId="0" fontId="196" fillId="0" borderId="0"/>
    <xf numFmtId="0" fontId="19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6" fillId="0" borderId="0"/>
    <xf numFmtId="0" fontId="196" fillId="0" borderId="0"/>
    <xf numFmtId="0" fontId="19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8" fillId="0" borderId="0"/>
    <xf numFmtId="0" fontId="198" fillId="0" borderId="0"/>
    <xf numFmtId="0" fontId="198" fillId="0" borderId="0"/>
    <xf numFmtId="0" fontId="196" fillId="0" borderId="0"/>
    <xf numFmtId="0" fontId="197" fillId="0" borderId="0"/>
    <xf numFmtId="0" fontId="197" fillId="0" borderId="0"/>
    <xf numFmtId="0" fontId="196" fillId="0" borderId="0"/>
    <xf numFmtId="0" fontId="197" fillId="0" borderId="0"/>
    <xf numFmtId="0" fontId="197" fillId="0" borderId="0"/>
    <xf numFmtId="0" fontId="198" fillId="0" borderId="0"/>
    <xf numFmtId="0" fontId="196" fillId="0" borderId="0"/>
    <xf numFmtId="0" fontId="197" fillId="0" borderId="0"/>
    <xf numFmtId="0" fontId="197" fillId="0" borderId="0"/>
    <xf numFmtId="0" fontId="196" fillId="0" borderId="0"/>
    <xf numFmtId="0" fontId="197" fillId="0" borderId="0"/>
    <xf numFmtId="0" fontId="197" fillId="0" borderId="0"/>
    <xf numFmtId="0" fontId="198" fillId="0" borderId="0"/>
    <xf numFmtId="0" fontId="197" fillId="5" borderId="7" applyNumberFormat="0" applyFont="0" applyAlignment="0" applyProtection="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7" fillId="0" borderId="0"/>
    <xf numFmtId="0" fontId="196" fillId="0" borderId="0"/>
    <xf numFmtId="0" fontId="19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7" fillId="5" borderId="7" applyNumberFormat="0" applyFont="0" applyAlignment="0" applyProtection="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6"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7"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7" fillId="0" borderId="0"/>
    <xf numFmtId="0" fontId="198" fillId="0" borderId="0"/>
    <xf numFmtId="0" fontId="197" fillId="0" borderId="0"/>
    <xf numFmtId="0" fontId="198" fillId="0" borderId="0"/>
    <xf numFmtId="0" fontId="197" fillId="0" borderId="0"/>
    <xf numFmtId="0" fontId="33" fillId="0" borderId="0"/>
    <xf numFmtId="0" fontId="127" fillId="0" borderId="0"/>
    <xf numFmtId="0" fontId="33" fillId="0" borderId="0"/>
    <xf numFmtId="0" fontId="33" fillId="43" borderId="54" applyNumberFormat="0" applyFont="0" applyAlignment="0" applyProtection="0"/>
  </cellStyleXfs>
  <cellXfs count="1181">
    <xf numFmtId="0" fontId="0" fillId="0" borderId="0" xfId="0"/>
    <xf numFmtId="164" fontId="39" fillId="0" borderId="0" xfId="439" applyNumberFormat="1" applyFont="1" applyFill="1" applyAlignment="1" applyProtection="1">
      <alignment horizontal="center" wrapText="1"/>
    </xf>
    <xf numFmtId="0" fontId="43"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40" fillId="21" borderId="0" xfId="0" applyFont="1" applyFill="1" applyBorder="1" applyAlignment="1" applyProtection="1">
      <alignment horizontal="center" wrapText="1"/>
    </xf>
    <xf numFmtId="0" fontId="47" fillId="24" borderId="10" xfId="0" applyFont="1" applyFill="1" applyBorder="1" applyAlignment="1" applyProtection="1">
      <alignment horizontal="center" wrapText="1"/>
    </xf>
    <xf numFmtId="0" fontId="41" fillId="0" borderId="0" xfId="0" applyFont="1" applyAlignment="1" applyProtection="1">
      <alignment horizontal="left" wrapText="1"/>
    </xf>
    <xf numFmtId="0" fontId="41" fillId="0" borderId="0" xfId="0" applyFont="1" applyAlignment="1" applyProtection="1">
      <alignment horizontal="left" vertical="center" wrapText="1"/>
    </xf>
    <xf numFmtId="0" fontId="41" fillId="24" borderId="0" xfId="0" applyFont="1" applyFill="1" applyBorder="1" applyAlignment="1" applyProtection="1">
      <alignment horizontal="left" wrapText="1"/>
    </xf>
    <xf numFmtId="0" fontId="39" fillId="0" borderId="0" xfId="0" applyFont="1" applyAlignment="1" applyProtection="1">
      <alignment horizontal="center"/>
    </xf>
    <xf numFmtId="167" fontId="39" fillId="23" borderId="0" xfId="545" applyNumberFormat="1" applyFont="1" applyFill="1" applyProtection="1"/>
    <xf numFmtId="0" fontId="50" fillId="25" borderId="0" xfId="0" applyFont="1" applyFill="1" applyAlignment="1" applyProtection="1">
      <alignment horizontal="center" wrapText="1"/>
    </xf>
    <xf numFmtId="0" fontId="51" fillId="21" borderId="10" xfId="0" applyFont="1" applyFill="1" applyBorder="1" applyAlignment="1" applyProtection="1">
      <alignment horizontal="center" wrapText="1"/>
    </xf>
    <xf numFmtId="0" fontId="51"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39" fillId="0" borderId="0" xfId="682" applyFont="1"/>
    <xf numFmtId="0" fontId="51" fillId="0" borderId="0" xfId="0" applyFont="1"/>
    <xf numFmtId="0" fontId="0" fillId="0" borderId="0" xfId="0" applyNumberFormat="1" applyFont="1" applyFill="1" applyAlignment="1" applyProtection="1">
      <alignment vertical="center" wrapText="1"/>
    </xf>
    <xf numFmtId="0" fontId="53"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55" fillId="0" borderId="0" xfId="0" applyNumberFormat="1" applyFont="1" applyFill="1" applyAlignment="1" applyProtection="1">
      <alignment vertical="center" wrapText="1"/>
    </xf>
    <xf numFmtId="0" fontId="39" fillId="0" borderId="0" xfId="0" applyNumberFormat="1" applyFont="1" applyFill="1" applyAlignment="1" applyProtection="1">
      <alignment horizontal="left" vertical="center" wrapText="1" indent="3"/>
    </xf>
    <xf numFmtId="0" fontId="53" fillId="0" borderId="0" xfId="0" applyNumberFormat="1" applyFont="1" applyFill="1" applyAlignment="1" applyProtection="1">
      <alignment vertical="center" wrapText="1"/>
    </xf>
    <xf numFmtId="0" fontId="53" fillId="0" borderId="0" xfId="0" applyNumberFormat="1" applyFont="1" applyFill="1" applyAlignment="1" applyProtection="1">
      <alignment horizontal="left" vertical="center" wrapText="1" indent="3"/>
    </xf>
    <xf numFmtId="0" fontId="53" fillId="0" borderId="14" xfId="0" applyNumberFormat="1" applyFont="1" applyFill="1" applyBorder="1" applyAlignment="1" applyProtection="1">
      <alignment horizontal="left" vertical="center" wrapText="1" indent="3"/>
    </xf>
    <xf numFmtId="0" fontId="53" fillId="0" borderId="0" xfId="0" applyNumberFormat="1" applyFont="1" applyFill="1" applyAlignment="1" applyProtection="1">
      <alignment horizontal="left" vertical="center" wrapText="1" indent="6"/>
    </xf>
    <xf numFmtId="0" fontId="44" fillId="0" borderId="0" xfId="0" applyNumberFormat="1" applyFont="1" applyFill="1" applyAlignment="1" applyProtection="1">
      <alignment horizontal="center" vertical="center"/>
    </xf>
    <xf numFmtId="164" fontId="56" fillId="23" borderId="23"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57" fillId="0" borderId="25" xfId="0" applyNumberFormat="1" applyFont="1" applyFill="1" applyBorder="1" applyAlignment="1" applyProtection="1">
      <alignment horizontal="center" vertical="center"/>
    </xf>
    <xf numFmtId="0" fontId="58" fillId="0" borderId="25" xfId="0" applyNumberFormat="1" applyFont="1" applyFill="1" applyBorder="1" applyAlignment="1" applyProtection="1">
      <alignment horizontal="center" vertical="center"/>
    </xf>
    <xf numFmtId="0" fontId="39" fillId="23" borderId="25" xfId="0" applyNumberFormat="1" applyFont="1" applyFill="1" applyBorder="1" applyAlignment="1" applyProtection="1">
      <alignment horizontal="center" vertical="center"/>
    </xf>
    <xf numFmtId="0" fontId="39" fillId="0" borderId="26" xfId="0" applyNumberFormat="1" applyFont="1" applyFill="1" applyBorder="1" applyAlignment="1" applyProtection="1">
      <alignment horizontal="center" vertical="center"/>
    </xf>
    <xf numFmtId="0" fontId="49" fillId="24" borderId="21"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40" fillId="24" borderId="0" xfId="0" applyFont="1" applyFill="1" applyBorder="1" applyAlignment="1" applyProtection="1">
      <alignment horizontal="center" vertical="center" wrapText="1"/>
    </xf>
    <xf numFmtId="0" fontId="51" fillId="21" borderId="10" xfId="0" applyFont="1" applyFill="1" applyBorder="1" applyAlignment="1" applyProtection="1">
      <alignment horizontal="center" vertical="center" wrapText="1"/>
    </xf>
    <xf numFmtId="164" fontId="56" fillId="0" borderId="31" xfId="439" applyNumberFormat="1" applyFont="1" applyFill="1" applyBorder="1" applyAlignment="1" applyProtection="1">
      <alignment horizontal="center" vertical="center" wrapText="1"/>
    </xf>
    <xf numFmtId="0" fontId="50" fillId="25" borderId="0" xfId="0" applyFont="1" applyFill="1" applyAlignment="1" applyProtection="1">
      <alignment horizontal="center" vertical="center"/>
    </xf>
    <xf numFmtId="0" fontId="40" fillId="23" borderId="0" xfId="0" applyFont="1" applyFill="1" applyAlignment="1" applyProtection="1">
      <alignment vertical="center" wrapText="1"/>
    </xf>
    <xf numFmtId="0" fontId="40"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56" fillId="0" borderId="0" xfId="0" applyFont="1" applyProtection="1"/>
    <xf numFmtId="0" fontId="56" fillId="23" borderId="23" xfId="0" applyNumberFormat="1" applyFont="1" applyFill="1" applyBorder="1" applyAlignment="1" applyProtection="1">
      <alignment horizontal="left" vertical="center" wrapText="1"/>
    </xf>
    <xf numFmtId="0" fontId="56" fillId="0" borderId="31" xfId="0" applyNumberFormat="1" applyFont="1" applyFill="1" applyBorder="1" applyAlignment="1" applyProtection="1">
      <alignment horizontal="left" vertical="center" wrapText="1"/>
    </xf>
    <xf numFmtId="49" fontId="0" fillId="0" borderId="33" xfId="0" applyNumberFormat="1" applyFont="1" applyFill="1" applyBorder="1" applyAlignment="1">
      <alignment horizontal="center"/>
    </xf>
    <xf numFmtId="49" fontId="0" fillId="0" borderId="32" xfId="0" applyNumberFormat="1" applyFont="1" applyFill="1" applyBorder="1" applyAlignment="1">
      <alignment horizontal="center"/>
    </xf>
    <xf numFmtId="164" fontId="56" fillId="0" borderId="23"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59" fillId="0" borderId="0" xfId="0" applyNumberFormat="1" applyFont="1" applyFill="1" applyAlignment="1" applyProtection="1">
      <alignment vertical="center" wrapText="1"/>
    </xf>
    <xf numFmtId="0" fontId="49" fillId="0" borderId="0" xfId="0" applyFont="1" applyAlignment="1" applyProtection="1">
      <alignment wrapText="1"/>
    </xf>
    <xf numFmtId="0" fontId="44" fillId="0" borderId="23" xfId="1243" applyFont="1" applyFill="1" applyBorder="1" applyAlignment="1" applyProtection="1">
      <alignment horizontal="left" vertical="center" wrapText="1"/>
    </xf>
    <xf numFmtId="164" fontId="50" fillId="25" borderId="0" xfId="439" applyNumberFormat="1" applyFont="1" applyFill="1" applyAlignment="1" applyProtection="1">
      <alignment horizontal="center"/>
    </xf>
    <xf numFmtId="0" fontId="60" fillId="0" borderId="0" xfId="0" applyFont="1" applyAlignment="1" applyProtection="1">
      <alignment horizontal="center" vertical="center" wrapText="1"/>
    </xf>
    <xf numFmtId="0" fontId="0" fillId="30" borderId="23" xfId="0" applyFont="1" applyFill="1" applyBorder="1" applyAlignment="1" applyProtection="1">
      <alignment vertical="center" wrapText="1"/>
    </xf>
    <xf numFmtId="164" fontId="56" fillId="22" borderId="23" xfId="439" applyNumberFormat="1" applyFont="1" applyFill="1" applyBorder="1" applyAlignment="1" applyProtection="1">
      <alignment horizontal="center" vertical="center" wrapText="1"/>
    </xf>
    <xf numFmtId="0" fontId="49" fillId="30" borderId="25" xfId="0" applyNumberFormat="1" applyFont="1" applyFill="1" applyBorder="1" applyAlignment="1" applyProtection="1">
      <alignment horizontal="center" vertical="center" wrapText="1"/>
    </xf>
    <xf numFmtId="164" fontId="49" fillId="24" borderId="10" xfId="439" applyNumberFormat="1" applyFont="1" applyFill="1" applyBorder="1" applyAlignment="1" applyProtection="1">
      <alignment horizontal="center" wrapText="1"/>
    </xf>
    <xf numFmtId="0" fontId="61" fillId="0" borderId="0" xfId="720" applyNumberFormat="1" applyFont="1" applyFill="1" applyAlignment="1" applyProtection="1">
      <alignment horizontal="left" vertical="center" wrapText="1"/>
    </xf>
    <xf numFmtId="39" fontId="39" fillId="0" borderId="0" xfId="0" applyNumberFormat="1" applyFont="1" applyAlignment="1" applyProtection="1">
      <alignment horizontal="center"/>
    </xf>
    <xf numFmtId="39" fontId="40" fillId="21" borderId="0" xfId="0" applyNumberFormat="1" applyFont="1" applyFill="1" applyBorder="1" applyAlignment="1" applyProtection="1">
      <alignment horizontal="center" wrapText="1"/>
    </xf>
    <xf numFmtId="39" fontId="56" fillId="0" borderId="29" xfId="439" applyNumberFormat="1" applyFont="1" applyFill="1" applyBorder="1" applyAlignment="1" applyProtection="1">
      <alignment horizontal="center" vertical="center" wrapText="1"/>
    </xf>
    <xf numFmtId="39" fontId="56" fillId="23" borderId="28" xfId="439" applyNumberFormat="1" applyFont="1" applyFill="1" applyBorder="1" applyAlignment="1" applyProtection="1">
      <alignment horizontal="center" vertical="center" wrapText="1"/>
    </xf>
    <xf numFmtId="0" fontId="40" fillId="0" borderId="0" xfId="0" applyFont="1" applyFill="1" applyAlignment="1" applyProtection="1">
      <alignment vertical="center" wrapText="1"/>
    </xf>
    <xf numFmtId="39" fontId="51" fillId="31" borderId="0" xfId="0" applyNumberFormat="1" applyFont="1" applyFill="1" applyBorder="1" applyAlignment="1" applyProtection="1">
      <alignment horizontal="center" wrapText="1"/>
    </xf>
    <xf numFmtId="0" fontId="39" fillId="32" borderId="25"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60" fillId="32" borderId="0" xfId="0" applyFont="1" applyFill="1" applyAlignment="1" applyProtection="1">
      <alignment horizontal="center" vertical="center" wrapText="1"/>
    </xf>
    <xf numFmtId="0" fontId="0" fillId="0" borderId="0" xfId="0" applyFont="1" applyProtection="1">
      <protection locked="0"/>
    </xf>
    <xf numFmtId="0" fontId="52" fillId="0" borderId="25" xfId="0" applyNumberFormat="1" applyFont="1" applyFill="1" applyBorder="1" applyAlignment="1" applyProtection="1">
      <alignment horizontal="left" vertical="center" wrapText="1"/>
    </xf>
    <xf numFmtId="0" fontId="41" fillId="0" borderId="25" xfId="0" applyNumberFormat="1" applyFont="1" applyFill="1" applyBorder="1" applyAlignment="1" applyProtection="1">
      <alignment horizontal="left" vertical="center" wrapText="1"/>
    </xf>
    <xf numFmtId="41" fontId="56" fillId="0" borderId="23" xfId="439" applyNumberFormat="1" applyFont="1" applyFill="1" applyBorder="1" applyAlignment="1" applyProtection="1">
      <alignment horizontal="center" vertical="center" wrapText="1"/>
    </xf>
    <xf numFmtId="0" fontId="47" fillId="0" borderId="23" xfId="439" applyNumberFormat="1" applyFont="1" applyFill="1" applyBorder="1" applyAlignment="1" applyProtection="1">
      <alignment horizontal="center" vertical="center" wrapText="1"/>
    </xf>
    <xf numFmtId="41" fontId="63" fillId="0" borderId="0" xfId="0" applyNumberFormat="1" applyFont="1" applyFill="1" applyAlignment="1" applyProtection="1">
      <alignment wrapText="1"/>
    </xf>
    <xf numFmtId="0" fontId="62" fillId="0" borderId="0" xfId="0" applyFont="1" applyFill="1" applyAlignment="1" applyProtection="1">
      <alignment horizontal="center" vertical="center"/>
    </xf>
    <xf numFmtId="0" fontId="49" fillId="0" borderId="0" xfId="0" applyFont="1" applyFill="1" applyAlignment="1" applyProtection="1">
      <alignment horizontal="center" vertical="center" wrapText="1"/>
    </xf>
    <xf numFmtId="0" fontId="56" fillId="0" borderId="23"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170" fontId="56" fillId="29" borderId="23" xfId="439" applyNumberFormat="1" applyFont="1" applyFill="1" applyBorder="1" applyAlignment="1" applyProtection="1">
      <alignment horizontal="center" vertical="center" wrapText="1"/>
      <protection locked="0"/>
    </xf>
    <xf numFmtId="37" fontId="57" fillId="33" borderId="28" xfId="439" applyNumberFormat="1" applyFont="1" applyFill="1" applyBorder="1" applyAlignment="1" applyProtection="1">
      <alignment horizontal="center" vertical="center" wrapText="1"/>
    </xf>
    <xf numFmtId="37" fontId="39" fillId="0" borderId="28" xfId="439" applyNumberFormat="1" applyFont="1" applyFill="1" applyBorder="1" applyAlignment="1" applyProtection="1">
      <alignment horizontal="center" vertical="center" wrapText="1"/>
    </xf>
    <xf numFmtId="37" fontId="57" fillId="0" borderId="28"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vertical="center" wrapText="1"/>
    </xf>
    <xf numFmtId="0" fontId="0" fillId="0" borderId="0" xfId="0" applyFont="1" applyFill="1" applyAlignment="1">
      <alignment vertical="center" wrapText="1"/>
    </xf>
    <xf numFmtId="165" fontId="56" fillId="29" borderId="23"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56" fillId="22" borderId="25" xfId="0" applyNumberFormat="1" applyFont="1" applyFill="1" applyBorder="1" applyAlignment="1" applyProtection="1">
      <alignment horizontal="left" vertical="center" wrapText="1"/>
    </xf>
    <xf numFmtId="164" fontId="0" fillId="0" borderId="0" xfId="0" applyNumberFormat="1" applyFont="1" applyFill="1" applyProtection="1"/>
    <xf numFmtId="169" fontId="39" fillId="0" borderId="0" xfId="439" applyNumberFormat="1" applyFont="1" applyFill="1" applyAlignment="1" applyProtection="1">
      <alignment horizontal="center" vertical="center"/>
      <protection locked="0"/>
    </xf>
    <xf numFmtId="38" fontId="44" fillId="0" borderId="14" xfId="439" applyNumberFormat="1" applyFon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71" fontId="56" fillId="0" borderId="29" xfId="439" applyNumberFormat="1" applyFont="1" applyFill="1" applyBorder="1" applyAlignment="1" applyProtection="1">
      <alignment horizontal="center" vertical="center" wrapText="1"/>
    </xf>
    <xf numFmtId="172" fontId="56" fillId="0" borderId="23" xfId="439" applyNumberFormat="1" applyFont="1" applyFill="1" applyBorder="1" applyAlignment="1" applyProtection="1">
      <alignment horizontal="center" vertical="center" wrapText="1"/>
    </xf>
    <xf numFmtId="0" fontId="39" fillId="0" borderId="24" xfId="0" applyNumberFormat="1" applyFont="1" applyFill="1" applyBorder="1" applyAlignment="1" applyProtection="1">
      <alignment horizontal="center" vertical="center"/>
    </xf>
    <xf numFmtId="0" fontId="53" fillId="0" borderId="0" xfId="0" applyFont="1" applyFill="1" applyAlignment="1" applyProtection="1">
      <alignment vertical="center" wrapText="1"/>
    </xf>
    <xf numFmtId="0" fontId="53"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0" fontId="0" fillId="0" borderId="23" xfId="0" applyFont="1" applyFill="1" applyBorder="1" applyAlignment="1" applyProtection="1">
      <alignment vertical="center" wrapText="1"/>
      <protection locked="0"/>
    </xf>
    <xf numFmtId="164" fontId="56" fillId="29" borderId="44" xfId="439" applyNumberFormat="1" applyFont="1" applyFill="1" applyBorder="1" applyAlignment="1" applyProtection="1">
      <alignment horizontal="center" vertical="center" wrapText="1"/>
      <protection locked="0"/>
    </xf>
    <xf numFmtId="164" fontId="56" fillId="0" borderId="30" xfId="439" applyNumberFormat="1" applyFont="1" applyFill="1" applyBorder="1" applyAlignment="1" applyProtection="1">
      <alignment horizontal="center" vertical="center" wrapText="1"/>
    </xf>
    <xf numFmtId="39" fontId="56" fillId="0" borderId="27" xfId="439" applyNumberFormat="1" applyFont="1" applyFill="1" applyBorder="1" applyAlignment="1" applyProtection="1">
      <alignment horizontal="center" vertical="center" wrapText="1"/>
    </xf>
    <xf numFmtId="164" fontId="56" fillId="0" borderId="46" xfId="439" applyNumberFormat="1" applyFont="1" applyFill="1" applyBorder="1" applyAlignment="1" applyProtection="1">
      <alignment horizontal="center" vertical="center" wrapText="1"/>
    </xf>
    <xf numFmtId="0" fontId="39"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164" fontId="56" fillId="29" borderId="45" xfId="439" applyNumberFormat="1" applyFont="1" applyFill="1" applyBorder="1" applyAlignment="1" applyProtection="1">
      <alignment horizontal="center" vertical="center" wrapText="1"/>
      <protection locked="0"/>
    </xf>
    <xf numFmtId="0" fontId="56" fillId="0" borderId="30" xfId="0" applyNumberFormat="1" applyFont="1" applyFill="1" applyBorder="1" applyAlignment="1" applyProtection="1">
      <alignment horizontal="left" vertical="center" wrapText="1"/>
    </xf>
    <xf numFmtId="0" fontId="56" fillId="23" borderId="31" xfId="0" applyNumberFormat="1" applyFont="1" applyFill="1" applyBorder="1" applyAlignment="1" applyProtection="1">
      <alignment horizontal="left" vertical="center" wrapText="1"/>
    </xf>
    <xf numFmtId="0" fontId="56" fillId="23" borderId="31" xfId="439" applyNumberFormat="1" applyFont="1" applyFill="1" applyBorder="1" applyAlignment="1" applyProtection="1">
      <alignment horizontal="center" vertical="center" wrapText="1"/>
    </xf>
    <xf numFmtId="37" fontId="39" fillId="23" borderId="29" xfId="439" applyNumberFormat="1" applyFont="1" applyFill="1" applyBorder="1" applyAlignment="1" applyProtection="1">
      <alignment horizontal="center" vertical="center" wrapText="1"/>
    </xf>
    <xf numFmtId="0" fontId="39" fillId="23" borderId="26" xfId="0" applyNumberFormat="1" applyFont="1" applyFill="1" applyBorder="1" applyAlignment="1" applyProtection="1">
      <alignment horizontal="center" vertical="center"/>
    </xf>
    <xf numFmtId="37" fontId="39" fillId="0" borderId="27" xfId="439" applyNumberFormat="1" applyFont="1" applyFill="1" applyBorder="1" applyAlignment="1" applyProtection="1">
      <alignment horizontal="center" vertical="center" wrapText="1"/>
    </xf>
    <xf numFmtId="0" fontId="39" fillId="34" borderId="0" xfId="0" applyFont="1" applyFill="1" applyProtection="1"/>
    <xf numFmtId="0" fontId="0" fillId="0" borderId="36"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center" vertical="center" wrapText="1"/>
    </xf>
    <xf numFmtId="0" fontId="0" fillId="34" borderId="23" xfId="0" applyFont="1" applyFill="1" applyBorder="1" applyAlignment="1" applyProtection="1">
      <alignment vertical="center" wrapText="1"/>
    </xf>
    <xf numFmtId="0" fontId="39" fillId="34" borderId="43" xfId="0" applyNumberFormat="1" applyFont="1" applyFill="1" applyBorder="1" applyAlignment="1" applyProtection="1">
      <alignment horizontal="center" vertical="center"/>
    </xf>
    <xf numFmtId="39" fontId="0"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vertical="center" wrapText="1"/>
    </xf>
    <xf numFmtId="164" fontId="0" fillId="0" borderId="0" xfId="439" applyNumberFormat="1" applyFont="1"/>
    <xf numFmtId="0" fontId="68" fillId="0" borderId="0" xfId="0" applyNumberFormat="1" applyFont="1" applyFill="1" applyAlignment="1" applyProtection="1">
      <alignment horizontal="left" vertical="center" wrapText="1" indent="6"/>
    </xf>
    <xf numFmtId="0" fontId="56" fillId="0" borderId="25" xfId="0" applyNumberFormat="1" applyFont="1" applyFill="1" applyBorder="1" applyAlignment="1" applyProtection="1">
      <alignment horizontal="left" vertical="center" wrapText="1"/>
    </xf>
    <xf numFmtId="0" fontId="0" fillId="23" borderId="23" xfId="0" applyFont="1" applyFill="1" applyBorder="1" applyAlignment="1" applyProtection="1">
      <alignment vertical="center" wrapText="1"/>
    </xf>
    <xf numFmtId="41" fontId="64" fillId="0" borderId="0" xfId="0" applyNumberFormat="1" applyFont="1" applyFill="1" applyAlignment="1" applyProtection="1">
      <alignment wrapText="1"/>
    </xf>
    <xf numFmtId="37" fontId="0" fillId="0" borderId="0" xfId="0" applyNumberFormat="1" applyFont="1" applyFill="1" applyAlignment="1" applyProtection="1">
      <alignment horizontal="center" vertical="center"/>
    </xf>
    <xf numFmtId="164" fontId="49" fillId="0" borderId="0" xfId="0" applyNumberFormat="1" applyFont="1" applyAlignment="1" applyProtection="1">
      <alignment wrapText="1"/>
    </xf>
    <xf numFmtId="164" fontId="56" fillId="22" borderId="23" xfId="439" applyNumberFormat="1" applyFont="1" applyFill="1" applyBorder="1" applyAlignment="1" applyProtection="1">
      <alignment horizontal="center" vertical="center" wrapText="1"/>
      <protection locked="0"/>
    </xf>
    <xf numFmtId="172" fontId="56" fillId="22" borderId="23" xfId="439" applyNumberFormat="1" applyFont="1" applyFill="1" applyBorder="1" applyAlignment="1" applyProtection="1">
      <alignment horizontal="center" vertical="center" wrapText="1"/>
    </xf>
    <xf numFmtId="39" fontId="56" fillId="22" borderId="28" xfId="439" applyNumberFormat="1" applyFont="1" applyFill="1" applyBorder="1" applyAlignment="1" applyProtection="1">
      <alignment horizontal="center" vertical="center" wrapText="1"/>
    </xf>
    <xf numFmtId="164" fontId="56" fillId="22" borderId="29" xfId="439" applyNumberFormat="1" applyFont="1" applyFill="1" applyBorder="1" applyAlignment="1" applyProtection="1">
      <alignment horizontal="center" vertical="center" wrapText="1"/>
    </xf>
    <xf numFmtId="0" fontId="39" fillId="22" borderId="24" xfId="0" applyNumberFormat="1" applyFont="1" applyFill="1" applyBorder="1" applyAlignment="1" applyProtection="1">
      <alignment horizontal="center" vertical="center"/>
    </xf>
    <xf numFmtId="164" fontId="56" fillId="29" borderId="31" xfId="439" applyNumberFormat="1" applyFont="1" applyFill="1" applyBorder="1" applyAlignment="1" applyProtection="1">
      <alignment horizontal="center" vertical="center" wrapText="1"/>
      <protection locked="0"/>
    </xf>
    <xf numFmtId="0" fontId="48" fillId="0" borderId="0" xfId="0" applyFont="1" applyAlignment="1" applyProtection="1">
      <alignment horizontal="center"/>
    </xf>
    <xf numFmtId="0" fontId="41" fillId="22" borderId="0" xfId="0" applyFont="1" applyFill="1" applyAlignment="1" applyProtection="1">
      <alignment horizontal="left" wrapText="1"/>
    </xf>
    <xf numFmtId="172" fontId="56" fillId="22" borderId="30" xfId="439" applyNumberFormat="1" applyFont="1" applyFill="1" applyBorder="1" applyAlignment="1" applyProtection="1">
      <alignment horizontal="center" vertical="center" wrapText="1"/>
    </xf>
    <xf numFmtId="175" fontId="56" fillId="75" borderId="23" xfId="439" applyNumberFormat="1" applyFont="1" applyFill="1" applyBorder="1" applyAlignment="1" applyProtection="1">
      <alignment horizontal="center" vertical="center" wrapText="1"/>
    </xf>
    <xf numFmtId="3" fontId="56" fillId="0" borderId="23" xfId="439" applyNumberFormat="1" applyFont="1" applyFill="1" applyBorder="1" applyAlignment="1" applyProtection="1">
      <alignment horizontal="center" vertical="center" wrapText="1"/>
      <protection locked="0"/>
    </xf>
    <xf numFmtId="180" fontId="56" fillId="75" borderId="23" xfId="439" applyNumberFormat="1" applyFont="1" applyFill="1" applyBorder="1" applyAlignment="1" applyProtection="1">
      <alignment horizontal="center" vertical="center" wrapText="1"/>
    </xf>
    <xf numFmtId="39" fontId="56" fillId="0" borderId="23" xfId="439" applyNumberFormat="1" applyFont="1" applyFill="1" applyBorder="1" applyAlignment="1" applyProtection="1">
      <alignment horizontal="center" vertical="center" wrapText="1"/>
    </xf>
    <xf numFmtId="3" fontId="56" fillId="0" borderId="31" xfId="439" applyNumberFormat="1" applyFont="1" applyFill="1" applyBorder="1" applyAlignment="1" applyProtection="1">
      <alignment horizontal="center" vertical="center" wrapText="1"/>
    </xf>
    <xf numFmtId="3" fontId="56" fillId="23" borderId="31" xfId="439" applyNumberFormat="1" applyFont="1" applyFill="1" applyBorder="1" applyAlignment="1" applyProtection="1">
      <alignment horizontal="center" vertical="center" wrapText="1"/>
    </xf>
    <xf numFmtId="3" fontId="56" fillId="23" borderId="23" xfId="439" applyNumberFormat="1" applyFont="1" applyFill="1" applyBorder="1" applyAlignment="1" applyProtection="1">
      <alignment horizontal="center" vertical="center" wrapText="1"/>
    </xf>
    <xf numFmtId="3" fontId="56" fillId="0" borderId="30" xfId="439" applyNumberFormat="1" applyFont="1" applyFill="1" applyBorder="1" applyAlignment="1" applyProtection="1">
      <alignment horizontal="center" vertical="center" wrapText="1"/>
    </xf>
    <xf numFmtId="37" fontId="56" fillId="0" borderId="23" xfId="439" applyNumberFormat="1" applyFont="1" applyFill="1" applyBorder="1" applyAlignment="1" applyProtection="1">
      <alignment horizontal="center" vertical="center" wrapText="1"/>
    </xf>
    <xf numFmtId="0" fontId="39" fillId="0" borderId="0" xfId="0" applyFont="1" applyAlignment="1" applyProtection="1">
      <alignment horizontal="left" vertical="center" wrapText="1"/>
    </xf>
    <xf numFmtId="0" fontId="62" fillId="0" borderId="0" xfId="0" applyFont="1" applyProtection="1"/>
    <xf numFmtId="0" fontId="39" fillId="0" borderId="57" xfId="0" applyFont="1" applyBorder="1"/>
    <xf numFmtId="0" fontId="39" fillId="26" borderId="16" xfId="0" applyFont="1" applyFill="1" applyBorder="1" applyAlignment="1" applyProtection="1">
      <alignment horizontal="left"/>
    </xf>
    <xf numFmtId="0" fontId="39" fillId="0" borderId="17" xfId="0" applyFont="1" applyBorder="1" applyAlignment="1">
      <alignment vertical="center"/>
    </xf>
    <xf numFmtId="0" fontId="39" fillId="0" borderId="0" xfId="0" applyFont="1" applyBorder="1" applyAlignment="1">
      <alignment vertical="center"/>
    </xf>
    <xf numFmtId="0" fontId="39" fillId="0" borderId="15" xfId="0" applyFont="1" applyBorder="1" applyAlignment="1">
      <alignment vertical="center"/>
    </xf>
    <xf numFmtId="3" fontId="39" fillId="0" borderId="0" xfId="439" applyNumberFormat="1" applyFont="1" applyFill="1" applyAlignment="1" applyProtection="1">
      <alignment horizontal="center" vertical="center" wrapText="1"/>
      <protection locked="0"/>
    </xf>
    <xf numFmtId="0" fontId="0" fillId="0" borderId="0" xfId="0" applyAlignment="1">
      <alignment horizontal="center"/>
    </xf>
    <xf numFmtId="0" fontId="0" fillId="0" borderId="61" xfId="0" applyNumberFormat="1" applyFont="1" applyFill="1" applyBorder="1" applyAlignment="1">
      <alignment horizontal="center"/>
    </xf>
    <xf numFmtId="0" fontId="80" fillId="0" borderId="0" xfId="0" applyFont="1" applyAlignment="1">
      <alignment horizontal="center"/>
    </xf>
    <xf numFmtId="0" fontId="39" fillId="0" borderId="24" xfId="0" applyFont="1" applyBorder="1" applyAlignment="1">
      <alignment horizontal="center" vertical="center"/>
    </xf>
    <xf numFmtId="0" fontId="39" fillId="0" borderId="0" xfId="0" applyFont="1" applyAlignment="1">
      <alignment vertical="center"/>
    </xf>
    <xf numFmtId="171" fontId="56" fillId="75" borderId="29" xfId="439" applyNumberFormat="1" applyFont="1" applyFill="1" applyBorder="1" applyAlignment="1" applyProtection="1">
      <alignment horizontal="center" vertical="center" wrapText="1"/>
    </xf>
    <xf numFmtId="0" fontId="39" fillId="74" borderId="64" xfId="0" applyNumberFormat="1" applyFont="1" applyFill="1" applyBorder="1" applyAlignment="1" applyProtection="1">
      <alignment horizontal="center" vertical="center"/>
    </xf>
    <xf numFmtId="0" fontId="0" fillId="73" borderId="0" xfId="0" applyFill="1"/>
    <xf numFmtId="0" fontId="116" fillId="73" borderId="0" xfId="0" applyFont="1" applyFill="1" applyAlignment="1">
      <alignment vertical="center" wrapText="1"/>
    </xf>
    <xf numFmtId="0" fontId="46" fillId="73" borderId="0" xfId="0" applyFont="1" applyFill="1" applyAlignment="1">
      <alignment horizontal="justify" vertical="center"/>
    </xf>
    <xf numFmtId="0" fontId="121" fillId="77" borderId="0" xfId="0" applyFont="1" applyFill="1" applyAlignment="1">
      <alignment vertical="center"/>
    </xf>
    <xf numFmtId="0" fontId="60" fillId="0" borderId="45" xfId="0" applyFont="1" applyFill="1" applyBorder="1" applyAlignment="1" applyProtection="1">
      <alignment horizontal="center" vertical="center" wrapText="1"/>
    </xf>
    <xf numFmtId="0" fontId="60" fillId="32" borderId="45" xfId="0" applyFont="1" applyFill="1" applyBorder="1" applyAlignment="1" applyProtection="1">
      <alignment horizontal="center" vertical="center" wrapText="1"/>
    </xf>
    <xf numFmtId="0" fontId="56" fillId="31" borderId="25" xfId="0" applyNumberFormat="1" applyFont="1" applyFill="1" applyBorder="1" applyAlignment="1" applyProtection="1">
      <alignment horizontal="left" vertical="center" wrapText="1"/>
    </xf>
    <xf numFmtId="0" fontId="41" fillId="31" borderId="66" xfId="0" applyFont="1" applyFill="1" applyBorder="1" applyAlignment="1">
      <alignment wrapText="1"/>
    </xf>
    <xf numFmtId="14" fontId="41" fillId="31" borderId="66" xfId="0" applyNumberFormat="1" applyFont="1" applyFill="1" applyBorder="1" applyAlignment="1">
      <alignment wrapText="1"/>
    </xf>
    <xf numFmtId="0" fontId="39" fillId="31" borderId="64" xfId="0" applyNumberFormat="1" applyFont="1" applyFill="1" applyBorder="1" applyAlignment="1" applyProtection="1">
      <alignment horizontal="center" vertical="center"/>
    </xf>
    <xf numFmtId="49" fontId="56" fillId="0" borderId="23" xfId="439" applyNumberFormat="1" applyFont="1" applyFill="1" applyBorder="1" applyAlignment="1" applyProtection="1">
      <alignment horizontal="center" vertical="center" wrapText="1"/>
    </xf>
    <xf numFmtId="0" fontId="117" fillId="73" borderId="0" xfId="0" applyFont="1" applyFill="1" applyAlignment="1">
      <alignment horizontal="left" vertical="center" wrapText="1"/>
    </xf>
    <xf numFmtId="0" fontId="33" fillId="73" borderId="0" xfId="30098" applyFill="1"/>
    <xf numFmtId="0" fontId="120" fillId="77" borderId="0" xfId="30098" applyFont="1" applyFill="1" applyAlignment="1">
      <alignment horizontal="center" vertical="center" wrapText="1"/>
    </xf>
    <xf numFmtId="0" fontId="116" fillId="73" borderId="0" xfId="30098" applyFont="1" applyFill="1" applyAlignment="1">
      <alignment vertical="center" wrapText="1"/>
    </xf>
    <xf numFmtId="0" fontId="46" fillId="73" borderId="0" xfId="30098" applyFont="1" applyFill="1" applyAlignment="1">
      <alignment vertical="center" wrapText="1"/>
    </xf>
    <xf numFmtId="0" fontId="121" fillId="77" borderId="0" xfId="30098" applyFont="1" applyFill="1" applyAlignment="1">
      <alignment vertical="center"/>
    </xf>
    <xf numFmtId="0" fontId="0" fillId="0" borderId="0" xfId="0" applyNumberFormat="1" applyFont="1" applyFill="1" applyBorder="1" applyAlignment="1" applyProtection="1">
      <alignment horizontal="left" vertical="center" wrapText="1"/>
    </xf>
    <xf numFmtId="0" fontId="0" fillId="0" borderId="0" xfId="0"/>
    <xf numFmtId="38" fontId="44" fillId="29" borderId="0" xfId="439" applyNumberFormat="1" applyFont="1" applyFill="1" applyAlignment="1" applyProtection="1">
      <alignment horizontal="center" vertical="center" wrapText="1"/>
      <protection locked="0"/>
    </xf>
    <xf numFmtId="0" fontId="39" fillId="0" borderId="43" xfId="0" applyNumberFormat="1" applyFont="1" applyFill="1" applyBorder="1" applyAlignment="1" applyProtection="1">
      <alignment horizontal="center" vertical="center"/>
    </xf>
    <xf numFmtId="0" fontId="39" fillId="0" borderId="0" xfId="0" applyFont="1" applyAlignment="1">
      <alignment horizontal="center"/>
    </xf>
    <xf numFmtId="3" fontId="39" fillId="29" borderId="0" xfId="439" applyNumberFormat="1" applyFont="1" applyFill="1" applyAlignment="1" applyProtection="1">
      <alignment horizontal="center" vertical="center"/>
      <protection locked="0"/>
    </xf>
    <xf numFmtId="37" fontId="39" fillId="29" borderId="0" xfId="439" applyNumberFormat="1" applyFont="1" applyFill="1" applyAlignment="1" applyProtection="1">
      <alignment horizontal="center" vertical="center"/>
      <protection locked="0"/>
    </xf>
    <xf numFmtId="0" fontId="0" fillId="0" borderId="0" xfId="0" applyFont="1"/>
    <xf numFmtId="0" fontId="0" fillId="0" borderId="0" xfId="0" applyFont="1" applyFill="1"/>
    <xf numFmtId="0" fontId="0" fillId="0" borderId="45" xfId="0" applyNumberFormat="1" applyFont="1" applyFill="1" applyBorder="1" applyAlignment="1" applyProtection="1">
      <alignment horizontal="left" vertical="center" wrapText="1"/>
    </xf>
    <xf numFmtId="0" fontId="0" fillId="0" borderId="45" xfId="0" applyNumberFormat="1" applyFont="1" applyFill="1" applyBorder="1" applyAlignment="1" applyProtection="1">
      <alignment horizontal="center" vertical="center"/>
    </xf>
    <xf numFmtId="0" fontId="0" fillId="0" borderId="45" xfId="0" applyNumberFormat="1" applyFont="1" applyFill="1" applyBorder="1" applyAlignment="1" applyProtection="1">
      <alignment horizontal="center" vertical="center" wrapText="1"/>
    </xf>
    <xf numFmtId="0" fontId="0" fillId="0" borderId="45" xfId="0" applyFont="1" applyFill="1" applyBorder="1" applyAlignment="1" applyProtection="1">
      <alignment vertical="center" wrapText="1"/>
    </xf>
    <xf numFmtId="0" fontId="0" fillId="0" borderId="45" xfId="0" applyFont="1" applyFill="1" applyBorder="1" applyAlignment="1" applyProtection="1">
      <alignment horizontal="left" vertical="center" wrapText="1"/>
    </xf>
    <xf numFmtId="0" fontId="39" fillId="0" borderId="26"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45" xfId="0" applyFont="1" applyFill="1" applyBorder="1" applyAlignment="1">
      <alignment horizontal="center" vertical="center"/>
    </xf>
    <xf numFmtId="0" fontId="39" fillId="0" borderId="43" xfId="0" applyFont="1" applyFill="1" applyBorder="1" applyAlignment="1">
      <alignment horizontal="center" vertical="center"/>
    </xf>
    <xf numFmtId="0" fontId="58" fillId="0" borderId="25" xfId="0" applyFont="1" applyFill="1" applyBorder="1" applyAlignment="1">
      <alignment horizontal="center" vertical="center"/>
    </xf>
    <xf numFmtId="0" fontId="49" fillId="0" borderId="25" xfId="0" applyFont="1" applyFill="1" applyBorder="1" applyAlignment="1">
      <alignment horizontal="center" vertical="center" wrapText="1"/>
    </xf>
    <xf numFmtId="0" fontId="57" fillId="0" borderId="25" xfId="0" applyFont="1" applyFill="1" applyBorder="1" applyAlignment="1">
      <alignment horizontal="center" vertical="center"/>
    </xf>
    <xf numFmtId="0" fontId="39" fillId="0" borderId="64" xfId="0" applyFont="1" applyFill="1" applyBorder="1" applyAlignment="1">
      <alignment horizontal="center" vertical="center"/>
    </xf>
    <xf numFmtId="0" fontId="68" fillId="0" borderId="0" xfId="0" applyFont="1" applyFill="1"/>
    <xf numFmtId="0" fontId="39" fillId="0" borderId="0" xfId="0" applyFont="1" applyFill="1" applyBorder="1" applyAlignment="1">
      <alignment horizontal="center" vertical="center"/>
    </xf>
    <xf numFmtId="0" fontId="52" fillId="0" borderId="30" xfId="0" applyNumberFormat="1" applyFont="1" applyFill="1" applyBorder="1" applyAlignment="1" applyProtection="1">
      <alignment horizontal="left" vertical="center" wrapText="1"/>
    </xf>
    <xf numFmtId="39" fontId="56" fillId="0" borderId="45" xfId="439" applyNumberFormat="1" applyFont="1" applyFill="1" applyBorder="1" applyAlignment="1" applyProtection="1">
      <alignment horizontal="center" vertical="center" wrapText="1"/>
    </xf>
    <xf numFmtId="0" fontId="61" fillId="0" borderId="0" xfId="0" applyNumberFormat="1" applyFont="1" applyFill="1" applyAlignment="1" applyProtection="1">
      <alignment horizontal="left" vertical="center" wrapText="1"/>
    </xf>
    <xf numFmtId="0" fontId="56" fillId="34" borderId="25" xfId="0" applyNumberFormat="1" applyFont="1" applyFill="1" applyBorder="1" applyAlignment="1" applyProtection="1">
      <alignment horizontal="left" vertical="center" wrapText="1"/>
    </xf>
    <xf numFmtId="180" fontId="56" fillId="0" borderId="23"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xf>
    <xf numFmtId="0" fontId="0" fillId="0" borderId="25"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5" xfId="0" applyNumberFormat="1" applyFont="1" applyFill="1" applyBorder="1" applyAlignment="1" applyProtection="1">
      <alignment horizontal="center" vertical="center" wrapText="1"/>
    </xf>
    <xf numFmtId="37" fontId="39" fillId="0" borderId="45" xfId="439" applyNumberFormat="1" applyFont="1" applyFill="1" applyBorder="1" applyAlignment="1" applyProtection="1">
      <alignment horizontal="center" vertical="center" wrapText="1"/>
    </xf>
    <xf numFmtId="0" fontId="61" fillId="0" borderId="45" xfId="0" applyNumberFormat="1" applyFont="1" applyFill="1" applyBorder="1" applyAlignment="1" applyProtection="1">
      <alignment horizontal="left" vertical="center" wrapText="1"/>
    </xf>
    <xf numFmtId="0" fontId="56" fillId="0" borderId="28" xfId="0" applyNumberFormat="1" applyFont="1" applyFill="1" applyBorder="1" applyAlignment="1" applyProtection="1">
      <alignment horizontal="left" vertical="center" wrapText="1"/>
    </xf>
    <xf numFmtId="0" fontId="39" fillId="0" borderId="45" xfId="0" applyNumberFormat="1" applyFont="1" applyFill="1" applyBorder="1" applyAlignment="1" applyProtection="1">
      <alignment horizontal="center" vertical="center"/>
    </xf>
    <xf numFmtId="164" fontId="56" fillId="0" borderId="45" xfId="439" applyNumberFormat="1" applyFont="1" applyFill="1" applyBorder="1" applyAlignment="1" applyProtection="1">
      <alignment horizontal="center" vertical="center" wrapText="1"/>
    </xf>
    <xf numFmtId="41" fontId="42" fillId="0" borderId="0" xfId="0" applyNumberFormat="1" applyFont="1" applyFill="1" applyAlignment="1" applyProtection="1">
      <alignment wrapText="1"/>
    </xf>
    <xf numFmtId="0" fontId="0" fillId="0" borderId="23" xfId="0" applyFont="1" applyFill="1" applyBorder="1" applyAlignment="1" applyProtection="1">
      <alignment vertical="center" wrapText="1"/>
    </xf>
    <xf numFmtId="0" fontId="39" fillId="0" borderId="25" xfId="0" applyNumberFormat="1" applyFont="1" applyFill="1" applyBorder="1" applyAlignment="1" applyProtection="1">
      <alignment horizontal="center" vertical="center"/>
    </xf>
    <xf numFmtId="164" fontId="56" fillId="0" borderId="29" xfId="439" applyNumberFormat="1" applyFont="1" applyFill="1" applyBorder="1" applyAlignment="1" applyProtection="1">
      <alignment horizontal="center" vertical="center" wrapText="1"/>
    </xf>
    <xf numFmtId="164" fontId="56" fillId="0" borderId="23" xfId="439" applyNumberFormat="1" applyFont="1" applyFill="1" applyBorder="1" applyAlignment="1" applyProtection="1">
      <alignment horizontal="center" vertical="center" wrapText="1"/>
    </xf>
    <xf numFmtId="0" fontId="56" fillId="0" borderId="23" xfId="0" applyNumberFormat="1" applyFont="1" applyFill="1" applyBorder="1" applyAlignment="1" applyProtection="1">
      <alignment horizontal="left" vertical="center" wrapText="1"/>
    </xf>
    <xf numFmtId="39" fontId="56" fillId="0" borderId="28" xfId="439" applyNumberFormat="1" applyFont="1" applyFill="1" applyBorder="1" applyAlignment="1" applyProtection="1">
      <alignment horizontal="center" vertical="center" wrapText="1"/>
    </xf>
    <xf numFmtId="164" fontId="56" fillId="0" borderId="0"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6" fillId="34" borderId="23" xfId="0" applyNumberFormat="1" applyFont="1" applyFill="1" applyBorder="1" applyAlignment="1" applyProtection="1">
      <alignment horizontal="left" vertical="center" wrapText="1"/>
    </xf>
    <xf numFmtId="164" fontId="56" fillId="29" borderId="23" xfId="439" applyNumberFormat="1" applyFont="1" applyFill="1" applyBorder="1" applyAlignment="1" applyProtection="1">
      <alignment horizontal="center" vertical="center" wrapText="1"/>
      <protection locked="0"/>
    </xf>
    <xf numFmtId="3" fontId="56" fillId="0" borderId="23" xfId="439" applyNumberFormat="1" applyFont="1" applyFill="1" applyBorder="1" applyAlignment="1" applyProtection="1">
      <alignment horizontal="center" vertical="center" wrapText="1"/>
    </xf>
    <xf numFmtId="3" fontId="56" fillId="34" borderId="23" xfId="439" applyNumberFormat="1" applyFont="1" applyFill="1" applyBorder="1" applyAlignment="1" applyProtection="1">
      <alignment horizontal="center" vertical="center" wrapText="1"/>
    </xf>
    <xf numFmtId="0" fontId="56" fillId="22" borderId="23" xfId="439" applyNumberFormat="1" applyFont="1" applyFill="1" applyBorder="1" applyAlignment="1" applyProtection="1">
      <alignment horizontal="center" vertical="center" wrapText="1"/>
      <protection locked="0"/>
    </xf>
    <xf numFmtId="3" fontId="56" fillId="0" borderId="45" xfId="439" applyNumberFormat="1" applyFont="1" applyFill="1" applyBorder="1" applyAlignment="1" applyProtection="1">
      <alignment horizontal="center" vertical="center" wrapText="1"/>
    </xf>
    <xf numFmtId="0" fontId="56" fillId="0" borderId="45" xfId="0" applyNumberFormat="1" applyFont="1" applyFill="1" applyBorder="1" applyAlignment="1" applyProtection="1">
      <alignment horizontal="left" vertical="center" wrapText="1"/>
    </xf>
    <xf numFmtId="14" fontId="0" fillId="0" borderId="0" xfId="0" applyNumberFormat="1" applyFont="1" applyFill="1" applyAlignment="1" applyProtection="1">
      <alignment horizontal="center" vertical="center"/>
    </xf>
    <xf numFmtId="0" fontId="56" fillId="78" borderId="25" xfId="0" applyNumberFormat="1" applyFont="1" applyFill="1" applyBorder="1" applyAlignment="1" applyProtection="1">
      <alignment horizontal="left" vertical="center" wrapText="1"/>
    </xf>
    <xf numFmtId="0" fontId="56" fillId="78" borderId="23" xfId="0" applyNumberFormat="1" applyFont="1" applyFill="1" applyBorder="1" applyAlignment="1" applyProtection="1">
      <alignment horizontal="left" vertical="center" wrapText="1"/>
    </xf>
    <xf numFmtId="0" fontId="39" fillId="78" borderId="43" xfId="0" applyNumberFormat="1" applyFont="1" applyFill="1" applyBorder="1" applyAlignment="1" applyProtection="1">
      <alignment horizontal="center" vertical="center"/>
    </xf>
    <xf numFmtId="0" fontId="39" fillId="78" borderId="26" xfId="0" applyNumberFormat="1" applyFont="1" applyFill="1" applyBorder="1" applyAlignment="1" applyProtection="1">
      <alignment horizontal="center" vertical="center"/>
    </xf>
    <xf numFmtId="0" fontId="0" fillId="78" borderId="31" xfId="0" applyFont="1" applyFill="1" applyBorder="1" applyAlignment="1" applyProtection="1">
      <alignment vertical="center" wrapText="1"/>
    </xf>
    <xf numFmtId="0" fontId="39" fillId="78" borderId="25" xfId="0" applyNumberFormat="1" applyFont="1" applyFill="1" applyBorder="1" applyAlignment="1" applyProtection="1">
      <alignment horizontal="center" vertical="center"/>
    </xf>
    <xf numFmtId="0" fontId="0" fillId="78" borderId="23" xfId="0" applyFont="1" applyFill="1" applyBorder="1" applyAlignment="1" applyProtection="1">
      <alignment vertical="center" wrapText="1"/>
    </xf>
    <xf numFmtId="0" fontId="68" fillId="0" borderId="0" xfId="0" applyFont="1" applyAlignment="1" applyProtection="1">
      <alignment wrapText="1"/>
      <protection locked="0"/>
    </xf>
    <xf numFmtId="3" fontId="39" fillId="0" borderId="0" xfId="439" applyNumberFormat="1" applyFont="1" applyFill="1" applyAlignment="1" applyProtection="1">
      <alignment horizontal="center" vertical="center" wrapText="1"/>
    </xf>
    <xf numFmtId="164" fontId="49" fillId="0" borderId="0" xfId="0" applyNumberFormat="1" applyFont="1" applyFill="1" applyAlignment="1" applyProtection="1">
      <alignment wrapText="1"/>
    </xf>
    <xf numFmtId="164" fontId="49" fillId="78" borderId="10" xfId="0" applyNumberFormat="1" applyFont="1" applyFill="1" applyBorder="1" applyAlignment="1" applyProtection="1">
      <alignment horizontal="center" vertical="center" wrapText="1"/>
    </xf>
    <xf numFmtId="0" fontId="41" fillId="78" borderId="0" xfId="0" applyFont="1" applyFill="1" applyBorder="1" applyAlignment="1">
      <alignment wrapText="1"/>
    </xf>
    <xf numFmtId="0" fontId="39" fillId="78" borderId="64" xfId="0" applyNumberFormat="1" applyFont="1" applyFill="1" applyBorder="1" applyAlignment="1" applyProtection="1">
      <alignment horizontal="center" vertical="center"/>
    </xf>
    <xf numFmtId="0" fontId="41" fillId="78" borderId="23" xfId="0" applyNumberFormat="1" applyFont="1" applyFill="1" applyBorder="1" applyAlignment="1" applyProtection="1">
      <alignment horizontal="left" vertical="center" wrapText="1"/>
    </xf>
    <xf numFmtId="43" fontId="0" fillId="0" borderId="0" xfId="439" applyFont="1" applyFill="1"/>
    <xf numFmtId="38" fontId="0" fillId="0" borderId="0" xfId="0" applyNumberFormat="1" applyFont="1" applyFill="1"/>
    <xf numFmtId="40" fontId="0" fillId="0" borderId="0" xfId="0" applyNumberFormat="1" applyFont="1" applyFill="1"/>
    <xf numFmtId="38" fontId="44" fillId="79" borderId="0" xfId="29549" applyNumberFormat="1" applyFont="1" applyFill="1" applyProtection="1"/>
    <xf numFmtId="38" fontId="44" fillId="0" borderId="0" xfId="29549" applyNumberFormat="1" applyFont="1" applyFill="1" applyProtection="1"/>
    <xf numFmtId="164" fontId="44" fillId="0" borderId="0" xfId="29549" applyNumberFormat="1" applyFont="1" applyFill="1" applyBorder="1" applyProtection="1"/>
    <xf numFmtId="172" fontId="44" fillId="0" borderId="0" xfId="29549" applyNumberFormat="1" applyFont="1" applyFill="1" applyBorder="1" applyAlignment="1" applyProtection="1">
      <alignment horizontal="left"/>
    </xf>
    <xf numFmtId="164" fontId="44" fillId="0" borderId="0" xfId="29549" applyNumberFormat="1" applyFont="1" applyBorder="1" applyProtection="1"/>
    <xf numFmtId="167" fontId="44" fillId="0" borderId="0" xfId="29549" applyNumberFormat="1" applyFont="1" applyProtection="1"/>
    <xf numFmtId="43" fontId="44" fillId="0" borderId="68" xfId="29549" applyFont="1" applyBorder="1" applyAlignment="1" applyProtection="1">
      <alignment horizontal="right"/>
    </xf>
    <xf numFmtId="0" fontId="0" fillId="0" borderId="0" xfId="682" applyFont="1"/>
    <xf numFmtId="0" fontId="131" fillId="26" borderId="0" xfId="682" applyFont="1" applyFill="1"/>
    <xf numFmtId="0" fontId="49" fillId="0" borderId="17" xfId="682" applyFont="1" applyBorder="1" applyAlignment="1">
      <alignment horizontal="center"/>
    </xf>
    <xf numFmtId="0" fontId="132" fillId="0" borderId="0" xfId="682" applyFont="1"/>
    <xf numFmtId="0" fontId="132" fillId="0" borderId="0" xfId="682" applyFont="1" applyAlignment="1">
      <alignment vertical="center"/>
    </xf>
    <xf numFmtId="0" fontId="49" fillId="0" borderId="14" xfId="682" applyFont="1" applyBorder="1" applyAlignment="1">
      <alignment horizontal="center" vertical="center" wrapText="1"/>
    </xf>
    <xf numFmtId="0" fontId="133" fillId="0" borderId="0" xfId="682" applyFont="1"/>
    <xf numFmtId="0" fontId="52" fillId="0" borderId="0" xfId="682" applyFont="1"/>
    <xf numFmtId="167" fontId="52" fillId="0" borderId="0" xfId="546" applyNumberFormat="1" applyFont="1"/>
    <xf numFmtId="38" fontId="52" fillId="0" borderId="0" xfId="682" applyNumberFormat="1" applyFont="1"/>
    <xf numFmtId="38" fontId="52" fillId="0" borderId="0" xfId="449" applyNumberFormat="1" applyFont="1"/>
    <xf numFmtId="0" fontId="133" fillId="0" borderId="0" xfId="682" applyFont="1" applyAlignment="1">
      <alignment vertical="center"/>
    </xf>
    <xf numFmtId="0" fontId="135" fillId="0" borderId="0" xfId="682" applyFont="1"/>
    <xf numFmtId="0" fontId="49" fillId="0" borderId="0" xfId="682" applyFont="1"/>
    <xf numFmtId="0" fontId="49" fillId="0" borderId="0" xfId="682" applyFont="1" applyAlignment="1">
      <alignment horizontal="center"/>
    </xf>
    <xf numFmtId="10" fontId="49" fillId="0" borderId="19" xfId="682" applyNumberFormat="1" applyFont="1" applyBorder="1"/>
    <xf numFmtId="39" fontId="0" fillId="0" borderId="0" xfId="0" applyNumberFormat="1" applyFont="1" applyProtection="1"/>
    <xf numFmtId="0" fontId="0" fillId="22" borderId="0" xfId="0" applyFont="1" applyFill="1" applyBorder="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56"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56" fillId="21" borderId="0" xfId="0" applyFont="1" applyFill="1" applyBorder="1" applyAlignment="1" applyProtection="1">
      <alignment horizontal="center" vertical="center" wrapText="1"/>
    </xf>
    <xf numFmtId="3" fontId="0" fillId="0" borderId="0" xfId="0" applyNumberFormat="1" applyFont="1" applyProtection="1"/>
    <xf numFmtId="0" fontId="0" fillId="0" borderId="26" xfId="0" applyNumberFormat="1" applyFont="1" applyFill="1" applyBorder="1" applyAlignment="1" applyProtection="1">
      <alignment horizontal="left" vertical="center" wrapText="1"/>
    </xf>
    <xf numFmtId="0" fontId="0" fillId="0" borderId="31" xfId="0" applyNumberFormat="1" applyFont="1" applyFill="1" applyBorder="1" applyAlignment="1" applyProtection="1">
      <alignment horizontal="left" vertical="center" wrapText="1"/>
    </xf>
    <xf numFmtId="37" fontId="0" fillId="0" borderId="29" xfId="439" applyNumberFormat="1" applyFont="1" applyBorder="1" applyAlignment="1" applyProtection="1">
      <alignment vertical="center"/>
    </xf>
    <xf numFmtId="37" fontId="0" fillId="32" borderId="29" xfId="439" applyNumberFormat="1" applyFont="1" applyFill="1" applyBorder="1" applyAlignment="1" applyProtection="1">
      <alignment vertical="center"/>
    </xf>
    <xf numFmtId="0" fontId="0" fillId="0" borderId="30" xfId="0" applyNumberFormat="1" applyFont="1" applyFill="1" applyBorder="1" applyAlignment="1" applyProtection="1">
      <alignment horizontal="left" vertical="center" wrapText="1"/>
    </xf>
    <xf numFmtId="0" fontId="0" fillId="0" borderId="45" xfId="0" applyFont="1" applyFill="1" applyBorder="1" applyProtection="1"/>
    <xf numFmtId="0" fontId="0" fillId="0" borderId="45" xfId="0" applyFont="1" applyFill="1" applyBorder="1" applyAlignment="1" applyProtection="1">
      <alignment horizontal="center" vertical="center"/>
    </xf>
    <xf numFmtId="3" fontId="0" fillId="0" borderId="0" xfId="0" applyNumberFormat="1" applyFont="1" applyFill="1" applyProtection="1"/>
    <xf numFmtId="37" fontId="0" fillId="0" borderId="29"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0" fontId="0" fillId="23" borderId="23" xfId="0" applyNumberFormat="1" applyFont="1" applyFill="1" applyBorder="1" applyAlignment="1" applyProtection="1">
      <alignment horizontal="left" vertical="center" wrapText="1"/>
    </xf>
    <xf numFmtId="37" fontId="0" fillId="23" borderId="28" xfId="439" applyNumberFormat="1" applyFont="1" applyFill="1" applyBorder="1" applyAlignment="1" applyProtection="1">
      <alignment vertical="center"/>
    </xf>
    <xf numFmtId="0" fontId="0" fillId="0" borderId="24" xfId="0" applyNumberFormat="1" applyFont="1" applyFill="1" applyBorder="1" applyAlignment="1" applyProtection="1">
      <alignment horizontal="left" vertical="center" wrapText="1"/>
    </xf>
    <xf numFmtId="0" fontId="0" fillId="22" borderId="45" xfId="0" applyFont="1" applyFill="1" applyBorder="1" applyAlignment="1" applyProtection="1">
      <alignment vertical="center"/>
    </xf>
    <xf numFmtId="37" fontId="0" fillId="0" borderId="27" xfId="439" applyNumberFormat="1" applyFont="1" applyFill="1" applyBorder="1" applyAlignment="1" applyProtection="1">
      <alignment vertical="center"/>
    </xf>
    <xf numFmtId="0" fontId="0" fillId="23" borderId="31" xfId="0" applyNumberFormat="1" applyFont="1" applyFill="1" applyBorder="1" applyAlignment="1" applyProtection="1">
      <alignment horizontal="left" vertical="center" wrapText="1"/>
    </xf>
    <xf numFmtId="0" fontId="0" fillId="34" borderId="25" xfId="0" applyNumberFormat="1" applyFont="1" applyFill="1" applyBorder="1" applyAlignment="1" applyProtection="1">
      <alignment horizontal="left" vertical="center" wrapText="1"/>
    </xf>
    <xf numFmtId="0" fontId="0" fillId="34" borderId="23" xfId="0" applyNumberFormat="1" applyFont="1" applyFill="1" applyBorder="1" applyAlignment="1" applyProtection="1">
      <alignment horizontal="left" vertical="center" wrapText="1"/>
    </xf>
    <xf numFmtId="37" fontId="0" fillId="34" borderId="29" xfId="439" applyNumberFormat="1" applyFont="1" applyFill="1" applyBorder="1" applyAlignment="1" applyProtection="1">
      <alignment vertical="center"/>
    </xf>
    <xf numFmtId="3" fontId="44" fillId="0" borderId="23" xfId="1540" applyFont="1" applyFill="1" applyBorder="1" applyAlignment="1" applyProtection="1">
      <alignment vertical="center" wrapText="1"/>
    </xf>
    <xf numFmtId="38" fontId="0" fillId="0" borderId="45" xfId="0" applyNumberFormat="1" applyFont="1" applyFill="1" applyBorder="1" applyProtection="1"/>
    <xf numFmtId="0" fontId="0" fillId="0" borderId="0" xfId="0" applyFont="1" applyFill="1" applyBorder="1" applyProtection="1"/>
    <xf numFmtId="0" fontId="0" fillId="0" borderId="0" xfId="0" applyFont="1" applyFill="1" applyBorder="1" applyAlignment="1" applyProtection="1">
      <alignment horizontal="center" vertical="center"/>
    </xf>
    <xf numFmtId="0" fontId="0" fillId="0" borderId="0" xfId="0" applyFont="1" applyAlignment="1" applyProtection="1">
      <alignment wrapText="1"/>
    </xf>
    <xf numFmtId="0" fontId="0" fillId="0" borderId="34" xfId="0" applyNumberFormat="1" applyFont="1" applyFill="1" applyBorder="1" applyAlignment="1" applyProtection="1">
      <alignment horizontal="left" vertical="center" wrapText="1"/>
    </xf>
    <xf numFmtId="37" fontId="0" fillId="0" borderId="28" xfId="439" applyNumberFormat="1" applyFont="1" applyFill="1" applyBorder="1" applyAlignment="1" applyProtection="1">
      <alignment vertical="center"/>
    </xf>
    <xf numFmtId="0" fontId="0" fillId="0" borderId="0" xfId="0" applyFont="1" applyFill="1" applyBorder="1" applyAlignment="1" applyProtection="1">
      <alignment vertical="center" wrapText="1"/>
      <protection locked="0"/>
    </xf>
    <xf numFmtId="0" fontId="0" fillId="0" borderId="35" xfId="0" applyNumberFormat="1" applyFont="1" applyFill="1" applyBorder="1" applyAlignment="1" applyProtection="1">
      <alignment horizontal="left" vertical="center" wrapText="1"/>
    </xf>
    <xf numFmtId="0" fontId="0" fillId="0" borderId="0" xfId="0" applyFont="1" applyBorder="1" applyProtection="1"/>
    <xf numFmtId="0" fontId="0" fillId="0" borderId="25" xfId="0" applyFont="1" applyFill="1" applyBorder="1" applyAlignment="1">
      <alignment horizontal="center" vertical="center" wrapText="1"/>
    </xf>
    <xf numFmtId="0" fontId="0" fillId="35" borderId="0" xfId="0" applyFont="1" applyFill="1" applyAlignment="1" applyProtection="1">
      <alignment horizontal="center" vertical="center"/>
    </xf>
    <xf numFmtId="0" fontId="0" fillId="0" borderId="0" xfId="0" applyFont="1" applyFill="1" applyAlignment="1">
      <alignment horizontal="left" vertical="center" wrapText="1"/>
    </xf>
    <xf numFmtId="37" fontId="0" fillId="0" borderId="28" xfId="439" applyNumberFormat="1" applyFont="1" applyFill="1" applyBorder="1" applyAlignment="1" applyProtection="1">
      <alignment horizontal="center" vertical="center" wrapText="1"/>
    </xf>
    <xf numFmtId="0" fontId="0" fillId="0" borderId="23" xfId="0" applyFont="1" applyFill="1" applyBorder="1" applyAlignment="1">
      <alignment vertical="center" wrapText="1"/>
    </xf>
    <xf numFmtId="39" fontId="137" fillId="76" borderId="63" xfId="1562" applyNumberFormat="1" applyFont="1" applyFill="1" applyBorder="1" applyAlignment="1">
      <alignment horizontal="center" vertical="center" wrapText="1"/>
    </xf>
    <xf numFmtId="0" fontId="0" fillId="23" borderId="25" xfId="0" applyNumberFormat="1" applyFont="1" applyFill="1" applyBorder="1" applyAlignment="1" applyProtection="1">
      <alignment horizontal="left" vertical="center" wrapText="1"/>
    </xf>
    <xf numFmtId="3" fontId="44" fillId="0" borderId="0" xfId="1540" applyFont="1" applyFill="1" applyAlignment="1" applyProtection="1">
      <alignment vertical="center" wrapText="1"/>
    </xf>
    <xf numFmtId="181" fontId="0" fillId="75" borderId="28" xfId="439" applyNumberFormat="1" applyFont="1" applyFill="1" applyBorder="1" applyAlignment="1" applyProtection="1">
      <alignment vertical="center"/>
    </xf>
    <xf numFmtId="0" fontId="0" fillId="0" borderId="0" xfId="0" applyFont="1" applyAlignment="1">
      <alignment wrapText="1"/>
    </xf>
    <xf numFmtId="0" fontId="0" fillId="78" borderId="25" xfId="0" applyNumberFormat="1" applyFont="1" applyFill="1" applyBorder="1" applyAlignment="1" applyProtection="1">
      <alignment horizontal="left" vertical="center" wrapText="1"/>
    </xf>
    <xf numFmtId="0" fontId="137" fillId="78" borderId="0" xfId="0" applyFont="1" applyFill="1" applyAlignment="1" applyProtection="1">
      <alignment horizontal="left" vertical="center" wrapText="1"/>
    </xf>
    <xf numFmtId="164" fontId="0" fillId="78" borderId="23" xfId="439" applyNumberFormat="1" applyFont="1" applyFill="1" applyBorder="1" applyAlignment="1" applyProtection="1">
      <alignment horizontal="center" vertical="center" wrapText="1"/>
    </xf>
    <xf numFmtId="0" fontId="0" fillId="78" borderId="24" xfId="0" quotePrefix="1" applyNumberFormat="1" applyFont="1" applyFill="1" applyBorder="1" applyAlignment="1" applyProtection="1">
      <alignment horizontal="center" vertical="center" wrapText="1"/>
    </xf>
    <xf numFmtId="0" fontId="0" fillId="78" borderId="23" xfId="0" applyFont="1" applyFill="1" applyBorder="1" applyAlignment="1">
      <alignment vertical="center" wrapText="1"/>
    </xf>
    <xf numFmtId="37" fontId="0" fillId="78" borderId="29" xfId="439" applyNumberFormat="1" applyFont="1" applyFill="1" applyBorder="1" applyAlignment="1" applyProtection="1">
      <alignment vertical="center"/>
    </xf>
    <xf numFmtId="0" fontId="0" fillId="78" borderId="0" xfId="0" quotePrefix="1" applyFont="1" applyFill="1" applyAlignment="1" applyProtection="1">
      <alignment horizontal="center"/>
    </xf>
    <xf numFmtId="0" fontId="0" fillId="22" borderId="25" xfId="0" applyNumberFormat="1" applyFont="1" applyFill="1" applyBorder="1" applyAlignment="1" applyProtection="1">
      <alignment horizontal="left" vertical="center" wrapText="1"/>
    </xf>
    <xf numFmtId="0" fontId="0" fillId="22" borderId="23" xfId="0" applyNumberFormat="1" applyFont="1" applyFill="1" applyBorder="1" applyAlignment="1" applyProtection="1">
      <alignment horizontal="left" vertical="center" wrapText="1"/>
    </xf>
    <xf numFmtId="37" fontId="0" fillId="78" borderId="28" xfId="439" applyNumberFormat="1" applyFont="1" applyFill="1" applyBorder="1" applyAlignment="1" applyProtection="1">
      <alignment vertical="center"/>
    </xf>
    <xf numFmtId="0" fontId="0" fillId="22" borderId="23" xfId="0" applyFont="1" applyFill="1" applyBorder="1" applyAlignment="1" applyProtection="1">
      <alignment vertical="center"/>
      <protection locked="0"/>
    </xf>
    <xf numFmtId="0" fontId="0" fillId="22" borderId="30" xfId="0" applyFont="1" applyFill="1" applyBorder="1" applyAlignment="1" applyProtection="1">
      <alignment vertical="center"/>
    </xf>
    <xf numFmtId="0" fontId="0" fillId="22" borderId="23" xfId="0" applyFont="1" applyFill="1" applyBorder="1" applyAlignment="1" applyProtection="1">
      <alignment vertical="center"/>
    </xf>
    <xf numFmtId="39" fontId="0" fillId="22" borderId="28" xfId="0" applyNumberFormat="1" applyFont="1" applyFill="1" applyBorder="1" applyAlignment="1" applyProtection="1">
      <alignment vertical="center"/>
    </xf>
    <xf numFmtId="0" fontId="0" fillId="22" borderId="28" xfId="0" applyFont="1" applyFill="1" applyBorder="1" applyAlignment="1" applyProtection="1">
      <alignment vertical="center"/>
    </xf>
    <xf numFmtId="0" fontId="0" fillId="22" borderId="29"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5" xfId="0" applyFont="1" applyFill="1" applyBorder="1" applyAlignment="1">
      <alignment vertical="center" wrapText="1"/>
    </xf>
    <xf numFmtId="0" fontId="0" fillId="22" borderId="0" xfId="0" applyFont="1" applyFill="1" applyAlignment="1" applyProtection="1">
      <alignment vertical="center" wrapText="1"/>
      <protection locked="0"/>
    </xf>
    <xf numFmtId="164" fontId="0" fillId="22" borderId="28" xfId="439" applyNumberFormat="1" applyFont="1" applyFill="1" applyBorder="1" applyAlignment="1" applyProtection="1">
      <alignment vertical="center"/>
    </xf>
    <xf numFmtId="0" fontId="0" fillId="74" borderId="23" xfId="0" applyNumberFormat="1" applyFont="1" applyFill="1" applyBorder="1" applyAlignment="1" applyProtection="1">
      <alignment horizontal="left" vertical="center" wrapText="1"/>
    </xf>
    <xf numFmtId="49" fontId="0" fillId="74" borderId="65"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4" borderId="65" xfId="439" applyNumberFormat="1" applyFont="1" applyFill="1" applyBorder="1" applyAlignment="1" applyProtection="1">
      <alignment horizontal="center" vertical="center"/>
    </xf>
    <xf numFmtId="0" fontId="0" fillId="31" borderId="66" xfId="0" applyFont="1" applyFill="1" applyBorder="1"/>
    <xf numFmtId="49" fontId="0" fillId="31" borderId="0" xfId="0" applyNumberFormat="1" applyFont="1" applyFill="1" applyAlignment="1" applyProtection="1">
      <alignment horizontal="center"/>
    </xf>
    <xf numFmtId="41" fontId="0" fillId="0" borderId="66" xfId="0" applyNumberFormat="1" applyFont="1" applyFill="1" applyBorder="1" applyAlignment="1">
      <alignment horizontal="center" vertical="center" wrapText="1"/>
    </xf>
    <xf numFmtId="0" fontId="0" fillId="31" borderId="23" xfId="0" applyNumberFormat="1" applyFont="1" applyFill="1" applyBorder="1" applyAlignment="1" applyProtection="1">
      <alignment horizontal="left" vertical="center" wrapText="1"/>
    </xf>
    <xf numFmtId="49" fontId="0" fillId="31" borderId="64" xfId="439" applyNumberFormat="1" applyFont="1" applyFill="1" applyBorder="1" applyAlignment="1" applyProtection="1">
      <alignment horizontal="center" vertical="center"/>
    </xf>
    <xf numFmtId="14" fontId="0" fillId="31" borderId="0" xfId="0" applyNumberFormat="1" applyFont="1" applyFill="1" applyAlignment="1" applyProtection="1">
      <alignment horizontal="center"/>
    </xf>
    <xf numFmtId="14" fontId="0" fillId="31" borderId="64" xfId="439" applyNumberFormat="1" applyFont="1" applyFill="1" applyBorder="1" applyAlignment="1" applyProtection="1">
      <alignment horizontal="center" vertical="center"/>
    </xf>
    <xf numFmtId="0" fontId="0" fillId="78" borderId="0" xfId="0" applyFont="1" applyFill="1" applyBorder="1"/>
    <xf numFmtId="41" fontId="0" fillId="78" borderId="0" xfId="0" applyNumberFormat="1" applyFont="1" applyFill="1" applyBorder="1" applyAlignment="1">
      <alignment horizontal="center" vertical="center" wrapText="1"/>
    </xf>
    <xf numFmtId="14" fontId="0" fillId="78" borderId="64" xfId="439" applyNumberFormat="1" applyFont="1" applyFill="1" applyBorder="1" applyAlignment="1" applyProtection="1">
      <alignment horizontal="center" vertical="center"/>
    </xf>
    <xf numFmtId="169" fontId="0" fillId="74" borderId="65" xfId="439" applyNumberFormat="1" applyFont="1" applyFill="1" applyBorder="1" applyAlignment="1" applyProtection="1">
      <alignment vertical="center"/>
    </xf>
    <xf numFmtId="0" fontId="0" fillId="78"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0" xfId="439" applyNumberFormat="1" applyFont="1" applyAlignment="1" applyProtection="1">
      <alignment vertical="center"/>
    </xf>
    <xf numFmtId="0" fontId="56"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4" fillId="0" borderId="0" xfId="439" applyNumberFormat="1" applyFont="1" applyFill="1" applyAlignment="1" applyProtection="1">
      <alignment horizontal="center" vertical="center" wrapText="1"/>
    </xf>
    <xf numFmtId="0" fontId="0" fillId="0" borderId="0" xfId="0" applyNumberFormat="1" applyFont="1" applyFill="1" applyAlignment="1" applyProtection="1">
      <alignment wrapText="1"/>
    </xf>
    <xf numFmtId="0" fontId="0" fillId="0" borderId="0" xfId="0" applyFont="1" applyFill="1" applyAlignment="1" applyProtection="1">
      <alignment horizontal="center" vertical="center" wrapText="1"/>
    </xf>
    <xf numFmtId="0" fontId="39" fillId="0" borderId="59" xfId="0" applyFont="1" applyFill="1" applyBorder="1" applyAlignment="1">
      <alignment vertical="center"/>
    </xf>
    <xf numFmtId="174" fontId="39" fillId="28" borderId="0" xfId="439" applyNumberFormat="1" applyFont="1" applyFill="1" applyAlignment="1" applyProtection="1">
      <alignment horizontal="center" vertical="center"/>
      <protection locked="0"/>
    </xf>
    <xf numFmtId="0" fontId="44" fillId="0" borderId="0" xfId="0" applyNumberFormat="1" applyFont="1" applyFill="1" applyAlignment="1" applyProtection="1">
      <alignment horizontal="left" vertical="center" wrapText="1"/>
    </xf>
    <xf numFmtId="0" fontId="53" fillId="0" borderId="0" xfId="0" applyFont="1" applyFill="1" applyAlignment="1" applyProtection="1">
      <alignment horizontal="left" vertical="center" wrapText="1"/>
    </xf>
    <xf numFmtId="0" fontId="0" fillId="0" borderId="32" xfId="0" applyFont="1" applyFill="1" applyBorder="1" applyAlignment="1">
      <alignment horizontal="center" wrapText="1"/>
    </xf>
    <xf numFmtId="0" fontId="44" fillId="0" borderId="0" xfId="0" applyFont="1" applyFill="1" applyAlignment="1" applyProtection="1">
      <alignment horizontal="left" vertical="center" wrapText="1"/>
      <protection hidden="1"/>
    </xf>
    <xf numFmtId="0" fontId="44" fillId="0" borderId="62" xfId="0" applyFont="1" applyFill="1" applyBorder="1" applyAlignment="1">
      <alignment vertical="center" wrapText="1"/>
    </xf>
    <xf numFmtId="0" fontId="61" fillId="0" borderId="62" xfId="0" applyFont="1" applyFill="1" applyBorder="1" applyAlignment="1">
      <alignment vertical="center" wrapText="1"/>
    </xf>
    <xf numFmtId="0" fontId="0" fillId="0" borderId="0" xfId="0" applyFont="1" applyProtection="1"/>
    <xf numFmtId="0" fontId="0" fillId="0" borderId="0" xfId="0" applyNumberFormat="1" applyFont="1" applyFill="1" applyAlignment="1" applyProtection="1">
      <alignment horizontal="left" vertical="center" wrapText="1"/>
    </xf>
    <xf numFmtId="0" fontId="0" fillId="0" borderId="0" xfId="0" applyFont="1" applyProtection="1"/>
    <xf numFmtId="0" fontId="39" fillId="0" borderId="0" xfId="0" applyFont="1" applyFill="1" applyAlignment="1" applyProtection="1">
      <alignment horizontal="right"/>
    </xf>
    <xf numFmtId="0" fontId="39" fillId="0" borderId="0" xfId="0" applyFont="1" applyFill="1" applyBorder="1" applyAlignment="1" applyProtection="1">
      <alignment horizontal="center"/>
    </xf>
    <xf numFmtId="0" fontId="0" fillId="34" borderId="0" xfId="0" applyFont="1" applyFill="1" applyAlignment="1" applyProtection="1">
      <alignment wrapText="1"/>
    </xf>
    <xf numFmtId="0" fontId="0" fillId="34" borderId="0" xfId="0" applyFont="1" applyFill="1" applyProtection="1"/>
    <xf numFmtId="14" fontId="0" fillId="0" borderId="0" xfId="0" applyNumberFormat="1" applyFont="1" applyFill="1" applyProtection="1"/>
    <xf numFmtId="164" fontId="39"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4" fillId="21" borderId="16" xfId="0" applyNumberFormat="1" applyFont="1" applyFill="1" applyBorder="1" applyProtection="1"/>
    <xf numFmtId="41" fontId="0" fillId="21" borderId="12" xfId="0" applyNumberFormat="1" applyFont="1" applyFill="1" applyBorder="1" applyAlignment="1" applyProtection="1">
      <alignment wrapText="1"/>
    </xf>
    <xf numFmtId="0" fontId="39" fillId="21" borderId="0" xfId="0" applyFont="1" applyFill="1" applyBorder="1" applyAlignment="1" applyProtection="1">
      <alignment horizontal="center"/>
    </xf>
    <xf numFmtId="0" fontId="39" fillId="21" borderId="22" xfId="0" applyFont="1" applyFill="1" applyBorder="1" applyAlignment="1" applyProtection="1">
      <alignment horizontal="center" wrapText="1"/>
    </xf>
    <xf numFmtId="41" fontId="68" fillId="28" borderId="0" xfId="439" applyNumberFormat="1" applyFont="1" applyFill="1" applyAlignment="1" applyProtection="1">
      <alignment wrapText="1"/>
    </xf>
    <xf numFmtId="41" fontId="69" fillId="0" borderId="0" xfId="0" applyNumberFormat="1" applyFont="1" applyFill="1" applyAlignment="1" applyProtection="1">
      <alignment wrapText="1"/>
    </xf>
    <xf numFmtId="0" fontId="0" fillId="0" borderId="0" xfId="0" applyFont="1" applyFill="1" applyAlignment="1" applyProtection="1">
      <alignment wrapText="1"/>
      <protection locked="0"/>
    </xf>
    <xf numFmtId="0" fontId="0" fillId="0" borderId="0" xfId="0" applyFont="1" applyFill="1" applyProtection="1">
      <protection locked="0"/>
    </xf>
    <xf numFmtId="164" fontId="0" fillId="0" borderId="0" xfId="0" applyNumberFormat="1" applyFont="1" applyFill="1" applyAlignment="1" applyProtection="1">
      <alignment wrapText="1"/>
      <protection locked="0"/>
    </xf>
    <xf numFmtId="0" fontId="68" fillId="0" borderId="0" xfId="0" applyFont="1" applyFill="1" applyAlignment="1" applyProtection="1">
      <alignment wrapText="1"/>
      <protection locked="0"/>
    </xf>
    <xf numFmtId="0" fontId="0" fillId="0" borderId="45" xfId="0" applyFont="1" applyFill="1" applyBorder="1" applyAlignment="1" applyProtection="1">
      <alignment wrapText="1"/>
      <protection locked="0"/>
    </xf>
    <xf numFmtId="41" fontId="68" fillId="0" borderId="0" xfId="0" applyNumberFormat="1" applyFont="1" applyFill="1" applyAlignment="1" applyProtection="1">
      <alignment wrapText="1"/>
    </xf>
    <xf numFmtId="164" fontId="0" fillId="0" borderId="45" xfId="0" applyNumberFormat="1" applyFont="1" applyFill="1" applyBorder="1" applyAlignment="1" applyProtection="1">
      <alignment wrapText="1"/>
      <protection locked="0"/>
    </xf>
    <xf numFmtId="0" fontId="39" fillId="0" borderId="0" xfId="0" applyFont="1" applyFill="1" applyAlignment="1" applyProtection="1">
      <alignment horizontal="center" vertical="center" wrapText="1"/>
    </xf>
    <xf numFmtId="0" fontId="0" fillId="0" borderId="0" xfId="0" applyFont="1" applyBorder="1" applyAlignment="1" applyProtection="1">
      <alignment wrapText="1"/>
    </xf>
    <xf numFmtId="37" fontId="0" fillId="0" borderId="0" xfId="0" applyNumberFormat="1" applyFont="1" applyAlignment="1" applyProtection="1">
      <alignment wrapText="1"/>
      <protection locked="0"/>
    </xf>
    <xf numFmtId="37" fontId="0" fillId="0" borderId="45" xfId="0" applyNumberFormat="1" applyFont="1" applyFill="1" applyBorder="1" applyAlignment="1" applyProtection="1">
      <alignment wrapText="1"/>
      <protection locked="0"/>
    </xf>
    <xf numFmtId="3" fontId="0" fillId="28" borderId="0" xfId="439" applyNumberFormat="1" applyFont="1" applyFill="1" applyAlignment="1" applyProtection="1">
      <alignment horizontal="center" vertical="center"/>
      <protection locked="0"/>
    </xf>
    <xf numFmtId="0" fontId="0" fillId="0" borderId="45" xfId="0" applyNumberFormat="1" applyFont="1" applyFill="1" applyBorder="1" applyAlignment="1" applyProtection="1">
      <alignment vertical="center" wrapText="1"/>
    </xf>
    <xf numFmtId="0" fontId="39" fillId="0" borderId="0" xfId="0" applyNumberFormat="1" applyFont="1" applyFill="1" applyAlignment="1" applyProtection="1">
      <alignment wrapText="1"/>
    </xf>
    <xf numFmtId="41" fontId="69" fillId="0" borderId="0" xfId="0" applyNumberFormat="1" applyFont="1" applyFill="1" applyAlignment="1" applyProtection="1">
      <alignment horizontal="center" wrapText="1"/>
    </xf>
    <xf numFmtId="0" fontId="39" fillId="0" borderId="0" xfId="0" applyNumberFormat="1" applyFont="1" applyFill="1" applyAlignment="1" applyProtection="1">
      <alignment vertical="center" wrapText="1"/>
    </xf>
    <xf numFmtId="0" fontId="0" fillId="0" borderId="0" xfId="0" applyNumberFormat="1" applyFont="1" applyFill="1" applyAlignment="1" applyProtection="1">
      <alignment horizontal="left" vertical="center" wrapText="1" indent="3"/>
    </xf>
    <xf numFmtId="3" fontId="0" fillId="0" borderId="0" xfId="0" applyNumberFormat="1" applyFont="1" applyAlignment="1" applyProtection="1">
      <alignment horizontal="center" vertical="center"/>
    </xf>
    <xf numFmtId="0" fontId="0" fillId="0" borderId="14" xfId="0" applyNumberFormat="1" applyFont="1" applyFill="1" applyBorder="1" applyAlignment="1" applyProtection="1">
      <alignment vertical="center" wrapText="1"/>
    </xf>
    <xf numFmtId="0" fontId="0" fillId="0" borderId="14" xfId="0" applyNumberFormat="1" applyFont="1" applyFill="1" applyBorder="1" applyAlignment="1" applyProtection="1">
      <alignment horizontal="left" vertical="center" wrapText="1" indent="3"/>
    </xf>
    <xf numFmtId="3" fontId="0" fillId="0" borderId="0" xfId="0" applyNumberFormat="1" applyFont="1" applyFill="1" applyAlignment="1" applyProtection="1">
      <alignment horizontal="center" vertical="center" wrapText="1"/>
    </xf>
    <xf numFmtId="0" fontId="0" fillId="0" borderId="14" xfId="0" applyNumberFormat="1" applyFont="1" applyFill="1" applyBorder="1" applyAlignment="1" applyProtection="1">
      <alignment horizontal="left" vertical="center" wrapText="1" indent="6"/>
    </xf>
    <xf numFmtId="0" fontId="0" fillId="0" borderId="0" xfId="0" applyFont="1" applyAlignment="1" applyProtection="1">
      <protection locked="0"/>
    </xf>
    <xf numFmtId="164" fontId="0" fillId="28" borderId="0" xfId="439" applyNumberFormat="1" applyFont="1" applyFill="1" applyProtection="1"/>
    <xf numFmtId="0" fontId="0" fillId="32" borderId="0" xfId="0" applyFont="1" applyFill="1" applyProtection="1"/>
    <xf numFmtId="164" fontId="0" fillId="0" borderId="23" xfId="439" applyNumberFormat="1" applyFont="1" applyFill="1" applyBorder="1" applyAlignment="1" applyProtection="1">
      <alignment horizontal="center" vertical="center" wrapText="1"/>
      <protection locked="0"/>
    </xf>
    <xf numFmtId="3" fontId="0" fillId="28" borderId="0" xfId="439" applyNumberFormat="1" applyFont="1" applyFill="1" applyAlignment="1" applyProtection="1">
      <alignment horizontal="center" vertical="center"/>
    </xf>
    <xf numFmtId="41" fontId="68" fillId="0" borderId="0" xfId="439" applyNumberFormat="1" applyFont="1" applyFill="1" applyAlignment="1" applyProtection="1">
      <alignment vertical="center" wrapText="1"/>
    </xf>
    <xf numFmtId="39" fontId="68" fillId="0" borderId="0" xfId="439"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xf>
    <xf numFmtId="168" fontId="0" fillId="0" borderId="0" xfId="0" applyNumberFormat="1" applyFont="1" applyProtection="1"/>
    <xf numFmtId="0" fontId="0" fillId="0" borderId="0" xfId="0" applyFont="1" applyFill="1" applyAlignment="1" applyProtection="1">
      <alignment horizontal="center" wrapText="1"/>
      <protection locked="0"/>
    </xf>
    <xf numFmtId="0" fontId="39" fillId="0" borderId="0" xfId="0" applyFont="1" applyAlignment="1" applyProtection="1">
      <alignment wrapText="1"/>
      <protection locked="0"/>
    </xf>
    <xf numFmtId="2" fontId="0" fillId="0" borderId="0" xfId="0" applyNumberFormat="1" applyFont="1" applyAlignment="1" applyProtection="1">
      <alignment wrapText="1"/>
      <protection locked="0"/>
    </xf>
    <xf numFmtId="14" fontId="0" fillId="0" borderId="0" xfId="0" applyNumberFormat="1" applyFont="1"/>
    <xf numFmtId="0" fontId="0" fillId="0" borderId="0" xfId="0" applyFont="1" applyBorder="1"/>
    <xf numFmtId="0" fontId="0" fillId="0" borderId="56"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68" fillId="0" borderId="0" xfId="439" applyNumberFormat="1" applyFont="1" applyFill="1" applyAlignment="1" applyProtection="1">
      <alignment vertical="center" wrapText="1"/>
      <protection locked="0"/>
    </xf>
    <xf numFmtId="0" fontId="39" fillId="31" borderId="37" xfId="0" applyFont="1" applyFill="1" applyBorder="1" applyAlignment="1">
      <alignment horizontal="center" vertical="center" wrapText="1"/>
    </xf>
    <xf numFmtId="0" fontId="39" fillId="31" borderId="39" xfId="0" applyFont="1" applyFill="1" applyBorder="1" applyAlignment="1">
      <alignment horizontal="center" vertical="center" wrapText="1"/>
    </xf>
    <xf numFmtId="41" fontId="68" fillId="0" borderId="0" xfId="439" applyNumberFormat="1" applyFont="1" applyAlignment="1">
      <alignment vertical="center" wrapText="1"/>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6" fontId="0" fillId="0" borderId="0" xfId="0" applyNumberFormat="1" applyFont="1" applyAlignment="1" applyProtection="1">
      <alignment wrapText="1"/>
    </xf>
    <xf numFmtId="0" fontId="39"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144" fillId="0" borderId="0" xfId="0" applyNumberFormat="1" applyFont="1" applyFill="1" applyAlignment="1" applyProtection="1">
      <alignment horizontal="left" vertical="center" wrapText="1"/>
    </xf>
    <xf numFmtId="0" fontId="144" fillId="0" borderId="0" xfId="0" applyFont="1" applyFill="1" applyAlignment="1" applyProtection="1">
      <alignment horizontal="left" vertical="center" wrapText="1"/>
    </xf>
    <xf numFmtId="0" fontId="44" fillId="0" borderId="0" xfId="0" applyFont="1" applyFill="1" applyAlignment="1" applyProtection="1">
      <alignment horizontal="center" vertical="center" wrapText="1"/>
    </xf>
    <xf numFmtId="0" fontId="44" fillId="0" borderId="0" xfId="0" applyNumberFormat="1" applyFont="1" applyFill="1" applyAlignment="1" applyProtection="1">
      <alignment vertical="center" wrapText="1"/>
    </xf>
    <xf numFmtId="0" fontId="0" fillId="0" borderId="45" xfId="0" applyFont="1" applyFill="1" applyBorder="1" applyAlignment="1" applyProtection="1">
      <alignment horizontal="center" vertical="center" wrapText="1"/>
    </xf>
    <xf numFmtId="0" fontId="44" fillId="0" borderId="45" xfId="0" applyFont="1" applyFill="1" applyBorder="1" applyAlignment="1" applyProtection="1">
      <alignment horizontal="center" vertical="center" wrapText="1"/>
    </xf>
    <xf numFmtId="0" fontId="39" fillId="0" borderId="0" xfId="0" applyFont="1" applyAlignment="1" applyProtection="1">
      <alignment horizontal="center" vertical="center" wrapText="1"/>
    </xf>
    <xf numFmtId="0" fontId="0" fillId="0" borderId="14" xfId="0" applyFont="1" applyFill="1" applyBorder="1" applyAlignment="1" applyProtection="1">
      <alignment horizontal="center" vertical="center"/>
    </xf>
    <xf numFmtId="0" fontId="61" fillId="0" borderId="0" xfId="0" applyFont="1" applyFill="1" applyAlignment="1" applyProtection="1">
      <alignment horizontal="center" vertical="center" wrapText="1"/>
    </xf>
    <xf numFmtId="3" fontId="151" fillId="0" borderId="0" xfId="1540" applyFont="1" applyFill="1" applyAlignment="1" applyProtection="1">
      <alignment vertical="center" wrapText="1"/>
    </xf>
    <xf numFmtId="0" fontId="39" fillId="0" borderId="0" xfId="0" applyFont="1" applyFill="1" applyAlignment="1" applyProtection="1">
      <alignment horizontal="center" vertical="center"/>
    </xf>
    <xf numFmtId="0" fontId="39" fillId="74" borderId="0" xfId="0" applyFont="1" applyFill="1" applyAlignment="1" applyProtection="1">
      <alignment vertical="center"/>
    </xf>
    <xf numFmtId="0" fontId="39" fillId="74" borderId="0" xfId="0" applyFont="1" applyFill="1" applyAlignment="1" applyProtection="1"/>
    <xf numFmtId="0" fontId="39" fillId="74" borderId="0" xfId="0" applyFont="1" applyFill="1" applyAlignment="1" applyProtection="1">
      <alignment wrapText="1"/>
    </xf>
    <xf numFmtId="2"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wrapText="1"/>
    </xf>
    <xf numFmtId="0" fontId="0" fillId="74" borderId="0" xfId="0" applyNumberFormat="1" applyFont="1" applyFill="1" applyAlignment="1" applyProtection="1">
      <alignment horizontal="left" vertical="center" wrapText="1"/>
    </xf>
    <xf numFmtId="37" fontId="0" fillId="74" borderId="0" xfId="439" applyNumberFormat="1" applyFont="1" applyFill="1" applyAlignment="1" applyProtection="1">
      <alignment horizontal="center" vertical="center"/>
      <protection locked="0"/>
    </xf>
    <xf numFmtId="41" fontId="68" fillId="74" borderId="0" xfId="439" applyNumberFormat="1" applyFont="1" applyFill="1" applyAlignment="1" applyProtection="1">
      <alignment wrapText="1"/>
    </xf>
    <xf numFmtId="0" fontId="39"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horizontal="center" vertical="center"/>
      <protection locked="0"/>
    </xf>
    <xf numFmtId="41" fontId="69" fillId="74" borderId="0" xfId="439" applyNumberFormat="1" applyFont="1" applyFill="1" applyAlignment="1" applyProtection="1">
      <alignment wrapText="1"/>
    </xf>
    <xf numFmtId="0" fontId="57" fillId="74" borderId="0" xfId="0" applyFont="1" applyFill="1" applyAlignment="1" applyProtection="1">
      <alignment horizontal="left" vertical="center"/>
    </xf>
    <xf numFmtId="0" fontId="44" fillId="74" borderId="0" xfId="0" applyFont="1" applyFill="1" applyAlignment="1" applyProtection="1">
      <alignment horizontal="left" vertical="center"/>
    </xf>
    <xf numFmtId="0" fontId="0" fillId="74" borderId="0" xfId="0" applyNumberFormat="1" applyFont="1" applyFill="1" applyAlignment="1" applyProtection="1">
      <alignment wrapText="1"/>
    </xf>
    <xf numFmtId="0" fontId="0" fillId="74" borderId="0" xfId="0" applyFont="1" applyFill="1" applyAlignment="1" applyProtection="1">
      <alignment vertical="center"/>
    </xf>
    <xf numFmtId="164" fontId="0" fillId="74" borderId="0" xfId="0" applyNumberFormat="1" applyFont="1" applyFill="1" applyAlignment="1" applyProtection="1">
      <alignment vertical="center"/>
    </xf>
    <xf numFmtId="164" fontId="39" fillId="74" borderId="0" xfId="439" applyNumberFormat="1" applyFont="1" applyFill="1" applyAlignment="1" applyProtection="1">
      <alignment horizontal="center" vertical="center"/>
      <protection locked="0"/>
    </xf>
    <xf numFmtId="41" fontId="69" fillId="74" borderId="0" xfId="0" applyNumberFormat="1" applyFont="1" applyFill="1" applyAlignment="1" applyProtection="1">
      <alignment wrapText="1"/>
    </xf>
    <xf numFmtId="0" fontId="39" fillId="74" borderId="0" xfId="0" applyFont="1" applyFill="1" applyAlignment="1" applyProtection="1">
      <alignment horizontal="center" vertical="center"/>
      <protection locked="0"/>
    </xf>
    <xf numFmtId="0" fontId="69" fillId="74" borderId="0" xfId="0" applyFont="1" applyFill="1" applyAlignment="1" applyProtection="1"/>
    <xf numFmtId="0" fontId="39" fillId="74" borderId="0" xfId="0" applyFont="1" applyFill="1" applyAlignment="1" applyProtection="1">
      <alignment horizontal="center" vertical="center" wrapText="1"/>
      <protection locked="0"/>
    </xf>
    <xf numFmtId="0" fontId="69" fillId="74" borderId="0" xfId="0" applyFont="1" applyFill="1" applyAlignment="1" applyProtection="1">
      <alignment horizontal="left" wrapText="1" indent="2"/>
    </xf>
    <xf numFmtId="0" fontId="39" fillId="74" borderId="0" xfId="0" applyFont="1" applyFill="1" applyAlignment="1" applyProtection="1">
      <alignment horizontal="left" vertical="center"/>
    </xf>
    <xf numFmtId="0" fontId="0" fillId="74" borderId="0" xfId="0" applyFont="1" applyFill="1" applyAlignment="1" applyProtection="1">
      <alignment horizontal="left" vertical="center"/>
    </xf>
    <xf numFmtId="0" fontId="39" fillId="74" borderId="0" xfId="0" applyNumberFormat="1" applyFont="1" applyFill="1" applyAlignment="1" applyProtection="1">
      <alignment vertical="center" wrapText="1"/>
    </xf>
    <xf numFmtId="0" fontId="0" fillId="74" borderId="0" xfId="0" applyNumberFormat="1" applyFont="1" applyFill="1" applyAlignment="1" applyProtection="1">
      <alignment vertical="center" wrapText="1"/>
    </xf>
    <xf numFmtId="3" fontId="0" fillId="74" borderId="0" xfId="439"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vertical="center"/>
    </xf>
    <xf numFmtId="3" fontId="39" fillId="74" borderId="0" xfId="439" applyNumberFormat="1" applyFont="1" applyFill="1" applyAlignment="1" applyProtection="1">
      <alignment horizontal="center" vertical="center"/>
      <protection locked="0"/>
    </xf>
    <xf numFmtId="38" fontId="44" fillId="74" borderId="0" xfId="439" applyNumberFormat="1" applyFont="1" applyFill="1" applyAlignment="1" applyProtection="1">
      <alignment horizontal="center" vertical="center" wrapText="1"/>
    </xf>
    <xf numFmtId="0" fontId="0" fillId="74" borderId="0" xfId="0" applyFont="1" applyFill="1" applyAlignment="1" applyProtection="1">
      <alignment horizontal="center" vertical="center"/>
    </xf>
    <xf numFmtId="0" fontId="39" fillId="74" borderId="0" xfId="0" applyNumberFormat="1" applyFont="1" applyFill="1" applyAlignment="1" applyProtection="1">
      <alignment wrapText="1"/>
    </xf>
    <xf numFmtId="164" fontId="39" fillId="74" borderId="0" xfId="439" applyNumberFormat="1" applyFont="1" applyFill="1" applyAlignment="1" applyProtection="1">
      <alignment horizontal="center" wrapText="1"/>
    </xf>
    <xf numFmtId="3" fontId="39" fillId="74" borderId="0" xfId="439" applyNumberFormat="1" applyFont="1" applyFill="1" applyAlignment="1" applyProtection="1">
      <alignment horizontal="center" vertical="center" wrapText="1"/>
    </xf>
    <xf numFmtId="41" fontId="68" fillId="74" borderId="0" xfId="0" applyNumberFormat="1" applyFont="1" applyFill="1" applyAlignment="1" applyProtection="1">
      <alignment wrapText="1"/>
    </xf>
    <xf numFmtId="3" fontId="39" fillId="74" borderId="0" xfId="0" applyNumberFormat="1" applyFont="1" applyFill="1" applyAlignment="1" applyProtection="1">
      <alignment horizontal="center" vertical="center"/>
    </xf>
    <xf numFmtId="164" fontId="0" fillId="74" borderId="0" xfId="439" applyNumberFormat="1" applyFont="1" applyFill="1" applyProtection="1"/>
    <xf numFmtId="164" fontId="0" fillId="74" borderId="0" xfId="439" applyNumberFormat="1" applyFont="1" applyFill="1" applyAlignment="1" applyProtection="1">
      <alignment horizontal="center" vertical="center"/>
    </xf>
    <xf numFmtId="37" fontId="0" fillId="74" borderId="0" xfId="439" applyNumberFormat="1" applyFont="1" applyFill="1" applyAlignment="1" applyProtection="1">
      <alignment horizontal="center" vertical="center"/>
    </xf>
    <xf numFmtId="38" fontId="39" fillId="74" borderId="0" xfId="0" applyNumberFormat="1" applyFont="1" applyFill="1" applyAlignment="1" applyProtection="1">
      <alignment horizontal="left" vertical="center"/>
    </xf>
    <xf numFmtId="0" fontId="69" fillId="74" borderId="0" xfId="0" applyFont="1" applyFill="1" applyAlignment="1" applyProtection="1">
      <alignment horizontal="left" vertical="center"/>
    </xf>
    <xf numFmtId="0" fontId="0" fillId="74" borderId="0" xfId="0" applyFont="1" applyFill="1" applyProtection="1"/>
    <xf numFmtId="0" fontId="0" fillId="74" borderId="0" xfId="0" applyFont="1" applyFill="1" applyAlignment="1" applyProtection="1">
      <alignment horizontal="center" vertical="center" wrapText="1"/>
    </xf>
    <xf numFmtId="0" fontId="39" fillId="74" borderId="0" xfId="0" applyFont="1" applyFill="1" applyAlignment="1" applyProtection="1">
      <alignment horizontal="center" vertical="center" wrapText="1"/>
    </xf>
    <xf numFmtId="41" fontId="0" fillId="74" borderId="0" xfId="439" applyNumberFormat="1" applyFont="1" applyFill="1" applyAlignment="1" applyProtection="1">
      <alignment vertical="center" wrapText="1"/>
      <protection locked="0"/>
    </xf>
    <xf numFmtId="41" fontId="0" fillId="74" borderId="0" xfId="439" applyNumberFormat="1" applyFont="1" applyFill="1" applyAlignment="1" applyProtection="1">
      <alignment vertical="center" wrapText="1"/>
    </xf>
    <xf numFmtId="0" fontId="0" fillId="74" borderId="0" xfId="0" applyFont="1" applyFill="1" applyAlignment="1" applyProtection="1">
      <alignment wrapText="1"/>
      <protection locked="0"/>
    </xf>
    <xf numFmtId="0" fontId="154" fillId="74" borderId="0" xfId="0" applyFont="1" applyFill="1" applyAlignment="1" applyProtection="1">
      <alignment horizontal="left" vertical="center"/>
    </xf>
    <xf numFmtId="0" fontId="80" fillId="74" borderId="0" xfId="0" applyFont="1" applyFill="1" applyAlignment="1" applyProtection="1">
      <alignment vertical="center"/>
    </xf>
    <xf numFmtId="0" fontId="155" fillId="74" borderId="0" xfId="0" applyFont="1" applyFill="1" applyAlignment="1" applyProtection="1">
      <alignment vertical="center"/>
      <protection locked="0"/>
    </xf>
    <xf numFmtId="0" fontId="57" fillId="74" borderId="0" xfId="0" applyFont="1" applyFill="1" applyAlignment="1">
      <alignment vertical="center" wrapText="1"/>
    </xf>
    <xf numFmtId="41" fontId="156" fillId="0" borderId="0" xfId="0" applyNumberFormat="1" applyFont="1" applyFill="1" applyAlignment="1" applyProtection="1">
      <alignment wrapText="1"/>
    </xf>
    <xf numFmtId="0" fontId="57" fillId="74" borderId="0" xfId="0" applyFont="1" applyFill="1" applyAlignment="1" applyProtection="1">
      <alignment vertical="center"/>
    </xf>
    <xf numFmtId="38" fontId="44" fillId="22" borderId="0" xfId="439" applyNumberFormat="1" applyFont="1" applyFill="1" applyAlignment="1" applyProtection="1">
      <alignment horizontal="center" vertical="center" wrapText="1"/>
    </xf>
    <xf numFmtId="166" fontId="0" fillId="21" borderId="16" xfId="0" applyNumberFormat="1" applyFont="1" applyFill="1" applyBorder="1" applyProtection="1"/>
    <xf numFmtId="0" fontId="0" fillId="0" borderId="0" xfId="0" applyAlignment="1">
      <alignment wrapText="1"/>
    </xf>
    <xf numFmtId="0" fontId="0" fillId="0" borderId="0" xfId="0" applyAlignment="1">
      <alignment horizontal="left"/>
    </xf>
    <xf numFmtId="37" fontId="0" fillId="0" borderId="0" xfId="0" applyNumberFormat="1"/>
    <xf numFmtId="2" fontId="0" fillId="0" borderId="0" xfId="0" applyNumberFormat="1"/>
    <xf numFmtId="164" fontId="44" fillId="22" borderId="0" xfId="439" applyNumberFormat="1" applyFont="1" applyFill="1" applyAlignment="1" applyProtection="1">
      <alignment horizontal="center" vertical="center" wrapText="1"/>
    </xf>
    <xf numFmtId="173" fontId="44" fillId="22" borderId="0" xfId="439" applyNumberFormat="1" applyFont="1" applyFill="1" applyAlignment="1" applyProtection="1">
      <alignment horizontal="center" vertical="center" wrapText="1"/>
    </xf>
    <xf numFmtId="41" fontId="69" fillId="0" borderId="0" xfId="439" applyNumberFormat="1" applyFont="1" applyFill="1" applyAlignment="1" applyProtection="1">
      <alignment horizontal="center" vertical="center" wrapText="1"/>
      <protection locked="0"/>
    </xf>
    <xf numFmtId="0" fontId="161" fillId="77" borderId="57" xfId="0" applyFont="1" applyFill="1" applyBorder="1" applyAlignment="1">
      <alignment horizontal="center" vertical="center" wrapText="1"/>
    </xf>
    <xf numFmtId="0" fontId="158" fillId="0" borderId="0" xfId="0" applyFont="1"/>
    <xf numFmtId="0" fontId="162" fillId="73" borderId="0" xfId="0" applyFont="1" applyFill="1" applyAlignment="1">
      <alignment horizontal="justify" vertical="center"/>
    </xf>
    <xf numFmtId="0" fontId="162" fillId="73" borderId="0" xfId="0" applyFont="1" applyFill="1" applyAlignment="1">
      <alignment vertical="center"/>
    </xf>
    <xf numFmtId="0" fontId="0" fillId="0" borderId="0" xfId="0" applyAlignment="1">
      <alignment vertical="center"/>
    </xf>
    <xf numFmtId="0" fontId="162" fillId="73" borderId="0" xfId="0" applyFont="1" applyFill="1" applyAlignment="1">
      <alignment vertical="center" wrapText="1"/>
    </xf>
    <xf numFmtId="0" fontId="166" fillId="73" borderId="0" xfId="611" applyFont="1" applyFill="1" applyAlignment="1">
      <alignment vertical="center"/>
    </xf>
    <xf numFmtId="0" fontId="167" fillId="73" borderId="0" xfId="0" applyFont="1" applyFill="1" applyAlignment="1">
      <alignment vertical="center"/>
    </xf>
    <xf numFmtId="0" fontId="168" fillId="73" borderId="0" xfId="611" applyFont="1" applyFill="1" applyAlignment="1" applyProtection="1">
      <alignment vertical="center"/>
      <protection locked="0"/>
    </xf>
    <xf numFmtId="0" fontId="167" fillId="73" borderId="0" xfId="0" applyFont="1" applyFill="1"/>
    <xf numFmtId="0" fontId="168" fillId="73" borderId="0" xfId="611" applyFont="1" applyFill="1" applyProtection="1">
      <protection locked="0"/>
    </xf>
    <xf numFmtId="0" fontId="116" fillId="73" borderId="0" xfId="30098" quotePrefix="1" applyFont="1" applyFill="1" applyAlignment="1">
      <alignment horizontal="left" vertical="center" wrapText="1" indent="1"/>
    </xf>
    <xf numFmtId="0" fontId="171" fillId="73" borderId="0" xfId="30098" applyFont="1" applyFill="1" applyAlignment="1">
      <alignment vertical="center" wrapText="1"/>
    </xf>
    <xf numFmtId="0" fontId="35" fillId="0" borderId="0" xfId="611"/>
    <xf numFmtId="0" fontId="162" fillId="73" borderId="0" xfId="30098" applyFont="1" applyFill="1" applyAlignment="1">
      <alignment vertical="center" wrapText="1"/>
    </xf>
    <xf numFmtId="0" fontId="168" fillId="73" borderId="0" xfId="611" applyFont="1" applyFill="1" applyAlignment="1">
      <alignment vertical="center"/>
    </xf>
    <xf numFmtId="38" fontId="0" fillId="0" borderId="0" xfId="0" applyNumberFormat="1" applyFont="1" applyFill="1" applyProtection="1"/>
    <xf numFmtId="0" fontId="0" fillId="81" borderId="25" xfId="0" applyNumberFormat="1" applyFont="1" applyFill="1" applyBorder="1" applyAlignment="1" applyProtection="1">
      <alignment horizontal="left" vertical="center" wrapText="1"/>
    </xf>
    <xf numFmtId="3" fontId="0" fillId="34" borderId="0" xfId="0" applyNumberFormat="1" applyFont="1" applyFill="1" applyProtection="1"/>
    <xf numFmtId="1" fontId="0" fillId="0" borderId="0" xfId="0" applyNumberFormat="1" applyFont="1" applyFill="1" applyAlignment="1" applyProtection="1">
      <alignment horizontal="center" vertical="center"/>
    </xf>
    <xf numFmtId="0" fontId="0" fillId="20" borderId="0" xfId="0" applyFill="1"/>
    <xf numFmtId="0" fontId="0" fillId="29" borderId="0" xfId="0" applyFill="1" applyAlignment="1">
      <alignment horizontal="center"/>
    </xf>
    <xf numFmtId="0" fontId="0" fillId="29" borderId="0" xfId="0" applyFill="1"/>
    <xf numFmtId="0" fontId="0" fillId="20" borderId="0" xfId="0" applyFill="1" applyAlignment="1">
      <alignment horizontal="center"/>
    </xf>
    <xf numFmtId="0" fontId="0" fillId="32" borderId="0" xfId="0" applyFill="1" applyAlignment="1">
      <alignment horizontal="center"/>
    </xf>
    <xf numFmtId="0" fontId="0" fillId="32" borderId="0" xfId="0" applyFill="1"/>
    <xf numFmtId="0" fontId="0" fillId="0" borderId="0" xfId="0" applyFill="1" applyAlignment="1">
      <alignment horizontal="center"/>
    </xf>
    <xf numFmtId="0" fontId="0" fillId="0" borderId="0" xfId="0" applyFill="1"/>
    <xf numFmtId="0" fontId="0" fillId="82" borderId="0" xfId="0" applyFill="1" applyAlignment="1">
      <alignment horizontal="center"/>
    </xf>
    <xf numFmtId="0" fontId="0" fillId="82" borderId="0" xfId="0" applyFill="1"/>
    <xf numFmtId="0" fontId="0" fillId="82" borderId="0" xfId="0" applyNumberFormat="1" applyFont="1" applyFill="1" applyAlignment="1" applyProtection="1">
      <alignment horizontal="center" vertical="center"/>
    </xf>
    <xf numFmtId="0" fontId="0" fillId="82" borderId="45" xfId="0" applyNumberFormat="1" applyFont="1" applyFill="1" applyBorder="1" applyAlignment="1" applyProtection="1">
      <alignment horizontal="center" vertical="center" wrapText="1"/>
    </xf>
    <xf numFmtId="0" fontId="0" fillId="26" borderId="0" xfId="0" applyFill="1" applyAlignment="1">
      <alignment horizontal="center"/>
    </xf>
    <xf numFmtId="0" fontId="0" fillId="26" borderId="0" xfId="0" applyFill="1"/>
    <xf numFmtId="0" fontId="0" fillId="36" borderId="0" xfId="0" applyFill="1" applyAlignment="1">
      <alignment horizontal="center"/>
    </xf>
    <xf numFmtId="0" fontId="0" fillId="36" borderId="0" xfId="0" applyFill="1"/>
    <xf numFmtId="38" fontId="44" fillId="22" borderId="45" xfId="439" applyNumberFormat="1" applyFont="1" applyFill="1" applyBorder="1" applyAlignment="1" applyProtection="1">
      <alignment horizontal="center" vertical="center" wrapText="1"/>
    </xf>
    <xf numFmtId="4" fontId="0" fillId="0" borderId="0" xfId="0" applyNumberFormat="1"/>
    <xf numFmtId="182" fontId="0" fillId="0" borderId="0" xfId="439" applyNumberFormat="1" applyFont="1" applyProtection="1"/>
    <xf numFmtId="43" fontId="0" fillId="0" borderId="0" xfId="0" applyNumberFormat="1" applyFont="1" applyProtection="1"/>
    <xf numFmtId="4" fontId="0" fillId="0" borderId="0" xfId="0" applyNumberFormat="1" applyFont="1" applyProtection="1"/>
    <xf numFmtId="183" fontId="41" fillId="31" borderId="66" xfId="0" applyNumberFormat="1" applyFont="1" applyFill="1" applyBorder="1" applyAlignment="1">
      <alignment wrapText="1"/>
    </xf>
    <xf numFmtId="183" fontId="56" fillId="0" borderId="28" xfId="439" applyNumberFormat="1" applyFont="1" applyFill="1" applyBorder="1" applyAlignment="1" applyProtection="1">
      <alignment horizontal="center" vertical="center" wrapText="1"/>
    </xf>
    <xf numFmtId="181" fontId="0" fillId="0" borderId="0" xfId="0" applyNumberFormat="1"/>
    <xf numFmtId="0" fontId="44" fillId="0" borderId="0" xfId="26000" applyFont="1" applyAlignment="1">
      <alignment horizontal="center"/>
    </xf>
    <xf numFmtId="0" fontId="44" fillId="0" borderId="0" xfId="26000" applyFont="1"/>
    <xf numFmtId="0" fontId="33" fillId="0" borderId="0" xfId="0" applyFont="1"/>
    <xf numFmtId="0" fontId="57" fillId="80" borderId="0" xfId="26000" applyFont="1" applyFill="1"/>
    <xf numFmtId="0" fontId="44" fillId="80" borderId="0" xfId="26000" applyFont="1" applyFill="1"/>
    <xf numFmtId="0" fontId="57" fillId="0" borderId="0" xfId="26000" applyFont="1"/>
    <xf numFmtId="0" fontId="129" fillId="0" borderId="57" xfId="26000" applyFont="1" applyBorder="1"/>
    <xf numFmtId="9" fontId="57" fillId="0" borderId="0" xfId="26000" applyNumberFormat="1" applyFont="1" applyAlignment="1">
      <alignment horizontal="center"/>
    </xf>
    <xf numFmtId="38" fontId="44" fillId="79" borderId="0" xfId="26000" applyNumberFormat="1" applyFont="1" applyFill="1"/>
    <xf numFmtId="38" fontId="44" fillId="0" borderId="0" xfId="26000" applyNumberFormat="1" applyFont="1"/>
    <xf numFmtId="0" fontId="44" fillId="0" borderId="0" xfId="26000" applyFont="1" applyAlignment="1">
      <alignment wrapText="1"/>
    </xf>
    <xf numFmtId="0" fontId="57" fillId="0" borderId="0" xfId="26000" applyFont="1" applyAlignment="1">
      <alignment wrapText="1"/>
    </xf>
    <xf numFmtId="0" fontId="130" fillId="0" borderId="0" xfId="26000" applyFont="1" applyAlignment="1">
      <alignment wrapText="1"/>
    </xf>
    <xf numFmtId="164" fontId="44" fillId="0" borderId="0" xfId="26000" applyNumberFormat="1" applyFont="1"/>
    <xf numFmtId="0" fontId="57" fillId="0" borderId="0" xfId="26000" applyFont="1" applyAlignment="1">
      <alignment horizontal="center"/>
    </xf>
    <xf numFmtId="0" fontId="130" fillId="0" borderId="0" xfId="26000" applyFont="1"/>
    <xf numFmtId="0" fontId="44" fillId="0" borderId="0" xfId="26000" applyFont="1" applyAlignment="1">
      <alignment vertical="top"/>
    </xf>
    <xf numFmtId="0" fontId="130" fillId="0" borderId="0" xfId="26000" applyFont="1" applyAlignment="1">
      <alignment vertical="top" wrapText="1"/>
    </xf>
    <xf numFmtId="37" fontId="44" fillId="0" borderId="57" xfId="29549" applyNumberFormat="1" applyFont="1" applyBorder="1" applyProtection="1"/>
    <xf numFmtId="37" fontId="44" fillId="0" borderId="57" xfId="29549" applyNumberFormat="1" applyFont="1" applyFill="1" applyBorder="1" applyProtection="1"/>
    <xf numFmtId="37" fontId="44" fillId="0" borderId="0" xfId="26000" applyNumberFormat="1" applyFont="1"/>
    <xf numFmtId="37" fontId="57" fillId="0" borderId="57" xfId="26000" applyNumberFormat="1" applyFont="1" applyBorder="1"/>
    <xf numFmtId="37" fontId="57" fillId="0" borderId="68" xfId="29549" applyNumberFormat="1" applyFont="1" applyBorder="1" applyProtection="1"/>
    <xf numFmtId="37" fontId="57" fillId="0" borderId="67" xfId="29549" applyNumberFormat="1" applyFont="1" applyBorder="1" applyProtection="1"/>
    <xf numFmtId="0" fontId="39" fillId="0" borderId="0" xfId="682" applyFont="1" applyAlignment="1">
      <alignment wrapText="1"/>
    </xf>
    <xf numFmtId="0" fontId="131" fillId="0" borderId="0" xfId="682" applyFont="1"/>
    <xf numFmtId="0" fontId="39" fillId="0" borderId="0" xfId="682" applyFont="1" applyAlignment="1">
      <alignment horizontal="left"/>
    </xf>
    <xf numFmtId="0" fontId="33" fillId="0" borderId="0" xfId="682" applyFont="1"/>
    <xf numFmtId="42" fontId="39" fillId="0" borderId="0" xfId="546" applyNumberFormat="1" applyFont="1" applyFill="1" applyBorder="1"/>
    <xf numFmtId="0" fontId="136" fillId="0" borderId="0" xfId="682" applyFont="1" applyAlignment="1">
      <alignment horizontal="left" vertical="center" wrapText="1"/>
    </xf>
    <xf numFmtId="10" fontId="39" fillId="0" borderId="19" xfId="682" applyNumberFormat="1" applyFont="1" applyBorder="1" applyAlignment="1">
      <alignment horizontal="right" vertical="center"/>
    </xf>
    <xf numFmtId="0" fontId="44" fillId="0" borderId="0" xfId="0" applyFont="1"/>
    <xf numFmtId="0" fontId="44" fillId="0" borderId="0" xfId="0" applyFont="1" applyAlignment="1">
      <alignment horizontal="center"/>
    </xf>
    <xf numFmtId="0" fontId="44" fillId="34" borderId="0" xfId="0" applyFont="1" applyFill="1"/>
    <xf numFmtId="0" fontId="44" fillId="29" borderId="0" xfId="0" applyFont="1" applyFill="1"/>
    <xf numFmtId="0" fontId="44" fillId="29" borderId="0" xfId="0" applyFont="1" applyFill="1" applyAlignment="1">
      <alignment wrapText="1"/>
    </xf>
    <xf numFmtId="0" fontId="44" fillId="0" borderId="77" xfId="0" applyFont="1" applyBorder="1"/>
    <xf numFmtId="0" fontId="44" fillId="0" borderId="100" xfId="0" applyFont="1" applyBorder="1"/>
    <xf numFmtId="0" fontId="44" fillId="0" borderId="12" xfId="0" applyFont="1" applyBorder="1"/>
    <xf numFmtId="0" fontId="44" fillId="0" borderId="0" xfId="0" quotePrefix="1" applyFont="1"/>
    <xf numFmtId="0" fontId="44" fillId="0" borderId="0" xfId="0" applyFont="1" applyFill="1"/>
    <xf numFmtId="0" fontId="0" fillId="0" borderId="0" xfId="0" applyFill="1" applyAlignment="1">
      <alignment horizontal="left" vertical="center"/>
    </xf>
    <xf numFmtId="0" fontId="0" fillId="0" borderId="0" xfId="0" applyFill="1" applyAlignment="1">
      <alignment wrapText="1"/>
    </xf>
    <xf numFmtId="0" fontId="39" fillId="0" borderId="13" xfId="0" applyFont="1" applyFill="1" applyBorder="1" applyAlignment="1">
      <alignment horizontal="left" vertical="center"/>
    </xf>
    <xf numFmtId="0" fontId="0" fillId="0" borderId="16" xfId="0" applyFill="1" applyBorder="1"/>
    <xf numFmtId="0" fontId="0" fillId="34" borderId="10" xfId="0" applyFill="1" applyBorder="1" applyAlignment="1">
      <alignment vertical="center" wrapText="1"/>
    </xf>
    <xf numFmtId="0" fontId="0" fillId="34" borderId="0" xfId="0" applyFill="1" applyAlignment="1">
      <alignment vertical="center" wrapText="1"/>
    </xf>
    <xf numFmtId="0" fontId="0" fillId="0" borderId="16" xfId="0" applyFill="1" applyBorder="1" applyAlignment="1">
      <alignment wrapText="1"/>
    </xf>
    <xf numFmtId="0" fontId="0" fillId="0" borderId="0" xfId="0" applyFill="1" applyBorder="1"/>
    <xf numFmtId="0" fontId="0" fillId="0" borderId="0" xfId="0" applyBorder="1"/>
    <xf numFmtId="0" fontId="0" fillId="0" borderId="0" xfId="0" applyBorder="1" applyAlignment="1">
      <alignment vertical="center"/>
    </xf>
    <xf numFmtId="14" fontId="0" fillId="36" borderId="0" xfId="0" applyNumberFormat="1" applyFont="1" applyFill="1" applyAlignment="1" applyProtection="1">
      <alignment horizontal="center"/>
    </xf>
    <xf numFmtId="37" fontId="44" fillId="0" borderId="57" xfId="29549" applyNumberFormat="1" applyFont="1" applyFill="1" applyBorder="1" applyAlignment="1" applyProtection="1">
      <alignment horizontal="center"/>
    </xf>
    <xf numFmtId="38" fontId="44" fillId="0" borderId="0" xfId="26000" applyNumberFormat="1" applyFont="1" applyAlignment="1"/>
    <xf numFmtId="0" fontId="33" fillId="0" borderId="0" xfId="29549" applyNumberFormat="1" applyFont="1" applyFill="1" applyBorder="1" applyProtection="1"/>
    <xf numFmtId="0" fontId="6" fillId="79" borderId="0" xfId="26000" applyFont="1" applyFill="1"/>
    <xf numFmtId="0" fontId="6" fillId="35" borderId="0" xfId="26000" applyFont="1" applyFill="1"/>
    <xf numFmtId="0" fontId="6" fillId="0" borderId="0" xfId="26000" applyFont="1" applyFill="1"/>
    <xf numFmtId="37" fontId="44" fillId="35" borderId="57" xfId="29549" applyNumberFormat="1" applyFont="1" applyFill="1" applyBorder="1" applyAlignment="1" applyProtection="1">
      <alignment horizontal="center"/>
    </xf>
    <xf numFmtId="37" fontId="44" fillId="35" borderId="57" xfId="29549" applyNumberFormat="1" applyFont="1" applyFill="1" applyBorder="1" applyProtection="1"/>
    <xf numFmtId="0" fontId="44" fillId="0" borderId="0" xfId="26000" applyFont="1" applyFill="1"/>
    <xf numFmtId="0" fontId="44" fillId="0" borderId="45" xfId="0" applyNumberFormat="1" applyFont="1" applyFill="1" applyBorder="1" applyAlignment="1" applyProtection="1">
      <alignment horizontal="left" vertical="center" wrapText="1"/>
    </xf>
    <xf numFmtId="0" fontId="0" fillId="0" borderId="0" xfId="0" quotePrefix="1" applyFont="1" applyAlignment="1" applyProtection="1">
      <alignment vertical="center" wrapText="1"/>
    </xf>
    <xf numFmtId="0" fontId="39" fillId="32" borderId="45" xfId="0" applyNumberFormat="1" applyFont="1" applyFill="1" applyBorder="1" applyAlignment="1" applyProtection="1">
      <alignment horizontal="center" vertical="center"/>
    </xf>
    <xf numFmtId="0" fontId="0" fillId="32" borderId="45" xfId="0" applyFont="1" applyFill="1" applyBorder="1" applyAlignment="1" applyProtection="1">
      <alignment vertical="center" wrapText="1"/>
    </xf>
    <xf numFmtId="37" fontId="0" fillId="32" borderId="45" xfId="439" applyNumberFormat="1" applyFont="1" applyFill="1" applyBorder="1" applyAlignment="1" applyProtection="1">
      <alignment vertical="center"/>
    </xf>
    <xf numFmtId="0" fontId="0" fillId="36" borderId="0" xfId="0" applyFont="1" applyFill="1" applyAlignment="1" applyProtection="1">
      <alignment horizontal="center" vertical="center"/>
    </xf>
    <xf numFmtId="41" fontId="69" fillId="31" borderId="81" xfId="439" applyNumberFormat="1" applyFont="1" applyFill="1" applyBorder="1" applyAlignment="1">
      <alignment vertical="center" wrapText="1"/>
    </xf>
    <xf numFmtId="41" fontId="69" fillId="31" borderId="0" xfId="439" applyNumberFormat="1" applyFont="1" applyFill="1" applyAlignment="1">
      <alignment vertical="center" wrapText="1"/>
    </xf>
    <xf numFmtId="41" fontId="69" fillId="31" borderId="93" xfId="439" applyNumberFormat="1" applyFont="1" applyFill="1" applyBorder="1" applyAlignment="1">
      <alignment vertical="center" wrapText="1"/>
    </xf>
    <xf numFmtId="41" fontId="69" fillId="31" borderId="82" xfId="439" applyNumberFormat="1" applyFont="1" applyFill="1" applyBorder="1" applyAlignment="1">
      <alignment vertical="center" wrapText="1"/>
    </xf>
    <xf numFmtId="14" fontId="56" fillId="36" borderId="23" xfId="439" applyNumberFormat="1" applyFont="1" applyFill="1" applyBorder="1" applyAlignment="1" applyProtection="1">
      <alignment horizontal="center" vertical="center" wrapText="1"/>
    </xf>
    <xf numFmtId="164" fontId="44" fillId="0" borderId="16" xfId="26000" applyNumberFormat="1" applyFont="1" applyBorder="1"/>
    <xf numFmtId="0" fontId="0" fillId="0" borderId="10" xfId="0" applyFill="1" applyBorder="1" applyAlignment="1">
      <alignment horizontal="center" vertical="center"/>
    </xf>
    <xf numFmtId="0" fontId="0" fillId="0" borderId="10" xfId="0" applyFill="1" applyBorder="1" applyAlignment="1">
      <alignment vertical="center" wrapText="1"/>
    </xf>
    <xf numFmtId="49" fontId="0" fillId="78" borderId="0" xfId="0" applyNumberFormat="1" applyFont="1" applyFill="1" applyBorder="1" applyAlignment="1">
      <alignment horizontal="center" vertical="center" wrapText="1"/>
    </xf>
    <xf numFmtId="49" fontId="39" fillId="29" borderId="0" xfId="439" applyNumberFormat="1" applyFont="1" applyFill="1" applyAlignment="1" applyProtection="1">
      <alignment horizontal="center" vertical="center" wrapText="1"/>
      <protection locked="0"/>
    </xf>
    <xf numFmtId="173" fontId="44" fillId="0" borderId="0" xfId="439" applyNumberFormat="1" applyFont="1" applyFill="1" applyAlignment="1" applyProtection="1">
      <alignment horizontal="center" vertical="center" wrapText="1"/>
    </xf>
    <xf numFmtId="0" fontId="0" fillId="0" borderId="76" xfId="0" applyFill="1" applyBorder="1" applyAlignment="1">
      <alignment vertical="center"/>
    </xf>
    <xf numFmtId="49" fontId="0" fillId="0" borderId="0" xfId="0" applyNumberFormat="1" applyAlignment="1">
      <alignment wrapText="1"/>
    </xf>
    <xf numFmtId="49" fontId="0" fillId="78" borderId="64" xfId="439" applyNumberFormat="1" applyFont="1" applyFill="1" applyBorder="1" applyAlignment="1" applyProtection="1">
      <alignment horizontal="center" vertical="center" wrapText="1"/>
    </xf>
    <xf numFmtId="0" fontId="0" fillId="22" borderId="102" xfId="0" applyFont="1" applyFill="1" applyBorder="1" applyAlignment="1" applyProtection="1">
      <alignment vertical="center"/>
    </xf>
    <xf numFmtId="39" fontId="56" fillId="0" borderId="103" xfId="439" applyNumberFormat="1" applyFont="1" applyFill="1" applyBorder="1" applyAlignment="1" applyProtection="1">
      <alignment horizontal="center" vertical="center" wrapText="1"/>
    </xf>
    <xf numFmtId="164" fontId="56" fillId="0" borderId="103" xfId="439" applyNumberFormat="1" applyFont="1" applyFill="1" applyBorder="1" applyAlignment="1" applyProtection="1">
      <alignment horizontal="center" vertical="center" wrapText="1"/>
    </xf>
    <xf numFmtId="3" fontId="56" fillId="0" borderId="101" xfId="439" applyNumberFormat="1" applyFont="1" applyFill="1" applyBorder="1" applyAlignment="1" applyProtection="1">
      <alignment horizontal="center" vertical="center" wrapText="1"/>
    </xf>
    <xf numFmtId="3" fontId="56" fillId="0" borderId="28" xfId="439" applyNumberFormat="1" applyFont="1" applyFill="1" applyBorder="1" applyAlignment="1" applyProtection="1">
      <alignment horizontal="center" vertical="center" wrapText="1"/>
    </xf>
    <xf numFmtId="0" fontId="182" fillId="73" borderId="0" xfId="30098" applyFont="1" applyFill="1" applyAlignment="1">
      <alignment vertical="center" wrapText="1"/>
    </xf>
    <xf numFmtId="173" fontId="44" fillId="35" borderId="0" xfId="26000" applyNumberFormat="1" applyFont="1" applyFill="1"/>
    <xf numFmtId="0" fontId="39" fillId="26" borderId="0" xfId="0" applyFont="1" applyFill="1" applyAlignment="1">
      <alignment horizontal="center" vertical="center"/>
    </xf>
    <xf numFmtId="185" fontId="52" fillId="0" borderId="0" xfId="682" applyNumberFormat="1" applyFont="1"/>
    <xf numFmtId="0" fontId="52" fillId="0" borderId="0" xfId="0" applyFont="1" applyAlignment="1">
      <alignment horizontal="center"/>
    </xf>
    <xf numFmtId="0" fontId="52" fillId="0" borderId="0" xfId="0" applyFont="1"/>
    <xf numFmtId="0" fontId="52" fillId="0" borderId="0" xfId="0" quotePrefix="1" applyFont="1"/>
    <xf numFmtId="0" fontId="0" fillId="0" borderId="0" xfId="0" quotePrefix="1"/>
    <xf numFmtId="164" fontId="0" fillId="0" borderId="0" xfId="0" applyNumberFormat="1"/>
    <xf numFmtId="0" fontId="136" fillId="27" borderId="0" xfId="682" applyFont="1" applyFill="1" applyAlignment="1">
      <alignment vertical="center" wrapText="1"/>
    </xf>
    <xf numFmtId="0" fontId="0" fillId="0" borderId="0" xfId="0" quotePrefix="1" applyAlignment="1">
      <alignment horizontal="center"/>
    </xf>
    <xf numFmtId="185" fontId="49" fillId="0" borderId="0" xfId="682" applyNumberFormat="1" applyFont="1"/>
    <xf numFmtId="0" fontId="39" fillId="26" borderId="17" xfId="0" applyFont="1" applyFill="1" applyBorder="1" applyAlignment="1">
      <alignment horizontal="center" vertical="center"/>
    </xf>
    <xf numFmtId="3" fontId="52" fillId="0" borderId="0" xfId="0" applyNumberFormat="1" applyFont="1"/>
    <xf numFmtId="185" fontId="52" fillId="0" borderId="0" xfId="682" applyNumberFormat="1" applyFont="1" applyAlignment="1">
      <alignment horizontal="left"/>
    </xf>
    <xf numFmtId="185" fontId="39" fillId="0" borderId="0" xfId="682" applyNumberFormat="1" applyFont="1" applyAlignment="1">
      <alignment horizontal="left"/>
    </xf>
    <xf numFmtId="42" fontId="0" fillId="0" borderId="0" xfId="0" applyNumberFormat="1"/>
    <xf numFmtId="185" fontId="49" fillId="0" borderId="0" xfId="682" applyNumberFormat="1" applyFont="1" applyAlignment="1">
      <alignment horizontal="left"/>
    </xf>
    <xf numFmtId="10" fontId="39" fillId="0" borderId="0" xfId="682" applyNumberFormat="1" applyFont="1" applyAlignment="1">
      <alignment horizontal="right" vertical="center"/>
    </xf>
    <xf numFmtId="0" fontId="52" fillId="0" borderId="0" xfId="682" applyFont="1" applyAlignment="1">
      <alignment horizontal="left"/>
    </xf>
    <xf numFmtId="185" fontId="49" fillId="78" borderId="0" xfId="682" applyNumberFormat="1" applyFont="1" applyFill="1" applyAlignment="1">
      <alignment horizontal="left"/>
    </xf>
    <xf numFmtId="185" fontId="52" fillId="78" borderId="0" xfId="682" applyNumberFormat="1" applyFont="1" applyFill="1" applyAlignment="1">
      <alignment horizontal="left"/>
    </xf>
    <xf numFmtId="0" fontId="0" fillId="78" borderId="0" xfId="0" applyFill="1" applyAlignment="1">
      <alignment horizontal="center"/>
    </xf>
    <xf numFmtId="0" fontId="0" fillId="78" borderId="0" xfId="0" applyFill="1" applyAlignment="1">
      <alignment wrapText="1"/>
    </xf>
    <xf numFmtId="0" fontId="0" fillId="0" borderId="0" xfId="0" quotePrefix="1" applyAlignment="1">
      <alignment wrapText="1"/>
    </xf>
    <xf numFmtId="0" fontId="0" fillId="0" borderId="0" xfId="0" applyAlignment="1">
      <alignment horizontal="left" wrapText="1"/>
    </xf>
    <xf numFmtId="0" fontId="40" fillId="26" borderId="0" xfId="0" applyFont="1" applyFill="1"/>
    <xf numFmtId="0" fontId="49" fillId="26" borderId="17" xfId="682" applyFont="1" applyFill="1" applyBorder="1" applyAlignment="1">
      <alignment horizontal="center"/>
    </xf>
    <xf numFmtId="0" fontId="183" fillId="0" borderId="0" xfId="682" applyFont="1" applyAlignment="1">
      <alignment vertical="center"/>
    </xf>
    <xf numFmtId="0" fontId="0" fillId="78" borderId="0" xfId="0" applyNumberFormat="1" applyFont="1" applyFill="1" applyBorder="1" applyAlignment="1" applyProtection="1">
      <alignment horizontal="left" vertical="center" wrapText="1"/>
    </xf>
    <xf numFmtId="42" fontId="134" fillId="26" borderId="0" xfId="546" applyNumberFormat="1" applyFont="1" applyFill="1"/>
    <xf numFmtId="41" fontId="134" fillId="26" borderId="0" xfId="546" applyNumberFormat="1" applyFont="1" applyFill="1"/>
    <xf numFmtId="41" fontId="134" fillId="26" borderId="0" xfId="682" applyNumberFormat="1" applyFont="1" applyFill="1"/>
    <xf numFmtId="41" fontId="52" fillId="26" borderId="0" xfId="682" applyNumberFormat="1" applyFont="1" applyFill="1"/>
    <xf numFmtId="41" fontId="52" fillId="26" borderId="17" xfId="449" applyNumberFormat="1" applyFont="1" applyFill="1" applyBorder="1"/>
    <xf numFmtId="42" fontId="52" fillId="26" borderId="0" xfId="31723" applyNumberFormat="1" applyFont="1" applyFill="1"/>
    <xf numFmtId="41" fontId="134" fillId="26" borderId="0" xfId="0" applyNumberFormat="1" applyFont="1" applyFill="1"/>
    <xf numFmtId="0" fontId="40" fillId="34" borderId="0" xfId="682" applyFont="1" applyFill="1" applyAlignment="1"/>
    <xf numFmtId="42" fontId="39" fillId="34" borderId="18" xfId="546" applyNumberFormat="1" applyFont="1" applyFill="1" applyBorder="1"/>
    <xf numFmtId="42" fontId="49" fillId="34" borderId="19" xfId="546" applyNumberFormat="1" applyFont="1" applyFill="1" applyBorder="1"/>
    <xf numFmtId="0" fontId="0" fillId="26" borderId="17" xfId="0" applyFill="1" applyBorder="1" applyAlignment="1">
      <alignment horizontal="center" wrapText="1"/>
    </xf>
    <xf numFmtId="0" fontId="0" fillId="26" borderId="17" xfId="0" applyFill="1" applyBorder="1" applyAlignment="1">
      <alignment wrapText="1"/>
    </xf>
    <xf numFmtId="169" fontId="39" fillId="29" borderId="0" xfId="439" applyNumberFormat="1" applyFont="1" applyFill="1" applyAlignment="1" applyProtection="1">
      <alignment horizontal="center" vertical="center"/>
      <protection locked="0"/>
    </xf>
    <xf numFmtId="0" fontId="39" fillId="74" borderId="0" xfId="0" applyFont="1" applyFill="1" applyAlignment="1" applyProtection="1">
      <alignment horizontal="center" vertical="center"/>
    </xf>
    <xf numFmtId="0" fontId="0" fillId="0" borderId="0" xfId="0" applyNumberFormat="1" applyFont="1" applyFill="1" applyAlignment="1" applyProtection="1">
      <alignment horizontal="center" vertical="center" wrapText="1"/>
    </xf>
    <xf numFmtId="0" fontId="57" fillId="0" borderId="0" xfId="0" applyFont="1" applyFill="1" applyAlignment="1" applyProtection="1">
      <alignment horizontal="center" vertical="center" wrapText="1"/>
    </xf>
    <xf numFmtId="0" fontId="0" fillId="0" borderId="0" xfId="0" applyFont="1" applyFill="1" applyAlignment="1">
      <alignment horizontal="center" vertical="center"/>
    </xf>
    <xf numFmtId="0" fontId="0" fillId="0" borderId="22" xfId="0" applyFont="1" applyFill="1" applyBorder="1" applyAlignment="1">
      <alignment horizontal="center" vertical="center"/>
    </xf>
    <xf numFmtId="164" fontId="0" fillId="0" borderId="0" xfId="439" applyNumberFormat="1" applyFont="1" applyFill="1" applyAlignment="1" applyProtection="1">
      <alignment horizontal="center" vertical="center"/>
    </xf>
    <xf numFmtId="0" fontId="0" fillId="28" borderId="0" xfId="0" applyFont="1" applyFill="1" applyAlignment="1" applyProtection="1">
      <alignment horizontal="center" vertical="center"/>
    </xf>
    <xf numFmtId="0" fontId="153" fillId="74" borderId="0" xfId="0" applyFont="1" applyFill="1" applyAlignment="1" applyProtection="1">
      <alignment horizontal="center" vertical="center"/>
    </xf>
    <xf numFmtId="0" fontId="68" fillId="0" borderId="10" xfId="0" applyFont="1" applyFill="1" applyBorder="1" applyAlignment="1">
      <alignment vertical="center" wrapText="1"/>
    </xf>
    <xf numFmtId="41" fontId="134" fillId="26" borderId="17" xfId="0" applyNumberFormat="1" applyFont="1" applyFill="1" applyBorder="1"/>
    <xf numFmtId="41" fontId="0" fillId="0" borderId="0" xfId="0" applyNumberFormat="1"/>
    <xf numFmtId="1" fontId="40" fillId="24" borderId="0" xfId="439" applyNumberFormat="1" applyFont="1" applyFill="1" applyBorder="1" applyAlignment="1" applyProtection="1">
      <alignment horizontal="center" wrapText="1"/>
    </xf>
    <xf numFmtId="0" fontId="41" fillId="0" borderId="10" xfId="0" applyFont="1" applyBorder="1" applyAlignment="1" applyProtection="1">
      <alignment horizontal="right" vertical="center" wrapText="1"/>
    </xf>
    <xf numFmtId="0" fontId="41" fillId="0" borderId="10" xfId="0" applyFont="1" applyBorder="1" applyAlignment="1" applyProtection="1">
      <alignment horizontal="right" wrapText="1"/>
    </xf>
    <xf numFmtId="4" fontId="0" fillId="0" borderId="10" xfId="0" applyNumberFormat="1" applyBorder="1"/>
    <xf numFmtId="174" fontId="0" fillId="75" borderId="29" xfId="439" applyNumberFormat="1" applyFont="1" applyFill="1" applyBorder="1" applyAlignment="1" applyProtection="1">
      <alignment vertical="center"/>
    </xf>
    <xf numFmtId="174" fontId="0" fillId="75" borderId="28" xfId="439" applyNumberFormat="1" applyFont="1" applyFill="1" applyBorder="1" applyAlignment="1" applyProtection="1">
      <alignment vertical="center"/>
    </xf>
    <xf numFmtId="39" fontId="0" fillId="75" borderId="29" xfId="439" applyNumberFormat="1" applyFont="1" applyFill="1" applyBorder="1" applyAlignment="1" applyProtection="1">
      <alignment vertical="center"/>
    </xf>
    <xf numFmtId="175" fontId="0" fillId="75" borderId="29" xfId="439" applyNumberFormat="1" applyFont="1" applyFill="1" applyBorder="1" applyAlignment="1" applyProtection="1">
      <alignment vertical="center"/>
    </xf>
    <xf numFmtId="39" fontId="0" fillId="75" borderId="28" xfId="439" applyNumberFormat="1" applyFont="1" applyFill="1" applyBorder="1" applyAlignment="1" applyProtection="1">
      <alignment vertical="center"/>
    </xf>
    <xf numFmtId="41" fontId="68" fillId="0" borderId="0" xfId="439" applyNumberFormat="1" applyFont="1" applyFill="1" applyAlignment="1" applyProtection="1">
      <alignment wrapText="1"/>
    </xf>
    <xf numFmtId="41" fontId="69" fillId="0" borderId="45" xfId="0" applyNumberFormat="1" applyFont="1" applyFill="1" applyBorder="1" applyAlignment="1" applyProtection="1">
      <alignment wrapText="1"/>
    </xf>
    <xf numFmtId="41" fontId="69" fillId="0" borderId="45" xfId="0" applyNumberFormat="1" applyFont="1" applyFill="1" applyBorder="1" applyAlignment="1">
      <alignment wrapText="1"/>
    </xf>
    <xf numFmtId="41" fontId="69" fillId="0" borderId="0" xfId="0" applyNumberFormat="1" applyFont="1" applyFill="1" applyAlignment="1">
      <alignment wrapText="1"/>
    </xf>
    <xf numFmtId="41" fontId="0" fillId="26" borderId="0" xfId="682" applyNumberFormat="1" applyFont="1" applyFill="1"/>
    <xf numFmtId="42" fontId="49" fillId="27" borderId="0" xfId="546" applyNumberFormat="1" applyFont="1" applyFill="1"/>
    <xf numFmtId="41" fontId="52" fillId="26" borderId="0" xfId="449" applyNumberFormat="1" applyFont="1" applyFill="1" applyBorder="1"/>
    <xf numFmtId="41" fontId="52" fillId="0" borderId="0" xfId="449" applyNumberFormat="1" applyFont="1"/>
    <xf numFmtId="42" fontId="49" fillId="27" borderId="18" xfId="546" applyNumberFormat="1" applyFont="1" applyFill="1" applyBorder="1"/>
    <xf numFmtId="42" fontId="52" fillId="26" borderId="19" xfId="546" applyNumberFormat="1" applyFont="1" applyFill="1" applyBorder="1"/>
    <xf numFmtId="42" fontId="49" fillId="0" borderId="20" xfId="546" applyNumberFormat="1" applyFont="1" applyBorder="1"/>
    <xf numFmtId="42" fontId="52" fillId="0" borderId="19" xfId="546" applyNumberFormat="1" applyFont="1" applyBorder="1"/>
    <xf numFmtId="0" fontId="61" fillId="74" borderId="0" xfId="0" applyFont="1" applyFill="1" applyAlignment="1" applyProtection="1">
      <alignment horizontal="left" vertical="center"/>
    </xf>
    <xf numFmtId="0" fontId="39" fillId="28" borderId="0" xfId="0" applyFont="1" applyFill="1" applyAlignment="1" applyProtection="1">
      <alignment horizontal="left" vertical="center"/>
    </xf>
    <xf numFmtId="0" fontId="153" fillId="74" borderId="0" xfId="0" applyFont="1" applyFill="1" applyAlignment="1" applyProtection="1">
      <alignment horizontal="left" vertical="center"/>
    </xf>
    <xf numFmtId="0" fontId="0" fillId="0" borderId="0" xfId="0" applyAlignment="1">
      <alignment vertical="center" wrapText="1"/>
    </xf>
    <xf numFmtId="0" fontId="0" fillId="0" borderId="45" xfId="0" applyBorder="1" applyAlignment="1">
      <alignment vertical="center" wrapText="1"/>
    </xf>
    <xf numFmtId="0" fontId="0" fillId="0" borderId="36" xfId="0" applyBorder="1" applyAlignment="1">
      <alignment horizontal="left" vertical="center" wrapText="1"/>
    </xf>
    <xf numFmtId="0" fontId="0" fillId="29" borderId="10" xfId="0" applyFill="1" applyBorder="1" applyAlignment="1" applyProtection="1">
      <alignment horizontal="center" vertical="center"/>
      <protection locked="0"/>
    </xf>
    <xf numFmtId="14" fontId="0" fillId="29" borderId="10" xfId="0" applyNumberFormat="1" applyFill="1" applyBorder="1" applyAlignment="1" applyProtection="1">
      <alignment horizontal="center" vertical="center"/>
      <protection locked="0"/>
    </xf>
    <xf numFmtId="0" fontId="0" fillId="0" borderId="69" xfId="0" applyBorder="1" applyAlignment="1">
      <alignment horizontal="center"/>
    </xf>
    <xf numFmtId="0" fontId="0" fillId="0" borderId="70" xfId="0" applyFill="1" applyBorder="1"/>
    <xf numFmtId="168" fontId="0" fillId="0" borderId="70" xfId="0" applyNumberFormat="1" applyFill="1" applyBorder="1" applyAlignment="1">
      <alignment wrapText="1"/>
    </xf>
    <xf numFmtId="0" fontId="0" fillId="0" borderId="71" xfId="0" applyBorder="1" applyAlignment="1">
      <alignment wrapText="1"/>
    </xf>
    <xf numFmtId="0" fontId="0" fillId="0" borderId="72" xfId="0" applyBorder="1" applyAlignment="1">
      <alignment horizontal="center"/>
    </xf>
    <xf numFmtId="0" fontId="0" fillId="0" borderId="17" xfId="0" applyFill="1" applyBorder="1"/>
    <xf numFmtId="14" fontId="0" fillId="0" borderId="17" xfId="0" applyNumberFormat="1" applyFill="1" applyBorder="1" applyAlignment="1">
      <alignment wrapText="1"/>
    </xf>
    <xf numFmtId="0" fontId="0" fillId="0" borderId="73" xfId="0" applyBorder="1" applyAlignment="1">
      <alignment wrapText="1"/>
    </xf>
    <xf numFmtId="41" fontId="69" fillId="0" borderId="0" xfId="0" applyNumberFormat="1" applyFont="1" applyFill="1" applyAlignment="1" applyProtection="1">
      <alignment vertical="center" wrapText="1"/>
    </xf>
    <xf numFmtId="38" fontId="0" fillId="0" borderId="0" xfId="0" applyNumberFormat="1" applyFont="1" applyFill="1" applyAlignment="1" applyProtection="1">
      <alignment horizontal="center" vertical="center" wrapText="1"/>
      <protection locked="0"/>
    </xf>
    <xf numFmtId="41" fontId="69" fillId="0" borderId="0" xfId="0" applyNumberFormat="1" applyFont="1" applyFill="1" applyAlignment="1" applyProtection="1">
      <alignment horizontal="center" vertical="center" wrapText="1"/>
    </xf>
    <xf numFmtId="164" fontId="0" fillId="0" borderId="0" xfId="0" applyNumberFormat="1" applyFont="1" applyFill="1" applyAlignment="1" applyProtection="1">
      <alignment horizontal="center" vertical="center" wrapText="1"/>
      <protection locked="0"/>
    </xf>
    <xf numFmtId="0" fontId="39" fillId="0" borderId="37" xfId="0" applyFont="1" applyFill="1" applyBorder="1" applyAlignment="1">
      <alignment horizontal="left" vertical="center"/>
    </xf>
    <xf numFmtId="0" fontId="0" fillId="0" borderId="38" xfId="0" applyFill="1" applyBorder="1"/>
    <xf numFmtId="0" fontId="0" fillId="0" borderId="38" xfId="0" applyFill="1" applyBorder="1" applyAlignment="1">
      <alignment wrapText="1"/>
    </xf>
    <xf numFmtId="14" fontId="0" fillId="29" borderId="10" xfId="0" applyNumberFormat="1" applyFill="1" applyBorder="1" applyAlignment="1" applyProtection="1">
      <alignment horizontal="left" vertical="center" wrapText="1"/>
      <protection locked="0"/>
    </xf>
    <xf numFmtId="0" fontId="0" fillId="0" borderId="0" xfId="0" quotePrefix="1" applyFont="1" applyFill="1" applyProtection="1"/>
    <xf numFmtId="0" fontId="0" fillId="0" borderId="0" xfId="0" applyFont="1" applyFill="1" applyBorder="1" applyAlignment="1" applyProtection="1">
      <alignment wrapText="1"/>
      <protection locked="0"/>
    </xf>
    <xf numFmtId="37" fontId="0" fillId="0" borderId="0" xfId="0" applyNumberFormat="1" applyFont="1" applyFill="1" applyBorder="1" applyAlignment="1" applyProtection="1">
      <alignment wrapText="1"/>
      <protection locked="0"/>
    </xf>
    <xf numFmtId="38" fontId="68" fillId="0" borderId="0" xfId="0" applyNumberFormat="1" applyFont="1" applyFill="1" applyAlignment="1" applyProtection="1">
      <alignment vertical="center" wrapText="1"/>
      <protection locked="0"/>
    </xf>
    <xf numFmtId="0" fontId="0" fillId="0" borderId="10" xfId="0" applyFill="1" applyBorder="1" applyAlignment="1">
      <alignment vertical="center"/>
    </xf>
    <xf numFmtId="0" fontId="0" fillId="34" borderId="0" xfId="0" applyNumberFormat="1" applyFont="1" applyFill="1" applyBorder="1" applyAlignment="1" applyProtection="1">
      <alignment horizontal="left" vertical="center" wrapText="1"/>
    </xf>
    <xf numFmtId="0" fontId="0" fillId="34" borderId="24" xfId="0" applyNumberFormat="1" applyFont="1" applyFill="1" applyBorder="1" applyAlignment="1" applyProtection="1">
      <alignment horizontal="center" vertical="center" wrapText="1"/>
    </xf>
    <xf numFmtId="164" fontId="56" fillId="34" borderId="23" xfId="439" applyNumberFormat="1" applyFont="1" applyFill="1" applyBorder="1" applyAlignment="1" applyProtection="1">
      <alignment horizontal="center" vertical="center" wrapText="1"/>
    </xf>
    <xf numFmtId="39" fontId="56" fillId="34" borderId="28" xfId="439" applyNumberFormat="1" applyFont="1" applyFill="1" applyBorder="1" applyAlignment="1" applyProtection="1">
      <alignment horizontal="center" vertical="center" wrapText="1"/>
    </xf>
    <xf numFmtId="164" fontId="56" fillId="34" borderId="29" xfId="439" applyNumberFormat="1" applyFont="1" applyFill="1" applyBorder="1" applyAlignment="1" applyProtection="1">
      <alignment horizontal="center" vertical="center" wrapText="1"/>
    </xf>
    <xf numFmtId="0" fontId="39" fillId="34" borderId="25" xfId="0" applyNumberFormat="1" applyFont="1" applyFill="1" applyBorder="1" applyAlignment="1" applyProtection="1">
      <alignment horizontal="center" vertical="center" wrapText="1"/>
    </xf>
    <xf numFmtId="3" fontId="0" fillId="29" borderId="76" xfId="0" applyNumberFormat="1" applyFill="1" applyBorder="1" applyAlignment="1" applyProtection="1">
      <alignment horizontal="center" vertical="center"/>
      <protection locked="0"/>
    </xf>
    <xf numFmtId="3" fontId="0" fillId="34" borderId="24" xfId="0" applyNumberFormat="1" applyFont="1" applyFill="1" applyBorder="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lignment vertical="center" wrapText="1"/>
    </xf>
    <xf numFmtId="0" fontId="69" fillId="20" borderId="0" xfId="0" applyFont="1" applyFill="1" applyAlignment="1">
      <alignment vertical="center" wrapText="1"/>
    </xf>
    <xf numFmtId="0" fontId="0" fillId="36" borderId="0" xfId="0" applyNumberFormat="1" applyFont="1" applyFill="1" applyAlignment="1" applyProtection="1">
      <alignment horizontal="left" vertical="center" wrapText="1"/>
    </xf>
    <xf numFmtId="0" fontId="0" fillId="84" borderId="10" xfId="0"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38" fontId="44" fillId="36" borderId="0" xfId="439" applyNumberFormat="1" applyFont="1" applyFill="1" applyAlignment="1" applyProtection="1">
      <alignment horizontal="center" vertical="center" wrapText="1"/>
    </xf>
    <xf numFmtId="0" fontId="0" fillId="0" borderId="0" xfId="0" applyNumberFormat="1" applyFont="1" applyFill="1" applyAlignment="1" applyProtection="1">
      <alignment vertical="center" wrapText="1"/>
    </xf>
    <xf numFmtId="0" fontId="57" fillId="34" borderId="25" xfId="0" applyNumberFormat="1" applyFont="1" applyFill="1" applyBorder="1" applyAlignment="1" applyProtection="1">
      <alignment horizontal="center" vertical="center"/>
    </xf>
    <xf numFmtId="4" fontId="0" fillId="0" borderId="0" xfId="0" applyNumberFormat="1" applyFill="1"/>
    <xf numFmtId="181" fontId="0" fillId="36" borderId="0" xfId="0" applyNumberFormat="1" applyFill="1"/>
    <xf numFmtId="1" fontId="0" fillId="36" borderId="0" xfId="0" applyNumberFormat="1" applyFill="1" applyAlignment="1">
      <alignment horizontal="center"/>
    </xf>
    <xf numFmtId="0" fontId="0" fillId="0" borderId="0" xfId="0" applyNumberFormat="1"/>
    <xf numFmtId="0" fontId="190" fillId="0" borderId="0" xfId="0" applyFont="1"/>
    <xf numFmtId="186" fontId="190" fillId="0" borderId="0" xfId="0" applyNumberFormat="1" applyFont="1"/>
    <xf numFmtId="0" fontId="190" fillId="0" borderId="0" xfId="0" applyFont="1" applyAlignment="1">
      <alignment horizontal="center"/>
    </xf>
    <xf numFmtId="186" fontId="190" fillId="0" borderId="0" xfId="0" applyNumberFormat="1" applyFont="1" applyAlignment="1">
      <alignment horizontal="center"/>
    </xf>
    <xf numFmtId="186" fontId="44" fillId="0" borderId="0" xfId="0" applyNumberFormat="1" applyFont="1"/>
    <xf numFmtId="3" fontId="44" fillId="0" borderId="0" xfId="439" applyNumberFormat="1" applyFont="1" applyFill="1" applyAlignment="1" applyProtection="1">
      <alignment horizontal="center" vertical="center" wrapText="1"/>
    </xf>
    <xf numFmtId="38" fontId="39" fillId="29" borderId="0" xfId="439" applyNumberFormat="1" applyFont="1" applyFill="1" applyAlignment="1" applyProtection="1">
      <alignment horizontal="center" vertical="center"/>
      <protection locked="0"/>
    </xf>
    <xf numFmtId="0" fontId="39" fillId="29" borderId="0" xfId="439" applyNumberFormat="1" applyFont="1" applyFill="1" applyAlignment="1" applyProtection="1">
      <alignment horizontal="center" vertical="center" wrapText="1"/>
      <protection locked="0"/>
    </xf>
    <xf numFmtId="187" fontId="39" fillId="29" borderId="0" xfId="439" applyNumberFormat="1" applyFont="1" applyFill="1" applyAlignment="1" applyProtection="1">
      <alignment horizontal="center" vertical="center"/>
      <protection locked="0"/>
    </xf>
    <xf numFmtId="188" fontId="0" fillId="0" borderId="0" xfId="0" applyNumberFormat="1" applyFont="1" applyFill="1" applyAlignment="1" applyProtection="1">
      <alignment vertical="center" wrapText="1"/>
    </xf>
    <xf numFmtId="189" fontId="39" fillId="29" borderId="0" xfId="439" applyNumberFormat="1" applyFont="1" applyFill="1" applyAlignment="1" applyProtection="1">
      <alignment horizontal="center" vertical="center"/>
      <protection locked="0"/>
    </xf>
    <xf numFmtId="49" fontId="0" fillId="29" borderId="0" xfId="0" applyNumberFormat="1" applyFont="1" applyFill="1" applyAlignment="1" applyProtection="1">
      <alignment horizontal="center" vertical="center"/>
      <protection locked="0"/>
    </xf>
    <xf numFmtId="14" fontId="0" fillId="29" borderId="0" xfId="439" applyNumberFormat="1" applyFont="1" applyFill="1" applyAlignment="1" applyProtection="1">
      <alignment horizontal="center" vertical="center" wrapText="1"/>
      <protection locked="0"/>
    </xf>
    <xf numFmtId="4" fontId="44" fillId="0" borderId="0" xfId="439" applyNumberFormat="1" applyFont="1" applyFill="1" applyAlignment="1" applyProtection="1">
      <alignment horizontal="center" vertical="center" wrapText="1"/>
    </xf>
    <xf numFmtId="4" fontId="39" fillId="29" borderId="0" xfId="439" applyNumberFormat="1" applyFont="1" applyFill="1" applyAlignment="1" applyProtection="1">
      <alignment horizontal="center" vertical="center"/>
      <protection locked="0"/>
    </xf>
    <xf numFmtId="38" fontId="57" fillId="29" borderId="0" xfId="439" applyNumberFormat="1" applyFont="1" applyFill="1" applyAlignment="1" applyProtection="1">
      <alignment horizontal="center" vertical="center" wrapText="1"/>
      <protection locked="0"/>
    </xf>
    <xf numFmtId="0" fontId="0" fillId="0" borderId="57" xfId="0" applyBorder="1" applyAlignment="1" applyProtection="1">
      <alignment horizontal="center" vertical="center" wrapText="1"/>
    </xf>
    <xf numFmtId="0" fontId="68" fillId="20" borderId="0" xfId="0" applyFont="1" applyFill="1" applyAlignment="1">
      <alignment vertical="center" wrapText="1"/>
    </xf>
    <xf numFmtId="0" fontId="0" fillId="0" borderId="57" xfId="0"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7" xfId="0" applyBorder="1" applyAlignment="1" applyProtection="1">
      <alignment horizontal="left" vertical="center"/>
      <protection locked="0"/>
    </xf>
    <xf numFmtId="0" fontId="0" fillId="0" borderId="13" xfId="0" applyBorder="1" applyProtection="1"/>
    <xf numFmtId="0" fontId="44" fillId="0" borderId="91" xfId="0" applyFont="1" applyBorder="1" applyProtection="1"/>
    <xf numFmtId="0" fontId="44" fillId="0" borderId="0" xfId="0" applyFont="1" applyProtection="1"/>
    <xf numFmtId="0" fontId="44" fillId="0" borderId="74" xfId="0" applyFont="1" applyBorder="1" applyProtection="1"/>
    <xf numFmtId="0" fontId="44" fillId="0" borderId="75" xfId="0" applyFont="1" applyBorder="1" applyProtection="1"/>
    <xf numFmtId="0" fontId="0" fillId="0" borderId="75" xfId="0" applyBorder="1" applyProtection="1"/>
    <xf numFmtId="0" fontId="0" fillId="0" borderId="40" xfId="0" applyBorder="1" applyProtection="1"/>
    <xf numFmtId="0" fontId="175" fillId="0" borderId="0" xfId="0" applyFont="1" applyAlignment="1" applyProtection="1">
      <alignment vertical="center" wrapText="1"/>
    </xf>
    <xf numFmtId="0" fontId="0" fillId="0" borderId="67" xfId="0" applyBorder="1" applyProtection="1"/>
    <xf numFmtId="0" fontId="39" fillId="78" borderId="88" xfId="0" applyFont="1" applyFill="1" applyBorder="1" applyAlignment="1" applyProtection="1">
      <alignment horizontal="left"/>
    </xf>
    <xf numFmtId="0" fontId="0" fillId="78" borderId="89" xfId="0" applyFill="1" applyBorder="1" applyProtection="1"/>
    <xf numFmtId="0" fontId="0" fillId="78" borderId="94" xfId="0" applyFill="1" applyBorder="1" applyProtection="1"/>
    <xf numFmtId="0" fontId="0" fillId="78" borderId="11" xfId="0" applyFill="1" applyBorder="1" applyAlignment="1" applyProtection="1">
      <alignment horizontal="center"/>
    </xf>
    <xf numFmtId="0" fontId="0" fillId="0" borderId="87" xfId="0" applyBorder="1" applyProtection="1"/>
    <xf numFmtId="0" fontId="160" fillId="0" borderId="68" xfId="0" applyFont="1" applyBorder="1" applyAlignment="1" applyProtection="1">
      <alignment horizontal="center" vertical="center" wrapText="1"/>
    </xf>
    <xf numFmtId="0" fontId="44" fillId="0" borderId="85" xfId="0" applyFont="1" applyBorder="1" applyAlignment="1" applyProtection="1">
      <alignment wrapText="1"/>
    </xf>
    <xf numFmtId="1" fontId="44" fillId="0" borderId="0" xfId="0" applyNumberFormat="1" applyFont="1" applyProtection="1"/>
    <xf numFmtId="0" fontId="0" fillId="0" borderId="68" xfId="0" applyBorder="1" applyProtection="1"/>
    <xf numFmtId="0" fontId="160" fillId="0" borderId="13" xfId="0" applyFont="1" applyBorder="1" applyAlignment="1" applyProtection="1">
      <alignment horizontal="center" vertical="center" wrapText="1"/>
    </xf>
    <xf numFmtId="0" fontId="44" fillId="0" borderId="83" xfId="0" applyFont="1" applyBorder="1" applyProtection="1"/>
    <xf numFmtId="0" fontId="44" fillId="0" borderId="0" xfId="0" applyFont="1" applyAlignment="1" applyProtection="1">
      <alignment horizontal="center"/>
    </xf>
    <xf numFmtId="0" fontId="39" fillId="0" borderId="68" xfId="0" quotePrefix="1" applyFont="1" applyBorder="1" applyAlignment="1" applyProtection="1">
      <alignment horizontal="center" vertical="center"/>
    </xf>
    <xf numFmtId="0" fontId="39" fillId="0" borderId="57" xfId="0" quotePrefix="1" applyFont="1" applyBorder="1" applyAlignment="1" applyProtection="1">
      <alignment horizontal="center" vertical="center"/>
    </xf>
    <xf numFmtId="0" fontId="0" fillId="78" borderId="67" xfId="0" applyFill="1" applyBorder="1" applyAlignment="1" applyProtection="1">
      <alignment horizontal="center" vertical="center" wrapText="1"/>
    </xf>
    <xf numFmtId="37" fontId="44" fillId="36" borderId="0" xfId="0" applyNumberFormat="1" applyFont="1" applyFill="1" applyProtection="1"/>
    <xf numFmtId="37" fontId="44" fillId="0" borderId="0" xfId="0" applyNumberFormat="1" applyFont="1" applyProtection="1"/>
    <xf numFmtId="0" fontId="39" fillId="0" borderId="57" xfId="0" applyFont="1" applyBorder="1" applyAlignment="1" applyProtection="1">
      <alignment horizontal="center"/>
    </xf>
    <xf numFmtId="0" fontId="49" fillId="78" borderId="57" xfId="0" applyFont="1" applyFill="1" applyBorder="1" applyAlignment="1" applyProtection="1">
      <alignment horizontal="center" wrapText="1"/>
    </xf>
    <xf numFmtId="0" fontId="37" fillId="78" borderId="68" xfId="0" applyFont="1" applyFill="1" applyBorder="1" applyAlignment="1" applyProtection="1">
      <alignment vertical="center" wrapText="1"/>
    </xf>
    <xf numFmtId="0" fontId="0" fillId="78" borderId="68" xfId="0" applyFill="1" applyBorder="1" applyAlignment="1" applyProtection="1">
      <alignment horizontal="left" vertical="center" wrapText="1"/>
    </xf>
    <xf numFmtId="0" fontId="44" fillId="0" borderId="0" xfId="0" applyFont="1" applyAlignment="1" applyProtection="1">
      <alignment horizontal="center" wrapText="1"/>
    </xf>
    <xf numFmtId="9" fontId="44" fillId="0" borderId="0" xfId="4688" applyFont="1" applyFill="1" applyBorder="1" applyProtection="1"/>
    <xf numFmtId="10" fontId="44" fillId="0" borderId="74" xfId="0" applyNumberFormat="1" applyFont="1" applyBorder="1" applyProtection="1"/>
    <xf numFmtId="0" fontId="37" fillId="78" borderId="57" xfId="0" applyFont="1" applyFill="1" applyBorder="1" applyAlignment="1" applyProtection="1">
      <alignment horizontal="justify" vertical="center" wrapText="1"/>
    </xf>
    <xf numFmtId="0" fontId="45" fillId="78" borderId="57" xfId="0" quotePrefix="1" applyFont="1" applyFill="1" applyBorder="1" applyAlignment="1" applyProtection="1">
      <alignment horizontal="center" vertical="center" wrapText="1"/>
    </xf>
    <xf numFmtId="10" fontId="0" fillId="0" borderId="0" xfId="4688" applyNumberFormat="1" applyFont="1" applyProtection="1"/>
    <xf numFmtId="10" fontId="0" fillId="24" borderId="0" xfId="4688" applyNumberFormat="1" applyFont="1" applyFill="1" applyProtection="1"/>
    <xf numFmtId="10" fontId="44" fillId="0" borderId="0" xfId="4688" applyNumberFormat="1" applyFont="1" applyProtection="1"/>
    <xf numFmtId="39" fontId="44" fillId="36" borderId="0" xfId="4688" applyNumberFormat="1" applyFont="1" applyFill="1" applyBorder="1" applyProtection="1"/>
    <xf numFmtId="0" fontId="37" fillId="78" borderId="11" xfId="0" applyFont="1" applyFill="1" applyBorder="1" applyAlignment="1" applyProtection="1">
      <alignment horizontal="justify" vertical="center" wrapText="1"/>
    </xf>
    <xf numFmtId="0" fontId="45" fillId="78" borderId="57" xfId="0" quotePrefix="1" applyFont="1" applyFill="1" applyBorder="1" applyAlignment="1" applyProtection="1">
      <alignment horizontal="left" vertical="center" wrapText="1"/>
    </xf>
    <xf numFmtId="0" fontId="45" fillId="78" borderId="57" xfId="0" applyFont="1" applyFill="1" applyBorder="1" applyAlignment="1" applyProtection="1">
      <alignment horizontal="center" vertical="center" wrapText="1"/>
    </xf>
    <xf numFmtId="6" fontId="0" fillId="0" borderId="57" xfId="0" applyNumberFormat="1" applyBorder="1" applyAlignment="1" applyProtection="1">
      <alignment horizontal="center" vertical="center" wrapText="1"/>
    </xf>
    <xf numFmtId="0" fontId="39" fillId="0" borderId="57" xfId="0" quotePrefix="1" applyFont="1" applyBorder="1" applyAlignment="1" applyProtection="1">
      <alignment horizontal="center"/>
    </xf>
    <xf numFmtId="0" fontId="173" fillId="78" borderId="11" xfId="0" applyFont="1" applyFill="1" applyBorder="1" applyAlignment="1" applyProtection="1">
      <alignment horizontal="justify" vertical="center" wrapText="1"/>
    </xf>
    <xf numFmtId="0" fontId="57" fillId="78" borderId="57" xfId="0" applyFont="1" applyFill="1" applyBorder="1" applyAlignment="1" applyProtection="1">
      <alignment horizontal="center" vertical="center" wrapText="1"/>
    </xf>
    <xf numFmtId="0" fontId="57" fillId="78" borderId="57" xfId="0" applyFont="1" applyFill="1" applyBorder="1" applyAlignment="1" applyProtection="1">
      <alignment horizontal="left" vertical="center" wrapText="1"/>
    </xf>
    <xf numFmtId="0" fontId="0" fillId="0" borderId="0" xfId="0" applyProtection="1"/>
    <xf numFmtId="2" fontId="44" fillId="24" borderId="0" xfId="4688" applyNumberFormat="1" applyFont="1" applyFill="1" applyProtection="1"/>
    <xf numFmtId="2" fontId="44" fillId="0" borderId="0" xfId="0" applyNumberFormat="1" applyFont="1" applyProtection="1"/>
    <xf numFmtId="168" fontId="44" fillId="0" borderId="0" xfId="0" applyNumberFormat="1" applyFont="1" applyProtection="1"/>
    <xf numFmtId="168" fontId="44" fillId="0" borderId="75" xfId="0" applyNumberFormat="1" applyFont="1" applyBorder="1" applyProtection="1"/>
    <xf numFmtId="168" fontId="0" fillId="0" borderId="75" xfId="0" applyNumberFormat="1" applyBorder="1" applyProtection="1"/>
    <xf numFmtId="0" fontId="39" fillId="0" borderId="41" xfId="0" applyFont="1" applyBorder="1" applyAlignment="1" applyProtection="1">
      <alignment vertical="center" wrapText="1"/>
    </xf>
    <xf numFmtId="2" fontId="0" fillId="0" borderId="41" xfId="0" applyNumberFormat="1" applyBorder="1" applyAlignment="1" applyProtection="1">
      <alignment horizontal="center"/>
    </xf>
    <xf numFmtId="2" fontId="0" fillId="0" borderId="42" xfId="0" applyNumberFormat="1" applyBorder="1" applyAlignment="1" applyProtection="1">
      <alignment horizontal="center"/>
    </xf>
    <xf numFmtId="0" fontId="0" fillId="0" borderId="68" xfId="0" applyBorder="1" applyAlignment="1" applyProtection="1">
      <alignment horizontal="center" vertical="center" wrapText="1"/>
    </xf>
    <xf numFmtId="0" fontId="39" fillId="0" borderId="38" xfId="0" applyFont="1" applyBorder="1" applyAlignment="1" applyProtection="1">
      <alignment vertical="center" wrapText="1"/>
    </xf>
    <xf numFmtId="0" fontId="39" fillId="0" borderId="67" xfId="0" applyFont="1" applyBorder="1" applyAlignment="1" applyProtection="1">
      <alignment horizontal="center"/>
    </xf>
    <xf numFmtId="0" fontId="57" fillId="78" borderId="11" xfId="0" applyFont="1" applyFill="1" applyBorder="1" applyAlignment="1" applyProtection="1">
      <alignment horizontal="center" vertical="center" wrapText="1"/>
    </xf>
    <xf numFmtId="0" fontId="39" fillId="78" borderId="11" xfId="0" applyFont="1" applyFill="1" applyBorder="1" applyAlignment="1" applyProtection="1">
      <alignment horizontal="justify" vertical="center" wrapText="1"/>
    </xf>
    <xf numFmtId="6" fontId="0" fillId="0" borderId="57" xfId="0" applyNumberFormat="1" applyBorder="1" applyAlignment="1" applyProtection="1">
      <alignment horizontal="center" vertical="center"/>
    </xf>
    <xf numFmtId="164" fontId="44" fillId="0" borderId="0" xfId="439" applyNumberFormat="1" applyFont="1" applyProtection="1"/>
    <xf numFmtId="0" fontId="39" fillId="78" borderId="11" xfId="0" applyFont="1" applyFill="1" applyBorder="1" applyAlignment="1" applyProtection="1">
      <alignment horizontal="left" vertical="center" wrapText="1"/>
    </xf>
    <xf numFmtId="10" fontId="0" fillId="0" borderId="57" xfId="4688" applyNumberFormat="1" applyFont="1" applyFill="1" applyBorder="1" applyAlignment="1" applyProtection="1">
      <alignment horizontal="center" vertical="center"/>
    </xf>
    <xf numFmtId="10" fontId="44" fillId="0" borderId="0" xfId="4688" applyNumberFormat="1" applyFont="1" applyFill="1" applyBorder="1" applyProtection="1"/>
    <xf numFmtId="0" fontId="44" fillId="0" borderId="0" xfId="0" applyFont="1" applyAlignment="1" applyProtection="1">
      <alignment wrapText="1"/>
    </xf>
    <xf numFmtId="37" fontId="0" fillId="0" borderId="57" xfId="0" applyNumberFormat="1" applyBorder="1" applyAlignment="1" applyProtection="1">
      <alignment horizontal="center" vertical="center" wrapText="1"/>
    </xf>
    <xf numFmtId="37" fontId="68" fillId="83" borderId="57" xfId="0" applyNumberFormat="1" applyFont="1" applyFill="1" applyBorder="1" applyAlignment="1" applyProtection="1">
      <alignment horizontal="center" wrapText="1"/>
    </xf>
    <xf numFmtId="10" fontId="0" fillId="0" borderId="57" xfId="0" applyNumberFormat="1" applyBorder="1" applyAlignment="1" applyProtection="1">
      <alignment horizontal="center" vertical="center" wrapText="1"/>
    </xf>
    <xf numFmtId="43" fontId="44" fillId="0" borderId="0" xfId="439" applyFont="1" applyFill="1" applyBorder="1" applyProtection="1"/>
    <xf numFmtId="43" fontId="44" fillId="36" borderId="0" xfId="439" applyFont="1" applyFill="1" applyBorder="1" applyProtection="1"/>
    <xf numFmtId="43" fontId="44" fillId="36" borderId="0" xfId="0" applyNumberFormat="1" applyFont="1" applyFill="1" applyProtection="1"/>
    <xf numFmtId="0" fontId="57" fillId="78" borderId="57" xfId="0" applyFont="1" applyFill="1" applyBorder="1" applyAlignment="1" applyProtection="1">
      <alignment horizontal="center" wrapText="1"/>
    </xf>
    <xf numFmtId="0" fontId="57" fillId="78" borderId="57" xfId="0" applyFont="1" applyFill="1" applyBorder="1" applyAlignment="1" applyProtection="1">
      <alignment horizontal="left" wrapText="1"/>
    </xf>
    <xf numFmtId="39" fontId="44" fillId="0" borderId="0" xfId="0" applyNumberFormat="1" applyFont="1" applyProtection="1"/>
    <xf numFmtId="0" fontId="39" fillId="0" borderId="11" xfId="0" applyFont="1" applyBorder="1" applyAlignment="1" applyProtection="1">
      <alignment vertical="center" wrapText="1"/>
    </xf>
    <xf numFmtId="0" fontId="0" fillId="78" borderId="57" xfId="0" applyFill="1" applyBorder="1" applyAlignment="1" applyProtection="1">
      <alignment vertical="center" wrapText="1"/>
    </xf>
    <xf numFmtId="0" fontId="45" fillId="78" borderId="57" xfId="0" applyFont="1" applyFill="1" applyBorder="1" applyAlignment="1" applyProtection="1">
      <alignment vertical="center" wrapText="1"/>
    </xf>
    <xf numFmtId="0" fontId="0" fillId="78" borderId="57" xfId="0" applyFill="1" applyBorder="1" applyAlignment="1" applyProtection="1">
      <alignment horizontal="left" vertical="center" wrapText="1"/>
    </xf>
    <xf numFmtId="2" fontId="44" fillId="0" borderId="0" xfId="439" applyNumberFormat="1" applyFont="1" applyFill="1" applyBorder="1" applyProtection="1"/>
    <xf numFmtId="6" fontId="0" fillId="0" borderId="57" xfId="545" applyNumberFormat="1" applyFont="1" applyFill="1" applyBorder="1" applyAlignment="1" applyProtection="1">
      <alignment horizontal="center" vertical="center"/>
    </xf>
    <xf numFmtId="0" fontId="45" fillId="78" borderId="13" xfId="0" applyFont="1" applyFill="1" applyBorder="1" applyAlignment="1" applyProtection="1">
      <alignment horizontal="center" vertical="center" wrapText="1"/>
    </xf>
    <xf numFmtId="167" fontId="44" fillId="0" borderId="0" xfId="545" applyNumberFormat="1" applyFont="1" applyFill="1" applyBorder="1" applyProtection="1"/>
    <xf numFmtId="0" fontId="0" fillId="0" borderId="57" xfId="0" applyBorder="1" applyProtection="1"/>
    <xf numFmtId="0" fontId="39" fillId="78" borderId="57" xfId="0" applyFont="1" applyFill="1" applyBorder="1" applyAlignment="1" applyProtection="1">
      <alignment horizontal="center" wrapText="1"/>
    </xf>
    <xf numFmtId="0" fontId="0" fillId="78" borderId="88" xfId="0" applyFill="1" applyBorder="1" applyProtection="1"/>
    <xf numFmtId="0" fontId="39" fillId="78" borderId="67" xfId="0" applyFont="1" applyFill="1" applyBorder="1" applyAlignment="1" applyProtection="1">
      <alignment horizontal="center"/>
    </xf>
    <xf numFmtId="0" fontId="40" fillId="78" borderId="13" xfId="0" applyFont="1" applyFill="1" applyBorder="1" applyAlignment="1" applyProtection="1">
      <alignment horizontal="center" vertical="center"/>
    </xf>
    <xf numFmtId="0" fontId="39" fillId="78" borderId="67" xfId="0" applyFont="1" applyFill="1" applyBorder="1" applyAlignment="1" applyProtection="1">
      <alignment horizontal="left"/>
    </xf>
    <xf numFmtId="49" fontId="39" fillId="0" borderId="57" xfId="0" quotePrefix="1" applyNumberFormat="1" applyFont="1" applyBorder="1" applyAlignment="1" applyProtection="1">
      <alignment horizontal="center" vertical="center"/>
    </xf>
    <xf numFmtId="0" fontId="37" fillId="78" borderId="57" xfId="0" applyFont="1" applyFill="1" applyBorder="1" applyAlignment="1" applyProtection="1">
      <alignment horizontal="justify" vertical="center"/>
    </xf>
    <xf numFmtId="0" fontId="0" fillId="0" borderId="57" xfId="0" quotePrefix="1" applyBorder="1" applyProtection="1"/>
    <xf numFmtId="0" fontId="39" fillId="78" borderId="78" xfId="0" applyFont="1" applyFill="1" applyBorder="1" applyAlignment="1" applyProtection="1">
      <alignment horizontal="center" wrapText="1"/>
    </xf>
    <xf numFmtId="0" fontId="0" fillId="78" borderId="57" xfId="0" applyFill="1" applyBorder="1" applyProtection="1"/>
    <xf numFmtId="0" fontId="45" fillId="78" borderId="13" xfId="0" applyFont="1" applyFill="1" applyBorder="1" applyAlignment="1" applyProtection="1">
      <alignment vertical="center"/>
    </xf>
    <xf numFmtId="0" fontId="0" fillId="78" borderId="87" xfId="0" applyFill="1" applyBorder="1" applyAlignment="1" applyProtection="1">
      <alignment horizontal="left"/>
    </xf>
    <xf numFmtId="10" fontId="178" fillId="0" borderId="57" xfId="4688" applyNumberFormat="1" applyFont="1" applyFill="1" applyBorder="1" applyAlignment="1" applyProtection="1">
      <alignment horizontal="center" vertical="center" wrapText="1"/>
    </xf>
    <xf numFmtId="10" fontId="178" fillId="0" borderId="57" xfId="0" applyNumberFormat="1" applyFont="1" applyBorder="1" applyAlignment="1" applyProtection="1">
      <alignment horizontal="center" vertical="center" wrapText="1"/>
    </xf>
    <xf numFmtId="0" fontId="39" fillId="0" borderId="57" xfId="0" applyFont="1" applyBorder="1" applyAlignment="1" applyProtection="1">
      <alignment horizontal="center" vertical="center"/>
    </xf>
    <xf numFmtId="37" fontId="178" fillId="0" borderId="57" xfId="0" applyNumberFormat="1" applyFont="1" applyBorder="1" applyAlignment="1" applyProtection="1">
      <alignment horizontal="center" vertical="center" wrapText="1"/>
    </xf>
    <xf numFmtId="0" fontId="57" fillId="0" borderId="0" xfId="0" applyFont="1" applyAlignment="1" applyProtection="1">
      <alignment wrapText="1"/>
    </xf>
    <xf numFmtId="0" fontId="0" fillId="78" borderId="57" xfId="0" applyFill="1" applyBorder="1" applyAlignment="1" applyProtection="1">
      <alignment vertical="center"/>
    </xf>
    <xf numFmtId="0" fontId="44" fillId="0" borderId="85" xfId="0" applyFont="1" applyBorder="1" applyProtection="1"/>
    <xf numFmtId="0" fontId="37" fillId="78" borderId="57" xfId="0" applyFont="1" applyFill="1" applyBorder="1" applyAlignment="1" applyProtection="1">
      <alignment vertical="center" wrapText="1"/>
    </xf>
    <xf numFmtId="0" fontId="0" fillId="1" borderId="57" xfId="0" applyFill="1" applyBorder="1" applyAlignment="1" applyProtection="1">
      <alignment horizontal="center" vertical="center" wrapText="1"/>
    </xf>
    <xf numFmtId="0" fontId="39" fillId="34" borderId="57" xfId="0" quotePrefix="1" applyFont="1" applyFill="1" applyBorder="1" applyAlignment="1" applyProtection="1">
      <alignment horizontal="center" vertical="center"/>
    </xf>
    <xf numFmtId="0" fontId="0" fillId="78" borderId="57" xfId="0" applyFill="1" applyBorder="1" applyAlignment="1" applyProtection="1">
      <alignment horizontal="center"/>
    </xf>
    <xf numFmtId="0" fontId="45" fillId="78" borderId="13" xfId="0" applyFont="1" applyFill="1" applyBorder="1" applyAlignment="1" applyProtection="1">
      <alignment vertical="center" wrapText="1"/>
    </xf>
    <xf numFmtId="0" fontId="0" fillId="0" borderId="57" xfId="0" applyBorder="1" applyAlignment="1" applyProtection="1">
      <alignment horizontal="center" vertical="center"/>
    </xf>
    <xf numFmtId="37" fontId="44" fillId="0" borderId="0" xfId="0" applyNumberFormat="1" applyFont="1" applyAlignment="1" applyProtection="1">
      <alignment horizontal="center"/>
    </xf>
    <xf numFmtId="0" fontId="39" fillId="0" borderId="84" xfId="0" applyFont="1" applyBorder="1" applyAlignment="1" applyProtection="1">
      <alignment horizontal="center" vertical="center"/>
    </xf>
    <xf numFmtId="0" fontId="0" fillId="0" borderId="79" xfId="0" applyBorder="1" applyProtection="1"/>
    <xf numFmtId="0" fontId="0" fillId="0" borderId="84" xfId="0" applyBorder="1" applyProtection="1"/>
    <xf numFmtId="0" fontId="44" fillId="0" borderId="86" xfId="0" applyFont="1" applyBorder="1" applyProtection="1"/>
    <xf numFmtId="0" fontId="0" fillId="0" borderId="86" xfId="0" applyBorder="1" applyProtection="1"/>
    <xf numFmtId="181" fontId="0" fillId="36" borderId="0" xfId="0" applyNumberFormat="1" applyFill="1" applyAlignment="1">
      <alignment wrapText="1"/>
    </xf>
    <xf numFmtId="37" fontId="0" fillId="0" borderId="57" xfId="0" applyNumberFormat="1" applyFill="1" applyBorder="1" applyAlignment="1" applyProtection="1">
      <alignment horizontal="center" vertical="center" wrapText="1"/>
    </xf>
    <xf numFmtId="37" fontId="0" fillId="0" borderId="57" xfId="0" applyNumberFormat="1" applyFill="1" applyBorder="1" applyAlignment="1" applyProtection="1">
      <alignment horizontal="center" vertical="center"/>
    </xf>
    <xf numFmtId="0" fontId="0" fillId="0" borderId="0" xfId="0" quotePrefix="1" applyFill="1" applyAlignment="1">
      <alignment horizontal="center"/>
    </xf>
    <xf numFmtId="0" fontId="135" fillId="0" borderId="0" xfId="0" applyFont="1" applyFill="1" applyAlignment="1">
      <alignment horizontal="left" vertical="center" wrapText="1"/>
    </xf>
    <xf numFmtId="0" fontId="68" fillId="0" borderId="76" xfId="0" applyFont="1" applyFill="1" applyBorder="1" applyAlignment="1">
      <alignment vertical="center" wrapText="1"/>
    </xf>
    <xf numFmtId="10" fontId="44" fillId="24" borderId="0" xfId="4688" applyNumberFormat="1" applyFont="1" applyFill="1" applyAlignment="1" applyProtection="1">
      <alignment wrapText="1"/>
    </xf>
    <xf numFmtId="10" fontId="0" fillId="0" borderId="57" xfId="4688" applyNumberFormat="1" applyFont="1" applyFill="1" applyBorder="1" applyAlignment="1" applyProtection="1">
      <alignment horizontal="center" vertical="center" wrapText="1"/>
    </xf>
    <xf numFmtId="164" fontId="44" fillId="24" borderId="0" xfId="439" applyNumberFormat="1" applyFont="1" applyFill="1" applyAlignment="1" applyProtection="1">
      <alignment wrapText="1"/>
    </xf>
    <xf numFmtId="6" fontId="0" fillId="0" borderId="57" xfId="545" applyNumberFormat="1" applyFont="1" applyFill="1" applyBorder="1" applyAlignment="1" applyProtection="1">
      <alignment horizontal="center" vertical="center" wrapText="1"/>
    </xf>
    <xf numFmtId="49" fontId="44" fillId="36" borderId="10" xfId="4688" applyNumberFormat="1" applyFont="1" applyFill="1" applyBorder="1" applyAlignment="1" applyProtection="1">
      <alignment horizontal="right"/>
    </xf>
    <xf numFmtId="3" fontId="44" fillId="36" borderId="10" xfId="4688" applyNumberFormat="1" applyFont="1" applyFill="1" applyBorder="1" applyProtection="1"/>
    <xf numFmtId="0" fontId="37" fillId="78" borderId="57" xfId="0" applyFont="1" applyFill="1" applyBorder="1" applyAlignment="1" applyProtection="1">
      <alignment horizontal="left" vertical="center" wrapText="1"/>
    </xf>
    <xf numFmtId="0" fontId="40" fillId="0" borderId="0" xfId="0" applyFont="1" applyFill="1" applyBorder="1" applyAlignment="1">
      <alignment wrapText="1"/>
    </xf>
    <xf numFmtId="0" fontId="39" fillId="34" borderId="16" xfId="0" applyFont="1" applyFill="1" applyBorder="1" applyAlignment="1" applyProtection="1">
      <alignment horizontal="justify" vertical="center" wrapText="1"/>
    </xf>
    <xf numFmtId="0" fontId="45" fillId="34" borderId="57" xfId="0" applyFont="1" applyFill="1" applyBorder="1" applyAlignment="1" applyProtection="1">
      <alignment horizontal="center" vertical="center" wrapText="1"/>
    </xf>
    <xf numFmtId="170" fontId="44" fillId="34" borderId="0" xfId="439" applyNumberFormat="1" applyFont="1" applyFill="1" applyAlignment="1" applyProtection="1">
      <alignment wrapText="1"/>
    </xf>
    <xf numFmtId="190" fontId="44" fillId="34" borderId="0" xfId="0" applyNumberFormat="1" applyFont="1" applyFill="1" applyProtection="1"/>
    <xf numFmtId="43" fontId="44" fillId="34" borderId="0" xfId="439" applyFont="1" applyFill="1" applyBorder="1" applyProtection="1"/>
    <xf numFmtId="2" fontId="0" fillId="34" borderId="57" xfId="4688" applyNumberFormat="1" applyFont="1" applyFill="1" applyBorder="1" applyAlignment="1" applyProtection="1">
      <alignment horizontal="center" vertical="center" wrapText="1"/>
    </xf>
    <xf numFmtId="2" fontId="0" fillId="34" borderId="57" xfId="0" applyNumberFormat="1" applyFill="1" applyBorder="1" applyAlignment="1" applyProtection="1">
      <alignment horizontal="center" vertical="center" wrapText="1"/>
    </xf>
    <xf numFmtId="0" fontId="0" fillId="21" borderId="77" xfId="0" applyFont="1" applyFill="1" applyBorder="1" applyAlignment="1" applyProtection="1">
      <alignment horizontal="center" vertical="center" wrapText="1"/>
    </xf>
    <xf numFmtId="0" fontId="39" fillId="21" borderId="77" xfId="0" applyFont="1" applyFill="1" applyBorder="1" applyAlignment="1" applyProtection="1">
      <alignment horizontal="center" wrapText="1"/>
    </xf>
    <xf numFmtId="164" fontId="69" fillId="21" borderId="100" xfId="439" applyNumberFormat="1" applyFont="1" applyFill="1" applyBorder="1" applyAlignment="1" applyProtection="1">
      <alignment horizontal="center" wrapText="1"/>
    </xf>
    <xf numFmtId="0" fontId="0" fillId="29" borderId="0" xfId="0" applyFont="1" applyFill="1" applyAlignment="1" applyProtection="1">
      <alignment horizontal="center" vertical="center" wrapText="1"/>
    </xf>
    <xf numFmtId="0" fontId="44" fillId="29" borderId="0" xfId="0" applyFont="1" applyFill="1" applyAlignment="1" applyProtection="1">
      <alignment horizontal="center" vertical="center" wrapText="1"/>
    </xf>
    <xf numFmtId="0" fontId="44" fillId="29" borderId="45" xfId="0" applyFont="1" applyFill="1" applyBorder="1" applyAlignment="1" applyProtection="1">
      <alignment horizontal="center" vertical="center" wrapText="1"/>
    </xf>
    <xf numFmtId="0" fontId="0" fillId="29" borderId="0" xfId="0" applyFill="1" applyAlignment="1">
      <alignment horizontal="center" vertical="center" wrapText="1"/>
    </xf>
    <xf numFmtId="0" fontId="0" fillId="29" borderId="45" xfId="0" applyFont="1" applyFill="1" applyBorder="1" applyAlignment="1" applyProtection="1">
      <alignment horizontal="center" vertical="center" wrapText="1"/>
    </xf>
    <xf numFmtId="0" fontId="0" fillId="29" borderId="36" xfId="0" applyNumberFormat="1" applyFont="1" applyFill="1" applyBorder="1" applyAlignment="1" applyProtection="1">
      <alignment horizontal="center" vertical="center" wrapText="1"/>
    </xf>
    <xf numFmtId="10" fontId="0" fillId="0" borderId="57" xfId="0" applyNumberFormat="1" applyFill="1" applyBorder="1" applyAlignment="1" applyProtection="1">
      <alignment horizontal="center" vertical="center" wrapText="1"/>
    </xf>
    <xf numFmtId="2" fontId="0" fillId="0" borderId="68" xfId="0" applyNumberFormat="1" applyFill="1" applyBorder="1" applyAlignment="1" applyProtection="1">
      <alignment horizontal="center" vertical="center"/>
    </xf>
    <xf numFmtId="5" fontId="0" fillId="0" borderId="57" xfId="0" applyNumberFormat="1" applyFill="1" applyBorder="1" applyAlignment="1" applyProtection="1">
      <alignment horizontal="center" vertical="center"/>
    </xf>
    <xf numFmtId="10" fontId="0" fillId="0" borderId="57" xfId="0" applyNumberFormat="1" applyFill="1" applyBorder="1" applyAlignment="1" applyProtection="1">
      <alignment horizontal="center" vertical="center"/>
    </xf>
    <xf numFmtId="2" fontId="0" fillId="0" borderId="57" xfId="0" applyNumberFormat="1" applyFill="1" applyBorder="1" applyAlignment="1" applyProtection="1">
      <alignment horizontal="center" vertical="center" wrapText="1"/>
    </xf>
    <xf numFmtId="6" fontId="0" fillId="0" borderId="57" xfId="0" applyNumberFormat="1" applyFill="1" applyBorder="1" applyAlignment="1" applyProtection="1">
      <alignment horizontal="center" vertical="center"/>
    </xf>
    <xf numFmtId="10" fontId="44" fillId="73" borderId="0" xfId="0" applyNumberFormat="1" applyFont="1" applyFill="1" applyAlignment="1" applyProtection="1">
      <alignment horizontal="center"/>
    </xf>
    <xf numFmtId="0" fontId="44" fillId="0" borderId="0" xfId="0" quotePrefix="1" applyFont="1" applyProtection="1"/>
    <xf numFmtId="168" fontId="44" fillId="0" borderId="104" xfId="0" applyNumberFormat="1" applyFont="1" applyBorder="1" applyProtection="1"/>
    <xf numFmtId="168" fontId="44" fillId="0" borderId="105" xfId="0" applyNumberFormat="1" applyFont="1" applyBorder="1" applyProtection="1"/>
    <xf numFmtId="0" fontId="44" fillId="0" borderId="106" xfId="0" applyFont="1" applyBorder="1" applyProtection="1"/>
    <xf numFmtId="0" fontId="44" fillId="0" borderId="79" xfId="0" applyFont="1" applyBorder="1" applyProtection="1"/>
    <xf numFmtId="0" fontId="44" fillId="29" borderId="10" xfId="0" applyFont="1" applyFill="1" applyBorder="1" applyProtection="1"/>
    <xf numFmtId="2" fontId="44" fillId="73" borderId="0" xfId="4688" applyNumberFormat="1" applyFont="1" applyFill="1" applyAlignment="1" applyProtection="1">
      <alignment wrapText="1"/>
    </xf>
    <xf numFmtId="2" fontId="44" fillId="24" borderId="0" xfId="4688" quotePrefix="1" applyNumberFormat="1" applyFont="1" applyFill="1" applyProtection="1"/>
    <xf numFmtId="0" fontId="44" fillId="73" borderId="10" xfId="0" applyFont="1" applyFill="1" applyBorder="1" applyProtection="1"/>
    <xf numFmtId="2" fontId="0" fillId="36" borderId="0" xfId="0" applyNumberFormat="1" applyFill="1"/>
    <xf numFmtId="0" fontId="0" fillId="0" borderId="57" xfId="0" applyNumberFormat="1" applyFill="1" applyBorder="1" applyAlignment="1" applyProtection="1">
      <alignment horizontal="center" vertical="center" wrapText="1"/>
    </xf>
    <xf numFmtId="0" fontId="182" fillId="34" borderId="57" xfId="0" applyFont="1" applyFill="1" applyBorder="1" applyAlignment="1">
      <alignment horizontal="left" vertical="center" wrapText="1"/>
    </xf>
    <xf numFmtId="0" fontId="39" fillId="0" borderId="57" xfId="0" quotePrefix="1" applyFont="1" applyFill="1" applyBorder="1" applyAlignment="1" applyProtection="1">
      <alignment horizontal="center" vertical="center"/>
    </xf>
    <xf numFmtId="10" fontId="39" fillId="34" borderId="57" xfId="0" applyNumberFormat="1" applyFont="1" applyFill="1" applyBorder="1" applyAlignment="1" applyProtection="1">
      <alignment horizontal="center" vertical="center" wrapText="1"/>
    </xf>
    <xf numFmtId="164" fontId="44" fillId="73" borderId="0" xfId="439" applyNumberFormat="1" applyFont="1" applyFill="1" applyAlignment="1" applyProtection="1">
      <alignment wrapText="1"/>
    </xf>
    <xf numFmtId="3" fontId="0" fillId="73" borderId="0" xfId="0" applyNumberFormat="1" applyFill="1" applyAlignment="1" applyProtection="1">
      <alignment wrapText="1"/>
    </xf>
    <xf numFmtId="0" fontId="0" fillId="73" borderId="0" xfId="0" applyFill="1" applyProtection="1"/>
    <xf numFmtId="0" fontId="0" fillId="34" borderId="0" xfId="0" applyFont="1" applyFill="1" applyAlignment="1" applyProtection="1">
      <alignment vertical="center" wrapText="1"/>
      <protection locked="0"/>
    </xf>
    <xf numFmtId="1" fontId="0" fillId="0" borderId="25" xfId="0" applyNumberFormat="1" applyFont="1" applyFill="1" applyBorder="1" applyAlignment="1" applyProtection="1">
      <alignment horizontal="center" vertical="center" wrapText="1"/>
    </xf>
    <xf numFmtId="169" fontId="0" fillId="34" borderId="29" xfId="439" applyNumberFormat="1" applyFont="1" applyFill="1" applyBorder="1" applyAlignment="1" applyProtection="1">
      <alignment vertical="center"/>
    </xf>
    <xf numFmtId="37" fontId="0" fillId="34" borderId="29" xfId="439" applyNumberFormat="1" applyFont="1" applyFill="1" applyBorder="1" applyAlignment="1" applyProtection="1">
      <alignment horizontal="right" vertical="center"/>
    </xf>
    <xf numFmtId="49" fontId="0" fillId="34" borderId="29" xfId="439" applyNumberFormat="1" applyFont="1" applyFill="1" applyBorder="1" applyAlignment="1" applyProtection="1">
      <alignment horizontal="right" vertical="center" wrapText="1"/>
    </xf>
    <xf numFmtId="171" fontId="0" fillId="0" borderId="0" xfId="0" applyNumberFormat="1" applyFont="1" applyFill="1" applyAlignment="1" applyProtection="1">
      <alignment vertical="center" wrapText="1"/>
    </xf>
    <xf numFmtId="0" fontId="37" fillId="34" borderId="16" xfId="0" applyFont="1" applyFill="1" applyBorder="1" applyAlignment="1" applyProtection="1">
      <alignment horizontal="justify" vertical="center" wrapText="1"/>
    </xf>
    <xf numFmtId="190" fontId="0" fillId="34" borderId="16" xfId="0" applyNumberFormat="1" applyFill="1" applyBorder="1" applyAlignment="1" applyProtection="1">
      <alignment horizontal="center" vertical="center" wrapText="1"/>
    </xf>
    <xf numFmtId="0" fontId="183" fillId="34" borderId="57" xfId="0" applyFont="1" applyFill="1" applyBorder="1" applyAlignment="1" applyProtection="1">
      <alignment vertical="center" wrapText="1"/>
    </xf>
    <xf numFmtId="0" fontId="69" fillId="36" borderId="0" xfId="0" applyFont="1" applyFill="1" applyAlignment="1" applyProtection="1">
      <alignment horizontal="center" vertical="center" wrapText="1"/>
    </xf>
    <xf numFmtId="0" fontId="41" fillId="34" borderId="25" xfId="0" applyNumberFormat="1" applyFont="1" applyFill="1" applyBorder="1" applyAlignment="1" applyProtection="1">
      <alignment horizontal="left" vertical="center" wrapText="1"/>
    </xf>
    <xf numFmtId="14" fontId="0" fillId="78" borderId="64" xfId="439" applyNumberFormat="1" applyFont="1" applyFill="1" applyBorder="1" applyAlignment="1" applyProtection="1">
      <alignment horizontal="center" vertical="center" wrapText="1"/>
    </xf>
    <xf numFmtId="0" fontId="0" fillId="1" borderId="57" xfId="0" applyFill="1" applyBorder="1" applyAlignment="1">
      <alignment horizontal="center" vertical="center" wrapText="1"/>
    </xf>
    <xf numFmtId="14" fontId="0" fillId="0" borderId="0" xfId="0" applyNumberFormat="1" applyAlignment="1">
      <alignment horizontal="center" vertical="center"/>
    </xf>
    <xf numFmtId="14" fontId="0" fillId="0" borderId="57" xfId="0" applyNumberFormat="1" applyBorder="1" applyAlignment="1" applyProtection="1">
      <alignment horizontal="center" vertical="center" wrapText="1"/>
    </xf>
    <xf numFmtId="14" fontId="44" fillId="0" borderId="0" xfId="0" applyNumberFormat="1" applyFont="1" applyProtection="1"/>
    <xf numFmtId="14" fontId="44" fillId="0" borderId="74" xfId="0" applyNumberFormat="1" applyFont="1" applyBorder="1" applyProtection="1"/>
    <xf numFmtId="0" fontId="69" fillId="85" borderId="76" xfId="0" applyFont="1" applyFill="1" applyBorder="1" applyAlignment="1">
      <alignment vertical="center" wrapText="1"/>
    </xf>
    <xf numFmtId="0" fontId="0" fillId="85" borderId="10" xfId="0" applyFill="1" applyBorder="1" applyAlignment="1">
      <alignment vertical="center" wrapText="1"/>
    </xf>
    <xf numFmtId="14" fontId="44" fillId="0" borderId="69" xfId="0" applyNumberFormat="1" applyFont="1" applyBorder="1" applyProtection="1"/>
    <xf numFmtId="14" fontId="44" fillId="34" borderId="70" xfId="0" applyNumberFormat="1" applyFont="1" applyFill="1" applyBorder="1" applyProtection="1"/>
    <xf numFmtId="14" fontId="44" fillId="34" borderId="71" xfId="0" applyNumberFormat="1" applyFont="1" applyFill="1" applyBorder="1" applyProtection="1"/>
    <xf numFmtId="0" fontId="44" fillId="0" borderId="22" xfId="0" applyFont="1" applyBorder="1" applyProtection="1"/>
    <xf numFmtId="0" fontId="44" fillId="0" borderId="0" xfId="0" applyFont="1" applyBorder="1" applyProtection="1"/>
    <xf numFmtId="0" fontId="44" fillId="0" borderId="56" xfId="0" applyFont="1" applyBorder="1" applyProtection="1"/>
    <xf numFmtId="14" fontId="44" fillId="0" borderId="0" xfId="0" applyNumberFormat="1" applyFont="1" applyBorder="1" applyProtection="1"/>
    <xf numFmtId="14" fontId="44" fillId="0" borderId="56" xfId="0" applyNumberFormat="1" applyFont="1" applyBorder="1" applyProtection="1"/>
    <xf numFmtId="0" fontId="44" fillId="0" borderId="72" xfId="0" applyFont="1" applyBorder="1" applyProtection="1"/>
    <xf numFmtId="14" fontId="44" fillId="0" borderId="17" xfId="0" applyNumberFormat="1" applyFont="1" applyBorder="1" applyProtection="1"/>
    <xf numFmtId="14" fontId="44" fillId="0" borderId="73" xfId="0" applyNumberFormat="1" applyFont="1" applyBorder="1" applyProtection="1"/>
    <xf numFmtId="38" fontId="68" fillId="20" borderId="0" xfId="0" applyNumberFormat="1" applyFont="1" applyFill="1" applyAlignment="1" applyProtection="1">
      <alignment vertical="center" wrapText="1"/>
    </xf>
    <xf numFmtId="0" fontId="0" fillId="0" borderId="77" xfId="0" applyFill="1" applyBorder="1" applyAlignment="1">
      <alignment horizontal="center" vertical="center"/>
    </xf>
    <xf numFmtId="0" fontId="0" fillId="29" borderId="77" xfId="0" applyFill="1" applyBorder="1" applyAlignment="1" applyProtection="1">
      <alignment horizontal="center" vertical="center"/>
      <protection locked="0"/>
    </xf>
    <xf numFmtId="0" fontId="68" fillId="0" borderId="69" xfId="0" applyFont="1" applyFill="1" applyBorder="1" applyAlignment="1">
      <alignment vertical="center" wrapText="1"/>
    </xf>
    <xf numFmtId="0" fontId="0" fillId="29" borderId="12" xfId="0" applyFill="1" applyBorder="1" applyAlignment="1" applyProtection="1">
      <alignment horizontal="center" vertical="center"/>
      <protection locked="0"/>
    </xf>
    <xf numFmtId="0" fontId="0" fillId="78" borderId="76" xfId="0" applyFill="1" applyBorder="1" applyAlignment="1">
      <alignment horizontal="left" vertical="center"/>
    </xf>
    <xf numFmtId="0" fontId="0" fillId="78" borderId="14" xfId="0" applyFill="1" applyBorder="1" applyAlignment="1">
      <alignment vertical="center" wrapText="1"/>
    </xf>
    <xf numFmtId="0" fontId="0" fillId="78" borderId="14" xfId="0" applyFill="1" applyBorder="1" applyAlignment="1" applyProtection="1">
      <alignment horizontal="center" vertical="center"/>
      <protection locked="0"/>
    </xf>
    <xf numFmtId="0" fontId="68" fillId="78" borderId="21" xfId="0" applyFont="1" applyFill="1" applyBorder="1" applyAlignment="1">
      <alignment vertical="center" wrapText="1"/>
    </xf>
    <xf numFmtId="0" fontId="0" fillId="0" borderId="10" xfId="0" applyFill="1" applyBorder="1" applyAlignment="1" applyProtection="1">
      <alignment vertical="center" wrapText="1"/>
      <protection locked="0"/>
    </xf>
    <xf numFmtId="0" fontId="0" fillId="0" borderId="10" xfId="0" applyFill="1" applyBorder="1" applyAlignment="1" applyProtection="1">
      <alignment wrapText="1"/>
      <protection locked="0"/>
    </xf>
    <xf numFmtId="0" fontId="0" fillId="0" borderId="10" xfId="0" applyBorder="1" applyAlignment="1" applyProtection="1">
      <alignment wrapText="1"/>
      <protection locked="0"/>
    </xf>
    <xf numFmtId="0" fontId="0" fillId="0" borderId="0" xfId="0" applyAlignment="1" applyProtection="1">
      <alignment wrapText="1"/>
      <protection locked="0"/>
    </xf>
    <xf numFmtId="168" fontId="0" fillId="0" borderId="0" xfId="0" applyNumberFormat="1" applyFont="1" applyAlignment="1" applyProtection="1">
      <alignment wrapText="1"/>
    </xf>
    <xf numFmtId="37" fontId="0" fillId="0" borderId="0" xfId="0" applyNumberFormat="1" applyFont="1" applyFill="1" applyAlignment="1" applyProtection="1">
      <alignment horizontal="center" vertical="center" wrapText="1"/>
    </xf>
    <xf numFmtId="14" fontId="0" fillId="0" borderId="0" xfId="0" applyNumberFormat="1" applyFont="1" applyAlignment="1">
      <alignment wrapText="1"/>
    </xf>
    <xf numFmtId="14" fontId="0" fillId="0" borderId="0" xfId="0" applyNumberFormat="1" applyFont="1" applyFill="1" applyAlignment="1" applyProtection="1">
      <alignment horizontal="center" vertical="center" wrapText="1"/>
    </xf>
    <xf numFmtId="0" fontId="0" fillId="0" borderId="77" xfId="0" applyFill="1" applyBorder="1" applyAlignment="1">
      <alignment vertical="center" wrapText="1"/>
    </xf>
    <xf numFmtId="0" fontId="68" fillId="0" borderId="12" xfId="0" applyFont="1" applyFill="1" applyBorder="1" applyAlignment="1">
      <alignment vertical="center" wrapText="1"/>
    </xf>
    <xf numFmtId="0" fontId="0" fillId="29" borderId="10" xfId="0" applyFill="1" applyBorder="1" applyAlignment="1" applyProtection="1">
      <alignment horizontal="left" vertical="center" wrapText="1"/>
      <protection locked="0"/>
    </xf>
    <xf numFmtId="0" fontId="0" fillId="0" borderId="10" xfId="0" applyFill="1" applyBorder="1" applyAlignment="1">
      <alignment horizontal="left" wrapText="1"/>
    </xf>
    <xf numFmtId="49" fontId="0" fillId="31" borderId="13" xfId="0" applyNumberFormat="1" applyFont="1" applyFill="1" applyBorder="1" applyAlignment="1" applyProtection="1">
      <alignment horizontal="left"/>
      <protection locked="0"/>
    </xf>
    <xf numFmtId="14" fontId="0" fillId="31" borderId="13" xfId="0" applyNumberFormat="1" applyFont="1" applyFill="1" applyBorder="1" applyAlignment="1" applyProtection="1">
      <alignment horizontal="left"/>
      <protection locked="0"/>
    </xf>
    <xf numFmtId="184" fontId="0" fillId="31" borderId="13" xfId="0" applyNumberFormat="1" applyFont="1" applyFill="1" applyBorder="1" applyAlignment="1" applyProtection="1">
      <alignment horizontal="left"/>
      <protection locked="0"/>
    </xf>
    <xf numFmtId="49" fontId="35" fillId="31" borderId="13" xfId="611" applyNumberFormat="1" applyFill="1" applyBorder="1" applyAlignment="1" applyProtection="1">
      <alignment horizontal="left"/>
      <protection locked="0"/>
    </xf>
    <xf numFmtId="4" fontId="0" fillId="36" borderId="0" xfId="0" applyNumberFormat="1" applyFill="1"/>
    <xf numFmtId="14" fontId="0" fillId="0" borderId="0" xfId="0" applyNumberFormat="1" applyFont="1" applyFill="1" applyAlignment="1" applyProtection="1">
      <alignment wrapText="1"/>
    </xf>
    <xf numFmtId="0" fontId="0" fillId="0" borderId="12" xfId="0" applyFill="1" applyBorder="1" applyAlignment="1">
      <alignment horizontal="center" vertical="center"/>
    </xf>
    <xf numFmtId="0" fontId="0" fillId="0" borderId="12" xfId="0" applyFill="1" applyBorder="1" applyAlignment="1">
      <alignment vertical="center" wrapText="1"/>
    </xf>
    <xf numFmtId="1" fontId="44" fillId="0" borderId="0" xfId="0" applyNumberFormat="1" applyFont="1"/>
    <xf numFmtId="0" fontId="195" fillId="0" borderId="0" xfId="0" applyFont="1"/>
    <xf numFmtId="0" fontId="0" fillId="86" borderId="0" xfId="0" applyFill="1" applyAlignment="1">
      <alignment wrapText="1"/>
    </xf>
    <xf numFmtId="0" fontId="0" fillId="79" borderId="0" xfId="0" applyFill="1" applyAlignment="1">
      <alignment horizontal="center"/>
    </xf>
    <xf numFmtId="0" fontId="0" fillId="79" borderId="0" xfId="0" applyFill="1"/>
    <xf numFmtId="39" fontId="0" fillId="0" borderId="0" xfId="0" applyNumberFormat="1"/>
    <xf numFmtId="43" fontId="0" fillId="0" borderId="0" xfId="0" applyNumberFormat="1"/>
    <xf numFmtId="3" fontId="0" fillId="24" borderId="0" xfId="0" applyNumberFormat="1" applyFill="1" applyAlignment="1" applyProtection="1">
      <alignment wrapText="1"/>
    </xf>
    <xf numFmtId="43" fontId="0" fillId="0" borderId="0" xfId="0" applyNumberFormat="1" applyFill="1"/>
    <xf numFmtId="0" fontId="45" fillId="0" borderId="13" xfId="0" applyFont="1" applyFill="1" applyBorder="1" applyAlignment="1" applyProtection="1">
      <alignment horizontal="center" vertical="center" wrapText="1"/>
    </xf>
    <xf numFmtId="0" fontId="40" fillId="78" borderId="57" xfId="0" applyFont="1" applyFill="1" applyBorder="1" applyAlignment="1" applyProtection="1">
      <alignment vertical="center" wrapText="1"/>
    </xf>
    <xf numFmtId="4" fontId="0" fillId="0" borderId="0" xfId="0" applyNumberFormat="1" applyAlignment="1">
      <alignment horizontal="center"/>
    </xf>
    <xf numFmtId="0" fontId="44" fillId="0" borderId="105" xfId="0" applyFont="1" applyBorder="1" applyProtection="1"/>
    <xf numFmtId="0" fontId="44" fillId="29" borderId="57" xfId="0" applyFont="1" applyFill="1" applyBorder="1" applyProtection="1"/>
    <xf numFmtId="0" fontId="44" fillId="0" borderId="104" xfId="0" applyFont="1" applyBorder="1" applyProtection="1"/>
    <xf numFmtId="0" fontId="44" fillId="73" borderId="57" xfId="0" applyFont="1" applyFill="1" applyBorder="1" applyProtection="1"/>
    <xf numFmtId="10" fontId="0" fillId="73" borderId="0" xfId="4688" applyNumberFormat="1" applyFont="1" applyFill="1" applyAlignment="1" applyProtection="1">
      <alignment horizontal="center" wrapText="1"/>
    </xf>
    <xf numFmtId="10" fontId="44" fillId="73" borderId="0" xfId="4688" applyNumberFormat="1" applyFont="1" applyFill="1" applyAlignment="1" applyProtection="1">
      <alignment horizontal="center" wrapText="1"/>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0" fillId="74" borderId="0" xfId="0" applyFont="1" applyFill="1" applyAlignment="1" applyProtection="1">
      <alignment horizontal="left" vertical="center" wrapText="1"/>
    </xf>
    <xf numFmtId="0" fontId="39" fillId="0" borderId="13" xfId="0" applyFont="1" applyBorder="1" applyAlignment="1">
      <alignment horizontal="center"/>
    </xf>
    <xf numFmtId="0" fontId="39" fillId="0" borderId="16" xfId="0" applyFont="1" applyBorder="1" applyAlignment="1">
      <alignment horizontal="center"/>
    </xf>
    <xf numFmtId="0" fontId="39" fillId="0" borderId="11" xfId="0" applyFont="1" applyBorder="1" applyAlignment="1">
      <alignment horizontal="center"/>
    </xf>
    <xf numFmtId="0" fontId="57" fillId="74" borderId="80" xfId="0" applyFont="1" applyFill="1" applyBorder="1" applyAlignment="1">
      <alignment horizontal="left" vertical="center" wrapText="1"/>
    </xf>
    <xf numFmtId="0" fontId="193" fillId="34" borderId="13" xfId="0" applyFont="1" applyFill="1" applyBorder="1" applyAlignment="1">
      <alignment horizontal="center" vertical="center" wrapText="1"/>
    </xf>
    <xf numFmtId="0" fontId="193" fillId="34" borderId="16" xfId="0" applyFont="1" applyFill="1" applyBorder="1" applyAlignment="1">
      <alignment horizontal="center" vertical="center" wrapText="1"/>
    </xf>
    <xf numFmtId="0" fontId="193" fillId="34" borderId="11" xfId="0" applyFont="1" applyFill="1" applyBorder="1" applyAlignment="1">
      <alignment horizontal="center" vertical="center" wrapText="1"/>
    </xf>
    <xf numFmtId="0" fontId="0" fillId="0" borderId="38" xfId="0" applyFont="1" applyBorder="1" applyAlignment="1">
      <alignment horizontal="left" wrapText="1"/>
    </xf>
    <xf numFmtId="0" fontId="0" fillId="36" borderId="13" xfId="0" applyFill="1" applyBorder="1" applyAlignment="1">
      <alignment horizontal="left" wrapText="1"/>
    </xf>
    <xf numFmtId="0" fontId="0" fillId="36" borderId="16" xfId="0" applyFill="1" applyBorder="1" applyAlignment="1">
      <alignment horizontal="left" wrapText="1"/>
    </xf>
    <xf numFmtId="0" fontId="0" fillId="0" borderId="13" xfId="0" applyFont="1" applyBorder="1" applyAlignment="1">
      <alignment horizontal="left"/>
    </xf>
    <xf numFmtId="0" fontId="0" fillId="0" borderId="16" xfId="0" applyFont="1" applyBorder="1" applyAlignment="1">
      <alignment horizontal="left"/>
    </xf>
    <xf numFmtId="0" fontId="0" fillId="0" borderId="13" xfId="0" applyFont="1" applyBorder="1" applyAlignment="1">
      <alignment horizontal="left" wrapText="1"/>
    </xf>
    <xf numFmtId="0" fontId="0" fillId="0" borderId="16" xfId="0" applyFont="1" applyBorder="1" applyAlignment="1">
      <alignment horizontal="left" wrapText="1"/>
    </xf>
    <xf numFmtId="0" fontId="0" fillId="0" borderId="13" xfId="0" applyFont="1" applyFill="1" applyBorder="1" applyAlignment="1">
      <alignment horizontal="left" wrapText="1"/>
    </xf>
    <xf numFmtId="0" fontId="0" fillId="0" borderId="16" xfId="0" applyFont="1" applyFill="1" applyBorder="1" applyAlignment="1">
      <alignment horizontal="left" wrapText="1"/>
    </xf>
    <xf numFmtId="0" fontId="69" fillId="34" borderId="67" xfId="0" applyFont="1" applyFill="1" applyBorder="1" applyAlignment="1">
      <alignment horizontal="center" wrapText="1"/>
    </xf>
    <xf numFmtId="0" fontId="69" fillId="34" borderId="87" xfId="0" applyFont="1" applyFill="1" applyBorder="1" applyAlignment="1">
      <alignment horizontal="center" wrapText="1"/>
    </xf>
    <xf numFmtId="0" fontId="40" fillId="26" borderId="13" xfId="0" applyFont="1" applyFill="1" applyBorder="1" applyAlignment="1">
      <alignment horizontal="center" vertical="top" wrapText="1"/>
    </xf>
    <xf numFmtId="0" fontId="40" fillId="26" borderId="16" xfId="0" applyFont="1" applyFill="1" applyBorder="1" applyAlignment="1">
      <alignment horizontal="center" vertical="top" wrapText="1"/>
    </xf>
    <xf numFmtId="0" fontId="40" fillId="26" borderId="11" xfId="0" applyFont="1" applyFill="1" applyBorder="1" applyAlignment="1">
      <alignment horizontal="center" vertical="top" wrapText="1"/>
    </xf>
    <xf numFmtId="0" fontId="177" fillId="84" borderId="13" xfId="0" applyFont="1" applyFill="1" applyBorder="1" applyAlignment="1">
      <alignment horizontal="center" vertical="center"/>
    </xf>
    <xf numFmtId="0" fontId="177" fillId="84" borderId="16" xfId="0" applyFont="1" applyFill="1" applyBorder="1" applyAlignment="1">
      <alignment horizontal="center" vertical="center"/>
    </xf>
    <xf numFmtId="0" fontId="177" fillId="84" borderId="11" xfId="0" applyFont="1" applyFill="1" applyBorder="1" applyAlignment="1">
      <alignment horizontal="center" vertical="center"/>
    </xf>
    <xf numFmtId="0" fontId="51" fillId="26" borderId="13" xfId="0" applyFont="1" applyFill="1" applyBorder="1" applyAlignment="1">
      <alignment horizontal="center" vertical="center"/>
    </xf>
    <xf numFmtId="0" fontId="51" fillId="26" borderId="16" xfId="0" applyFont="1" applyFill="1" applyBorder="1" applyAlignment="1">
      <alignment horizontal="center" vertical="center"/>
    </xf>
    <xf numFmtId="0" fontId="51" fillId="26" borderId="11" xfId="0" applyFont="1" applyFill="1" applyBorder="1" applyAlignment="1">
      <alignment horizontal="center" vertical="center"/>
    </xf>
    <xf numFmtId="0" fontId="193" fillId="34" borderId="13" xfId="0" applyFont="1" applyFill="1" applyBorder="1" applyAlignment="1">
      <alignment horizontal="center" wrapText="1"/>
    </xf>
    <xf numFmtId="0" fontId="193" fillId="34" borderId="16" xfId="0" applyFont="1" applyFill="1" applyBorder="1" applyAlignment="1">
      <alignment horizontal="center" wrapText="1"/>
    </xf>
    <xf numFmtId="0" fontId="193" fillId="34" borderId="11" xfId="0" applyFont="1" applyFill="1" applyBorder="1" applyAlignment="1">
      <alignment horizontal="center" wrapText="1"/>
    </xf>
    <xf numFmtId="0" fontId="57" fillId="78" borderId="16" xfId="0" applyFont="1" applyFill="1" applyBorder="1" applyAlignment="1" applyProtection="1">
      <alignment horizontal="justify" vertical="center" wrapText="1"/>
    </xf>
    <xf numFmtId="0" fontId="57" fillId="78" borderId="11" xfId="0" applyFont="1" applyFill="1" applyBorder="1" applyAlignment="1" applyProtection="1">
      <alignment horizontal="justify" vertical="center" wrapText="1"/>
    </xf>
    <xf numFmtId="0" fontId="39" fillId="0" borderId="13" xfId="0" applyFont="1" applyBorder="1" applyAlignment="1" applyProtection="1">
      <alignment horizontal="left" wrapText="1"/>
    </xf>
    <xf numFmtId="0" fontId="39" fillId="0" borderId="16" xfId="0" applyFont="1" applyBorder="1" applyAlignment="1" applyProtection="1">
      <alignment horizontal="left" wrapText="1"/>
    </xf>
    <xf numFmtId="0" fontId="39" fillId="0" borderId="11" xfId="0" applyFont="1" applyBorder="1" applyAlignment="1" applyProtection="1">
      <alignment horizontal="left" wrapText="1"/>
    </xf>
    <xf numFmtId="0" fontId="39" fillId="0" borderId="13" xfId="0" applyFont="1" applyBorder="1" applyAlignment="1" applyProtection="1">
      <alignment horizontal="left" vertical="center" wrapText="1"/>
    </xf>
    <xf numFmtId="0" fontId="39" fillId="0" borderId="16" xfId="0" applyFont="1" applyBorder="1" applyAlignment="1" applyProtection="1">
      <alignment horizontal="left" vertical="center" wrapText="1"/>
    </xf>
    <xf numFmtId="0" fontId="39" fillId="0" borderId="11" xfId="0" applyFont="1" applyBorder="1" applyAlignment="1" applyProtection="1">
      <alignment horizontal="left" vertical="center" wrapText="1"/>
    </xf>
    <xf numFmtId="0" fontId="57" fillId="34" borderId="11" xfId="0" applyFont="1" applyFill="1" applyBorder="1" applyAlignment="1" applyProtection="1">
      <alignment horizontal="left" vertical="center" wrapText="1"/>
    </xf>
    <xf numFmtId="0" fontId="57" fillId="34" borderId="57" xfId="0" applyFont="1" applyFill="1" applyBorder="1" applyAlignment="1" applyProtection="1">
      <alignment horizontal="left" vertical="center" wrapText="1"/>
    </xf>
    <xf numFmtId="0" fontId="39" fillId="78" borderId="16" xfId="0" applyFont="1" applyFill="1" applyBorder="1" applyAlignment="1" applyProtection="1">
      <alignment horizontal="center" wrapText="1"/>
    </xf>
    <xf numFmtId="0" fontId="39" fillId="78" borderId="11" xfId="0" applyFont="1" applyFill="1" applyBorder="1" applyAlignment="1" applyProtection="1">
      <alignment horizontal="center" wrapText="1"/>
    </xf>
    <xf numFmtId="0" fontId="57" fillId="78" borderId="57" xfId="0" applyFont="1" applyFill="1" applyBorder="1" applyAlignment="1" applyProtection="1">
      <alignment horizontal="justify" vertical="center" wrapText="1"/>
    </xf>
    <xf numFmtId="0" fontId="0" fillId="78" borderId="16" xfId="0" applyFill="1" applyBorder="1" applyAlignment="1" applyProtection="1">
      <alignment horizontal="center"/>
    </xf>
    <xf numFmtId="0" fontId="0" fillId="78" borderId="11" xfId="0" applyFill="1" applyBorder="1" applyAlignment="1" applyProtection="1">
      <alignment horizontal="center"/>
    </xf>
    <xf numFmtId="0" fontId="57" fillId="78" borderId="13" xfId="0" applyFont="1" applyFill="1" applyBorder="1" applyAlignment="1" applyProtection="1">
      <alignment horizontal="left" vertical="center" wrapText="1"/>
    </xf>
    <xf numFmtId="0" fontId="57" fillId="78" borderId="16" xfId="0" applyFont="1" applyFill="1" applyBorder="1" applyAlignment="1" applyProtection="1">
      <alignment horizontal="left" vertical="center" wrapText="1"/>
    </xf>
    <xf numFmtId="0" fontId="57" fillId="78" borderId="11" xfId="0" applyFont="1" applyFill="1" applyBorder="1" applyAlignment="1" applyProtection="1">
      <alignment horizontal="left" vertical="center" wrapText="1"/>
    </xf>
    <xf numFmtId="0" fontId="57" fillId="78" borderId="16" xfId="0" applyFont="1" applyFill="1" applyBorder="1" applyAlignment="1" applyProtection="1">
      <alignment horizontal="left" wrapText="1"/>
    </xf>
    <xf numFmtId="0" fontId="57" fillId="78" borderId="90" xfId="0" applyFont="1" applyFill="1" applyBorder="1" applyAlignment="1" applyProtection="1">
      <alignment horizontal="left" wrapText="1"/>
    </xf>
    <xf numFmtId="0" fontId="39" fillId="78" borderId="16" xfId="0" applyFont="1" applyFill="1" applyBorder="1" applyAlignment="1" applyProtection="1">
      <alignment horizontal="justify" vertical="center" wrapText="1"/>
    </xf>
    <xf numFmtId="0" fontId="39" fillId="78" borderId="11" xfId="0" applyFont="1" applyFill="1" applyBorder="1" applyAlignment="1" applyProtection="1">
      <alignment horizontal="justify" vertical="center" wrapText="1"/>
    </xf>
    <xf numFmtId="0" fontId="57" fillId="0" borderId="38" xfId="0" applyFont="1" applyBorder="1" applyAlignment="1" applyProtection="1">
      <alignment horizontal="center" wrapText="1"/>
    </xf>
    <xf numFmtId="0" fontId="57" fillId="0" borderId="39" xfId="0" applyFont="1" applyBorder="1" applyAlignment="1" applyProtection="1">
      <alignment horizontal="center" wrapText="1"/>
    </xf>
    <xf numFmtId="0" fontId="57" fillId="0" borderId="0" xfId="0" applyFont="1" applyAlignment="1" applyProtection="1">
      <alignment horizontal="center" wrapText="1"/>
    </xf>
    <xf numFmtId="0" fontId="57" fillId="0" borderId="60" xfId="0" applyFont="1" applyBorder="1" applyAlignment="1" applyProtection="1">
      <alignment horizontal="center" wrapText="1"/>
    </xf>
    <xf numFmtId="0" fontId="57" fillId="78" borderId="11" xfId="0" applyFont="1" applyFill="1" applyBorder="1" applyAlignment="1" applyProtection="1">
      <alignment horizontal="left" wrapText="1"/>
    </xf>
    <xf numFmtId="0" fontId="57" fillId="78" borderId="57" xfId="0" applyFont="1" applyFill="1" applyBorder="1" applyAlignment="1" applyProtection="1">
      <alignment horizontal="left" wrapText="1"/>
    </xf>
    <xf numFmtId="0" fontId="159" fillId="0" borderId="40" xfId="0" applyFont="1" applyBorder="1" applyAlignment="1" applyProtection="1">
      <alignment horizontal="center" vertical="center"/>
    </xf>
    <xf numFmtId="0" fontId="159" fillId="0" borderId="41" xfId="0" applyFont="1" applyBorder="1" applyAlignment="1" applyProtection="1">
      <alignment horizontal="center" vertical="center"/>
    </xf>
    <xf numFmtId="0" fontId="159" fillId="0" borderId="16" xfId="0" applyFont="1" applyBorder="1" applyAlignment="1" applyProtection="1">
      <alignment horizontal="center" vertical="center"/>
    </xf>
    <xf numFmtId="0" fontId="159" fillId="0" borderId="11" xfId="0" applyFont="1" applyBorder="1" applyAlignment="1" applyProtection="1">
      <alignment horizontal="center" vertical="center"/>
    </xf>
    <xf numFmtId="0" fontId="57" fillId="34" borderId="13" xfId="0" applyFont="1" applyFill="1" applyBorder="1" applyAlignment="1" applyProtection="1">
      <alignment horizontal="justify" vertical="center" wrapText="1"/>
    </xf>
    <xf numFmtId="0" fontId="57" fillId="34" borderId="16" xfId="0" applyFont="1" applyFill="1" applyBorder="1" applyAlignment="1" applyProtection="1">
      <alignment horizontal="justify" vertical="center" wrapText="1"/>
    </xf>
    <xf numFmtId="0" fontId="57" fillId="34" borderId="11" xfId="0" applyFont="1" applyFill="1" applyBorder="1" applyAlignment="1" applyProtection="1">
      <alignment horizontal="justify" vertical="center" wrapText="1"/>
    </xf>
    <xf numFmtId="0" fontId="48" fillId="0" borderId="95" xfId="0" applyFont="1" applyBorder="1" applyAlignment="1" applyProtection="1">
      <alignment horizontal="center" vertical="center" wrapText="1"/>
    </xf>
    <xf numFmtId="0" fontId="48" fillId="0" borderId="96" xfId="0" applyFont="1" applyBorder="1" applyAlignment="1" applyProtection="1">
      <alignment horizontal="center" vertical="center" wrapText="1"/>
    </xf>
    <xf numFmtId="0" fontId="48" fillId="0" borderId="92" xfId="0" applyFont="1" applyBorder="1" applyAlignment="1" applyProtection="1">
      <alignment horizontal="center" vertical="center" wrapText="1"/>
    </xf>
    <xf numFmtId="0" fontId="39" fillId="0" borderId="15" xfId="0" applyFont="1" applyBorder="1" applyAlignment="1" applyProtection="1">
      <alignment horizontal="center" vertical="center"/>
    </xf>
    <xf numFmtId="0" fontId="39" fillId="0" borderId="60" xfId="0" applyFont="1" applyBorder="1" applyAlignment="1" applyProtection="1">
      <alignment horizontal="center" vertical="center"/>
    </xf>
    <xf numFmtId="0" fontId="39" fillId="0" borderId="40" xfId="0" applyFont="1" applyBorder="1" applyAlignment="1" applyProtection="1">
      <alignment horizontal="center" vertical="center"/>
    </xf>
    <xf numFmtId="0" fontId="39" fillId="0" borderId="42" xfId="0" applyFont="1" applyBorder="1" applyAlignment="1" applyProtection="1">
      <alignment horizontal="center" vertical="center"/>
    </xf>
    <xf numFmtId="0" fontId="39" fillId="0" borderId="87" xfId="0" applyFont="1" applyBorder="1" applyAlignment="1" applyProtection="1">
      <alignment horizontal="center" wrapText="1"/>
    </xf>
    <xf numFmtId="0" fontId="39" fillId="0" borderId="68" xfId="0" applyFont="1" applyBorder="1" applyAlignment="1" applyProtection="1">
      <alignment horizontal="center"/>
    </xf>
    <xf numFmtId="0" fontId="48" fillId="0" borderId="97" xfId="0" applyFont="1" applyBorder="1" applyAlignment="1" applyProtection="1">
      <alignment horizontal="center" vertical="center"/>
    </xf>
    <xf numFmtId="0" fontId="48" fillId="0" borderId="98" xfId="0" applyFont="1" applyBorder="1" applyAlignment="1" applyProtection="1">
      <alignment horizontal="center" vertical="center"/>
    </xf>
    <xf numFmtId="0" fontId="48" fillId="0" borderId="99" xfId="0" applyFont="1" applyBorder="1" applyAlignment="1" applyProtection="1">
      <alignment horizontal="center" vertical="center"/>
    </xf>
    <xf numFmtId="0" fontId="128" fillId="73" borderId="67" xfId="0" applyFont="1" applyFill="1" applyBorder="1" applyAlignment="1" applyProtection="1">
      <alignment horizontal="center" vertical="center" wrapText="1"/>
    </xf>
    <xf numFmtId="0" fontId="128" fillId="73" borderId="87" xfId="0" applyFont="1" applyFill="1" applyBorder="1" applyAlignment="1" applyProtection="1">
      <alignment horizontal="center" vertical="center" wrapText="1"/>
    </xf>
    <xf numFmtId="0" fontId="128" fillId="73" borderId="68" xfId="0" applyFont="1" applyFill="1" applyBorder="1" applyAlignment="1" applyProtection="1">
      <alignment horizontal="center" vertical="center" wrapText="1"/>
    </xf>
    <xf numFmtId="0" fontId="57" fillId="78" borderId="67" xfId="0" applyFont="1" applyFill="1" applyBorder="1" applyAlignment="1" applyProtection="1">
      <alignment horizontal="center" vertical="center" wrapText="1"/>
    </xf>
    <xf numFmtId="0" fontId="57" fillId="78" borderId="87" xfId="0" applyFont="1" applyFill="1" applyBorder="1" applyAlignment="1" applyProtection="1">
      <alignment horizontal="center" vertical="center" wrapText="1"/>
    </xf>
    <xf numFmtId="0" fontId="57" fillId="78" borderId="68" xfId="0" applyFont="1" applyFill="1" applyBorder="1" applyAlignment="1" applyProtection="1">
      <alignment horizontal="center" vertical="center" wrapText="1"/>
    </xf>
    <xf numFmtId="0" fontId="40" fillId="0" borderId="38" xfId="682" applyFont="1" applyBorder="1" applyAlignment="1" applyProtection="1">
      <alignment horizontal="justify" vertical="justify" wrapText="1"/>
    </xf>
    <xf numFmtId="0" fontId="40" fillId="0" borderId="39" xfId="682" applyFont="1" applyBorder="1" applyAlignment="1" applyProtection="1">
      <alignment horizontal="justify" vertical="justify" wrapText="1"/>
    </xf>
    <xf numFmtId="0" fontId="40" fillId="0" borderId="41" xfId="682" applyFont="1" applyBorder="1" applyAlignment="1" applyProtection="1">
      <alignment horizontal="justify" vertical="justify" wrapText="1"/>
    </xf>
    <xf numFmtId="0" fontId="40" fillId="0" borderId="42" xfId="682" applyFont="1" applyBorder="1" applyAlignment="1" applyProtection="1">
      <alignment horizontal="justify" vertical="justify" wrapText="1"/>
    </xf>
    <xf numFmtId="0" fontId="0" fillId="0" borderId="67"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37" fillId="78" borderId="67" xfId="0" applyFont="1" applyFill="1" applyBorder="1" applyAlignment="1" applyProtection="1">
      <alignment horizontal="justify" vertical="center" wrapText="1"/>
    </xf>
    <xf numFmtId="0" fontId="37" fillId="78" borderId="68" xfId="0" applyFont="1" applyFill="1" applyBorder="1" applyAlignment="1" applyProtection="1">
      <alignment horizontal="justify" vertical="center" wrapText="1"/>
    </xf>
    <xf numFmtId="0" fontId="57" fillId="34" borderId="16" xfId="0" applyFont="1" applyFill="1" applyBorder="1" applyAlignment="1" applyProtection="1">
      <alignment horizontal="left" vertical="center" wrapText="1"/>
    </xf>
    <xf numFmtId="0" fontId="39" fillId="78" borderId="57" xfId="0" applyFont="1" applyFill="1" applyBorder="1" applyAlignment="1" applyProtection="1">
      <alignment horizontal="justify" vertical="center" wrapText="1"/>
    </xf>
    <xf numFmtId="0" fontId="39" fillId="0" borderId="16" xfId="0" applyFont="1" applyBorder="1" applyAlignment="1" applyProtection="1">
      <alignment horizontal="center" wrapText="1"/>
    </xf>
    <xf numFmtId="0" fontId="39" fillId="0" borderId="11" xfId="0" applyFont="1" applyBorder="1" applyAlignment="1" applyProtection="1">
      <alignment horizontal="center" wrapText="1"/>
    </xf>
    <xf numFmtId="0" fontId="57" fillId="0" borderId="11" xfId="0" applyFont="1" applyFill="1" applyBorder="1" applyAlignment="1" applyProtection="1">
      <alignment horizontal="justify" vertical="center" wrapText="1"/>
    </xf>
    <xf numFmtId="0" fontId="57" fillId="0" borderId="57" xfId="0" applyFont="1" applyFill="1" applyBorder="1" applyAlignment="1" applyProtection="1">
      <alignment horizontal="justify" vertical="center" wrapText="1"/>
    </xf>
    <xf numFmtId="0" fontId="39" fillId="0" borderId="0" xfId="682" applyFont="1" applyAlignment="1">
      <alignment horizontal="justify" vertical="justify" wrapText="1"/>
    </xf>
    <xf numFmtId="0" fontId="57" fillId="27" borderId="0" xfId="682" applyFont="1" applyFill="1" applyAlignment="1">
      <alignment horizontal="center" vertical="center" wrapText="1"/>
    </xf>
    <xf numFmtId="0" fontId="44" fillId="0" borderId="37" xfId="26000" applyFont="1" applyBorder="1" applyAlignment="1" applyProtection="1">
      <alignment horizontal="left" vertical="top" wrapText="1"/>
      <protection locked="0"/>
    </xf>
    <xf numFmtId="0" fontId="44" fillId="0" borderId="38" xfId="26000" applyFont="1" applyBorder="1" applyAlignment="1" applyProtection="1">
      <alignment horizontal="left" vertical="top" wrapText="1"/>
      <protection locked="0"/>
    </xf>
    <xf numFmtId="0" fontId="44" fillId="0" borderId="39" xfId="26000" applyFont="1" applyBorder="1" applyAlignment="1" applyProtection="1">
      <alignment horizontal="left" vertical="top" wrapText="1"/>
      <protection locked="0"/>
    </xf>
    <xf numFmtId="0" fontId="44" fillId="0" borderId="15" xfId="26000" applyFont="1" applyBorder="1" applyAlignment="1" applyProtection="1">
      <alignment horizontal="left" vertical="top" wrapText="1"/>
      <protection locked="0"/>
    </xf>
    <xf numFmtId="0" fontId="44" fillId="0" borderId="0" xfId="26000" applyFont="1" applyAlignment="1" applyProtection="1">
      <alignment horizontal="left" vertical="top" wrapText="1"/>
      <protection locked="0"/>
    </xf>
    <xf numFmtId="0" fontId="44" fillId="0" borderId="60" xfId="26000" applyFont="1" applyBorder="1" applyAlignment="1" applyProtection="1">
      <alignment horizontal="left" vertical="top" wrapText="1"/>
      <protection locked="0"/>
    </xf>
    <xf numFmtId="0" fontId="44" fillId="0" borderId="40" xfId="26000" applyFont="1" applyBorder="1" applyAlignment="1" applyProtection="1">
      <alignment horizontal="left" vertical="top" wrapText="1"/>
      <protection locked="0"/>
    </xf>
    <xf numFmtId="0" fontId="44" fillId="0" borderId="41" xfId="26000" applyFont="1" applyBorder="1" applyAlignment="1" applyProtection="1">
      <alignment horizontal="left" vertical="top" wrapText="1"/>
      <protection locked="0"/>
    </xf>
    <xf numFmtId="0" fontId="44" fillId="0" borderId="42" xfId="26000" applyFont="1" applyBorder="1" applyAlignment="1" applyProtection="1">
      <alignment horizontal="left" vertical="top" wrapText="1"/>
      <protection locked="0"/>
    </xf>
    <xf numFmtId="0" fontId="57" fillId="0" borderId="0" xfId="26000" applyFont="1" applyAlignment="1">
      <alignment horizontal="center" vertical="top"/>
    </xf>
    <xf numFmtId="0" fontId="57" fillId="0" borderId="0" xfId="26000" applyFont="1" applyAlignment="1">
      <alignment horizontal="center" vertical="top" wrapText="1"/>
    </xf>
    <xf numFmtId="0" fontId="130" fillId="0" borderId="69" xfId="26000" applyFont="1" applyBorder="1" applyAlignment="1">
      <alignment horizontal="left" vertical="top" wrapText="1"/>
    </xf>
    <xf numFmtId="0" fontId="130" fillId="0" borderId="70" xfId="26000" applyFont="1" applyBorder="1" applyAlignment="1">
      <alignment horizontal="left" vertical="top" wrapText="1"/>
    </xf>
    <xf numFmtId="0" fontId="130" fillId="0" borderId="71" xfId="26000" applyFont="1" applyBorder="1" applyAlignment="1">
      <alignment horizontal="left" vertical="top" wrapText="1"/>
    </xf>
    <xf numFmtId="0" fontId="130" fillId="0" borderId="22" xfId="26000" applyFont="1" applyBorder="1" applyAlignment="1">
      <alignment horizontal="left" vertical="top" wrapText="1"/>
    </xf>
    <xf numFmtId="0" fontId="130" fillId="0" borderId="0" xfId="26000" applyFont="1" applyBorder="1" applyAlignment="1">
      <alignment horizontal="left" vertical="top" wrapText="1"/>
    </xf>
    <xf numFmtId="0" fontId="130" fillId="0" borderId="56" xfId="26000" applyFont="1" applyBorder="1" applyAlignment="1">
      <alignment horizontal="left" vertical="top" wrapText="1"/>
    </xf>
    <xf numFmtId="0" fontId="130" fillId="0" borderId="72" xfId="26000" applyFont="1" applyBorder="1" applyAlignment="1">
      <alignment horizontal="left" vertical="top" wrapText="1"/>
    </xf>
    <xf numFmtId="0" fontId="130" fillId="0" borderId="17" xfId="26000" applyFont="1" applyBorder="1" applyAlignment="1">
      <alignment horizontal="left" vertical="top" wrapText="1"/>
    </xf>
    <xf numFmtId="0" fontId="130" fillId="0" borderId="73" xfId="26000" applyFont="1" applyBorder="1" applyAlignment="1">
      <alignment horizontal="left" vertical="top" wrapText="1"/>
    </xf>
    <xf numFmtId="0" fontId="130" fillId="0" borderId="0" xfId="26000" applyFont="1" applyAlignment="1">
      <alignment horizontal="left" vertical="top" wrapText="1"/>
    </xf>
    <xf numFmtId="0" fontId="57" fillId="0" borderId="41" xfId="26000" applyFont="1" applyBorder="1" applyAlignment="1">
      <alignment horizontal="left"/>
    </xf>
  </cellXfs>
  <cellStyles count="32321">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2 2" xfId="29794" xr:uid="{F4742CAB-EE8A-4F65-A5A1-A8EA60CAE710}"/>
    <cellStyle name="Comma 10 2 2 2 3" xfId="24673" xr:uid="{DDF8ACA5-2AFD-4024-B635-F103D987427D}"/>
    <cellStyle name="Comma 10 2 2 2 4" xfId="30048" xr:uid="{3022D834-5AD4-4789-AA9A-422519C0A007}"/>
    <cellStyle name="Comma 10 2 2 3" xfId="4848" xr:uid="{8F94D0E0-B6FC-4A5A-96EA-540CD9CE6C5C}"/>
    <cellStyle name="Comma 10 2 2 3 2" xfId="28026" xr:uid="{9E108CF4-A88E-4CA8-B7DD-2946C5BBAD03}"/>
    <cellStyle name="Comma 10 2 2 3 2 2" xfId="31200" xr:uid="{B8614D68-E4D5-449A-AC4B-CDF4ED1EE035}"/>
    <cellStyle name="Comma 10 2 2 3 2 3" xfId="30641" xr:uid="{DFF08651-449D-4396-9E32-8C7D875A6813}"/>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4 2" xfId="29749" xr:uid="{CF5D2640-E526-43E0-BA56-AD4FA4FBFC5A}"/>
    <cellStyle name="Comma 10 2 3 5" xfId="23967" xr:uid="{872D2A5E-2248-4DBD-A4C8-F9817C8FE0C9}"/>
    <cellStyle name="Comma 10 2 3 5 2" xfId="29840" xr:uid="{53EBA3A0-8A8E-41BA-BEEA-5C5EFEDBB1D3}"/>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3" xfId="24996" xr:uid="{BCC21D0C-6164-4C0C-BE9D-19D73485CCD6}"/>
    <cellStyle name="Comma 10 2 4 3 2" xfId="29891" xr:uid="{3C345DA9-232A-4A53-AA10-55EDA166162A}"/>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2 2" xfId="29675" xr:uid="{910931E2-DB10-4C31-A77B-FB04EFA1DED8}"/>
    <cellStyle name="Comma 10 2 5 2 2 2" xfId="31157" xr:uid="{21B53B7A-B52F-4990-BABE-5580191787F7}"/>
    <cellStyle name="Comma 10 2 5 2 3" xfId="30640" xr:uid="{7EC80DBB-6F40-40B4-9324-B9E60C405E46}"/>
    <cellStyle name="Comma 10 2 5 3" xfId="25744" xr:uid="{0CB8BCFE-C336-455F-AB49-F3C7B1BC9CDD}"/>
    <cellStyle name="Comma 10 2 5 4" xfId="26726" xr:uid="{E10D12CB-9FC4-43DF-9506-CC26BADEEDA0}"/>
    <cellStyle name="Comma 10 2 6" xfId="22924" xr:uid="{6875A78D-7D82-435D-82A6-AE342806D5C5}"/>
    <cellStyle name="Comma 10 2 6 2" xfId="29717" xr:uid="{75234A64-AAA0-42BA-A9EA-3C0DB2735BB4}"/>
    <cellStyle name="Comma 10 2 7" xfId="28538" xr:uid="{DC7A2659-338F-45FE-B0DB-9DBBE3311BDD}"/>
    <cellStyle name="Comma 10 2 7 2" xfId="29672" xr:uid="{C346A8C2-3DB3-42DB-A377-6D31684099AA}"/>
    <cellStyle name="Comma 10 2 7 2 2" xfId="31209" xr:uid="{3241FD88-2E3A-4A7F-91A8-62B6F4940F71}"/>
    <cellStyle name="Comma 10 2 8" xfId="29838" xr:uid="{40B22064-AAF7-4863-8F25-65D531C30E59}"/>
    <cellStyle name="Comma 10 2 9" xfId="29983" xr:uid="{E9094487-74F6-4A84-A11B-7F3935258FB1}"/>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2 3" xfId="31002" xr:uid="{E590BC16-15EE-4924-8848-778D3E4A89CE}"/>
    <cellStyle name="Comma 10 3 4 2 4" xfId="30642" xr:uid="{4DFC3DE0-3B6C-4F74-9DAC-4286A1C1DC94}"/>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2 2" xfId="31214" xr:uid="{C5898CD3-95E5-4E55-97B3-E7DFF2EDE9B8}"/>
    <cellStyle name="Comma 10 4 2 2 2 3" xfId="30644" xr:uid="{15F7C382-4917-4D01-9DFB-DA9009983639}"/>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4" xfId="4391" xr:uid="{7996377A-9016-4AC6-B865-6A69B11B069A}"/>
    <cellStyle name="Comma 10 4 4 2" xfId="9163" xr:uid="{6CB582D5-41FF-4944-A280-0C4FE6078316}"/>
    <cellStyle name="Comma 10 4 4 2 2" xfId="19543" xr:uid="{27CC5494-322D-423C-BB28-E0A60C6110ED}"/>
    <cellStyle name="Comma 10 4 4 2 3" xfId="31057" xr:uid="{5579DD09-2BFB-4FE1-912C-2BC187101C35}"/>
    <cellStyle name="Comma 10 4 4 2 4" xfId="30643" xr:uid="{18A4DFC5-33A3-47FD-833B-2AE056D5805F}"/>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5 2" xfId="29930" xr:uid="{2A9D8251-9F42-44B6-AE30-1987BF1D4A0C}"/>
    <cellStyle name="Comma 10 4 5 2 2" xfId="30955" xr:uid="{E9011422-05E3-4560-AAC8-5B0377BA6E5B}"/>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4 2" xfId="29888" xr:uid="{6D06C6E3-D0AD-422D-A9DE-E301F61D463B}"/>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6 6" xfId="31267" xr:uid="{A4D5031B-2004-4538-BF8C-B4A048DF0DB4}"/>
    <cellStyle name="Comma 10 7" xfId="24295" xr:uid="{344DCAF3-DA96-45E3-9F88-C607554C61E4}"/>
    <cellStyle name="Comma 10 7 2" xfId="27814" xr:uid="{1067AA7F-8FEA-4C90-923A-936739E57666}"/>
    <cellStyle name="Comma 10 7 3" xfId="31152" xr:uid="{C5496218-A9DD-47F3-8C2E-81E3ADC8FD5D}"/>
    <cellStyle name="Comma 10 8" xfId="28005" xr:uid="{E7712595-FDE1-4527-8110-F08C9BD2B4D5}"/>
    <cellStyle name="Comma 10 9" xfId="26457" xr:uid="{34BF2C5E-A5C7-4A84-AB73-BFB00FFDC39F}"/>
    <cellStyle name="Comma 10 9 2" xfId="30398" xr:uid="{36D04115-A232-4017-8499-A0543DF30744}"/>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4 2" xfId="30079" xr:uid="{1277A8FD-6083-436E-99F1-F49C951033A8}"/>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4 2" xfId="29773" xr:uid="{687E3D0F-93F6-41FC-A263-BC359B09D7DC}"/>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2 5" xfId="30422" xr:uid="{9C10034A-DB87-4E31-9765-1BF6E5A23CE8}"/>
    <cellStyle name="Comma 11 3 3" xfId="3625" xr:uid="{00000000-0005-0000-0000-0000C3010000}"/>
    <cellStyle name="Comma 11 3 4" xfId="24017" xr:uid="{14E1B29C-AAA1-44F5-AD07-8E4FC697E6A9}"/>
    <cellStyle name="Comma 11 3 4 2" xfId="29748" xr:uid="{0055F465-A603-4D53-9DBD-2C902049CB61}"/>
    <cellStyle name="Comma 11 3 5" xfId="29890" xr:uid="{CCF74651-5B1C-4DDE-B115-CAD74F391071}"/>
    <cellStyle name="Comma 11 3 6" xfId="30008" xr:uid="{30856FF1-EAAD-4839-AAFB-735735686948}"/>
    <cellStyle name="Comma 11 4" xfId="1566" xr:uid="{00000000-0005-0000-0000-0000C4010000}"/>
    <cellStyle name="Comma 11 4 2" xfId="25795" xr:uid="{0F4819E6-8400-47DB-97BA-E4B83CC33474}"/>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2 5" xfId="31004" xr:uid="{E7EFB901-FFE8-4FD5-A500-07B63BEEACD2}"/>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2 2 2" xfId="29787" xr:uid="{62F9D09B-9FF7-422B-A32D-3D37D1704DEF}"/>
    <cellStyle name="Comma 12 2 2 2 2" xfId="30646" xr:uid="{BACC46BC-C29D-4BF8-8F5B-BCC14C871348}"/>
    <cellStyle name="Comma 12 2 3" xfId="29656" xr:uid="{B47812A9-F555-454A-8F3F-946EFB179A34}"/>
    <cellStyle name="Comma 12 2 4" xfId="30096" xr:uid="{F83BC86D-1566-4D14-ACFD-F33C31141344}"/>
    <cellStyle name="Comma 12 3" xfId="3626" xr:uid="{00000000-0005-0000-0000-0000C5010000}"/>
    <cellStyle name="Comma 12 3 2" xfId="29788" xr:uid="{33AA548C-D797-4568-9126-E3D501F4FDC8}"/>
    <cellStyle name="Comma 12 3 3" xfId="29658" xr:uid="{11D32195-315E-49FB-ABE2-A5A93DFF4A4E}"/>
    <cellStyle name="Comma 12 4" xfId="5538" xr:uid="{A85C391B-D1F2-4216-9318-8F0D3F6AE60C}"/>
    <cellStyle name="Comma 12 4 2" xfId="29742" xr:uid="{8C58184A-BAEB-4E53-8424-41182C888A46}"/>
    <cellStyle name="Comma 12 4 2 2" xfId="30645" xr:uid="{EDF49783-1110-4297-BDA9-D7B8F2510818}"/>
    <cellStyle name="Comma 12 4 3" xfId="30561" xr:uid="{BD86C246-5046-425B-9AA5-444941F4BC54}"/>
    <cellStyle name="Comma 12 5" xfId="23517" xr:uid="{07A7475F-DD9D-4311-BCE3-CDFB929ABEC3}"/>
    <cellStyle name="Comma 12 5 2" xfId="24228" xr:uid="{737B9A1D-50A5-487A-9FD7-3644CCD4DE49}"/>
    <cellStyle name="Comma 12 6" xfId="29839" xr:uid="{6E14ACA3-AD72-4CFF-AC57-1A7106AAB474}"/>
    <cellStyle name="Comma 12 7" xfId="29984" xr:uid="{7B26457B-B100-45C9-AEF8-717D44DFD419}"/>
    <cellStyle name="Comma 12 8" xfId="29657" xr:uid="{018DB76F-8040-473C-9051-83E285BBCC78}"/>
    <cellStyle name="Comma 13" xfId="4847" xr:uid="{98FB8AE3-8A74-4A04-B00D-D9411690E8F8}"/>
    <cellStyle name="Comma 13 2" xfId="23769" xr:uid="{8137F544-9DC0-4A1D-A743-03E39E4E26C7}"/>
    <cellStyle name="Comma 13 3" xfId="27979" xr:uid="{280881A1-6BC3-460B-B930-F17C044447D4}"/>
    <cellStyle name="Comma 13 3 2" xfId="29987" xr:uid="{450A7152-C174-465E-A145-7A65D7CDF750}"/>
    <cellStyle name="Comma 13 4" xfId="14135" xr:uid="{B486616B-8B26-4DA6-8C53-0516518C48A3}"/>
    <cellStyle name="Comma 13 5" xfId="29615" xr:uid="{5F5E5C0E-EC18-477B-9B73-CD31B3561E61}"/>
    <cellStyle name="Comma 13 6" xfId="29590" xr:uid="{FB89F83E-E37C-4FFC-BA48-F04575448186}"/>
    <cellStyle name="Comma 13 6 2" xfId="30105" xr:uid="{74667268-208E-4EAB-8D25-919982D3AA46}"/>
    <cellStyle name="Comma 13 7" xfId="31694" xr:uid="{2B7125CE-691E-46A9-A75B-A95548906904}"/>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17" xfId="30100" xr:uid="{30B0F030-09BF-4437-91FA-9ED25A3FEA9F}"/>
    <cellStyle name="Comma 18" xfId="31725" xr:uid="{5A735BE1-EE31-4062-BA14-CEB426306F19}"/>
    <cellStyle name="Comma 18 2" xfId="32023" xr:uid="{AA8B7EEC-41A8-47AC-B764-E6867CEAAA1F}"/>
    <cellStyle name="Comma 2" xfId="445" xr:uid="{00000000-0005-0000-0000-0000C6010000}"/>
    <cellStyle name="Comma 2 2" xfId="446" xr:uid="{00000000-0005-0000-0000-0000C7010000}"/>
    <cellStyle name="Comma 2 2 2" xfId="31730" xr:uid="{C33B1854-5409-47E0-9622-295106621573}"/>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2 6" xfId="31729" xr:uid="{B55E41AA-D6D3-4F04-B263-B9443017BE0A}"/>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3 6" xfId="31728" xr:uid="{631850A2-9161-4E7E-9629-4BE710A0A149}"/>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2 2" xfId="29827" xr:uid="{DE635B18-0487-4AE6-BFE3-D3C44E388539}"/>
    <cellStyle name="Comma 4 2 2 3" xfId="23122" xr:uid="{ECBCBC83-1276-4F3B-90ED-6EB6B5E3BEE4}"/>
    <cellStyle name="Comma 4 2 3" xfId="1572" xr:uid="{00000000-0005-0000-0000-0000CD010000}"/>
    <cellStyle name="Comma 4 2 3 2" xfId="31306" xr:uid="{49A9EC71-F7ED-4673-8683-2A4474D511C9}"/>
    <cellStyle name="Comma 4 2 3 3" xfId="31259" xr:uid="{23FD20D2-6052-4A6D-AD0A-35FA86F58AFB}"/>
    <cellStyle name="Comma 4 2 4" xfId="1570" xr:uid="{00000000-0005-0000-0000-0000CE010000}"/>
    <cellStyle name="Comma 4 2 5" xfId="30400" xr:uid="{5DA86F6A-D3C0-4A5F-9842-2E156ABF6968}"/>
    <cellStyle name="Comma 4 2 5 2" xfId="30423" xr:uid="{9B6E160E-E0CE-4CCE-BEB0-650117FAFF0C}"/>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3 2" xfId="31307" xr:uid="{562EDFC7-98B1-48F5-955F-063537062A1F}"/>
    <cellStyle name="Comma 4 4 3 3" xfId="31270" xr:uid="{16BF9C11-0CAE-4CE6-9869-9C95A116E155}"/>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6 3" xfId="29822" xr:uid="{74EDB160-7CBA-4494-B188-F170C704F614}"/>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6 2" xfId="31308" xr:uid="{3EE936EE-7448-454D-8369-0075FED3742F}"/>
    <cellStyle name="Comma 4 6 3" xfId="31258" xr:uid="{AFF60B54-71D9-4F5E-95FC-6C8E9DA513F1}"/>
    <cellStyle name="Comma 4 7" xfId="29547" xr:uid="{B78349B5-AC35-4642-873C-F8F50234A6AC}"/>
    <cellStyle name="Comma 4 7 2" xfId="30399" xr:uid="{D7B37039-F76C-4235-9170-2C1DDBE8BE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2 2 2" xfId="31141" xr:uid="{BC4DE43E-54B6-47AE-8D8D-5E090F90402D}"/>
    <cellStyle name="Comma 5 10 2 2 2 2 3" xfId="30648" xr:uid="{780AA264-0FC4-467A-BD71-C14BFA2B4099}"/>
    <cellStyle name="Comma 5 10 2 2 3" xfId="10924" xr:uid="{B5528361-C365-4949-B220-3DC910C95B2B}"/>
    <cellStyle name="Comma 5 10 2 2 3 2" xfId="21304" xr:uid="{03F24B28-9B30-484A-95F2-76CD18C333A5}"/>
    <cellStyle name="Comma 5 10 2 2 4" xfId="23027" xr:uid="{6ED6C659-6C8B-4E98-AD16-21CAEAAA3990}"/>
    <cellStyle name="Comma 5 10 2 2 4 2" xfId="30078" xr:uid="{5D480D1D-8388-4F62-9CF4-9DBF9FA54D95}"/>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4 2" xfId="29774" xr:uid="{1FDA87F3-3FD6-448E-9F67-39316B95EE76}"/>
    <cellStyle name="Comma 5 10 2 4 2 2" xfId="31493" xr:uid="{1199F9C1-2C32-4C48-9889-51EEF7A981C2}"/>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2 2 2" xfId="31134" xr:uid="{D66B271E-31C5-428C-ACF2-9245CA7B6F3D}"/>
    <cellStyle name="Comma 5 10 3 2 2 2 3" xfId="30649" xr:uid="{5209E49B-98EE-4AAE-8B20-56D727995719}"/>
    <cellStyle name="Comma 5 10 3 2 3" xfId="10621" xr:uid="{B59C76FD-A4E9-4866-9F1E-6518BC0C5396}"/>
    <cellStyle name="Comma 5 10 3 2 3 2" xfId="21001" xr:uid="{47E7FFC6-63B5-4650-B36B-84C80C2755B8}"/>
    <cellStyle name="Comma 5 10 3 2 4" xfId="15335" xr:uid="{62DDD7AA-A1D8-420F-846E-73F0CBC3D630}"/>
    <cellStyle name="Comma 5 10 3 2 5" xfId="30424" xr:uid="{0D3BEB3D-D227-4EB9-9B37-EBD8C7DD146B}"/>
    <cellStyle name="Comma 5 10 3 3" xfId="3623" xr:uid="{00000000-0005-0000-0000-0000E0010000}"/>
    <cellStyle name="Comma 5 10 3 4" xfId="5540" xr:uid="{2F4176BB-1147-4705-9BF5-3478E814BF1F}"/>
    <cellStyle name="Comma 5 10 3 4 2" xfId="29750" xr:uid="{C0AE8EE6-7BBE-424E-806D-886FC26B0A0A}"/>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5" xfId="3859" xr:uid="{F8C8D734-DCC5-4C88-B842-664E1299CBF0}"/>
    <cellStyle name="Comma 5 10 5 2" xfId="8691" xr:uid="{5E5913C1-036C-42F6-8350-C4BD4BAE9EF4}"/>
    <cellStyle name="Comma 5 10 5 2 2" xfId="28963" xr:uid="{7ED6E5D1-F2F9-47D7-B3B9-B23DAC9DEA56}"/>
    <cellStyle name="Comma 5 10 5 2 2 2" xfId="31241" xr:uid="{A60BA2E9-5E09-4F2A-9DB6-B3FEE45D40DC}"/>
    <cellStyle name="Comma 5 10 5 2 2 3" xfId="30647" xr:uid="{10006A27-5DF4-43B7-AE9F-0CE667495F20}"/>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2 2 2" xfId="31142" xr:uid="{BEACBA90-14BE-4F92-B5E7-3C26563FBC82}"/>
    <cellStyle name="Comma 5 11 2 2 2 2 3" xfId="30650" xr:uid="{EE401E08-5210-4185-B9F9-C2D3DC80A78B}"/>
    <cellStyle name="Comma 5 11 2 2 2 3" xfId="30081" xr:uid="{E6661E45-819E-42CB-8A7D-43A8E81FC579}"/>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4 2" xfId="29775" xr:uid="{5B89B83B-E1C6-40C5-AF29-1ADC272529C9}"/>
    <cellStyle name="Comma 5 11 2 5" xfId="22728" xr:uid="{8D9ECDAE-292F-46A0-BFD2-DA9957370FAD}"/>
    <cellStyle name="Comma 5 11 2 6" xfId="13515" xr:uid="{39ABB685-FAC4-4C1E-B36A-85BFF7734362}"/>
    <cellStyle name="Comma 5 11 2 7" xfId="29988" xr:uid="{A3343EC1-8F20-4E29-86BB-E29B03AAC49D}"/>
    <cellStyle name="Comma 5 11 3" xfId="1588" xr:uid="{00000000-0005-0000-0000-0000E4010000}"/>
    <cellStyle name="Comma 5 11 3 2" xfId="23724" xr:uid="{DE4AAC3D-5400-4129-ACD2-D8964E8AE622}"/>
    <cellStyle name="Comma 5 11 3 2 2" xfId="29678" xr:uid="{9474F383-D5BD-41F9-8619-741081722E0E}"/>
    <cellStyle name="Comma 5 11 3 2 2 2" xfId="30651" xr:uid="{14E09C75-6A48-4605-B0CF-75A08A9D1184}"/>
    <cellStyle name="Comma 5 11 3 3" xfId="25078" xr:uid="{C5B7A41E-9D71-47D2-9EF7-127D9DBA2D47}"/>
    <cellStyle name="Comma 5 11 3 3 2" xfId="30089" xr:uid="{234EB7E4-AF97-4EA4-B207-EBADEEC79F40}"/>
    <cellStyle name="Comma 5 11 3 3 3" xfId="29790" xr:uid="{93461E03-FAE1-47C5-BE60-8136A914F2E8}"/>
    <cellStyle name="Comma 5 11 3 4" xfId="29931" xr:uid="{ED92591A-7C8B-4C2B-9824-630241CBB16F}"/>
    <cellStyle name="Comma 5 11 3 5" xfId="30049" xr:uid="{A605A163-DF82-49C7-BA28-2842EBC3D630}"/>
    <cellStyle name="Comma 5 11 3 6" xfId="29659" xr:uid="{88614ECA-9FAA-44D9-8706-EB4957BA3CF1}"/>
    <cellStyle name="Comma 5 11 4" xfId="1586" xr:uid="{00000000-0005-0000-0000-0000E5010000}"/>
    <cellStyle name="Comma 5 11 4 2" xfId="25781" xr:uid="{DBEBD298-D49E-492E-82DD-D45AE9C70099}"/>
    <cellStyle name="Comma 5 11 4 2 2" xfId="29791" xr:uid="{6E3F2F72-313F-4976-A168-08F65B495545}"/>
    <cellStyle name="Comma 5 11 4 2 2 2" xfId="30652" xr:uid="{DD9EEB0E-77BF-4E10-96B5-564B49FC67E2}"/>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2 2" xfId="29803" xr:uid="{28069167-96F1-4760-B171-26C9359F893A}"/>
    <cellStyle name="Comma 5 12 2 2 2 2" xfId="30654" xr:uid="{1C15ADE8-9C6B-4E22-ABDB-1CDE3C1EAEF3}"/>
    <cellStyle name="Comma 5 12 2 3" xfId="25392" xr:uid="{743C3469-6FF5-41E6-ABC2-03AE1A3F0028}"/>
    <cellStyle name="Comma 5 12 2 3 2" xfId="30095" xr:uid="{8FDA08CE-536E-4BFE-98F8-7C70F6A1D15C}"/>
    <cellStyle name="Comma 5 12 2 3 3" xfId="29789" xr:uid="{4BBFA82A-C001-427F-A921-B1CB7AFDA3A9}"/>
    <cellStyle name="Comma 5 12 2 4" xfId="29920" xr:uid="{004245DF-BDE0-4333-8AC4-755018D8E4AD}"/>
    <cellStyle name="Comma 5 12 2 5" xfId="30034" xr:uid="{0ACE1595-6482-489E-B630-577F27B231A3}"/>
    <cellStyle name="Comma 5 12 2 6" xfId="29654" xr:uid="{2C57DB15-B736-4E88-AEC9-323F5ACFBD95}"/>
    <cellStyle name="Comma 5 12 3" xfId="1591" xr:uid="{00000000-0005-0000-0000-0000E8010000}"/>
    <cellStyle name="Comma 5 12 3 2" xfId="23256" xr:uid="{6D57B10A-6741-4069-93BF-29EFDF4F6C0B}"/>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5 2 2" xfId="31113" xr:uid="{C0AE9176-2E0B-4399-B7EF-13AFE3E0D51C}"/>
    <cellStyle name="Comma 5 12 5 2 3" xfId="30653" xr:uid="{540D4B2D-5839-41C4-BB67-C634993101F7}"/>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2 2 2" xfId="31131" xr:uid="{449A2E8F-2AC7-47DC-B478-E5E05118B3AB}"/>
    <cellStyle name="Comma 5 13 2 2 2 3" xfId="30655" xr:uid="{9E013BF8-2A6D-4407-97E0-37CC1EB70273}"/>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4 2" xfId="29743" xr:uid="{83290D88-98BF-4B31-878D-137425176835}"/>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2 2" xfId="31195" xr:uid="{A859EBA4-C66C-49BD-9DEA-1AB3109F716F}"/>
    <cellStyle name="Comma 5 14 2 2 3" xfId="30656" xr:uid="{BEC1FD1F-B5EC-4F1A-BCDF-25B7ACE13F58}"/>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10" xfId="30621" xr:uid="{6CBFC4BF-7DDA-4C8A-94A9-9E3C38E62A4B}"/>
    <cellStyle name="Comma 5 2 11" xfId="30919" xr:uid="{8F444BA6-836C-451D-A598-AB3984741623}"/>
    <cellStyle name="Comma 5 2 2" xfId="460" xr:uid="{00000000-0005-0000-0000-0000EC010000}"/>
    <cellStyle name="Comma 5 2 2 2" xfId="1594" xr:uid="{00000000-0005-0000-0000-0000ED010000}"/>
    <cellStyle name="Comma 5 2 2 2 2" xfId="30598" xr:uid="{F2BDA96F-A29A-44D4-96C7-93F474199524}"/>
    <cellStyle name="Comma 5 2 2 2 2 2" xfId="30658" xr:uid="{7828C1F8-5535-4B0E-A3F8-9190370F23A7}"/>
    <cellStyle name="Comma 5 2 2 2 3" xfId="30562" xr:uid="{FE94402B-6C78-43D2-9887-F6959E6CC981}"/>
    <cellStyle name="Comma 5 2 2 2 4" xfId="30927" xr:uid="{3089C8D7-EDC7-49C2-98BE-A8D0DB944D04}"/>
    <cellStyle name="Comma 5 2 2 3" xfId="1595" xr:uid="{00000000-0005-0000-0000-0000EE010000}"/>
    <cellStyle name="Comma 5 2 2 3 2" xfId="30614" xr:uid="{8A82B498-C017-42E6-9D27-435A4DAFCF79}"/>
    <cellStyle name="Comma 5 2 2 3 2 2" xfId="30659" xr:uid="{84E2DE58-A4C0-4259-9280-0F10CD7AD0EB}"/>
    <cellStyle name="Comma 5 2 2 3 3" xfId="30575" xr:uid="{08126CC7-7B32-4987-B56B-3E8A92004100}"/>
    <cellStyle name="Comma 5 2 2 3 4" xfId="30941" xr:uid="{85BC386F-6704-42BC-B35B-A909453864AD}"/>
    <cellStyle name="Comma 5 2 2 4" xfId="1593" xr:uid="{00000000-0005-0000-0000-0000EF010000}"/>
    <cellStyle name="Comma 5 2 2 4 2" xfId="30550" xr:uid="{2B6B9656-2890-4C76-9E86-2F9A400B5207}"/>
    <cellStyle name="Comma 5 2 2 4 2 2" xfId="30660" xr:uid="{ABCDE278-9ADF-4B7C-B51D-6A70B9BEFAB0}"/>
    <cellStyle name="Comma 5 2 2 5" xfId="6599" xr:uid="{273D3645-09BF-4A18-A4AB-EDE25B05A3A6}"/>
    <cellStyle name="Comma 5 2 2 5 2" xfId="16979" xr:uid="{2C95035C-ACBA-47B5-BDB7-B687EB0B1702}"/>
    <cellStyle name="Comma 5 2 2 5 2 2" xfId="30657" xr:uid="{E4E4FE59-056E-41F0-8A6A-EBAEB1C31ADE}"/>
    <cellStyle name="Comma 5 2 2 5 3" xfId="30425" xr:uid="{81309697-6C75-42F8-A5FC-85A5EDEE9FEF}"/>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3 2" xfId="31243" xr:uid="{794021D0-B7E1-43D6-8B4B-606F025E00C3}"/>
    <cellStyle name="Comma 5 2 3 3" xfId="30410" xr:uid="{8B4B4793-C486-440B-BCBB-9B72DFB4032F}"/>
    <cellStyle name="Comma 5 2 4" xfId="29548" xr:uid="{508F08B6-13CA-453B-BC60-59F1E4465DDC}"/>
    <cellStyle name="Comma 5 2 4 2" xfId="30426" xr:uid="{30BD32B9-0394-4F1A-8237-D6AC5BD7AB92}"/>
    <cellStyle name="Comma 5 2 4 2 2" xfId="30599" xr:uid="{7C326B72-A0A1-4BC5-AB91-EEAB81161F94}"/>
    <cellStyle name="Comma 5 2 4 2 2 2" xfId="30661" xr:uid="{ED5AF7EF-0B78-407A-864D-EEEBE05E98FC}"/>
    <cellStyle name="Comma 5 2 4 2 3" xfId="30563" xr:uid="{92CD2FD6-65B4-444B-9BD4-8BD03B652048}"/>
    <cellStyle name="Comma 5 2 4 2 4" xfId="30928" xr:uid="{9F33CA11-07C6-481C-A78E-213CF504BA88}"/>
    <cellStyle name="Comma 5 2 4 3" xfId="30551" xr:uid="{0F4C2308-2688-446C-A27E-BFCE11140C68}"/>
    <cellStyle name="Comma 5 2 4 3 2" xfId="30633" xr:uid="{CFB4CA51-42B2-4BF5-9AF9-673F00BD5CFD}"/>
    <cellStyle name="Comma 5 2 4 3 3" xfId="30943" xr:uid="{35CEEE63-7BB2-4EEA-83CF-5333A9F63EF4}"/>
    <cellStyle name="Comma 5 2 4 4" xfId="30581" xr:uid="{79C2FE9C-BC47-45D3-81C7-55923423D801}"/>
    <cellStyle name="Comma 5 2 4 5" xfId="30622" xr:uid="{2D2FE097-3E58-4E43-B405-32F2F658B65A}"/>
    <cellStyle name="Comma 5 2 4 6" xfId="30920" xr:uid="{FFFC894D-F0FF-4CEA-9DAF-F49F3E52EACB}"/>
    <cellStyle name="Comma 5 2 4 7" xfId="31242" xr:uid="{2E5D930F-8B70-4941-B7AD-A1A539EE389A}"/>
    <cellStyle name="Comma 5 2 4 8" xfId="30411" xr:uid="{2F788AFF-2365-4173-9AD4-9EB5EE2CD90F}"/>
    <cellStyle name="Comma 5 2 5" xfId="30412" xr:uid="{1B854D74-2C11-4B25-A896-E9F8E6D4D71C}"/>
    <cellStyle name="Comma 5 2 5 2" xfId="30427" xr:uid="{C24CF4A1-604C-4A78-A752-E05C845168E9}"/>
    <cellStyle name="Comma 5 2 5 2 2" xfId="30600" xr:uid="{10A672CB-2ACF-4A8A-BC8B-83FA20866661}"/>
    <cellStyle name="Comma 5 2 5 2 2 2" xfId="30662" xr:uid="{96AF56BC-6E91-454F-A913-1B5EF260B524}"/>
    <cellStyle name="Comma 5 2 5 2 3" xfId="30564" xr:uid="{EB087388-5735-47DA-A778-C37D3BA09F7B}"/>
    <cellStyle name="Comma 5 2 5 2 4" xfId="30929" xr:uid="{9C5FD4B9-51E1-40C8-A1C0-B9DA63A12820}"/>
    <cellStyle name="Comma 5 2 5 3" xfId="30582" xr:uid="{594004CE-4C85-49C3-98D5-50D24316BFB4}"/>
    <cellStyle name="Comma 5 2 5 3 2" xfId="30634" xr:uid="{5DF27414-0425-4CEA-9FF2-B029A5DDBF7D}"/>
    <cellStyle name="Comma 5 2 5 3 3" xfId="30944" xr:uid="{7FF4A0CA-6FEC-4011-9105-1F245F102EA7}"/>
    <cellStyle name="Comma 5 2 5 4" xfId="30623" xr:uid="{8D5CFC01-28FD-48B9-B5AE-BF61C0025B69}"/>
    <cellStyle name="Comma 5 2 5 5" xfId="30921" xr:uid="{8B4C09D8-9DF0-4BAC-A0B6-095950680402}"/>
    <cellStyle name="Comma 5 2 6" xfId="30549" xr:uid="{5C64EDE1-D10D-405A-BEBE-498A5BCE0F98}"/>
    <cellStyle name="Comma 5 2 7" xfId="30572" xr:uid="{02BF2878-498D-48D7-8F68-577919C83D6F}"/>
    <cellStyle name="Comma 5 2 7 2" xfId="30611" xr:uid="{C0CD91E5-D6C5-434A-96EB-1B3A036C6BBA}"/>
    <cellStyle name="Comma 5 2 7 3" xfId="30630" xr:uid="{F8EDEA31-A8F6-431F-BA36-CFAAABCD185E}"/>
    <cellStyle name="Comma 5 2 7 4" xfId="30937" xr:uid="{47F7B796-4D4E-4909-966E-3439D41D5605}"/>
    <cellStyle name="Comma 5 2 8" xfId="30547" xr:uid="{B1DF5FDB-1841-4554-815D-7CDC6C437CC6}"/>
    <cellStyle name="Comma 5 2 9" xfId="30579" xr:uid="{A369C976-3FD5-4322-AB61-3F6F862BE607}"/>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4" xfId="24773" xr:uid="{F6C426D8-D850-4C02-A12E-6C68D7A11502}"/>
    <cellStyle name="Comma 5 3 2 2 2 3 5" xfId="15338" xr:uid="{16A4BAA9-88C4-414D-BFF5-062C8FED3C61}"/>
    <cellStyle name="Comma 5 3 2 2 2 4" xfId="3630" xr:uid="{00000000-0005-0000-0000-0000F3010000}"/>
    <cellStyle name="Comma 5 3 2 2 2 5" xfId="4252" xr:uid="{9B0E90D9-C0F7-49FF-A548-FF90C88E6C49}"/>
    <cellStyle name="Comma 5 3 2 2 2 5 2" xfId="9024" xr:uid="{DB214821-C42B-4F8D-9BBF-71FC6C4AEED3}"/>
    <cellStyle name="Comma 5 3 2 2 2 5 2 2" xfId="19404" xr:uid="{3CCFE505-B22F-4BE5-BFD5-27F625009463}"/>
    <cellStyle name="Comma 5 3 2 2 2 5 2 3" xfId="31028" xr:uid="{D5BC14E3-2A5D-4C04-A1B3-FB7278D938D5}"/>
    <cellStyle name="Comma 5 3 2 2 2 5 2 4" xfId="30663" xr:uid="{88978C8C-DE0D-41D5-B666-4404FA6D88AC}"/>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6 2" xfId="29893" xr:uid="{9C519322-6E9C-4E0B-84A2-5A544F46923B}"/>
    <cellStyle name="Comma 5 3 2 2 2 6 2 2" xfId="30956" xr:uid="{405A5DEB-8EC3-4ABC-8B7D-3B894A42504F}"/>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4" xfId="4392" xr:uid="{933C8226-C46F-4342-AB1B-1DC1B1F37B70}"/>
    <cellStyle name="Comma 5 3 2 2 3 4 2" xfId="9164" xr:uid="{08B4E032-80CB-4825-8075-E7E720E1D674}"/>
    <cellStyle name="Comma 5 3 2 2 3 4 2 2" xfId="19544" xr:uid="{5E6B521C-CC61-48D2-A240-A3DE4FF65289}"/>
    <cellStyle name="Comma 5 3 2 2 3 4 2 3" xfId="31058" xr:uid="{7B903B43-0C6D-49A6-9727-D8D888B7F2E1}"/>
    <cellStyle name="Comma 5 3 2 2 3 4 2 4" xfId="30664" xr:uid="{041D7F03-0160-44D8-BDD1-0265CDA0BADC}"/>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5 2" xfId="29934" xr:uid="{494685AF-0887-4B2F-B673-AAA2D6A71859}"/>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4 2" xfId="29933" xr:uid="{9B2CC529-1177-42F3-BD02-4244CA3CA83A}"/>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2 5" xfId="31026" xr:uid="{5C44E956-2742-49E9-8428-22740D671C8D}"/>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2 3" xfId="31162" xr:uid="{6B1BD7C4-2E44-416A-8483-EDEB32572E10}"/>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2 3" xfId="31027" xr:uid="{DE62BA68-8C4C-4A75-84AA-7F79DFE185D2}"/>
    <cellStyle name="Comma 5 3 2 3 5 2 4" xfId="30665" xr:uid="{40E91CE9-FAE0-4A4A-BB16-C0782A9D60D7}"/>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6 2" xfId="29718" xr:uid="{E2CF8A21-A49D-4062-A218-0B7CB0D745A6}"/>
    <cellStyle name="Comma 5 3 2 3 6 2 2" xfId="30957" xr:uid="{8F8C2ECC-CE5A-415D-A9CD-A9A3EDB1C7F9}"/>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2 2" xfId="31215" xr:uid="{C3151A16-BBA8-47F1-A872-2F3F10860F06}"/>
    <cellStyle name="Comma 5 3 2 4 2 2 2 3" xfId="30667" xr:uid="{1B5DB8C6-AAB9-479C-98EA-E8DAB47A0D09}"/>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4" xfId="4393" xr:uid="{A11BE978-7C2A-4394-B26B-C7F4156424D0}"/>
    <cellStyle name="Comma 5 3 2 4 4 2" xfId="9165" xr:uid="{ABCD93B8-6116-4838-BC4E-BD3F86BD9464}"/>
    <cellStyle name="Comma 5 3 2 4 4 2 2" xfId="19545" xr:uid="{7303CAFF-93EF-4D28-99B6-A7799A67C027}"/>
    <cellStyle name="Comma 5 3 2 4 4 2 3" xfId="31059" xr:uid="{266785F0-BEB9-43B7-A016-7C4C3192ADB9}"/>
    <cellStyle name="Comma 5 3 2 4 4 2 4" xfId="30666" xr:uid="{3AD4EE4D-9551-418A-A0B9-356D5465EE8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5 2" xfId="29935" xr:uid="{33DA0D6C-2126-4F0E-A5AD-154CF23F8B14}"/>
    <cellStyle name="Comma 5 3 2 4 5 2 2" xfId="30958" xr:uid="{B6288167-F3EF-48C0-9EAE-9F49B165C7FC}"/>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4 2" xfId="29932" xr:uid="{25AF1F10-0E1C-4936-BC83-2F9C841885FC}"/>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2 2" xfId="31204" xr:uid="{53FEDC8F-7233-40C0-B6A8-00E9C84B4D91}"/>
    <cellStyle name="Comma 5 3 2 6 2 2 3" xfId="30668" xr:uid="{55A9D467-3BFB-4E0E-9EC3-17611FFA3CE0}"/>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2 3" xfId="31153" xr:uid="{E1BB7096-EC90-4029-B5A7-0FAD42F4C98A}"/>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2 3" xfId="31029" xr:uid="{C0D2D35F-E7B3-441D-B8A9-807C30CBF4A0}"/>
    <cellStyle name="Comma 5 3 3 2 5 2 4" xfId="30670" xr:uid="{17AF4E78-0E6D-4FCF-AFAC-0D2D6FE5164D}"/>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6 2" xfId="29719" xr:uid="{96A1D024-8268-4E76-B2EC-700DAF216034}"/>
    <cellStyle name="Comma 5 3 3 2 6 2 2" xfId="30959" xr:uid="{DAE0FF1E-EF08-43F3-A73C-BAA7B7306C91}"/>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2 3" xfId="31060" xr:uid="{4C1E76E2-FBC7-4E4E-BC49-BD83C1CFD7C0}"/>
    <cellStyle name="Comma 5 3 3 3 4 2 4" xfId="30671" xr:uid="{8927AF79-460F-4196-92BC-16D0CE048F72}"/>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5 2" xfId="29699" xr:uid="{81B28F9D-8AA9-4910-9A48-4EE65C1022E0}"/>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4" xfId="5550" xr:uid="{5EA18817-182A-4DFF-8D89-0C3B4AD4769E}"/>
    <cellStyle name="Comma 5 3 3 4 4 2" xfId="29936" xr:uid="{F801DD17-8BA2-4F48-B19F-F2110F15120C}"/>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2 3" xfId="31003" xr:uid="{5E573AEF-FC93-4A83-AC2B-6937BAD6C83E}"/>
    <cellStyle name="Comma 5 3 3 7 2 4" xfId="30669" xr:uid="{F7EA0D66-97C4-40F3-A931-FCFE523E7601}"/>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4" xfId="5553" xr:uid="{35E0FB29-70AE-49EE-AD4C-77EC9E6EEAEA}"/>
    <cellStyle name="Comma 5 3 4 2 4 2" xfId="29937" xr:uid="{F7D8417D-86B8-44F3-8192-B6ED212C1704}"/>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4 2" xfId="29892" xr:uid="{28B005BD-8B7C-45F5-88C2-4C22FDFB4F10}"/>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2 3" xfId="31006" xr:uid="{652E968E-D3FA-4707-B01D-97094D6B1424}"/>
    <cellStyle name="Comma 5 3 4 5 2 4" xfId="30672" xr:uid="{4E2D6263-25F4-463D-94D3-1CFE66A370DC}"/>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2 2" xfId="31216" xr:uid="{4560F66A-A4EC-44A6-90F1-5DA7986E04EA}"/>
    <cellStyle name="Comma 5 3 5 2 2 2 3" xfId="30674" xr:uid="{DCC66FAA-4E41-4EFB-9B03-216E82F99718}"/>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2 3" xfId="31061" xr:uid="{157988F9-5057-414A-B1C6-730F9F4629FF}"/>
    <cellStyle name="Comma 5 3 5 4 2 4" xfId="30673" xr:uid="{BC30637A-9309-45D6-B3EA-4136BB8A9DA2}"/>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5 2" xfId="29688" xr:uid="{F9F675D5-8113-4588-A3AE-224FC6F06B9F}"/>
    <cellStyle name="Comma 5 3 5 5 2 2" xfId="30960" xr:uid="{7875E500-DBEB-4CA4-AF12-2A9373028ADD}"/>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2 2" xfId="31189" xr:uid="{2214C770-FEBD-4FB2-8153-96FA46F9B13C}"/>
    <cellStyle name="Comma 5 3 6 2 2 2 3" xfId="30675" xr:uid="{70A150DB-6F83-42B0-A715-A16026A0644F}"/>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4" xfId="5556" xr:uid="{C05D109D-6652-4B9A-B615-B29DAFDDCF9C}"/>
    <cellStyle name="Comma 5 3 6 4 2" xfId="29921" xr:uid="{C51E7046-954C-4FA0-81CA-3ABC12CDE141}"/>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4 2" xfId="29868" xr:uid="{148AE6C6-3C9E-4E6D-95C0-D85C88EDADA5}"/>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2 2 2" xfId="31121" xr:uid="{CF07C3AB-2C4D-472D-BC21-58F5BE798A45}"/>
    <cellStyle name="Comma 5 3 8 2 2 3" xfId="30676" xr:uid="{DD5071D3-B176-4A5E-B3EE-C9BC5649DD83}"/>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4" xfId="25738" xr:uid="{82C15EC4-AA15-4183-B53D-1323C89E1F7D}"/>
    <cellStyle name="Comma 5 4 2 2 2 2 5" xfId="15652" xr:uid="{62961680-01A7-4209-8590-52B26877995D}"/>
    <cellStyle name="Comma 5 4 2 2 2 3" xfId="2043" xr:uid="{00000000-0005-0000-0000-000007020000}"/>
    <cellStyle name="Comma 5 4 2 2 2 4" xfId="5559" xr:uid="{9B0E2C47-CA6A-4D5E-AD71-7458A8ABD26C}"/>
    <cellStyle name="Comma 5 4 2 2 2 4 2" xfId="29939" xr:uid="{E77E4B37-1023-473D-B823-A966092B7334}"/>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3 3 2" xfId="29895" xr:uid="{F005C7EF-F97C-4135-81B0-7BB5D359B727}"/>
    <cellStyle name="Comma 5 4 2 2 3 4" xfId="30010" xr:uid="{BEF40FD6-867C-4F0E-B7D5-D2A9EEDAE25F}"/>
    <cellStyle name="Comma 5 4 2 2 4" xfId="1613" xr:uid="{00000000-0005-0000-0000-000009020000}"/>
    <cellStyle name="Comma 5 4 2 2 4 2" xfId="26903" xr:uid="{8B3A6ADC-228E-48ED-A885-CFF25D8A396D}"/>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2 3" xfId="31031" xr:uid="{B6F58660-A39C-4763-8A43-9C253FD9994C}"/>
    <cellStyle name="Comma 5 4 2 2 5 2 4" xfId="30677" xr:uid="{3DD2E12D-D946-4D8E-BE9E-BC2E33A64C5A}"/>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2 2" xfId="31217" xr:uid="{D2B06BC6-FAB0-4DD2-A415-01FA1A682016}"/>
    <cellStyle name="Comma 5 4 2 3 2 2 2 3" xfId="30679" xr:uid="{6F17634A-C656-4BDE-ABDE-631F7F98A05E}"/>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2 3" xfId="31062" xr:uid="{D3CF83B4-480B-415E-AF73-CCC5FA70C824}"/>
    <cellStyle name="Comma 5 4 2 3 4 2 4" xfId="30678" xr:uid="{10FA5DDB-8E66-4A39-BFBF-D09CDB0960E7}"/>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5 2" xfId="29689" xr:uid="{9F3CE6F8-799E-4FBC-A9D4-FAF867C49683}"/>
    <cellStyle name="Comma 5 4 2 3 5 2 2" xfId="30961" xr:uid="{F99190AE-028F-4301-BB9F-1110E074192D}"/>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4" xfId="5561" xr:uid="{367EBB3B-9A5D-4E70-8502-526CC8EEFD64}"/>
    <cellStyle name="Comma 5 4 2 4 4 2" xfId="29938" xr:uid="{397CB543-DEA8-462F-98D6-8A7C5CBC8C95}"/>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4 2" xfId="29874" xr:uid="{B8527FC9-A446-4C93-90A2-78F2ABD5D9FB}"/>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2 3" xfId="31159" xr:uid="{E403FF4C-B1E8-42E1-9ECF-5008D27D4796}"/>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2 3" xfId="31032" xr:uid="{DEF4EEB6-28AB-41BA-BFF2-7A7C61321EAB}"/>
    <cellStyle name="Comma 5 4 3 2 5 2 4" xfId="30681" xr:uid="{4EF6A5C3-375D-4403-9D1B-8D91B43C7AAA}"/>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6 2" xfId="29720" xr:uid="{1A4A5A7C-7351-43D2-B3DF-864B1C97F00E}"/>
    <cellStyle name="Comma 5 4 3 2 6 2 2" xfId="30962" xr:uid="{4E9CD10B-1971-4E18-B1AD-EC7A5CB51431}"/>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2 3" xfId="31063" xr:uid="{4ECFCCE6-377C-43EB-B657-8F00BA251960}"/>
    <cellStyle name="Comma 5 4 3 3 4 2 4" xfId="30682" xr:uid="{3876AF0A-6E4D-4053-9A80-038F6DCD8EF8}"/>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5 2" xfId="29705" xr:uid="{B15CE909-C9C3-40A0-8455-FE5E12A46018}"/>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4" xfId="5562" xr:uid="{7C03D70E-5086-4C6D-89E3-E9DB53357221}"/>
    <cellStyle name="Comma 5 4 3 4 4 2" xfId="29940" xr:uid="{0A80C9F8-3AA4-40ED-9AE4-5B274546AA28}"/>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2 3" xfId="31007" xr:uid="{F0229DE4-DA70-4444-888D-FB38F150BD65}"/>
    <cellStyle name="Comma 5 4 3 6 2 4" xfId="30680" xr:uid="{B578D268-E4DF-43C5-9C96-327C24967103}"/>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4" xfId="5565" xr:uid="{D16A0D10-FBA3-4EA5-8CE1-1E4196985AAF}"/>
    <cellStyle name="Comma 5 4 4 2 4 2" xfId="29941" xr:uid="{F25E46E9-8558-4043-ADCB-9C9C47D7CEFB}"/>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3 3 2" xfId="29894" xr:uid="{8D77C375-FDEC-4907-A255-D0B6239AD792}"/>
    <cellStyle name="Comma 5 4 4 3 4" xfId="30009" xr:uid="{CDF06ABB-B7EB-4325-89E0-F9CB296CBBCC}"/>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2 3" xfId="31030" xr:uid="{DAB37AB3-6C01-4DC1-9197-01E7A80416DE}"/>
    <cellStyle name="Comma 5 4 4 5 2 4" xfId="30683" xr:uid="{1F8F53D2-8B33-42D3-9E60-E867CD366200}"/>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2 2" xfId="31218" xr:uid="{F2BAD945-64C0-4B38-8C09-26DD496487BE}"/>
    <cellStyle name="Comma 5 4 5 2 2 2 3" xfId="30685" xr:uid="{A3310739-5307-4198-8F24-D15B491AA5A8}"/>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2 3" xfId="31064" xr:uid="{3984102B-822A-450E-A43C-4246090CCDB8}"/>
    <cellStyle name="Comma 5 4 5 4 2 4" xfId="30684" xr:uid="{588785B0-3463-43A7-92E2-9D66925BECD9}"/>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5 2" xfId="29684" xr:uid="{4487DE43-472A-4A71-9B22-68844F54F5CF}"/>
    <cellStyle name="Comma 5 4 5 5 2 2" xfId="30963" xr:uid="{7EF5E265-F8DD-42D8-916E-4FE670324B78}"/>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2 2" xfId="31190" xr:uid="{65375153-FF84-4309-A5AB-7211D688AF6C}"/>
    <cellStyle name="Comma 5 4 6 2 2 2 3" xfId="30686" xr:uid="{AA82D6A9-E423-4665-BA59-CD8573E965C4}"/>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4" xfId="5567" xr:uid="{69214C48-DCEC-47C1-B288-7DDCDBE36611}"/>
    <cellStyle name="Comma 5 4 6 4 2" xfId="29922" xr:uid="{DEBEC20E-7EF6-43C2-8010-087AFB98BA3B}"/>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4 2" xfId="29862" xr:uid="{81821E37-88CD-41E0-A9C6-01CE1D5393AD}"/>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2 2 2" xfId="31122" xr:uid="{5C2AB8B5-A73F-4FCC-AF90-57C166D98ABC}"/>
    <cellStyle name="Comma 5 4 8 2 2 3" xfId="30687" xr:uid="{E0BA424B-14C3-40B8-BACF-E009F7A5BEF5}"/>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4" xfId="24162" xr:uid="{E433F28E-FBD0-461A-A44F-7B9039781C0F}"/>
    <cellStyle name="Comma 5 5 2 2 2 2 5" xfId="15660" xr:uid="{3F5497FD-51CD-4B7C-B9ED-AAA49343CBCE}"/>
    <cellStyle name="Comma 5 5 2 2 2 3" xfId="3547" xr:uid="{00000000-0005-0000-0000-00001B020000}"/>
    <cellStyle name="Comma 5 5 2 2 2 4" xfId="5569" xr:uid="{8149337E-E2F7-4BC3-B2AD-3A48DB4611B4}"/>
    <cellStyle name="Comma 5 5 2 2 2 4 2" xfId="29943" xr:uid="{0D010CB5-5F6A-4720-B93A-F2E76E3D3185}"/>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3 3 2" xfId="29897" xr:uid="{2E172FD6-8857-4391-B419-ABFDC80BB508}"/>
    <cellStyle name="Comma 5 5 2 2 3 4" xfId="30011" xr:uid="{90B5CBFA-773D-4DCA-9D81-2CAA54A6CBB0}"/>
    <cellStyle name="Comma 5 5 2 2 4" xfId="1628" xr:uid="{00000000-0005-0000-0000-00001D020000}"/>
    <cellStyle name="Comma 5 5 2 2 4 2" xfId="26906" xr:uid="{6F7A2ECF-25AB-4CBD-817C-55807B88D221}"/>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2 3" xfId="31033" xr:uid="{4BA37740-99D8-4CB4-B471-35EA920B8290}"/>
    <cellStyle name="Comma 5 5 2 2 5 2 4" xfId="30688" xr:uid="{AC70B46C-F6DA-4750-B6ED-B64C9D0A9C69}"/>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2 2" xfId="31219" xr:uid="{25CDBFA8-B5EF-4E3D-9F68-CCC9EBFB7FA2}"/>
    <cellStyle name="Comma 5 5 2 3 2 2 2 3" xfId="30690" xr:uid="{59C9BFCC-C44C-4B53-BDE8-EA9524F87295}"/>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2 3" xfId="31065" xr:uid="{5EB8706E-0031-40A6-9765-3B305E95095B}"/>
    <cellStyle name="Comma 5 5 2 3 4 2 4" xfId="30689" xr:uid="{033FE0DB-75AA-4554-B811-17A0F466E96D}"/>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5 2" xfId="29702" xr:uid="{5D2D8791-0CFD-4C9F-850F-A68D1255BD93}"/>
    <cellStyle name="Comma 5 5 2 3 5 2 2" xfId="30964" xr:uid="{A2A588AE-3984-4379-8013-6E0918DDA01D}"/>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4" xfId="5571" xr:uid="{A7DC721F-42E5-4C1F-981A-40EAC95C2325}"/>
    <cellStyle name="Comma 5 5 2 4 4 2" xfId="29942" xr:uid="{31D45137-92A6-45CF-83E9-6D020EE1BB31}"/>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4 2" xfId="29885" xr:uid="{9981A58F-D7D0-4204-A4F1-535CDEC7F29D}"/>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4 2" xfId="29944" xr:uid="{6B08990C-50CE-496C-AF55-F4679CB10C17}"/>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2 5" xfId="30428" xr:uid="{DD045C8D-2616-4424-BD5E-1B33066A33C9}"/>
    <cellStyle name="Comma 5 5 3 3 3" xfId="3632" xr:uid="{00000000-0005-0000-0000-000023020000}"/>
    <cellStyle name="Comma 5 5 3 3 4" xfId="5573" xr:uid="{D0F45DDC-9CDB-4C3E-93A0-24657C4062B9}"/>
    <cellStyle name="Comma 5 5 3 3 4 2" xfId="29896" xr:uid="{531BF005-CF26-4DAC-B1C2-BD66BC46E9D9}"/>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2 5" xfId="31008" xr:uid="{58E598E3-3590-49F1-B280-EAD888A0713F}"/>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2 2" xfId="29804" xr:uid="{75BDAE03-1549-48B9-83F3-375AF8EEC7A4}"/>
    <cellStyle name="Comma 5 5 4 2 2 2 2" xfId="30692" xr:uid="{AF1A20E1-C8F0-45DD-A69C-428A1597AB3F}"/>
    <cellStyle name="Comma 5 5 4 2 3" xfId="25591" xr:uid="{C5C79797-796D-481F-AAE7-1B994078CEAF}"/>
    <cellStyle name="Comma 5 5 4 2 4" xfId="30050" xr:uid="{4FD2E640-EF0A-4B6E-AE70-83AC36DAACDC}"/>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2 3" xfId="31066" xr:uid="{7DC98981-9C7C-4223-A8C3-16FADEBAB0FA}"/>
    <cellStyle name="Comma 5 5 4 5 2 4" xfId="30691" xr:uid="{20EB5551-7940-4282-AE60-DB9923A87B4E}"/>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2 2" xfId="31170" xr:uid="{3DC96652-2A4E-41B6-B5B5-AF5C41938E4F}"/>
    <cellStyle name="Comma 5 5 5 2 2 2 3" xfId="30693" xr:uid="{727C6657-9979-41CA-8FB2-D04CBFA2548B}"/>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4 2" xfId="29841" xr:uid="{232E3991-FF0B-45E7-A910-79D7101065D5}"/>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4 2" xfId="29859" xr:uid="{57A21993-13B3-4F68-9E76-EAB12ABFCDAB}"/>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4" xfId="25213" xr:uid="{39FEBC27-FB7B-46B5-AE79-C04E454412EC}"/>
    <cellStyle name="Comma 5 6 2 2 2 2 5" xfId="15664" xr:uid="{3B247BE5-DA95-4BFE-9265-B2B51170AFF7}"/>
    <cellStyle name="Comma 5 6 2 2 2 3" xfId="3631" xr:uid="{00000000-0005-0000-0000-00002F020000}"/>
    <cellStyle name="Comma 5 6 2 2 2 4" xfId="5577" xr:uid="{6D3BDC34-D827-46F7-88BE-922304634FC0}"/>
    <cellStyle name="Comma 5 6 2 2 2 4 2" xfId="29946" xr:uid="{5B635471-5052-46FB-B146-0AFDD2B36BB8}"/>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3 3 2" xfId="29899" xr:uid="{E6772AFF-F70E-4799-AD63-89E737EDB507}"/>
    <cellStyle name="Comma 5 6 2 2 3 4" xfId="30012" xr:uid="{D420D383-93D8-4BAC-8C64-58B618B5958B}"/>
    <cellStyle name="Comma 5 6 2 2 4" xfId="1643" xr:uid="{00000000-0005-0000-0000-000031020000}"/>
    <cellStyle name="Comma 5 6 2 2 4 2" xfId="26909" xr:uid="{666AAA86-1F0C-4D09-92AE-DEB1BB345679}"/>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2 3" xfId="31034" xr:uid="{1EA9922A-E309-408C-BB74-3D1F5E1A14F2}"/>
    <cellStyle name="Comma 5 6 2 2 5 2 4" xfId="30694" xr:uid="{885FB70C-6BB5-4532-A96A-20D44FAFED30}"/>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2 2" xfId="31220" xr:uid="{E754FD69-8023-47E5-8936-45EC17C01A95}"/>
    <cellStyle name="Comma 5 6 2 3 2 2 2 3" xfId="30696" xr:uid="{8B730094-61E6-4360-85C8-E6490B245982}"/>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2 3" xfId="31067" xr:uid="{0BCC3248-510F-4F80-AE31-2C20A5227116}"/>
    <cellStyle name="Comma 5 6 2 3 4 2 4" xfId="30695" xr:uid="{9A1704C5-92D3-4EC2-ABE4-64113981F989}"/>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5 2" xfId="29715" xr:uid="{4E272700-95C3-44A0-BF31-07E252DAB136}"/>
    <cellStyle name="Comma 5 6 2 3 5 2 2" xfId="30965" xr:uid="{AF3CA143-BBE9-44FB-93FF-A7145ECBFBE4}"/>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4" xfId="5579" xr:uid="{71C6AC17-1809-4613-A9BC-C403E4D7EDC1}"/>
    <cellStyle name="Comma 5 6 2 4 4 2" xfId="29945" xr:uid="{9FB3FC22-56A3-44B5-87A0-EBCF4B7BBF43}"/>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4 2" xfId="29889" xr:uid="{BA1CDCF9-FD46-4D60-8CA7-A7079119BBF5}"/>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4 2" xfId="29947" xr:uid="{8B1B28A8-133C-4516-A9F3-7FE36BF04379}"/>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2 5" xfId="30429" xr:uid="{ED4880D0-7E90-4301-AA4F-4731D701629B}"/>
    <cellStyle name="Comma 5 6 3 3 3" xfId="3540" xr:uid="{00000000-0005-0000-0000-000037020000}"/>
    <cellStyle name="Comma 5 6 3 3 4" xfId="5581" xr:uid="{761EBF54-5B24-4AA9-86E2-6BDAAF962FA7}"/>
    <cellStyle name="Comma 5 6 3 3 4 2" xfId="29898" xr:uid="{AB4FD6CD-0861-47AC-BFF8-0942381BE83B}"/>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2 5" xfId="31009" xr:uid="{B8E6B64A-486D-4071-8DC3-AA330959E8E0}"/>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2 2" xfId="29833" xr:uid="{ACAEC5BD-7D04-4A07-8311-C37FECBDA470}"/>
    <cellStyle name="Comma 5 6 4 2 2 2 2" xfId="30698" xr:uid="{6FD28594-8527-46A9-81FF-53A5969F8A03}"/>
    <cellStyle name="Comma 5 6 4 2 3" xfId="23617" xr:uid="{EB20E96A-ABBE-4405-A83A-0C56D225D782}"/>
    <cellStyle name="Comma 5 6 4 2 4" xfId="30051" xr:uid="{55CA51AD-2F4D-46A7-8227-ED4BBA99702B}"/>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2 3" xfId="31068" xr:uid="{F2786672-7DFE-4FB0-BA25-C00762325A99}"/>
    <cellStyle name="Comma 5 6 4 5 2 4" xfId="30697" xr:uid="{4B424C80-EECD-4381-B558-D0681B8D1102}"/>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2 2" xfId="31205" xr:uid="{7D4C9951-2CC3-4A50-BBC9-67EE0E29863D}"/>
    <cellStyle name="Comma 5 6 5 2 2 2 3" xfId="30699" xr:uid="{776FC7D4-7BCD-4D98-A3F7-74BEEC5CD323}"/>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4 2" xfId="29842" xr:uid="{C378B11F-FE1B-4D48-8F76-B07AE9EB0C13}"/>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4 2" xfId="29871" xr:uid="{C06840A9-7BF7-48E8-BD43-5AA0864EF63B}"/>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2 2" xfId="29735" xr:uid="{FE2222D0-7793-40F0-A436-798F90E6F940}"/>
    <cellStyle name="Comma 5 7 2 2 2 2 2 2" xfId="30701" xr:uid="{9BD97334-2881-445B-A34E-42326F312AE5}"/>
    <cellStyle name="Comma 5 7 2 2 2 3" xfId="25603" xr:uid="{2E4144DF-BA35-444A-B073-CD4ECDA4E41B}"/>
    <cellStyle name="Comma 5 7 2 2 2 4" xfId="30052" xr:uid="{9E34B2C9-B31D-4C5D-8B66-EEB757494DBF}"/>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5" xfId="4877" xr:uid="{662677CF-EED7-4EE9-A1F4-218A4809BCE7}"/>
    <cellStyle name="Comma 5 7 2 2 5 2" xfId="26537" xr:uid="{2AA00ACA-3F70-4143-882E-9AB90CBCFDA9}"/>
    <cellStyle name="Comma 5 7 2 2 5 2 2" xfId="31179" xr:uid="{0FF2F87E-EA1D-4F08-B923-8F0B3224573A}"/>
    <cellStyle name="Comma 5 7 2 2 5 2 3" xfId="30700" xr:uid="{A84E266A-6C4D-48FB-B0F5-7AE41F9D8B5F}"/>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3" xfId="10629" xr:uid="{BB9D0CC4-E015-488B-9CCE-E31DBCA3579D}"/>
    <cellStyle name="Comma 5 7 2 3 2 3 2" xfId="21009" xr:uid="{68F76178-87A8-4557-8677-E967A2D7086C}"/>
    <cellStyle name="Comma 5 7 2 3 2 4" xfId="15343" xr:uid="{190957A6-4825-4713-AF5A-F13B9F2FAB46}"/>
    <cellStyle name="Comma 5 7 2 3 2 5" xfId="30430" xr:uid="{73CA2C10-218A-4D2A-81E4-A47A78477738}"/>
    <cellStyle name="Comma 5 7 2 3 3" xfId="3542" xr:uid="{00000000-0005-0000-0000-000046020000}"/>
    <cellStyle name="Comma 5 7 2 3 4" xfId="5584" xr:uid="{F1C4E9C9-E7C5-4999-9F4B-6A3BEE167DF3}"/>
    <cellStyle name="Comma 5 7 2 3 4 2" xfId="29751" xr:uid="{9A070076-FD0C-4E69-84C5-AB1037CE374D}"/>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2 3" xfId="31111" xr:uid="{F57B2301-3A0F-4B61-985A-7206CFD1129C}"/>
    <cellStyle name="Comma 5 7 2 4 2 2 4" xfId="30702" xr:uid="{A568AC5A-EBC6-4C11-987C-AB2234DC4239}"/>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4 3 2" xfId="29900" xr:uid="{9C01E95A-74BC-47F7-B7A5-8BC1061F59A5}"/>
    <cellStyle name="Comma 5 7 2 4 4" xfId="30013" xr:uid="{106398AA-ED2F-4348-890B-9FBF05EF801E}"/>
    <cellStyle name="Comma 5 7 2 5" xfId="1657" xr:uid="{00000000-0005-0000-0000-000048020000}"/>
    <cellStyle name="Comma 5 7 2 5 2" xfId="25610" xr:uid="{B6E4083F-4A15-4CCF-B5C9-4526FACB1C2F}"/>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2 2" xfId="29677" xr:uid="{2D743BA9-5D74-41FF-8A56-E6FF48540754}"/>
    <cellStyle name="Comma 5 7 3 2 2 2 2" xfId="30704" xr:uid="{F8B265D7-D215-4C1F-B255-1B417890B3FC}"/>
    <cellStyle name="Comma 5 7 3 2 3" xfId="24036" xr:uid="{A956536C-0D0C-4B64-AB6C-3D32B84691CB}"/>
    <cellStyle name="Comma 5 7 3 2 3 2" xfId="27246" xr:uid="{2D391E2F-17BF-40F3-AC9B-F935480D75C5}"/>
    <cellStyle name="Comma 5 7 3 2 4" xfId="30053" xr:uid="{7D739D2D-6EFB-4DC1-9CEE-49DF4959E175}"/>
    <cellStyle name="Comma 5 7 3 3" xfId="1665" xr:uid="{00000000-0005-0000-0000-00004B020000}"/>
    <cellStyle name="Comma 5 7 3 4" xfId="1663" xr:uid="{00000000-0005-0000-0000-00004C020000}"/>
    <cellStyle name="Comma 5 7 3 4 2" xfId="27493" xr:uid="{255A2A1F-FD39-4D43-951D-12CE0A0F4BA0}"/>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2 3" xfId="31069" xr:uid="{4F35AD9B-147C-403E-AC2A-4005FB889638}"/>
    <cellStyle name="Comma 5 7 3 5 2 4" xfId="30703" xr:uid="{2CF44F40-820F-4CCA-B82A-E11E5C240E31}"/>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2 2" xfId="29830" xr:uid="{F7CD230F-B65A-4593-9417-9FB6AD98AA28}"/>
    <cellStyle name="Comma 5 7 4 2 2 2 2" xfId="30706" xr:uid="{8D9CD661-7477-4CA4-A153-5E6471FBB6CB}"/>
    <cellStyle name="Comma 5 7 4 2 3" xfId="23289" xr:uid="{D45419FA-DEA1-4FF5-944A-3804F3B313AF}"/>
    <cellStyle name="Comma 5 7 4 2 4" xfId="30035" xr:uid="{AC32E726-9F55-4195-96E0-7352BD474D9D}"/>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5 2 2" xfId="31114" xr:uid="{FF2EE620-52C5-4E38-901B-D8EC7D6F936B}"/>
    <cellStyle name="Comma 5 7 4 5 2 3" xfId="30705" xr:uid="{1BAA88F6-1BCE-4EA7-8A2A-713DC40B742F}"/>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2 5" xfId="30431" xr:uid="{0C859140-1E98-42C7-9ADC-47E8A5D1F2C8}"/>
    <cellStyle name="Comma 5 7 5 3" xfId="3708" xr:uid="{00000000-0005-0000-0000-000051020000}"/>
    <cellStyle name="Comma 5 7 5 4" xfId="5585" xr:uid="{445FBE4B-D100-4012-9843-6726F1C23419}"/>
    <cellStyle name="Comma 5 7 5 4 2" xfId="29843" xr:uid="{04BAC53C-0E86-4839-945D-6630D920F403}"/>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6 4 2" xfId="29882" xr:uid="{46A80738-32FD-4F61-83A7-D4444073205A}"/>
    <cellStyle name="Comma 5 7 6 5" xfId="30004" xr:uid="{9E45B833-AA3E-4C42-86BA-FF11565FD327}"/>
    <cellStyle name="Comma 5 7 7" xfId="1656" xr:uid="{00000000-0005-0000-0000-000053020000}"/>
    <cellStyle name="Comma 5 7 7 2" xfId="27467" xr:uid="{F7E8B45B-C5F3-45F3-8652-1B25E60F4742}"/>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2 2 2" xfId="31143" xr:uid="{45C30206-3A93-4FA0-9F4F-E970C6555ABA}"/>
    <cellStyle name="Comma 5 8 2 2 2 2 2 3" xfId="30707" xr:uid="{40931A3F-EFB0-4B78-8C96-34DE658927E1}"/>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4 2" xfId="29776" xr:uid="{06F5E240-6626-40DD-94FD-891798718C4E}"/>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2 2" xfId="30708" xr:uid="{33BA462E-2DD6-45C4-9B64-D122CEE1605E}"/>
    <cellStyle name="Comma 5 8 2 3 2 3" xfId="30552" xr:uid="{B6513C23-9EE7-4413-9D8F-CAD62F9FD3DE}"/>
    <cellStyle name="Comma 5 8 2 3 3" xfId="23017" xr:uid="{DB6EE825-2DCD-429A-9F59-4AC7F43A2769}"/>
    <cellStyle name="Comma 5 8 2 3 4" xfId="30054" xr:uid="{978411B6-56DD-4C90-89F4-2121420A39C1}"/>
    <cellStyle name="Comma 5 8 2 3 5" xfId="29660" xr:uid="{A80A5DC5-EADA-408A-9E37-AA5872793871}"/>
    <cellStyle name="Comma 5 8 2 4" xfId="1672" xr:uid="{00000000-0005-0000-0000-000058020000}"/>
    <cellStyle name="Comma 5 8 2 4 2" xfId="28519" xr:uid="{DB5287D2-A3BC-4D9D-A5AD-D97C9934A7A4}"/>
    <cellStyle name="Comma 5 8 2 4 2 2" xfId="30709" xr:uid="{A3272CAB-83C9-416E-A5D9-D0B05295D51B}"/>
    <cellStyle name="Comma 5 8 2 4 2 3" xfId="30584" xr:uid="{E0F084EF-22C3-46D5-95E2-A0541AFFE25C}"/>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2 2" xfId="29808" xr:uid="{A16796A0-C536-46DB-8E0E-8CC66009832A}"/>
    <cellStyle name="Comma 5 8 3 2 2 2 2" xfId="30711" xr:uid="{F658FE12-6F3E-4B0A-B54E-A7FF09FDADE0}"/>
    <cellStyle name="Comma 5 8 3 2 3" xfId="25444" xr:uid="{8F83E9BD-D752-4670-83D0-42D787B89054}"/>
    <cellStyle name="Comma 5 8 3 2 3 2" xfId="27841" xr:uid="{3EDC9502-0DFD-4975-83D4-00C65AD487AD}"/>
    <cellStyle name="Comma 5 8 3 2 4" xfId="30036" xr:uid="{D3FD3568-0D74-4E96-85CC-D3A48B10523B}"/>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2 2" xfId="31172" xr:uid="{842693BC-CC20-404C-8856-79558A6CD263}"/>
    <cellStyle name="Comma 5 8 3 5 2 3" xfId="30710" xr:uid="{813779E3-886C-4293-B28F-F0E9872B5AA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2 2 2" xfId="31135" xr:uid="{62D238FC-6347-4192-97CE-39DC26771B37}"/>
    <cellStyle name="Comma 5 8 4 2 2 2 3" xfId="30712" xr:uid="{CA877F40-44FB-4FD0-BE13-08310BD6406D}"/>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4 2" xfId="29752" xr:uid="{B23374D4-9EA4-47D3-8221-B7DC4E11F6B5}"/>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2 5" xfId="30432" xr:uid="{3EAE95C7-3CF1-49BF-B334-23DF8958441E}"/>
    <cellStyle name="Comma 5 8 5 3" xfId="2086" xr:uid="{00000000-0005-0000-0000-00005E020000}"/>
    <cellStyle name="Comma 5 8 5 4" xfId="24921" xr:uid="{73CD0007-7AA6-4C23-BE0B-E3F5295A5FA9}"/>
    <cellStyle name="Comma 5 8 5 4 2" xfId="29901" xr:uid="{5F75C6C7-0D1C-4F31-BA20-114360A40F9E}"/>
    <cellStyle name="Comma 5 8 5 5" xfId="30014" xr:uid="{C09199D8-A0F8-4F00-B4B1-D5B29F949D0F}"/>
    <cellStyle name="Comma 5 8 6" xfId="1671" xr:uid="{00000000-0005-0000-0000-00005F020000}"/>
    <cellStyle name="Comma 5 8 6 2" xfId="26586" xr:uid="{422903AC-287E-4EC3-BB8E-0A504F69CB1D}"/>
    <cellStyle name="Comma 5 8 6 2 2" xfId="30713" xr:uid="{3462D339-733B-4AEB-9A0A-A3A3A15B2E2A}"/>
    <cellStyle name="Comma 5 8 6 2 3" xfId="30583" xr:uid="{646BD82D-6032-48CF-BAD3-144F8987CF64}"/>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2 2 2" xfId="31136" xr:uid="{6BE75A01-8681-4A86-852E-5CA96578CD07}"/>
    <cellStyle name="Comma 5 9 2 2 2 2 2 3" xfId="30714" xr:uid="{4CB97A7A-50B9-47D4-B501-400C9AC937B3}"/>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4 2" xfId="29764" xr:uid="{5A5A3821-4E20-4ABC-8E69-75E4640375B8}"/>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2 2" xfId="30715" xr:uid="{47DB5FD4-96FA-4173-8E53-6DA4234BEA2D}"/>
    <cellStyle name="Comma 5 9 2 3 2 3" xfId="30553" xr:uid="{F5088134-8CE5-4A2C-9753-895A284CAC6E}"/>
    <cellStyle name="Comma 5 9 2 3 3" xfId="22956" xr:uid="{1221D88C-6031-4EEF-9013-D90C6923BB63}"/>
    <cellStyle name="Comma 5 9 2 3 4" xfId="30037" xr:uid="{8E6C886B-4461-492D-A2D3-77A7DD14FA89}"/>
    <cellStyle name="Comma 5 9 2 3 5" xfId="29661" xr:uid="{5C83A64C-738C-4B76-A536-451C4CDAEBDA}"/>
    <cellStyle name="Comma 5 9 2 4" xfId="1681" xr:uid="{00000000-0005-0000-0000-000064020000}"/>
    <cellStyle name="Comma 5 9 2 4 2" xfId="26144" xr:uid="{11F3DDB7-F030-4752-8665-FF4829009ADA}"/>
    <cellStyle name="Comma 5 9 2 4 2 2" xfId="30716" xr:uid="{BD8F26DD-5947-436A-8E4A-F7C8D3342C18}"/>
    <cellStyle name="Comma 5 9 2 4 2 3" xfId="30586" xr:uid="{A1610AE6-DFB3-4902-854F-8CE0CA56D516}"/>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5 5" xfId="30617" xr:uid="{06850C7D-2AAC-4475-AD05-17DE7A9F5617}"/>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2 2" xfId="30718" xr:uid="{B0C70532-9092-4845-BAD0-1BA2E82A1E86}"/>
    <cellStyle name="Comma 5 9 3 2 2 3" xfId="30601" xr:uid="{431458AB-C9BA-4E59-BFC7-8AC4B17F7501}"/>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2 2" xfId="31198" xr:uid="{0301959F-F531-44B8-B593-826B6FD4315E}"/>
    <cellStyle name="Comma 5 9 3 5 2 3" xfId="30717" xr:uid="{84D65F06-96BE-4435-B794-A50A7ACD6ECD}"/>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2 2 2" xfId="31126" xr:uid="{0B51279B-2A5B-4395-ADC6-689D69249167}"/>
    <cellStyle name="Comma 5 9 4 2 2 2 3" xfId="30719" xr:uid="{2B2AC912-036D-468D-8CF3-4AA2B8F5290D}"/>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4 4 2" xfId="29737" xr:uid="{23982877-3765-4743-AD98-45F4A9C681B2}"/>
    <cellStyle name="Comma 5 9 4 5" xfId="29844" xr:uid="{45E3FC05-22F4-4882-A2EE-6AE2BB9EB86D}"/>
    <cellStyle name="Comma 5 9 4 6" xfId="29989" xr:uid="{6B05C73D-E431-4BD3-A0E9-D68B75A751E3}"/>
    <cellStyle name="Comma 5 9 5" xfId="1688" xr:uid="{00000000-0005-0000-0000-00006A020000}"/>
    <cellStyle name="Comma 5 9 5 2" xfId="24215" xr:uid="{4EF621CF-F50D-4230-AF83-2E870655BDA3}"/>
    <cellStyle name="Comma 5 9 5 2 2" xfId="29798" xr:uid="{AC7AD2D9-EE19-437C-B1CB-74F8FC52A265}"/>
    <cellStyle name="Comma 5 9 5 2 2 2" xfId="30720" xr:uid="{B026E2CA-F479-4414-B3BC-598E63AD2D30}"/>
    <cellStyle name="Comma 5 9 5 3" xfId="24967" xr:uid="{569BA925-3A3B-4717-B1B9-3D852F1BB19D}"/>
    <cellStyle name="Comma 5 9 5 4" xfId="30015" xr:uid="{0A634316-065C-4E51-B319-E58017A9EF5E}"/>
    <cellStyle name="Comma 5 9 6" xfId="1680" xr:uid="{00000000-0005-0000-0000-00006B020000}"/>
    <cellStyle name="Comma 5 9 6 2" xfId="27178" xr:uid="{14EF25F5-D9BE-45D5-9005-4E60957A0203}"/>
    <cellStyle name="Comma 5 9 6 2 2" xfId="30721" xr:uid="{FDE5ECE4-C2F4-4D3A-A86F-4B131C787202}"/>
    <cellStyle name="Comma 5 9 6 2 3" xfId="30585" xr:uid="{A40CFB98-27E5-4F51-8348-E9CA033F2552}"/>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2 2" xfId="29824" xr:uid="{993FD6BC-13E5-4F0C-A1CB-0B9266626B05}"/>
    <cellStyle name="Comma 6 3 2 3" xfId="24576" xr:uid="{A28E2AF0-11DC-454F-8523-E8CC9FF3477F}"/>
    <cellStyle name="Comma 6 3 3" xfId="1691" xr:uid="{00000000-0005-0000-0000-000070020000}"/>
    <cellStyle name="Comma 6 3 3 2" xfId="31309" xr:uid="{B892DCB0-225F-4A82-BF1C-F3D3857F7969}"/>
    <cellStyle name="Comma 6 3 3 3" xfId="31268" xr:uid="{6EC989E8-EEBE-4E56-B842-6FAA8089D686}"/>
    <cellStyle name="Comma 6 3 4" xfId="1689" xr:uid="{00000000-0005-0000-0000-000071020000}"/>
    <cellStyle name="Comma 6 3 5" xfId="30402" xr:uid="{826A58AB-2EF0-437D-8B25-98E5B40781A9}"/>
    <cellStyle name="Comma 6 3 5 2" xfId="30433" xr:uid="{C80FF380-C62E-48FE-B3CF-F41618084E64}"/>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4" xfId="25682" xr:uid="{EF41D050-0AE8-4E89-BB9E-051DF5630730}"/>
    <cellStyle name="Comma 6 4 2 2 2 2 5" xfId="15669" xr:uid="{F2560B0F-AD65-4450-AD2A-D2B82D41C930}"/>
    <cellStyle name="Comma 6 4 2 2 2 3" xfId="3575" xr:uid="{00000000-0005-0000-0000-000075020000}"/>
    <cellStyle name="Comma 6 4 2 2 2 4" xfId="5591" xr:uid="{8BF347F7-3DE4-4C27-A5DD-8CA2A1920DC5}"/>
    <cellStyle name="Comma 6 4 2 2 2 4 2" xfId="29949" xr:uid="{233E463F-54C2-4C29-870A-0D49BFA16A91}"/>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3 3 2" xfId="29903" xr:uid="{4DA074B1-E9A6-4FB2-9574-AF0CB56E487E}"/>
    <cellStyle name="Comma 6 4 2 2 3 4" xfId="30017" xr:uid="{B0E6ED8B-7F94-4C65-B922-D81312B6C1B9}"/>
    <cellStyle name="Comma 6 4 2 2 4" xfId="1694" xr:uid="{00000000-0005-0000-0000-000077020000}"/>
    <cellStyle name="Comma 6 4 2 2 4 2" xfId="26920" xr:uid="{5EED627A-0015-4E1B-A2B6-EF5D8B44E99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2 3" xfId="31036" xr:uid="{E5D61C2A-5E38-417B-8489-A5D1DF3FC18F}"/>
    <cellStyle name="Comma 6 4 2 2 5 2 4" xfId="30722" xr:uid="{0FF41AB0-D970-4E31-9E8E-8298D6AF25BD}"/>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2 2" xfId="31221" xr:uid="{020E94C7-3C33-4C62-9CE1-8B3A7270B784}"/>
    <cellStyle name="Comma 6 4 2 3 2 2 2 3" xfId="30724" xr:uid="{F335279E-1B9E-4D18-8CA1-66BD0EDC3A2A}"/>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2 3" xfId="31070" xr:uid="{55898A08-20A6-4893-81F2-362535D71995}"/>
    <cellStyle name="Comma 6 4 2 3 4 2 4" xfId="30723" xr:uid="{991663E5-093A-4C82-AB81-8EF79A9D4B8B}"/>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5 2" xfId="29690" xr:uid="{63269818-A85D-49A6-B8ED-4F376BDFFA23}"/>
    <cellStyle name="Comma 6 4 2 3 5 2 2" xfId="30966" xr:uid="{7D70C7BF-EF85-401A-AD86-BF5235BE5695}"/>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4" xfId="5593" xr:uid="{5E240531-8C52-4B64-996E-6CF2C56EAD6B}"/>
    <cellStyle name="Comma 6 4 2 4 4 2" xfId="29948" xr:uid="{F9D8C378-6662-4A0B-BF57-80CDD28C6729}"/>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4 2" xfId="29875" xr:uid="{1F5868CB-B8F6-4FD2-BE45-16F85B1BB38D}"/>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2 3" xfId="31161" xr:uid="{B8B7D374-F9E5-4444-AC13-477FC287386D}"/>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2 3" xfId="31037" xr:uid="{48EC53A8-509B-4602-9481-7646B7A295C3}"/>
    <cellStyle name="Comma 6 4 3 2 5 2 4" xfId="30726" xr:uid="{DAB1BA0C-8406-4AF8-9D58-1646B3244154}"/>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6 2" xfId="29721" xr:uid="{B517F1E3-A38C-4F58-A6FD-5D445DFE68EB}"/>
    <cellStyle name="Comma 6 4 3 2 6 2 2" xfId="30967" xr:uid="{68C3F424-D42B-415D-A275-3C3491C69598}"/>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2 3" xfId="31071" xr:uid="{64CBF01D-BCC0-4E97-A30C-4817D685CDEB}"/>
    <cellStyle name="Comma 6 4 3 3 4 2 4" xfId="30727" xr:uid="{32E7DD8E-8E93-48A0-B22A-199885881375}"/>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5 2" xfId="29706" xr:uid="{8C47B7A5-55DE-41F0-ABE8-96B67015A584}"/>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4" xfId="5594" xr:uid="{597046DC-F5C8-4A2C-9A13-CCBC4373604F}"/>
    <cellStyle name="Comma 6 4 3 4 4 2" xfId="29950" xr:uid="{A9380C1B-14A6-4B53-9630-BB03006EEA3E}"/>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2 3" xfId="31010" xr:uid="{2C79F960-4C49-4A44-BE3E-BA4DD4C9FBB0}"/>
    <cellStyle name="Comma 6 4 3 6 2 4" xfId="30725" xr:uid="{888020BF-966F-45AF-AD87-05FC86173A31}"/>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4" xfId="5597" xr:uid="{D7CC43DA-455D-407E-BF01-57D0564EA6B6}"/>
    <cellStyle name="Comma 6 4 4 2 4 2" xfId="29951" xr:uid="{FDB36AFE-899A-4744-9DD8-6E4865CE36DC}"/>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3 3 2" xfId="29902" xr:uid="{DE18F8CC-9AE1-4F5E-9463-70483CF3EC52}"/>
    <cellStyle name="Comma 6 4 4 3 4" xfId="30016" xr:uid="{54B5A641-CBAA-4C36-9169-160B5E571C1F}"/>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2 3" xfId="31035" xr:uid="{7E47475A-DD01-4834-94C2-1630B8804BB1}"/>
    <cellStyle name="Comma 6 4 4 5 2 4" xfId="30728" xr:uid="{162F962F-579D-4E61-99F1-D903E08A5944}"/>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2 2" xfId="31222" xr:uid="{691BCCD8-3FCB-46F4-AA19-66BD8B2792E8}"/>
    <cellStyle name="Comma 6 4 5 2 2 2 3" xfId="30730" xr:uid="{787E4866-BDC8-4893-9282-491F88D13FE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2 3" xfId="31072" xr:uid="{22979A5B-49A1-42E6-BA89-CCDBEAE37202}"/>
    <cellStyle name="Comma 6 4 5 4 2 4" xfId="30729" xr:uid="{E5F89DE4-F2D2-4C08-B671-36C13540F10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5 2" xfId="29685" xr:uid="{EF3BD0A6-DB09-431F-92E2-3C8D869A5B95}"/>
    <cellStyle name="Comma 6 4 5 5 2 2" xfId="30968" xr:uid="{308557D5-49FB-45ED-B51A-8AA44B8D7B71}"/>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2 2" xfId="31171" xr:uid="{9743733B-E35B-44C2-895E-4E9F3FD9AD20}"/>
    <cellStyle name="Comma 6 4 6 2 2 2 3" xfId="30731" xr:uid="{36F4C335-21C6-4B80-A783-6DEE9EA2C7B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4" xfId="5599" xr:uid="{A8028302-ED8A-40B8-8A70-7BEFE282F4FC}"/>
    <cellStyle name="Comma 6 4 6 4 2" xfId="29923" xr:uid="{CDA048C9-974C-400A-AA42-F64BD97DF22B}"/>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4 2" xfId="29863" xr:uid="{C263C62B-DABD-420C-A97D-0F3CE47933DF}"/>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2 2 2" xfId="31123" xr:uid="{24EFB6D6-DF65-42CC-96F4-F84914B8D4E7}"/>
    <cellStyle name="Comma 6 4 8 2 2 3" xfId="30732" xr:uid="{29EF420D-7071-41EC-A1CD-1C25DE9D0314}"/>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0 2" xfId="30005" xr:uid="{9BBA55C4-F717-4123-9745-FD974FD5C92B}"/>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2 2" xfId="31192" xr:uid="{325C7F89-E089-4071-A4CA-9ADB67FB52F9}"/>
    <cellStyle name="Comma 6 5 2 2 2 2 3" xfId="30734" xr:uid="{16F0985C-0D59-4C77-AE81-D539AE6EC8DC}"/>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2 5" xfId="31038" xr:uid="{8012AB0B-EB59-44A7-8DB7-259914660E82}"/>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2 3" xfId="31073" xr:uid="{A2A4928A-1757-4797-9AD6-3490D0D71705}"/>
    <cellStyle name="Comma 6 5 3 2 2 4" xfId="30735" xr:uid="{CC9E0DDD-F5C7-4081-BD6A-4AF5E6D9D0A0}"/>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2 3" xfId="31025" xr:uid="{14ACCE49-649F-4D5B-8F9D-24E42BD4A4E9}"/>
    <cellStyle name="Comma 6 5 7 2 4" xfId="30733" xr:uid="{57466AA1-E89A-486E-89A6-F5D9E03FEBE5}"/>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8 2" xfId="29825" xr:uid="{FA06CDE3-AD95-4F28-BB21-F621D65E4E87}"/>
    <cellStyle name="Comma 6 5 8 2 2" xfId="30969" xr:uid="{50FCA492-10FD-4CB8-BB65-65A595E6C1EE}"/>
    <cellStyle name="Comma 6 5 8 3" xfId="30627" xr:uid="{D6644BB0-0D0B-41C4-A086-5EB2E7A61544}"/>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6 7" xfId="30434" xr:uid="{86EF0529-B324-4719-B2B1-2B9231FB2917}"/>
    <cellStyle name="Comma 6 6 8" xfId="31260" xr:uid="{40BDEAA4-3800-4985-8263-4E0A9E3CC9C3}"/>
    <cellStyle name="Comma 6 7" xfId="22762" xr:uid="{37A7E8A0-43E7-41E2-BDB1-D7874A32CC13}"/>
    <cellStyle name="Comma 6 7 2" xfId="30401" xr:uid="{8AB278A9-D60A-4CCF-8FB0-D023A9F7D997}"/>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4 2" xfId="29777" xr:uid="{69895E25-65E5-4D76-A26D-A63F28A4B978}"/>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3 4" xfId="30055" xr:uid="{82D7F95B-ADDB-4CD3-8CA5-38E26A9A1505}"/>
    <cellStyle name="Comma 7 10 3 5" xfId="29662" xr:uid="{6948ED0E-1928-433B-8896-129390D39D27}"/>
    <cellStyle name="Comma 7 10 4" xfId="1709" xr:uid="{00000000-0005-0000-0000-00008B020000}"/>
    <cellStyle name="Comma 7 10 4 2" xfId="25724" xr:uid="{65959AE7-EB73-4A29-AEDE-5086AD6654D1}"/>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2 3" xfId="31011" xr:uid="{D6C854D8-D37F-4A44-B89C-1C0E594B72EA}"/>
    <cellStyle name="Comma 7 10 5 2 4" xfId="30736" xr:uid="{1539EA9C-5098-413E-9C5B-D0DF900926AD}"/>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10" xfId="31256" xr:uid="{E835B43B-FDA2-4DDE-83E1-FBF9D27ED0DE}"/>
    <cellStyle name="Comma 7 11 2" xfId="1713" xr:uid="{00000000-0005-0000-0000-00008D020000}"/>
    <cellStyle name="Comma 7 11 2 2" xfId="25052" xr:uid="{23ABD4A7-3C9B-4DBA-8948-EF7696DC0549}"/>
    <cellStyle name="Comma 7 11 2 2 2" xfId="29812" xr:uid="{2804BB26-590B-4F9E-8251-636B18D7E4FE}"/>
    <cellStyle name="Comma 7 11 2 2 2 2" xfId="30738" xr:uid="{3DAD6463-AE5B-4A7E-A235-D117BC01C86B}"/>
    <cellStyle name="Comma 7 11 2 3" xfId="25318" xr:uid="{7CB5C089-12DC-4C77-B45B-B4312F852EC0}"/>
    <cellStyle name="Comma 7 11 2 4" xfId="30038" xr:uid="{567DD56B-F8B3-45D4-86C5-0960C07F73C2}"/>
    <cellStyle name="Comma 7 11 3" xfId="1714" xr:uid="{00000000-0005-0000-0000-00008E020000}"/>
    <cellStyle name="Comma 7 11 3 2" xfId="31310" xr:uid="{BF8591BA-BEDC-47CC-8EFA-C694600B8972}"/>
    <cellStyle name="Comma 7 11 3 3" xfId="31272" xr:uid="{2324712B-9FE1-4E85-A8B2-EE1C9063D0B9}"/>
    <cellStyle name="Comma 7 11 4" xfId="1712" xr:uid="{00000000-0005-0000-0000-00008F020000}"/>
    <cellStyle name="Comma 7 11 5" xfId="4893" xr:uid="{4D7EF800-D3FE-4415-997D-80EB71861FD5}"/>
    <cellStyle name="Comma 7 11 5 2" xfId="14185" xr:uid="{237C6960-02C1-47B1-93F9-D85783831FC0}"/>
    <cellStyle name="Comma 7 11 5 2 2" xfId="31115" xr:uid="{F9048556-5930-4AED-AE0A-49345657D6F3}"/>
    <cellStyle name="Comma 7 11 5 2 3" xfId="30737" xr:uid="{1DDC157D-0ED6-4BFF-BF05-1F10AA0C45F1}"/>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2 2 2" xfId="31132" xr:uid="{739F47EE-1697-4F75-9A1F-73E308A7FAE6}"/>
    <cellStyle name="Comma 7 12 2 2 2 3" xfId="30739" xr:uid="{79E3D847-09B7-406F-A8CF-8B9C6BA67CC6}"/>
    <cellStyle name="Comma 7 12 2 3" xfId="10392" xr:uid="{1C9A0FA7-3839-49B7-B9C6-489E59242394}"/>
    <cellStyle name="Comma 7 12 2 3 2" xfId="20772" xr:uid="{E2D691C5-6C3C-43B7-8FBD-A5642F6BDFE7}"/>
    <cellStyle name="Comma 7 12 2 4" xfId="15106" xr:uid="{394B16FD-FC1A-4870-BC31-909DEE327F64}"/>
    <cellStyle name="Comma 7 12 2 5" xfId="30435" xr:uid="{E91DB9E4-8773-4A90-836F-853E0ADD18FD}"/>
    <cellStyle name="Comma 7 12 3" xfId="3597" xr:uid="{00000000-0005-0000-0000-000090020000}"/>
    <cellStyle name="Comma 7 12 4" xfId="5602" xr:uid="{CC94EC69-AD3D-4EA5-A1E0-1BACCD539177}"/>
    <cellStyle name="Comma 7 12 4 2" xfId="29744" xr:uid="{E94F5ABB-9BF5-4EDB-9248-CDB704943345}"/>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3 4 2" xfId="29857" xr:uid="{8E68E056-46A1-493A-A824-DE927F27CD41}"/>
    <cellStyle name="Comma 7 13 5" xfId="30000" xr:uid="{CDAD209D-5AEE-42B6-A650-1520C83196B3}"/>
    <cellStyle name="Comma 7 14" xfId="1708" xr:uid="{00000000-0005-0000-0000-000092020000}"/>
    <cellStyle name="Comma 7 14 2" xfId="24640" xr:uid="{A6E59767-7C11-40A9-9CB4-E620D76DFBAF}"/>
    <cellStyle name="Comma 7 14 2 2" xfId="30740" xr:uid="{20627FD3-BC5A-44E9-9321-3CFCE969D60D}"/>
    <cellStyle name="Comma 7 14 2 3" xfId="30578" xr:uid="{293AA1E7-D6FF-4E29-9D1A-3B9D5650BE0B}"/>
    <cellStyle name="Comma 7 14 3" xfId="24749" xr:uid="{21C0A86C-9258-4F6E-BBD2-E1ADC08986B9}"/>
    <cellStyle name="Comma 7 14 4" xfId="31257" xr:uid="{60B07CE3-3025-411C-B89F-E948725F8A6F}"/>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5" xfId="15350" xr:uid="{E02DAF09-C053-4B2A-9C91-91990EE68988}"/>
    <cellStyle name="Comma 7 2 2 2 2 4" xfId="3674" xr:uid="{00000000-0005-0000-0000-000096020000}"/>
    <cellStyle name="Comma 7 2 2 2 2 4 2" xfId="26165" xr:uid="{EE1A87B6-5E5A-437E-A7D8-9561D25E3C7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2 3" xfId="31039" xr:uid="{AA539B6E-4723-4789-AC85-1CFE67B89BFD}"/>
    <cellStyle name="Comma 7 2 2 2 2 5 2 4" xfId="30741" xr:uid="{9E89B3B5-DBDF-44A9-AA99-6000B493F40F}"/>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6 2" xfId="29722" xr:uid="{A9AFC85D-8C0D-4130-B886-7E8359B0A603}"/>
    <cellStyle name="Comma 7 2 2 2 2 6 2 2" xfId="30970" xr:uid="{8CEB5E9E-E0FF-4F20-96AA-69D70D0E860D}"/>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2 2" xfId="31223" xr:uid="{64669DDE-E9DA-4EAC-840F-300D8458696F}"/>
    <cellStyle name="Comma 7 2 2 2 3 2 2 2 3" xfId="30743" xr:uid="{9BE22F56-5609-4E7F-8914-A50524A8AE51}"/>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4" xfId="4408" xr:uid="{2E431FD9-BDF8-4500-8041-84C831D3FB1C}"/>
    <cellStyle name="Comma 7 2 2 2 3 4 2" xfId="9180" xr:uid="{F943D953-EB9B-4C27-86D3-A0F6B8DC61E1}"/>
    <cellStyle name="Comma 7 2 2 2 3 4 2 2" xfId="19560" xr:uid="{B9C0123D-1762-4075-A637-E47C3ABE72BD}"/>
    <cellStyle name="Comma 7 2 2 2 3 4 2 3" xfId="31074" xr:uid="{D38E3B53-D156-4B44-AB59-891FBD40DA19}"/>
    <cellStyle name="Comma 7 2 2 2 3 4 2 4" xfId="30742" xr:uid="{5EC7C62E-B9BD-4D62-B823-6C633004A8F9}"/>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5 2" xfId="29713" xr:uid="{727D4473-6337-4C2B-993C-B70A69606063}"/>
    <cellStyle name="Comma 7 2 2 2 3 5 2 2" xfId="30971" xr:uid="{0009754D-8DF5-4501-AFC6-1CE7BF8EF82E}"/>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4 2" xfId="29952" xr:uid="{896A5489-FC9F-470C-A32A-715D7DC9DC2F}"/>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2 2" xfId="31210" xr:uid="{41DF6F33-8D60-4576-8FB0-D042E3C8EBFB}"/>
    <cellStyle name="Comma 7 2 2 2 5 2 2 3" xfId="30744" xr:uid="{9A76BCD1-2FA8-476D-82A1-5C281FED076E}"/>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4" xfId="5607" xr:uid="{F2C21B10-845E-4AC6-B077-E2669363A096}"/>
    <cellStyle name="Comma 7 2 2 3 2 4 2" xfId="29953" xr:uid="{D1E25D06-EBB3-4F98-B33B-12157C3439B0}"/>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2 5" xfId="30436" xr:uid="{05238282-1775-49FC-85C1-8ED1502C2358}"/>
    <cellStyle name="Comma 7 2 2 3 3 3" xfId="3609" xr:uid="{00000000-0005-0000-0000-00009B020000}"/>
    <cellStyle name="Comma 7 2 2 3 3 4" xfId="5608" xr:uid="{BC4ED24D-C538-4B6F-951C-1BD6831C47CE}"/>
    <cellStyle name="Comma 7 2 2 3 3 4 2" xfId="29904" xr:uid="{8D00CB34-EEFC-4608-9CEE-C41B70B1020A}"/>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2 5" xfId="31013" xr:uid="{E512D330-B569-42B6-B9FD-CEFB02E870B3}"/>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2 2" xfId="31224" xr:uid="{510942B6-0D2C-405B-ABD3-31DD104B2B1D}"/>
    <cellStyle name="Comma 7 2 2 4 2 2 2 3" xfId="30746" xr:uid="{3CE79F9A-1CEF-4341-8F09-994E691C3E10}"/>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4" xfId="4409" xr:uid="{2884BD95-8C96-4C48-BFE0-B4B8C01AC220}"/>
    <cellStyle name="Comma 7 2 2 4 4 2" xfId="9181" xr:uid="{51D2ED3C-38AC-433A-8617-49E6706C9BEB}"/>
    <cellStyle name="Comma 7 2 2 4 4 2 2" xfId="19561" xr:uid="{EB9E0A14-A346-4595-B7BB-C9951BF96F16}"/>
    <cellStyle name="Comma 7 2 2 4 4 2 3" xfId="31075" xr:uid="{786407AF-304B-44BB-91C9-41B73DBEF52E}"/>
    <cellStyle name="Comma 7 2 2 4 4 2 4" xfId="30745" xr:uid="{5E54725C-897D-40F1-8695-19F030094CFB}"/>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5 2" xfId="29695" xr:uid="{C51DD962-D486-41B6-AEF9-F352089D8979}"/>
    <cellStyle name="Comma 7 2 2 4 5 2 2" xfId="30972" xr:uid="{B554B0FB-577C-43D4-A599-63A4BA115F07}"/>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2 2" xfId="31184" xr:uid="{FC14198E-000A-4F8E-9452-58AE2CA30190}"/>
    <cellStyle name="Comma 7 2 2 5 2 2 2 3" xfId="30747" xr:uid="{A5AC0F89-1883-4D8B-B375-FC2E34278669}"/>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4 2" xfId="29924" xr:uid="{A6817449-271B-4CF5-A4A3-F87834A3357F}"/>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4 2" xfId="29880" xr:uid="{E8ADF7C4-F8D2-4A89-906B-03E3C1A7B97B}"/>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2 2" xfId="31168" xr:uid="{868935A9-795E-4969-B715-257C032BF947}"/>
    <cellStyle name="Comma 7 2 2 7 2 2 3" xfId="30748" xr:uid="{C0A2DEC5-358A-4E0F-873B-906DEBD77BD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2 3" xfId="31164" xr:uid="{C56FF428-67DB-4E35-8FFF-769DCB0D3C4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5 2" xfId="30072" xr:uid="{CA91868D-1CB6-464E-8CBF-4DCD3DCE018A}"/>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2 3" xfId="31040" xr:uid="{75B026AB-7DD8-43E2-9850-05B56B1C9A25}"/>
    <cellStyle name="Comma 7 2 3 2 5 2 4" xfId="30749" xr:uid="{3152E72E-1085-4AC3-8737-1EDAD6857F17}"/>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6 2" xfId="29723" xr:uid="{3978CA91-463F-4FB3-83B5-1A479610C314}"/>
    <cellStyle name="Comma 7 2 3 2 6 2 2" xfId="30973" xr:uid="{FBC6C47D-C56E-4878-A380-938D7859EBA3}"/>
    <cellStyle name="Comma 7 2 3 2 7" xfId="24740" xr:uid="{113CF7D5-3CC3-4C78-AA45-6BB36B301A7F}"/>
    <cellStyle name="Comma 7 2 3 2 8" xfId="13088" xr:uid="{84212721-431A-4A5B-A3B6-C12D2C24C27E}"/>
    <cellStyle name="Comma 7 2 3 2 9" xfId="29990" xr:uid="{E6F54CCC-E5B6-4A92-8CFB-C7AA169FBB12}"/>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2 2" xfId="31225" xr:uid="{C8EBC6BE-55BB-4085-B6E1-FC370F250ABF}"/>
    <cellStyle name="Comma 7 2 3 3 2 2 2 3" xfId="30751" xr:uid="{D91F4771-FE89-42CC-ACEC-7AC06163A138}"/>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2 3" xfId="31076" xr:uid="{135B9B38-57A7-4FCB-B543-F2903615F848}"/>
    <cellStyle name="Comma 7 2 3 3 4 2 4" xfId="30750" xr:uid="{C0FDE45D-0A74-4B48-B868-CC3A381D3938}"/>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5 2" xfId="29700" xr:uid="{8F0345B5-C42A-4F97-AC9E-5A49983112D6}"/>
    <cellStyle name="Comma 7 2 3 3 5 2 2" xfId="30974" xr:uid="{49AB00ED-D3D7-42C2-B932-B7FA414535C5}"/>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4" xfId="5611" xr:uid="{B015D05F-1EF5-4A33-9017-141199658DDE}"/>
    <cellStyle name="Comma 7 2 3 4 4 2" xfId="29954" xr:uid="{6F5E6FF8-BD18-41B0-9298-1562BF4F1B7A}"/>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2 2" xfId="31182" xr:uid="{20ACC1DA-DDA0-4DFF-BBE4-E7B9006F30B2}"/>
    <cellStyle name="Comma 7 2 3 5 2 2 3" xfId="30752" xr:uid="{D28CA131-6C32-427C-80B1-1949D54DB14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5" xfId="15688" xr:uid="{07D45072-101C-4827-B8D1-A00007F60C66}"/>
    <cellStyle name="Comma 7 2 4 2 3" xfId="3578" xr:uid="{00000000-0005-0000-0000-0000A5020000}"/>
    <cellStyle name="Comma 7 2 4 2 4" xfId="5614" xr:uid="{B5F8E063-CC13-48F7-B354-52022C29F059}"/>
    <cellStyle name="Comma 7 2 4 2 4 2" xfId="29778" xr:uid="{717A8B57-F613-4934-A2BA-B4DA41722BE9}"/>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2 5" xfId="30437" xr:uid="{DF58A38D-B193-4A6E-8EE2-33862B27ADE5}"/>
    <cellStyle name="Comma 7 2 4 3 3" xfId="3690" xr:uid="{00000000-0005-0000-0000-0000A6020000}"/>
    <cellStyle name="Comma 7 2 4 3 4" xfId="5615" xr:uid="{9A822023-40EF-4024-BA32-71C8DA489B1B}"/>
    <cellStyle name="Comma 7 2 4 3 4 2" xfId="29754" xr:uid="{74AF2044-288C-4259-962B-6890C3AD7521}"/>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2 5" xfId="31012" xr:uid="{4DF67780-7E6B-44B0-A3FE-2A2D9262F36F}"/>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2 2" xfId="29809" xr:uid="{204B9508-2436-4FC6-8C97-CBC6E74FC93F}"/>
    <cellStyle name="Comma 7 2 5 2 2 2 2" xfId="30754" xr:uid="{B5D93598-8236-4471-B3EC-1978D2E1072A}"/>
    <cellStyle name="Comma 7 2 5 2 3" xfId="25638" xr:uid="{B96FBEC1-5BE6-4663-9CFF-AEA34151F77D}"/>
    <cellStyle name="Comma 7 2 5 2 4" xfId="30056" xr:uid="{E4DAD63E-503C-406A-B8BA-9B1C802DB5C2}"/>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2 3" xfId="31077" xr:uid="{17B13F84-67BE-4A07-A34F-F4CE611049F3}"/>
    <cellStyle name="Comma 7 2 5 5 2 4" xfId="30753" xr:uid="{E58FD6DF-6DEC-499C-BEC4-86D88EF5CE76}"/>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2 2" xfId="31186" xr:uid="{7F1F2059-99DE-446F-8BD0-EAEBA6DBAE22}"/>
    <cellStyle name="Comma 7 2 6 2 2 2 3" xfId="30755" xr:uid="{9590EA42-5241-4666-9BE3-D0CB28A14838}"/>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4 2" xfId="29765" xr:uid="{F47EEEA3-4F8B-40CC-BF5B-CF0F5EF74B6F}"/>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4 2" xfId="29869" xr:uid="{5E7A83DB-A0C5-4ED1-A233-B36A18D163CB}"/>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4" xfId="25737" xr:uid="{0BD68913-1C0D-4A18-9932-CBE888208981}"/>
    <cellStyle name="Comma 7 3 2 2 2 2 5" xfId="15690" xr:uid="{AB7D13A1-97DD-4AAE-B47E-73DAD8FE81CB}"/>
    <cellStyle name="Comma 7 3 2 2 2 3" xfId="3677" xr:uid="{00000000-0005-0000-0000-0000B2020000}"/>
    <cellStyle name="Comma 7 3 2 2 2 4" xfId="5620" xr:uid="{F8F8D46F-8C1B-40ED-AC69-279F85441D7E}"/>
    <cellStyle name="Comma 7 3 2 2 2 4 2" xfId="29956" xr:uid="{8B3FC41C-7281-4CF2-A98D-63A3095363A9}"/>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3 3 2" xfId="29906" xr:uid="{93403E33-B739-48C8-B3FF-C5FA96787F9D}"/>
    <cellStyle name="Comma 7 3 2 2 3 4" xfId="30019" xr:uid="{83A93D49-37FF-4080-A033-54F7CB7FA7AE}"/>
    <cellStyle name="Comma 7 3 2 2 4" xfId="1740" xr:uid="{00000000-0005-0000-0000-0000B4020000}"/>
    <cellStyle name="Comma 7 3 2 2 4 2" xfId="26934" xr:uid="{BB2C93DE-0EA2-4180-8F0A-5D7729C94327}"/>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2 3" xfId="31042" xr:uid="{A4B4FE6B-5C09-45A8-B162-ECE9F59A9D18}"/>
    <cellStyle name="Comma 7 3 2 2 5 2 4" xfId="30756" xr:uid="{F2ABCE9C-BFA0-49C6-A07A-003C2976380F}"/>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2 2" xfId="31226" xr:uid="{A413791A-F936-450E-8898-B28874C3FB8E}"/>
    <cellStyle name="Comma 7 3 2 3 2 2 2 3" xfId="30758" xr:uid="{F6141DB5-1C57-421B-B213-CF6C071CD99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2 3" xfId="31078" xr:uid="{4789A897-290F-4E25-A48E-8AA52182CD7F}"/>
    <cellStyle name="Comma 7 3 2 3 4 2 4" xfId="30757" xr:uid="{117CC0FA-7F90-489F-8F9C-66A69315D0FF}"/>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5 2" xfId="29691" xr:uid="{249FB12A-7A27-4B61-879F-A256C0817664}"/>
    <cellStyle name="Comma 7 3 2 3 5 2 2" xfId="30975" xr:uid="{2A7E378A-0FD3-4967-96A4-3E638EC84947}"/>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4" xfId="5622" xr:uid="{4CBC5550-7EB1-496E-BF60-43A6D36D04BB}"/>
    <cellStyle name="Comma 7 3 2 4 4 2" xfId="29955" xr:uid="{55B8B43E-4A73-4E99-BCC6-D74B637F3A5B}"/>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4 2" xfId="29876" xr:uid="{4FC4C9B9-B5E7-45D0-B8BB-332448A3B3EC}"/>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2 3" xfId="31147" xr:uid="{0F0E9F80-7732-414C-B0DB-5DCE9C6228C8}"/>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2 3" xfId="31043" xr:uid="{63AC0313-CC44-4BAB-B99B-3AFFB46C8671}"/>
    <cellStyle name="Comma 7 3 3 2 5 2 4" xfId="30760" xr:uid="{8E4BCF6B-DBB4-4075-978A-BD1BDD7DB325}"/>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6 2" xfId="29724" xr:uid="{3D06F1E3-79B4-4811-B657-F16B4EEA06E8}"/>
    <cellStyle name="Comma 7 3 3 2 6 2 2" xfId="30976" xr:uid="{112E69B3-69F1-44A5-8738-0AA881F3DFDC}"/>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2 3" xfId="31079" xr:uid="{7AD836FD-8CD5-4690-A33A-8DF428ABF448}"/>
    <cellStyle name="Comma 7 3 3 3 4 2 4" xfId="30761" xr:uid="{95AEBBD9-A3AC-4749-8833-DDB070EBC3BF}"/>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5 2" xfId="29707" xr:uid="{629F5DA6-01D3-4F91-A6F3-08DAFF81178A}"/>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4" xfId="5623" xr:uid="{2F7F323B-1E99-4199-9FD5-7182F60C697E}"/>
    <cellStyle name="Comma 7 3 3 4 4 2" xfId="29957" xr:uid="{DF3BC11F-BB56-413E-BA58-E5E717506BBC}"/>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2 3" xfId="31014" xr:uid="{19B449DC-F951-4406-BBDC-1E361946CBF1}"/>
    <cellStyle name="Comma 7 3 3 6 2 4" xfId="30759" xr:uid="{09060111-3662-4062-98E2-27280CA31DEF}"/>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4" xfId="5626" xr:uid="{827FF525-FDEF-478D-B14C-FAE5C7BAAA47}"/>
    <cellStyle name="Comma 7 3 4 2 4 2" xfId="29958" xr:uid="{20F9AA12-6498-407B-9E82-41086B0B3BDD}"/>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3 3 2" xfId="29905" xr:uid="{01103EB1-3290-4D07-BEF6-3D3C9114883A}"/>
    <cellStyle name="Comma 7 3 4 3 4" xfId="30018" xr:uid="{00434217-AB1C-4C6B-A83C-62A5AC08F336}"/>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2 3" xfId="31041" xr:uid="{29E5A903-E367-4DFA-8B14-41FC53E28582}"/>
    <cellStyle name="Comma 7 3 4 5 2 4" xfId="30762" xr:uid="{5C39344B-BBCA-404A-B8F8-90DD4B557283}"/>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2 2" xfId="31227" xr:uid="{B1824CD6-0A45-4DFE-A5DA-1765F10D715A}"/>
    <cellStyle name="Comma 7 3 5 2 2 2 3" xfId="30764" xr:uid="{7B31E587-79F0-4CA4-A017-3FC64EB68955}"/>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2 3" xfId="31080" xr:uid="{7E1DD9F1-4C18-4368-A763-2CFDB57D9BB0}"/>
    <cellStyle name="Comma 7 3 5 4 2 4" xfId="30763" xr:uid="{CEB76293-5225-4DF8-B182-6C8C0AFD630E}"/>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5 2" xfId="29686" xr:uid="{DD02D9DC-2EC2-4EBC-A2AB-DA7D0EF6B5A6}"/>
    <cellStyle name="Comma 7 3 5 5 2 2" xfId="30977" xr:uid="{235E9461-30B4-44D8-929B-6F79698976C3}"/>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2 2" xfId="31169" xr:uid="{00E20836-A709-4D76-A735-95493E287AD1}"/>
    <cellStyle name="Comma 7 3 6 2 2 2 3" xfId="30765" xr:uid="{80F05594-7611-41F2-83FC-870D7DE32EE2}"/>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4" xfId="5628" xr:uid="{5B76C98F-C0BF-4CF0-91A7-53BE3B77CE07}"/>
    <cellStyle name="Comma 7 3 6 4 2" xfId="29925" xr:uid="{741779F3-8687-413A-BABB-6A7AC4C6DE25}"/>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4 2" xfId="29864" xr:uid="{AF8F967D-6CD8-4490-B648-1B12B79D6ED9}"/>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2 2 2" xfId="31124" xr:uid="{25B90749-E1DC-406F-B88F-4BB77DEB39C9}"/>
    <cellStyle name="Comma 7 3 8 2 2 3" xfId="30766" xr:uid="{2521966B-AD35-4B5A-923F-A6EECC98E499}"/>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4" xfId="25726" xr:uid="{A1B5A541-62DD-4F3C-A2B9-76C97AB30F96}"/>
    <cellStyle name="Comma 7 4 2 2 2 2 5" xfId="15698" xr:uid="{A876339B-699C-4347-AB50-4795736B3C8C}"/>
    <cellStyle name="Comma 7 4 2 2 2 3" xfId="2074" xr:uid="{00000000-0005-0000-0000-0000C6020000}"/>
    <cellStyle name="Comma 7 4 2 2 2 4" xfId="5630" xr:uid="{0F96B69B-244A-4F6D-84EA-8F9BE20B728E}"/>
    <cellStyle name="Comma 7 4 2 2 2 4 2" xfId="29960" xr:uid="{C6BDF0EC-6B58-4DBD-A047-E46FD0F0B294}"/>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3 3 2" xfId="29908" xr:uid="{017EC55E-1B0E-4659-9FEC-BE3BA3E8B5C9}"/>
    <cellStyle name="Comma 7 4 2 2 3 4" xfId="30020" xr:uid="{76B366F6-D4B3-4EDF-A05B-E111BAF2E291}"/>
    <cellStyle name="Comma 7 4 2 2 4" xfId="1755" xr:uid="{00000000-0005-0000-0000-0000C8020000}"/>
    <cellStyle name="Comma 7 4 2 2 4 2" xfId="26941" xr:uid="{EACAFCDE-67F4-4E83-A579-0DC3A6628F60}"/>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2 3" xfId="31044" xr:uid="{0466D549-57DE-48E9-B876-F7DA4CBAA235}"/>
    <cellStyle name="Comma 7 4 2 2 5 2 4" xfId="30767" xr:uid="{B6266582-5973-4625-BC73-800F26BE8E45}"/>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2 2" xfId="31228" xr:uid="{5DCE9DDA-5CBE-40F0-BC23-B3C9BE848D80}"/>
    <cellStyle name="Comma 7 4 2 3 2 2 2 3" xfId="30769" xr:uid="{C45D28CF-F3F7-4E67-9E26-B73EEE81ED73}"/>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2 3" xfId="31081" xr:uid="{F6B95315-CE84-493B-AAC8-03822C5B8988}"/>
    <cellStyle name="Comma 7 4 2 3 4 2 4" xfId="30768" xr:uid="{622C6861-D115-499C-A407-9F5AA1C65C51}"/>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5 2" xfId="29703" xr:uid="{2CD370FC-BE89-44C6-B960-89019767396E}"/>
    <cellStyle name="Comma 7 4 2 3 5 2 2" xfId="30978" xr:uid="{AB2A1405-E9B2-4D65-9C63-84C25CAAF278}"/>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4" xfId="5632" xr:uid="{FFE912BB-055C-46DF-8818-DF8382E88359}"/>
    <cellStyle name="Comma 7 4 2 4 4 2" xfId="29959" xr:uid="{89796A6F-5040-434A-BAAD-19672D0CD23D}"/>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4 2" xfId="29886" xr:uid="{E23FAD94-262E-486E-AC68-65CF7F67F6ED}"/>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4 2" xfId="29961" xr:uid="{CBFC30DF-918A-4635-9F73-C3728EBCA183}"/>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2 5" xfId="30438" xr:uid="{B1C8CA97-8768-4B9B-AA25-B2978BD9674C}"/>
    <cellStyle name="Comma 7 4 3 3 3" xfId="3617" xr:uid="{00000000-0005-0000-0000-0000CE020000}"/>
    <cellStyle name="Comma 7 4 3 3 4" xfId="5634" xr:uid="{C0C64253-4544-4979-A07F-7EEC2FA73C74}"/>
    <cellStyle name="Comma 7 4 3 3 4 2" xfId="29907" xr:uid="{7158D19A-9FDF-4D3B-84E8-BAA5FCE634A9}"/>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2 5" xfId="31015" xr:uid="{AE91DB1F-9BFA-4E40-ABB4-055D676741C7}"/>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2 2" xfId="29795" xr:uid="{FD56B18F-F2A1-4404-84AA-2710BD5F70E9}"/>
    <cellStyle name="Comma 7 4 4 2 2 2 2" xfId="30771" xr:uid="{319C5315-1AFF-4ADF-8B9D-E9FDD8A5291F}"/>
    <cellStyle name="Comma 7 4 4 2 3" xfId="24977" xr:uid="{BAF6A2DD-6226-43D4-A684-8150AEF97C75}"/>
    <cellStyle name="Comma 7 4 4 2 4" xfId="30057" xr:uid="{75B74586-5889-4F8A-8B94-D1B0980FFA5F}"/>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2 3" xfId="31082" xr:uid="{54FF0A26-6FC3-46E7-B541-2D3D4C7445BB}"/>
    <cellStyle name="Comma 7 4 4 5 2 4" xfId="30770" xr:uid="{9E45CC61-8D14-4306-AE88-07132C06F482}"/>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2 2" xfId="31202" xr:uid="{C4434D6B-27E6-4DB2-B5C6-11D236A9EB9B}"/>
    <cellStyle name="Comma 7 4 5 2 2 2 3" xfId="30772" xr:uid="{5B586058-E49A-4F5A-A031-B1916C57A197}"/>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4 2" xfId="29845" xr:uid="{4B10996F-A14C-46DD-8C2F-249591EC5D98}"/>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4 2" xfId="29860" xr:uid="{805902E2-1874-4F43-B319-8A070BE8AB08}"/>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2 2" xfId="29820" xr:uid="{5C6E918E-4939-45E8-B81B-2BB9443B9369}"/>
    <cellStyle name="Comma 7 5 2 2 2 2 2 2" xfId="30774" xr:uid="{8331577E-3BE0-4863-9249-C2E29EC91883}"/>
    <cellStyle name="Comma 7 5 2 2 2 3" xfId="25615" xr:uid="{E11AB7C8-071A-4B09-83C8-46783A515B04}"/>
    <cellStyle name="Comma 7 5 2 2 2 4" xfId="30058" xr:uid="{EDBA2B5F-6CEF-4901-AC0B-962DF8EC9CB1}"/>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5" xfId="4913" xr:uid="{292E7043-3ECC-4B86-8A68-9553D6F91E71}"/>
    <cellStyle name="Comma 7 5 2 2 5 2" xfId="26639" xr:uid="{499C625A-4CCE-4EF2-A8EA-D9B86F988028}"/>
    <cellStyle name="Comma 7 5 2 2 5 2 2" xfId="31180" xr:uid="{87B6A0FC-0A0D-4749-B9C8-431AB1B2B79E}"/>
    <cellStyle name="Comma 7 5 2 2 5 2 3" xfId="30773" xr:uid="{6B021D7B-467E-41E0-86AE-C149D8B144C3}"/>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3" xfId="10640" xr:uid="{8F13F77B-5886-4B31-9A6B-6F7BBF4680C1}"/>
    <cellStyle name="Comma 7 5 2 3 2 3 2" xfId="21020" xr:uid="{806E31E5-44E7-4543-8EE7-D88714002892}"/>
    <cellStyle name="Comma 7 5 2 3 2 4" xfId="15354" xr:uid="{2B1DDC52-F985-4BDE-9709-0D693B7B1532}"/>
    <cellStyle name="Comma 7 5 2 3 2 5" xfId="30439" xr:uid="{4C69A4F6-066B-4602-A2FB-2507B99DA2D3}"/>
    <cellStyle name="Comma 7 5 2 3 3" xfId="3604" xr:uid="{00000000-0005-0000-0000-0000DD020000}"/>
    <cellStyle name="Comma 7 5 2 3 4" xfId="5637" xr:uid="{22F7C8BC-3E9A-4B2A-806B-9A80343B7F05}"/>
    <cellStyle name="Comma 7 5 2 3 4 2" xfId="29755" xr:uid="{CB335343-DFF7-47C9-BAD2-5555E0887C81}"/>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2 3" xfId="31109" xr:uid="{F6B2EA94-75BA-4FE9-BA97-825E66BAC5CD}"/>
    <cellStyle name="Comma 7 5 2 4 2 2 4" xfId="30775" xr:uid="{9413EA06-846F-4538-A8B6-AC9D9CB1956E}"/>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4 3 2" xfId="29909" xr:uid="{FC352166-CC94-4832-943B-05E380014AC4}"/>
    <cellStyle name="Comma 7 5 2 4 4" xfId="30021" xr:uid="{F9CFF630-ED37-41F2-88D7-D77DA160E269}"/>
    <cellStyle name="Comma 7 5 2 5" xfId="1769" xr:uid="{00000000-0005-0000-0000-0000DF020000}"/>
    <cellStyle name="Comma 7 5 2 5 2" xfId="22841" xr:uid="{D1DB451F-6159-4A74-9B86-700896744C6A}"/>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2 2" xfId="29799" xr:uid="{E1BC0F88-3013-4A17-86BC-D393EC6A12C2}"/>
    <cellStyle name="Comma 7 5 3 2 2 2 2" xfId="30777" xr:uid="{0405C4BC-9FA5-4E1C-AE2C-0E8E035E6E55}"/>
    <cellStyle name="Comma 7 5 3 2 3" xfId="24071" xr:uid="{8A811A5F-863A-432D-8845-82D7A335A18F}"/>
    <cellStyle name="Comma 7 5 3 2 3 2" xfId="26964" xr:uid="{ACD1A0F0-669A-46F3-822C-B3E39EEFFB34}"/>
    <cellStyle name="Comma 7 5 3 2 4" xfId="30059" xr:uid="{4003CD9E-9CDC-471A-80E3-40C67E7AE6F3}"/>
    <cellStyle name="Comma 7 5 3 3" xfId="1777" xr:uid="{00000000-0005-0000-0000-0000E2020000}"/>
    <cellStyle name="Comma 7 5 3 4" xfId="1775" xr:uid="{00000000-0005-0000-0000-0000E3020000}"/>
    <cellStyle name="Comma 7 5 3 4 2" xfId="25794" xr:uid="{C46FFFC4-5367-43D9-A0F2-883957F7948E}"/>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2 3" xfId="31083" xr:uid="{D2DA8AD8-9203-46A4-840D-08F9276927A9}"/>
    <cellStyle name="Comma 7 5 3 5 2 4" xfId="30776" xr:uid="{ADEA8ABE-EF1C-4EE3-B196-098AA0C6560D}"/>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2 2" xfId="29813" xr:uid="{ACABB38E-F2C3-4AC1-BAE5-A0B7DA0C7293}"/>
    <cellStyle name="Comma 7 5 4 2 2 2 2" xfId="30779" xr:uid="{AF40BC1E-0D28-4ADA-909F-280C9863C3CF}"/>
    <cellStyle name="Comma 7 5 4 2 3" xfId="25559" xr:uid="{57C8C355-B884-4ABB-8802-01C4ABA7B528}"/>
    <cellStyle name="Comma 7 5 4 2 4" xfId="30039" xr:uid="{2590A26D-2BC3-46D2-9CBC-376320D777B3}"/>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5 2 2" xfId="31116" xr:uid="{AFD7E339-6562-4166-B7E4-17A96787670E}"/>
    <cellStyle name="Comma 7 5 4 5 2 3" xfId="30778" xr:uid="{171CD150-B758-49E1-ADA7-FED0D3CB3AFB}"/>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2 5" xfId="30440" xr:uid="{03E98A0F-5295-4006-9775-DC44882EA57A}"/>
    <cellStyle name="Comma 7 5 5 3" xfId="3668" xr:uid="{00000000-0005-0000-0000-0000E8020000}"/>
    <cellStyle name="Comma 7 5 5 4" xfId="5638" xr:uid="{549DF708-A440-479B-B2F3-1DB44B4EF640}"/>
    <cellStyle name="Comma 7 5 5 4 2" xfId="29846" xr:uid="{0CCCBC86-3CE8-47B5-9F99-C8ED5F9D97B3}"/>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6 4 2" xfId="29872" xr:uid="{1E50365E-F381-4A78-9DEE-85DE002A0ED4}"/>
    <cellStyle name="Comma 7 5 6 5" xfId="30002" xr:uid="{2C6228CA-1ACB-48D5-AC98-48ED27FB57CC}"/>
    <cellStyle name="Comma 7 5 7" xfId="1768" xr:uid="{00000000-0005-0000-0000-0000EA020000}"/>
    <cellStyle name="Comma 7 5 7 2" xfId="25768" xr:uid="{F584A0C8-D732-472C-8BC3-DCA82A4452C1}"/>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2 2" xfId="29800" xr:uid="{6530A366-0929-4E11-BB5C-1247AF3904CA}"/>
    <cellStyle name="Comma 7 6 2 2 2 2 2 2" xfId="30781" xr:uid="{CD5614D8-BFEE-49F5-8B7B-9193CFB74C10}"/>
    <cellStyle name="Comma 7 6 2 2 2 3" xfId="23934" xr:uid="{E36F713B-902C-474C-93D2-2A68907E4954}"/>
    <cellStyle name="Comma 7 6 2 2 2 4" xfId="30060" xr:uid="{01672D53-D010-430C-A056-32DE89E2A64E}"/>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5" xfId="4918" xr:uid="{568104A5-BF9E-4CAB-8466-A723EBB6FFCC}"/>
    <cellStyle name="Comma 7 6 2 2 5 2" xfId="27423" xr:uid="{6D27C4D8-3DCA-45E9-B4AB-2A98FB1E5EE5}"/>
    <cellStyle name="Comma 7 6 2 2 5 2 2" xfId="31191" xr:uid="{5D3FFA2F-4D53-434E-94A8-7F717C58A0F3}"/>
    <cellStyle name="Comma 7 6 2 2 5 2 3" xfId="30780" xr:uid="{1CC38D04-CD23-46B7-BB5E-CB53C7761DA1}"/>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3" xfId="10641" xr:uid="{6E4FC81E-5D87-4568-B43B-22C6D3B722B4}"/>
    <cellStyle name="Comma 7 6 2 3 2 3 2" xfId="21021" xr:uid="{4C3A11D8-3CA8-4B93-8360-3532C16154E6}"/>
    <cellStyle name="Comma 7 6 2 3 2 4" xfId="15355" xr:uid="{F5ABC2AE-96BF-4503-97DF-050751112AFA}"/>
    <cellStyle name="Comma 7 6 2 3 2 5" xfId="30441" xr:uid="{D87D8F3D-F43C-41C0-8037-C1D88E2C0419}"/>
    <cellStyle name="Comma 7 6 2 3 3" xfId="3618" xr:uid="{00000000-0005-0000-0000-0000F1020000}"/>
    <cellStyle name="Comma 7 6 2 3 4" xfId="5639" xr:uid="{A859882B-B923-4E27-B0EB-8C0E2A828252}"/>
    <cellStyle name="Comma 7 6 2 3 4 2" xfId="29756" xr:uid="{2383F154-FBC3-4396-AA20-4E3ACC12478B}"/>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2 3" xfId="31110" xr:uid="{53BB95EB-C7DA-4A8C-A4C2-E7F1D2015036}"/>
    <cellStyle name="Comma 7 6 2 4 2 2 4" xfId="30782" xr:uid="{BFE3B2AC-07A6-4004-A56B-5447B1DA410D}"/>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4 3 2" xfId="29910" xr:uid="{A56ADC01-A341-4692-A5BD-408AA86B465C}"/>
    <cellStyle name="Comma 7 6 2 4 4" xfId="30022" xr:uid="{038B0F77-68FE-441B-A2D7-3E607D8FBD3E}"/>
    <cellStyle name="Comma 7 6 2 5" xfId="1784" xr:uid="{00000000-0005-0000-0000-0000F3020000}"/>
    <cellStyle name="Comma 7 6 2 5 2" xfId="25694" xr:uid="{43A0D14E-D700-4A27-B4AB-31B149617AF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2 2" xfId="29807" xr:uid="{C1CE4960-82BB-4DAF-BD8F-C3EF7E964D61}"/>
    <cellStyle name="Comma 7 6 3 2 2 2 2" xfId="30784" xr:uid="{05E51192-649A-411F-9AB3-46D1F40C9C68}"/>
    <cellStyle name="Comma 7 6 3 2 3" xfId="25625" xr:uid="{EF760203-0895-4660-ABBE-998EE7974075}"/>
    <cellStyle name="Comma 7 6 3 2 3 2" xfId="26189" xr:uid="{817FEF4E-F9EF-4ACF-AE83-5398CABA09AF}"/>
    <cellStyle name="Comma 7 6 3 2 4" xfId="30061" xr:uid="{A2F331B9-7AA9-4AC8-AD6F-60544D09BFCC}"/>
    <cellStyle name="Comma 7 6 3 3" xfId="1792" xr:uid="{00000000-0005-0000-0000-0000F6020000}"/>
    <cellStyle name="Comma 7 6 3 4" xfId="1790" xr:uid="{00000000-0005-0000-0000-0000F7020000}"/>
    <cellStyle name="Comma 7 6 3 4 2" xfId="26138" xr:uid="{E6EA9670-01AD-4097-8942-F95C02BBB311}"/>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2 3" xfId="31084" xr:uid="{5B1F8756-6123-46BD-9F5C-3032651408D7}"/>
    <cellStyle name="Comma 7 6 3 5 2 4" xfId="30783" xr:uid="{75EF5744-0076-4620-A6E4-89D8800440B2}"/>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2 2" xfId="29811" xr:uid="{57D54F67-70B5-4496-B67A-CCD271CE0A1A}"/>
    <cellStyle name="Comma 7 6 4 2 2 2 2" xfId="30786" xr:uid="{275B49E3-BA19-4808-AF0E-992BAD75E9CA}"/>
    <cellStyle name="Comma 7 6 4 2 3" xfId="24294" xr:uid="{089D13FD-4729-4D15-80E1-E28074858099}"/>
    <cellStyle name="Comma 7 6 4 2 4" xfId="30040" xr:uid="{3CAEEE8B-0AAD-4E47-8D9D-7B15CA8A6CF5}"/>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5 2 2" xfId="31117" xr:uid="{108BB9CF-32ED-4F0D-84FA-ED3968C16286}"/>
    <cellStyle name="Comma 7 6 4 5 2 3" xfId="30785" xr:uid="{0C9D9E98-C376-4509-99C7-461FA0F154D1}"/>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2 5" xfId="30442" xr:uid="{F7FA1887-1CFD-4A77-A944-6246311872AB}"/>
    <cellStyle name="Comma 7 6 5 3" xfId="2063" xr:uid="{00000000-0005-0000-0000-0000FC020000}"/>
    <cellStyle name="Comma 7 6 5 4" xfId="5640" xr:uid="{E6B8AE12-F1B5-499A-8F3E-004979DA9C30}"/>
    <cellStyle name="Comma 7 6 5 4 2" xfId="29847" xr:uid="{7BBD256C-B730-43AF-815C-82C21BC38304}"/>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6 4 2" xfId="29883" xr:uid="{BA8926F2-5495-4B23-B877-3C97DC6CD642}"/>
    <cellStyle name="Comma 7 6 6 5" xfId="30006" xr:uid="{FA1DB840-8290-41D1-B01F-2F13D74261E2}"/>
    <cellStyle name="Comma 7 6 7" xfId="1783" xr:uid="{00000000-0005-0000-0000-0000FE020000}"/>
    <cellStyle name="Comma 7 6 7 2" xfId="27963" xr:uid="{1D32C5D1-031B-4E2E-A3F9-D5DB05CFD04C}"/>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2 2 2" xfId="31137" xr:uid="{7B4E6E3D-5D0B-40D6-84BD-43D775109142}"/>
    <cellStyle name="Comma 7 7 2 2 2 2 2 3" xfId="30787" xr:uid="{B018A964-2BCE-44BC-8397-0B29A05DF726}"/>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4 2" xfId="29766" xr:uid="{FA4FB0BF-A96C-40AA-BA96-8F4951D06A90}"/>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2 2" xfId="30788" xr:uid="{1E3CD265-152F-4835-8EE5-09A9941F2276}"/>
    <cellStyle name="Comma 7 7 2 3 2 3" xfId="30554" xr:uid="{02D9238D-CBBE-43CD-9C24-03C90F95B3B3}"/>
    <cellStyle name="Comma 7 7 2 3 3" xfId="23910" xr:uid="{53A23F6E-80A4-406E-B3C9-3A9ED17968CC}"/>
    <cellStyle name="Comma 7 7 2 3 4" xfId="30041" xr:uid="{B10D0033-ABBF-4989-8018-A0B99E559E65}"/>
    <cellStyle name="Comma 7 7 2 3 5" xfId="29663" xr:uid="{F6B21234-EF52-417D-A18F-B6EF8AD1E09D}"/>
    <cellStyle name="Comma 7 7 2 4" xfId="1799" xr:uid="{00000000-0005-0000-0000-000003030000}"/>
    <cellStyle name="Comma 7 7 2 4 2" xfId="25969" xr:uid="{928C0968-72D2-40CF-B38F-C587FD022FFD}"/>
    <cellStyle name="Comma 7 7 2 4 2 2" xfId="30789" xr:uid="{7E046A25-CAE9-4CDB-BD51-E8747CBC0EBF}"/>
    <cellStyle name="Comma 7 7 2 4 2 3" xfId="30588" xr:uid="{B9BA8C80-016D-4DAF-B5A7-EEAE08BA1850}"/>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5 5" xfId="30619" xr:uid="{E846814E-5B6C-4A6E-9E58-68D4CC744C88}"/>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2 2" xfId="30791" xr:uid="{54EA8795-81FA-4C62-9DDB-F155986CC086}"/>
    <cellStyle name="Comma 7 7 3 2 2 3" xfId="30602" xr:uid="{AC10B343-A6F7-4CEA-BFEF-D4DBB8A29826}"/>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2 2" xfId="31197" xr:uid="{222CF450-24C8-4421-8103-13361694F782}"/>
    <cellStyle name="Comma 7 7 3 5 2 3" xfId="30790" xr:uid="{7960C803-F401-450C-B756-1ADD0E85CCC6}"/>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2 2 2" xfId="31127" xr:uid="{578F950F-8ECC-4DFC-BB7D-F799DE989C62}"/>
    <cellStyle name="Comma 7 7 4 2 2 2 3" xfId="30792" xr:uid="{F5A2BB4A-33A4-4166-889B-4FB51AB60A5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4 4 2" xfId="29738" xr:uid="{787F23BB-5755-4C4F-9AEF-D15F9D5BAA42}"/>
    <cellStyle name="Comma 7 7 4 5" xfId="29848" xr:uid="{B9DD2DA5-2A68-4CBC-BCA3-1B5F3034B17B}"/>
    <cellStyle name="Comma 7 7 4 6" xfId="29991" xr:uid="{B686D5D9-8B80-451A-AB28-EB3DD1D3523C}"/>
    <cellStyle name="Comma 7 7 5" xfId="1806" xr:uid="{00000000-0005-0000-0000-000009030000}"/>
    <cellStyle name="Comma 7 7 5 2" xfId="25672" xr:uid="{6DCCAF9D-3C6C-4CF6-ADEB-8BDFB46B6777}"/>
    <cellStyle name="Comma 7 7 5 2 2" xfId="29828" xr:uid="{4A7BD1EE-60D6-4780-87E7-19A73C10E6BF}"/>
    <cellStyle name="Comma 7 7 5 2 2 2" xfId="30793" xr:uid="{BA5C71EA-B3F2-4687-A4B5-790C585B6E1A}"/>
    <cellStyle name="Comma 7 7 5 3" xfId="24747" xr:uid="{3D5F4592-4DA7-47D0-9EA5-0B5125233E85}"/>
    <cellStyle name="Comma 7 7 5 4" xfId="30023" xr:uid="{1DEC4015-E095-4F70-8620-A8BE279518E9}"/>
    <cellStyle name="Comma 7 7 6" xfId="1798" xr:uid="{00000000-0005-0000-0000-00000A030000}"/>
    <cellStyle name="Comma 7 7 6 2" xfId="27388" xr:uid="{FD0E0FBD-37AE-490F-91F8-9CCBB4423EF3}"/>
    <cellStyle name="Comma 7 7 6 2 2" xfId="30794" xr:uid="{CAA61A27-B80A-4F0E-809E-70C3BBC4F0DD}"/>
    <cellStyle name="Comma 7 7 6 2 3" xfId="30587" xr:uid="{779BF925-478F-4B92-9D61-F3E81C8C6CCA}"/>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2 2 2" xfId="31138" xr:uid="{081405D7-D07D-4A91-BD9B-45D8AD436235}"/>
    <cellStyle name="Comma 7 8 2 2 2 2 2 3" xfId="30795" xr:uid="{ED36736C-00D1-4FB1-B140-7B9566A4683E}"/>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4 2" xfId="29767" xr:uid="{E9FED823-1012-4BC6-A428-7E2379C3BA30}"/>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2 2" xfId="30796" xr:uid="{F6B8A557-F23D-438B-8822-B00D42CBEC46}"/>
    <cellStyle name="Comma 7 8 2 3 2 3" xfId="30555" xr:uid="{D701D235-4E4F-4A67-B996-44B03CEEE62B}"/>
    <cellStyle name="Comma 7 8 2 3 3" xfId="23270" xr:uid="{E168AB56-CAC1-4EAC-9C84-294233F63871}"/>
    <cellStyle name="Comma 7 8 2 3 4" xfId="30042" xr:uid="{5595654F-D3F2-4C58-9711-80F5D4516389}"/>
    <cellStyle name="Comma 7 8 2 3 5" xfId="29664" xr:uid="{F89B622F-2B7F-4DD5-B596-4AE854E840FE}"/>
    <cellStyle name="Comma 7 8 2 4" xfId="1808" xr:uid="{00000000-0005-0000-0000-00000F030000}"/>
    <cellStyle name="Comma 7 8 2 4 2" xfId="27624" xr:uid="{E4811423-FA33-410A-9876-3E8BEC2D3065}"/>
    <cellStyle name="Comma 7 8 2 4 2 2" xfId="30797" xr:uid="{F5E6F138-1B96-4B9C-A041-BA40BEE9149A}"/>
    <cellStyle name="Comma 7 8 2 4 2 3" xfId="30590" xr:uid="{113A6CB1-FA98-4193-9DC6-59E261BEBAD5}"/>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5 5" xfId="30618" xr:uid="{36739910-A0E7-407D-A213-70F47A9FB38C}"/>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2 2" xfId="30799" xr:uid="{27CF7EC5-7EB8-4BFD-BCE0-B0F02E2406C6}"/>
    <cellStyle name="Comma 7 8 3 2 2 3" xfId="30603" xr:uid="{5081A3B1-9BBF-4264-A72F-EC54681B085A}"/>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2 2" xfId="31177" xr:uid="{B7C2DA88-707B-4D9B-B86B-2337AB76038C}"/>
    <cellStyle name="Comma 7 8 3 5 2 3" xfId="30798" xr:uid="{C3139D6A-C6C8-4FB4-A5E3-3E0682926834}"/>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2 2 2" xfId="31128" xr:uid="{DCA6D1C7-1322-4480-B219-4BF158B0F1E8}"/>
    <cellStyle name="Comma 7 8 4 2 2 2 3" xfId="30800" xr:uid="{DE93F21A-3123-4AC4-B36D-73D11AF2C594}"/>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4 4 2" xfId="29739" xr:uid="{24393F3C-DB19-4078-9336-35E1AE2F85F6}"/>
    <cellStyle name="Comma 7 8 4 5" xfId="29849" xr:uid="{4A5ECDAD-660F-4328-BAC4-07C32749A506}"/>
    <cellStyle name="Comma 7 8 4 6" xfId="29992" xr:uid="{587744C6-0414-46C8-8D3F-F58C20B13D75}"/>
    <cellStyle name="Comma 7 8 5" xfId="1815" xr:uid="{00000000-0005-0000-0000-000015030000}"/>
    <cellStyle name="Comma 7 8 5 2" xfId="23786" xr:uid="{79A225CD-EE67-4FD6-AD4B-AA6D75F99659}"/>
    <cellStyle name="Comma 7 8 5 2 2" xfId="29829" xr:uid="{85D21D4E-521C-4890-ABEA-B0F0A9C6E194}"/>
    <cellStyle name="Comma 7 8 5 2 2 2" xfId="30801" xr:uid="{32CF2401-1888-4757-9934-9E94BDDB7892}"/>
    <cellStyle name="Comma 7 8 5 3" xfId="24113" xr:uid="{BE8CBB68-BEC0-4594-95E1-007E844A55A2}"/>
    <cellStyle name="Comma 7 8 5 4" xfId="30024" xr:uid="{43D9B9D1-144B-4A25-937C-F86412C4CA52}"/>
    <cellStyle name="Comma 7 8 6" xfId="1807" xr:uid="{00000000-0005-0000-0000-000016030000}"/>
    <cellStyle name="Comma 7 8 6 2" xfId="28223" xr:uid="{1CA307A6-ECBB-4DCD-88E9-ED86F26BE09F}"/>
    <cellStyle name="Comma 7 8 6 2 2" xfId="30802" xr:uid="{36E76C61-6C08-4EC0-ADAB-97813DC20F84}"/>
    <cellStyle name="Comma 7 8 6 2 3" xfId="30589" xr:uid="{E692720D-A46C-47F1-A85F-B7A7AD465287}"/>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2 2 2" xfId="31144" xr:uid="{8996AED9-583D-45D1-90AF-796571A1EF0C}"/>
    <cellStyle name="Comma 7 9 2 2 2 2 3" xfId="30803" xr:uid="{11FE597E-A302-4F05-AB71-E873DAD04A9D}"/>
    <cellStyle name="Comma 7 9 2 2 3" xfId="10987" xr:uid="{5A4792B8-16DA-4A10-B4BA-D0A16135D4E9}"/>
    <cellStyle name="Comma 7 9 2 2 3 2" xfId="21367" xr:uid="{407AA900-0444-45C7-87FB-519CD37F3547}"/>
    <cellStyle name="Comma 7 9 2 2 4" xfId="24622" xr:uid="{263D3238-FB6A-4166-9E0F-9A170E5F5491}"/>
    <cellStyle name="Comma 7 9 2 2 4 2" xfId="30073" xr:uid="{4DA89B82-2FB7-4F27-A5F9-327004076252}"/>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4 2" xfId="29779" xr:uid="{EBB2BB2F-2710-46EF-886B-754275719B42}"/>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2 5" xfId="30443" xr:uid="{92D51025-E4C0-4904-9638-6A17E656034E}"/>
    <cellStyle name="Comma 7 9 3 3" xfId="3679" xr:uid="{00000000-0005-0000-0000-000019030000}"/>
    <cellStyle name="Comma 7 9 3 4" xfId="5644" xr:uid="{E6BE7499-77E4-463B-BA19-0EA0E6022915}"/>
    <cellStyle name="Comma 7 9 3 4 2" xfId="29753" xr:uid="{8B795218-E896-406B-B68C-5A7BF886D01A}"/>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5" xfId="15358" xr:uid="{65EDEDBF-9135-4EDF-B076-15DD1724FE14}"/>
    <cellStyle name="Comma 9 2 2 2 4" xfId="2046" xr:uid="{00000000-0005-0000-0000-00001F030000}"/>
    <cellStyle name="Comma 9 2 2 2 4 2" xfId="26109" xr:uid="{122440CA-696A-44E0-9E96-A87373C105F9}"/>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2 3" xfId="31045" xr:uid="{F0C0A167-9B27-4A98-AB6A-B02856686997}"/>
    <cellStyle name="Comma 9 2 2 2 5 2 4" xfId="30804" xr:uid="{940BAFB2-DDDF-4DFD-AC79-DD26DD309846}"/>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6 2" xfId="29725" xr:uid="{5FAFEE43-02EA-4263-B848-C1EA850D9CC6}"/>
    <cellStyle name="Comma 9 2 2 2 6 2 2" xfId="30979" xr:uid="{5D796100-B80F-4D81-937F-89F02B01DAF1}"/>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2 2" xfId="31229" xr:uid="{E0EAEE44-385B-43C4-A241-FDA503A0345E}"/>
    <cellStyle name="Comma 9 2 2 3 2 2 2 3" xfId="30806" xr:uid="{0E41FCD9-0F8F-41FD-9B49-7F0530E67F12}"/>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4" xfId="4419" xr:uid="{51ADD6C0-603D-4098-9009-CBEFA0A69A4B}"/>
    <cellStyle name="Comma 9 2 2 3 4 2" xfId="9191" xr:uid="{F3BDC41A-CFD9-47C5-A0ED-1DF0D97D107C}"/>
    <cellStyle name="Comma 9 2 2 3 4 2 2" xfId="19571" xr:uid="{6A163FFC-6407-458E-95EF-1755EB510D2C}"/>
    <cellStyle name="Comma 9 2 2 3 4 2 3" xfId="31085" xr:uid="{200D0FEF-51EA-4B32-BD4F-ED01F56CF64F}"/>
    <cellStyle name="Comma 9 2 2 3 4 2 4" xfId="30805" xr:uid="{45D769B4-A51B-4357-BF7C-CEA3942690FF}"/>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5 2" xfId="29711" xr:uid="{8E3DEB05-C8FD-4B12-9825-E73EE046D749}"/>
    <cellStyle name="Comma 9 2 2 3 5 2 2" xfId="30980" xr:uid="{AFFAD961-C129-4BDB-B8E1-FC9907D6727B}"/>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4 2" xfId="29962" xr:uid="{7C9ED966-91AA-4C46-BB66-8180C9956C71}"/>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2 2" xfId="31211" xr:uid="{972E3E93-27A6-4530-8159-6C6AF4E7DBCC}"/>
    <cellStyle name="Comma 9 2 2 5 2 2 3" xfId="30807" xr:uid="{08104823-45CC-4C4D-B84B-B3362DB2DCBC}"/>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4" xfId="5649" xr:uid="{E79966CE-366E-44ED-8CF4-EF18FE3B9A08}"/>
    <cellStyle name="Comma 9 2 3 2 4 2" xfId="29963" xr:uid="{C540771B-03DD-4A97-8D6C-125C8B900220}"/>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2 5" xfId="30444" xr:uid="{B9D0D307-C678-4D48-9BB3-FA80D0D64076}"/>
    <cellStyle name="Comma 9 2 3 3 3" xfId="2079" xr:uid="{00000000-0005-0000-0000-000024030000}"/>
    <cellStyle name="Comma 9 2 3 3 4" xfId="5650" xr:uid="{CE82BC05-DECC-433A-A1AE-079FA93D71A1}"/>
    <cellStyle name="Comma 9 2 3 3 4 2" xfId="29911" xr:uid="{DEAC15BD-E4D5-4066-9D0F-223E4FCD8552}"/>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2 5" xfId="31017" xr:uid="{F7D350F9-DB22-40CD-A277-E89E784C5412}"/>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2 2" xfId="31230" xr:uid="{D86CE846-FB1A-46CF-AAA1-01DB85ECFA69}"/>
    <cellStyle name="Comma 9 2 4 2 2 2 3" xfId="30809" xr:uid="{BE13AE7C-8747-44CE-A1E1-1A36A7111489}"/>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4" xfId="4420" xr:uid="{730607A7-848F-4DD4-AC1A-3254E1DC46BC}"/>
    <cellStyle name="Comma 9 2 4 4 2" xfId="9192" xr:uid="{C7AB3644-B0B6-4154-BE4F-C29BF5ECB030}"/>
    <cellStyle name="Comma 9 2 4 4 2 2" xfId="19572" xr:uid="{7AE53B1F-54DA-4F06-99C4-5B8CE011620E}"/>
    <cellStyle name="Comma 9 2 4 4 2 3" xfId="31086" xr:uid="{BE5A0B73-4A4C-4029-A301-6535C3F13C1D}"/>
    <cellStyle name="Comma 9 2 4 4 2 4" xfId="30808" xr:uid="{C1548C2B-E83F-4CD1-8AE4-504BDC32719D}"/>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5 2" xfId="29693" xr:uid="{E7A06D38-4B4A-4976-BC01-C3B6B233E532}"/>
    <cellStyle name="Comma 9 2 4 5 2 2" xfId="30981" xr:uid="{FFEA7A56-AD8A-44D9-BC17-C7A9B2757E95}"/>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2 2" xfId="31188" xr:uid="{935049C4-8F57-47F7-A020-2141BFAE117B}"/>
    <cellStyle name="Comma 9 2 5 2 2 2 3" xfId="30810" xr:uid="{E09FB7FE-6B02-4145-8F9C-245D63874152}"/>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4 2" xfId="29926" xr:uid="{5C9B02E0-C788-4B1D-BC0E-E607E53C7539}"/>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4 2" xfId="29878" xr:uid="{E41C2E13-76EE-4F01-AD17-0737E327D418}"/>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2 2" xfId="31183" xr:uid="{B8E870C8-2DC3-4142-9B70-BD70882B4D51}"/>
    <cellStyle name="Comma 9 2 7 2 2 3" xfId="30811" xr:uid="{BBA9BA85-2DE8-4D34-8E86-BAE1DE19E844}"/>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2 3" xfId="31150" xr:uid="{5B67C8A6-D0F9-4F81-B1C0-F30C304F8C08}"/>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5 2" xfId="30075" xr:uid="{8548742A-9BBA-4637-B5B9-9DA740E4A09B}"/>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2 3" xfId="31046" xr:uid="{A3B5197F-9B5D-4143-A697-326D2D0AB011}"/>
    <cellStyle name="Comma 9 3 2 5 2 4" xfId="30812" xr:uid="{C5508924-C6EA-4A67-BDDF-7E50FD3BE005}"/>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6 2" xfId="29726" xr:uid="{553F6754-B523-42B0-B4FE-4907B6316108}"/>
    <cellStyle name="Comma 9 3 2 6 2 2" xfId="30982" xr:uid="{699CA55B-0135-496F-BFC8-968E66D2718F}"/>
    <cellStyle name="Comma 9 3 2 7" xfId="25227" xr:uid="{32CD50D2-C9AE-4571-939C-C8C54DC3B34F}"/>
    <cellStyle name="Comma 9 3 2 8" xfId="13101" xr:uid="{B68D3080-BA5F-48EA-9188-311DC047BBAB}"/>
    <cellStyle name="Comma 9 3 2 9" xfId="29993" xr:uid="{9DCA55B1-63A8-4DF5-A458-C59A6106A22A}"/>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2 2" xfId="31231" xr:uid="{122F2141-B372-4667-A3EB-B92731022D63}"/>
    <cellStyle name="Comma 9 3 3 2 2 2 3" xfId="30814" xr:uid="{B37193DA-685B-4302-9C78-E276FA29B8E2}"/>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2 3" xfId="31087" xr:uid="{057F8738-14E9-452A-B2A1-4B72350EA751}"/>
    <cellStyle name="Comma 9 3 3 4 2 4" xfId="30813" xr:uid="{BE881679-89E9-4CF6-A166-B978E2ED3F85}"/>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5 2" xfId="29697" xr:uid="{25FDA149-4835-475C-A7F8-D677AAAFBB08}"/>
    <cellStyle name="Comma 9 3 3 5 2 2" xfId="30983" xr:uid="{8A31E08D-F38C-4717-AA35-0B286BA438E3}"/>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4" xfId="5653" xr:uid="{2992C92C-8EDE-4819-B747-CFD197F07934}"/>
    <cellStyle name="Comma 9 3 4 4 2" xfId="29964" xr:uid="{BB309544-82A9-4F34-A3A4-5C8ABA70C651}"/>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2 2" xfId="31196" xr:uid="{A200391D-8B39-419F-859D-3D90BFEFCC8C}"/>
    <cellStyle name="Comma 9 3 5 2 2 3" xfId="30815" xr:uid="{66DD9239-68FF-45F3-AF1C-1AA6F4162EB8}"/>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5" xfId="15710" xr:uid="{412DA1D9-9811-42B5-8081-0F6DE9609973}"/>
    <cellStyle name="Comma 9 4 2 3" xfId="2863" xr:uid="{00000000-0005-0000-0000-00002E030000}"/>
    <cellStyle name="Comma 9 4 2 4" xfId="5656" xr:uid="{FACDA99C-DDD8-460F-90C1-E63427823092}"/>
    <cellStyle name="Comma 9 4 2 4 2" xfId="29780" xr:uid="{E30DC661-0A7D-4302-84B9-97F8610FC21A}"/>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2 5" xfId="30445" xr:uid="{B26AB995-9DA7-45C6-8F4A-F83B12EC79F3}"/>
    <cellStyle name="Comma 9 4 3 3" xfId="2865" xr:uid="{00000000-0005-0000-0000-00002F030000}"/>
    <cellStyle name="Comma 9 4 3 4" xfId="5657" xr:uid="{5A2DC35C-DA84-47EE-9C97-6ECF34E3F1B9}"/>
    <cellStyle name="Comma 9 4 3 4 2" xfId="29757" xr:uid="{3FF33E2E-17F3-4806-92DB-FC2FBAC24A0C}"/>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2 5" xfId="31016" xr:uid="{C70E7451-E225-40B7-9553-75756977E965}"/>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2 2" xfId="29734" xr:uid="{4EE9F0A9-B64B-4BBC-877F-5C2DC9EA782C}"/>
    <cellStyle name="Comma 9 5 2 2 2 2" xfId="30817" xr:uid="{7DDDB3C0-0AA8-429A-9485-C1BA4A808B64}"/>
    <cellStyle name="Comma 9 5 2 3" xfId="25740" xr:uid="{BD4F76CC-DB4F-408A-9F04-DD94FC6E59F4}"/>
    <cellStyle name="Comma 9 5 2 4" xfId="30062" xr:uid="{2C5886AA-A058-4749-A25F-7DF620D43BC6}"/>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2 3" xfId="31088" xr:uid="{2CDF2188-A78B-4855-8CE4-F384313AF8EE}"/>
    <cellStyle name="Comma 9 5 5 2 4" xfId="30816" xr:uid="{A68B76D1-A43A-4AAC-9BB7-E9A4D4A197E0}"/>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2 2" xfId="31207" xr:uid="{AC86CCF5-87B5-486C-A95D-B373481C3E5D}"/>
    <cellStyle name="Comma 9 6 2 2 2 3" xfId="30818" xr:uid="{A3D88B5A-1B43-49B3-A188-71217E96AF43}"/>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4 2" xfId="29768" xr:uid="{B3881E7F-EA6D-4505-A0C2-F6197E7FCB7D}"/>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4 2" xfId="29866" xr:uid="{F821CFCD-FFB9-4C80-B833-DA30AE5E5A8C}"/>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11" xfId="31726" xr:uid="{50C09DAD-7BB7-4B5C-917D-B69F3EB82B30}"/>
    <cellStyle name="Currency 11 2" xfId="32024" xr:uid="{6BE0BF21-9BDE-45C1-AC91-84D8CFBDE3FE}"/>
    <cellStyle name="Currency 12" xfId="31727" xr:uid="{69491EB7-021E-4ADE-A85E-04FC9A02E371}"/>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2 2" xfId="29676" xr:uid="{8A10BD16-5AEB-494E-881F-7E0D230EA123}"/>
    <cellStyle name="Currency 2 2 2 3" xfId="25761" xr:uid="{8F717FAC-E6A7-4309-961E-F4148D0E234D}"/>
    <cellStyle name="Currency 2 2 3" xfId="1842" xr:uid="{00000000-0005-0000-0000-00003C030000}"/>
    <cellStyle name="Currency 2 2 3 2" xfId="31311" xr:uid="{7BFE6CF7-9CFB-4E56-9502-51B9DDDA54DC}"/>
    <cellStyle name="Currency 2 2 3 3" xfId="31262" xr:uid="{1228AB1E-3502-40BF-A461-A45B15291AD2}"/>
    <cellStyle name="Currency 2 2 4" xfId="1840" xr:uid="{00000000-0005-0000-0000-00003D030000}"/>
    <cellStyle name="Currency 2 2 5" xfId="30404" xr:uid="{6C56C78C-CF80-400B-8AD4-5EA478965CBC}"/>
    <cellStyle name="Currency 2 2 5 2" xfId="30446" xr:uid="{52EAF437-DE7B-45B5-A79E-F2F09DDEC780}"/>
    <cellStyle name="Currency 2 2 6" xfId="31733" xr:uid="{B1431204-32C2-4525-9311-376EB91B9E68}"/>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3 2" xfId="31312" xr:uid="{63EA3BD5-D743-4D3E-B117-DC4C143B3472}"/>
    <cellStyle name="Currency 2 4 3 3" xfId="31271" xr:uid="{143BD92B-F210-4D52-85D1-C1196C82AA7E}"/>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6 3" xfId="29821" xr:uid="{7495F884-4559-4BB6-B6DD-02CAC4FD0E91}"/>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2 5 2" xfId="31273" xr:uid="{C9960BEB-433F-4D8A-AB3D-38B8005C5B97}"/>
    <cellStyle name="Currency 2 5 3" xfId="31313" xr:uid="{17E81078-713B-441E-8C51-6F85DC0B3771}"/>
    <cellStyle name="Currency 2 5 4" xfId="31255" xr:uid="{71529EA7-54A6-4052-B414-B4F635F70A11}"/>
    <cellStyle name="Currency 2 6" xfId="30403" xr:uid="{BCAB48D8-82F5-4F43-A322-3E67DE7472E1}"/>
    <cellStyle name="Currency 2 6 2" xfId="31261" xr:uid="{E8739B1A-634F-45BD-BCE4-041B23EE0F95}"/>
    <cellStyle name="Currency 2 7" xfId="31732" xr:uid="{64F74D17-D806-4C43-B557-ADB798BEED05}"/>
    <cellStyle name="Currency 3" xfId="551" xr:uid="{00000000-0005-0000-0000-000048030000}"/>
    <cellStyle name="Currency 3 10" xfId="30620" xr:uid="{CC98C09A-FB90-4F09-8713-CE67BE1C4FA6}"/>
    <cellStyle name="Currency 3 11" xfId="30918" xr:uid="{AC79C766-96F4-4BB0-9D53-CAD075CD5FB9}"/>
    <cellStyle name="Currency 3 12" xfId="31731" xr:uid="{BBB3409B-21CA-4FEF-99F6-CD30D3F98184}"/>
    <cellStyle name="Currency 3 2" xfId="552" xr:uid="{00000000-0005-0000-0000-000049030000}"/>
    <cellStyle name="Currency 3 2 2" xfId="1851" xr:uid="{00000000-0005-0000-0000-00004A030000}"/>
    <cellStyle name="Currency 3 2 2 2" xfId="30604" xr:uid="{87CC1BB8-D490-4CBA-AE62-52158B1BF23D}"/>
    <cellStyle name="Currency 3 2 2 2 2" xfId="30820" xr:uid="{0C94806D-7676-421F-9E69-D685AFF23599}"/>
    <cellStyle name="Currency 3 2 2 3" xfId="30565" xr:uid="{1EE52B54-EC85-4641-BC5E-D5D513A14121}"/>
    <cellStyle name="Currency 3 2 2 4" xfId="30931" xr:uid="{9104C6C5-305B-4CE0-B9BE-66CC40287E6D}"/>
    <cellStyle name="Currency 3 2 3" xfId="1852" xr:uid="{00000000-0005-0000-0000-00004B030000}"/>
    <cellStyle name="Currency 3 2 3 2" xfId="30615" xr:uid="{2D020D6F-B1E2-42BA-9525-8CD612C11686}"/>
    <cellStyle name="Currency 3 2 3 2 2" xfId="30821" xr:uid="{793F920B-E972-4134-AAFB-C8B0826B0E0C}"/>
    <cellStyle name="Currency 3 2 3 3" xfId="30576" xr:uid="{B4E6E47A-8B2C-4E61-BB8D-30D9C4F7C82A}"/>
    <cellStyle name="Currency 3 2 3 4" xfId="30942" xr:uid="{F852420D-7AB5-4DD1-92DF-D97324C12DE3}"/>
    <cellStyle name="Currency 3 2 4" xfId="1850" xr:uid="{00000000-0005-0000-0000-00004C030000}"/>
    <cellStyle name="Currency 3 2 4 2" xfId="30557" xr:uid="{143D821B-A1E5-45AA-8D28-FA09A9A6E54E}"/>
    <cellStyle name="Currency 3 2 4 2 2" xfId="30822" xr:uid="{5A603EFF-9CB2-4DC6-9418-67911C9EF2AE}"/>
    <cellStyle name="Currency 3 2 5" xfId="6683" xr:uid="{4FCFE811-3755-46F4-8803-2EFC844A90DA}"/>
    <cellStyle name="Currency 3 2 5 2" xfId="17063" xr:uid="{1F927C96-6E01-4C40-9B2D-7222789598FC}"/>
    <cellStyle name="Currency 3 2 5 2 2" xfId="30819" xr:uid="{82416E93-F733-465F-9221-BF5CA319CA6B}"/>
    <cellStyle name="Currency 3 2 5 3" xfId="30447" xr:uid="{CFB4445B-2822-44EE-97D3-586E0F3CB5E1}"/>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3 3" xfId="30413" xr:uid="{D9261D7C-4BB0-4F23-8A7D-89513C8C9F65}"/>
    <cellStyle name="Currency 3 4" xfId="30414" xr:uid="{56B42A0C-41FC-4CE6-B7AD-37115BE76475}"/>
    <cellStyle name="Currency 3 4 2" xfId="30448" xr:uid="{FAFC5492-58AD-4064-AA46-E99FA44DE317}"/>
    <cellStyle name="Currency 3 4 2 2" xfId="30605" xr:uid="{26A558A6-6954-4BC7-9B2E-CB04CA19DF15}"/>
    <cellStyle name="Currency 3 4 2 2 2" xfId="30823" xr:uid="{BAD0F4FB-A620-4584-9052-59B615478FE4}"/>
    <cellStyle name="Currency 3 4 2 3" xfId="30566" xr:uid="{CF89AC64-B129-47C4-9033-859EF82BC59F}"/>
    <cellStyle name="Currency 3 4 2 4" xfId="30932" xr:uid="{BFD1A78F-8924-435D-8C6C-0D4901C78012}"/>
    <cellStyle name="Currency 3 4 3" xfId="30558" xr:uid="{20CD84F8-EDE8-4AF4-B532-A3E1B5109EF4}"/>
    <cellStyle name="Currency 3 4 3 2" xfId="30635" xr:uid="{DF88B98C-68E1-47F3-A338-2C5D7520D934}"/>
    <cellStyle name="Currency 3 4 3 3" xfId="30945" xr:uid="{45BC16B4-B7BF-4099-8716-EADE89E871F5}"/>
    <cellStyle name="Currency 3 4 4" xfId="30591" xr:uid="{68808DD4-EE59-4BA1-BF12-A45A21B1D415}"/>
    <cellStyle name="Currency 3 4 5" xfId="30624" xr:uid="{D16E1CA0-3C3A-427D-9FC3-9BB85E6A1553}"/>
    <cellStyle name="Currency 3 4 6" xfId="30922" xr:uid="{FAD81B93-BBB8-43D5-BD80-94DF096C6A51}"/>
    <cellStyle name="Currency 3 5" xfId="30415" xr:uid="{81863DDD-1FEA-49F1-AEA7-615BE80C86A1}"/>
    <cellStyle name="Currency 3 5 2" xfId="30449" xr:uid="{CE9DCB24-732B-4ADA-857C-6F58DD618B77}"/>
    <cellStyle name="Currency 3 5 2 2" xfId="30606" xr:uid="{34227F4F-8C86-4B60-BC19-C90512E35E07}"/>
    <cellStyle name="Currency 3 5 2 2 2" xfId="30824" xr:uid="{239D24BD-EA61-4223-A6AC-E2D0B4B19C16}"/>
    <cellStyle name="Currency 3 5 2 3" xfId="30567" xr:uid="{DD97E0D8-3A98-41BE-B0BE-039F013CA0A8}"/>
    <cellStyle name="Currency 3 5 2 4" xfId="30933" xr:uid="{7558C0CC-CC3C-48DB-873C-E663906AD405}"/>
    <cellStyle name="Currency 3 5 3" xfId="30592" xr:uid="{06599778-836F-4CFE-92BA-FDF17CE2D98E}"/>
    <cellStyle name="Currency 3 5 3 2" xfId="30636" xr:uid="{2D11F2B4-9C32-4FD4-856C-702A205F961B}"/>
    <cellStyle name="Currency 3 5 3 3" xfId="30946" xr:uid="{DF42840B-E34C-485E-9570-C84EC1F5ECCC}"/>
    <cellStyle name="Currency 3 5 4" xfId="30625" xr:uid="{DFF81114-405C-4BD9-882E-3E6DCC627BBA}"/>
    <cellStyle name="Currency 3 5 5" xfId="30923" xr:uid="{889487E8-CDE1-4124-A152-07293079280A}"/>
    <cellStyle name="Currency 3 6" xfId="30556" xr:uid="{E6F281E3-0276-4ECA-AC9C-37A1F772038D}"/>
    <cellStyle name="Currency 3 7" xfId="30573" xr:uid="{5086352A-41FE-4853-9FBE-0A6014B61D30}"/>
    <cellStyle name="Currency 3 7 2" xfId="30612" xr:uid="{7367140C-062D-4451-8ECD-8EE326D93E2A}"/>
    <cellStyle name="Currency 3 7 3" xfId="30631" xr:uid="{EE3C1B3E-C238-41D4-83A6-0E95DA0C6E18}"/>
    <cellStyle name="Currency 3 7 4" xfId="30938" xr:uid="{95BC5195-8BFF-481F-A698-758C4BBDB773}"/>
    <cellStyle name="Currency 3 8" xfId="30546" xr:uid="{0CD1A085-9703-4560-91E9-56A6256AB4B6}"/>
    <cellStyle name="Currency 3 9" xfId="30577" xr:uid="{DB854ECE-A65B-4464-A0DC-C7561B51E415}"/>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4 2" xfId="29781" xr:uid="{BF8FBF9C-A9AE-4570-B79D-C7C876F315A5}"/>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3 4" xfId="30063" xr:uid="{40918CAD-B437-47A8-B12D-997B4568D142}"/>
    <cellStyle name="Currency 4 10 3 5" xfId="29665" xr:uid="{67C50BD9-2CAF-4C73-BD9D-C799CBCDBB6B}"/>
    <cellStyle name="Currency 4 10 4" xfId="1854" xr:uid="{00000000-0005-0000-0000-000051030000}"/>
    <cellStyle name="Currency 4 10 4 2" xfId="24284" xr:uid="{ED9A845B-35BA-45AD-AF0D-05D9F0ECF894}"/>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2 3" xfId="31018" xr:uid="{0871327B-F0E4-4A2A-83E5-48144795B73F}"/>
    <cellStyle name="Currency 4 10 5 2 4" xfId="30825" xr:uid="{F6878F02-5380-4822-B59B-FA3551951465}"/>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2 2" xfId="29797" xr:uid="{E480E336-5C3C-44AC-9220-09707E85CE00}"/>
    <cellStyle name="Currency 4 11 2 2 2 2" xfId="30827" xr:uid="{4D352770-668B-4CB1-9BFD-BFF3A4AC1C1B}"/>
    <cellStyle name="Currency 4 11 2 3" xfId="22791" xr:uid="{5ABBA574-11C1-4A53-8D6F-81175CE6891C}"/>
    <cellStyle name="Currency 4 11 2 4" xfId="30043" xr:uid="{91030C44-997A-4D80-B0EF-B6069FB20D88}"/>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5 2 2" xfId="31118" xr:uid="{C0B40B35-E5C0-4FB5-9DCF-943164FD01CF}"/>
    <cellStyle name="Currency 4 11 5 2 3" xfId="30826" xr:uid="{E4F6EF9A-2249-4A18-99D1-59B07C1167CD}"/>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2 2 2" xfId="31133" xr:uid="{59565F86-36CB-4BB2-8FFA-3406B5C83954}"/>
    <cellStyle name="Currency 4 12 2 2 2 3" xfId="30828" xr:uid="{CADA9377-013A-437D-AE8B-EEFEA9B1C519}"/>
    <cellStyle name="Currency 4 12 2 3" xfId="10393" xr:uid="{74AA856C-1546-48A1-902B-0B9C48E13197}"/>
    <cellStyle name="Currency 4 12 2 3 2" xfId="20773" xr:uid="{DB56C7FD-1566-4A75-8FCC-9C848565BFF6}"/>
    <cellStyle name="Currency 4 12 2 4" xfId="15107" xr:uid="{29096738-BB6A-486C-9D3B-D9E98C7DF5A2}"/>
    <cellStyle name="Currency 4 12 2 5" xfId="30450" xr:uid="{A1023E56-DF96-4373-8785-3BEA0179AB65}"/>
    <cellStyle name="Currency 4 12 3" xfId="3606" xr:uid="{00000000-0005-0000-0000-000056030000}"/>
    <cellStyle name="Currency 4 12 4" xfId="5661" xr:uid="{442882FD-A814-4225-99B5-C1E0B22554C2}"/>
    <cellStyle name="Currency 4 12 4 2" xfId="29745" xr:uid="{80832A7C-4F8F-4063-9660-3EE52C1F2BAF}"/>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3 4 2" xfId="29858" xr:uid="{B799D5DA-0548-4483-A7DA-59D6502F3999}"/>
    <cellStyle name="Currency 4 13 5" xfId="30001" xr:uid="{4FCFD07F-7408-4267-B201-B872777B8AC2}"/>
    <cellStyle name="Currency 4 14" xfId="1853" xr:uid="{00000000-0005-0000-0000-000058030000}"/>
    <cellStyle name="Currency 4 14 2" xfId="25803" xr:uid="{FBE6B4CA-BCAB-44EE-A7E9-70F4C6699F61}"/>
    <cellStyle name="Currency 4 14 2 2" xfId="30829" xr:uid="{08C9B446-C64D-40BA-8420-DEAE598B52CC}"/>
    <cellStyle name="Currency 4 14 2 3" xfId="30580" xr:uid="{7D39938B-7E55-4F5A-BF14-F961544A2D2A}"/>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2 3" xfId="31048" xr:uid="{3B7AB140-6A10-4BC0-BE67-072D624912D8}"/>
    <cellStyle name="Currency 4 2 2 2 2 5 2 4" xfId="30830" xr:uid="{841903E7-109E-4832-AD2D-F43F3855F60D}"/>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6 2" xfId="29727" xr:uid="{D4F02699-9D7A-4636-8246-722EE6D50577}"/>
    <cellStyle name="Currency 4 2 2 2 2 6 2 2" xfId="30984" xr:uid="{25D31D1E-9374-4588-8BAD-34D1CFD1B55D}"/>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2 2" xfId="31232" xr:uid="{3429C379-89FB-4D0B-AA6F-20CAB746CD96}"/>
    <cellStyle name="Currency 4 2 2 2 3 2 2 2 3" xfId="30832" xr:uid="{8634E1EF-FB6D-4204-A640-59C7D326ADDF}"/>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2 3" xfId="31089" xr:uid="{D1E76A2F-6447-478C-A663-6EA53EC550CC}"/>
    <cellStyle name="Currency 4 2 2 2 3 4 2 4" xfId="30831" xr:uid="{657565F7-E228-4780-9F08-C035C0197582}"/>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5 2" xfId="29714" xr:uid="{EC6735F0-7DE9-4568-B77B-F6FDEF7A8DC7}"/>
    <cellStyle name="Currency 4 2 2 2 3 5 2 2" xfId="30985" xr:uid="{CFC58C28-6C1B-47B8-8F44-D625CD50AA8A}"/>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4 2" xfId="29965" xr:uid="{FF29FBEB-C139-42CC-898F-F368F7E51091}"/>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2 2" xfId="31174" xr:uid="{599A9C6C-AF98-47C8-9562-6F1C30BA128B}"/>
    <cellStyle name="Currency 4 2 2 2 5 2 2 3" xfId="30833" xr:uid="{92DF8621-EC15-4BA9-BFE4-A154DAF79516}"/>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4" xfId="5666" xr:uid="{8018743C-C0EA-4511-8D4B-89AF2CE609A2}"/>
    <cellStyle name="Currency 4 2 2 3 2 4 2" xfId="29966" xr:uid="{BCF43D88-6F00-4BCB-8D9B-D13D0B18D182}"/>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2 5" xfId="30451" xr:uid="{3FE6DD69-5112-4CB9-B21A-BAC2204DC643}"/>
    <cellStyle name="Currency 4 2 2 3 3 3" xfId="3657" xr:uid="{00000000-0005-0000-0000-000061030000}"/>
    <cellStyle name="Currency 4 2 2 3 3 4" xfId="5667" xr:uid="{54673D43-2BB9-4497-8CC5-C0E86AE657BC}"/>
    <cellStyle name="Currency 4 2 2 3 3 4 2" xfId="29912" xr:uid="{DD81D97E-F9C6-4B81-A72E-F394027770CE}"/>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2 5" xfId="31020" xr:uid="{CF2B4C35-60CF-460E-A7D8-6BD89E16FAF9}"/>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2 2" xfId="31233" xr:uid="{69AF95F0-2C79-4BC4-A731-DBA5CA72172F}"/>
    <cellStyle name="Currency 4 2 2 4 2 2 2 3" xfId="30835" xr:uid="{F7ED024B-50A5-4D78-9170-B4E74ADDAF8F}"/>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2 3" xfId="31090" xr:uid="{ADCB1A0A-2CA2-44D3-9A0C-3CB9A9AFA32C}"/>
    <cellStyle name="Currency 4 2 2 4 4 2 4" xfId="30834" xr:uid="{93DE7190-B7AD-4AB0-B507-D2661CDEBD52}"/>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5 2" xfId="29696" xr:uid="{DF7D1619-517D-47AF-AAFD-626650862B22}"/>
    <cellStyle name="Currency 4 2 2 4 5 2 2" xfId="30986" xr:uid="{6FA4CAAA-8E9A-4CF5-91CC-0CAAFF2C5227}"/>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2 2" xfId="31213" xr:uid="{DDC9AFF2-2326-4EB9-95EC-058A72C5EA4C}"/>
    <cellStyle name="Currency 4 2 2 5 2 2 2 3" xfId="30836" xr:uid="{33C4AC48-D594-48B2-8E15-C4425C6412AB}"/>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4 2" xfId="29927" xr:uid="{924939E3-BF39-442A-AD08-F63E11A1C0F0}"/>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4 2" xfId="29881" xr:uid="{90064861-D917-4C49-97BF-764532CE1FD2}"/>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2 2" xfId="31193" xr:uid="{8BFEFF6A-F05D-4F21-A359-E27BC701FB97}"/>
    <cellStyle name="Currency 4 2 2 7 2 2 3" xfId="30837" xr:uid="{AD4086B9-CE40-4A7C-AF4B-5AEC0730E92D}"/>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2 3" xfId="31165" xr:uid="{3B754025-5AC2-41B4-85AB-66A50B2BE5A3}"/>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5 2" xfId="30082" xr:uid="{21807AB0-79A4-4976-8C9B-271BC80672DC}"/>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2 3" xfId="31049" xr:uid="{92252FF1-0E6E-4F89-9FC8-C021125B6D9E}"/>
    <cellStyle name="Currency 4 2 3 2 5 2 4" xfId="30838" xr:uid="{2AE58734-02FC-450F-90A1-8F5E85C2D3B9}"/>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6 2" xfId="29728" xr:uid="{FE5A2704-6749-4B6E-8BB6-A7683E9B9E0D}"/>
    <cellStyle name="Currency 4 2 3 2 6 2 2" xfId="30987" xr:uid="{39D5B816-D691-4D85-95CC-46B2E8671A0E}"/>
    <cellStyle name="Currency 4 2 3 2 7" xfId="23523" xr:uid="{E6D4F43F-005B-44E0-A529-E07D81929683}"/>
    <cellStyle name="Currency 4 2 3 2 8" xfId="13107" xr:uid="{2F7DCC0A-CB6C-48C1-8D0F-8FB466F04FD1}"/>
    <cellStyle name="Currency 4 2 3 2 9" xfId="29994" xr:uid="{CE033F57-9BDB-4821-8A87-DD0E4EAE44F2}"/>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2 2" xfId="31234" xr:uid="{C99B5626-34D4-4ECE-A3A0-3BD7C3C868CA}"/>
    <cellStyle name="Currency 4 2 3 3 2 2 2 3" xfId="30840" xr:uid="{540CDF2A-17D0-4EA1-8CE7-D91FE6235E7F}"/>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2 3" xfId="31091" xr:uid="{2085B30E-C37C-4522-A981-D6661F484E54}"/>
    <cellStyle name="Currency 4 2 3 3 4 2 4" xfId="30839" xr:uid="{C2DA64AC-30E0-4B03-B951-7E831A57408C}"/>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5 2" xfId="29701" xr:uid="{8B2CE640-C1D9-4645-B3FB-D2F01298CF19}"/>
    <cellStyle name="Currency 4 2 3 3 5 2 2" xfId="30988" xr:uid="{0C3D6EFD-9BBD-4736-8CE3-EC30A16ED133}"/>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4" xfId="5670" xr:uid="{49E33153-542F-4E88-B6C3-166F4B1C18DC}"/>
    <cellStyle name="Currency 4 2 3 4 4 2" xfId="29967" xr:uid="{D1E42E86-3344-414E-8575-B8C7A311F714}"/>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2 2" xfId="31199" xr:uid="{A372AF4B-0BAD-46E7-AA5D-F790CCD5BF14}"/>
    <cellStyle name="Currency 4 2 3 5 2 2 3" xfId="30841" xr:uid="{2DA2947D-AA7D-4126-9341-6CAA595EB8A4}"/>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5" xfId="15720" xr:uid="{B01317A4-4A1D-4031-9F10-55C58A1D8E6D}"/>
    <cellStyle name="Currency 4 2 4 2 3" xfId="2862" xr:uid="{00000000-0005-0000-0000-00006B030000}"/>
    <cellStyle name="Currency 4 2 4 2 4" xfId="5673" xr:uid="{B894F6FB-E5D2-4426-BAE5-F361ED958DC3}"/>
    <cellStyle name="Currency 4 2 4 2 4 2" xfId="29782" xr:uid="{779327EA-EF40-48DB-992B-79710876AA2B}"/>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2 5" xfId="30452" xr:uid="{3E7E8B7A-271B-4ED0-B1E0-67B7EC7F1A1F}"/>
    <cellStyle name="Currency 4 2 4 3 3" xfId="3544" xr:uid="{00000000-0005-0000-0000-00006C030000}"/>
    <cellStyle name="Currency 4 2 4 3 4" xfId="5674" xr:uid="{08E421AE-DDE3-4B6C-AA1C-46544E7401B9}"/>
    <cellStyle name="Currency 4 2 4 3 4 2" xfId="29759" xr:uid="{2AC4BDB1-E701-44D9-B0FC-9883B7A7B3FF}"/>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2 5" xfId="31019" xr:uid="{CFD86F19-DED4-497F-A8E9-A80709CF90C1}"/>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2 2" xfId="29679" xr:uid="{33DBED40-3AE8-4C44-861D-1863CE025044}"/>
    <cellStyle name="Currency 4 2 5 2 2 2 2" xfId="30843" xr:uid="{883563B9-AF8B-4872-A207-9A25B2B164BE}"/>
    <cellStyle name="Currency 4 2 5 2 3" xfId="23374" xr:uid="{043B26EB-F4A5-45D7-8163-B3F881D5C636}"/>
    <cellStyle name="Currency 4 2 5 2 4" xfId="30064" xr:uid="{2461003D-E32D-42BD-BB02-6DB484292D06}"/>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2 3" xfId="31092" xr:uid="{E7D19E49-7B60-44F2-B6FD-9392A2CF31AF}"/>
    <cellStyle name="Currency 4 2 5 5 2 4" xfId="30842" xr:uid="{784B0320-B780-4FBA-9D1B-039687A1453B}"/>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2 2" xfId="31176" xr:uid="{93D65879-61DA-41FA-BF5B-6144E174BADC}"/>
    <cellStyle name="Currency 4 2 6 2 2 2 3" xfId="30844" xr:uid="{9E43A73B-313A-47DA-AE4A-45B5A584F094}"/>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4 2" xfId="29769" xr:uid="{3E9B3AED-6894-4FB7-981B-D2BD8B1F19DF}"/>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4 2" xfId="29870" xr:uid="{65B5D0E8-B145-4E9B-89E2-C7AEE6F364BA}"/>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4" xfId="5679" xr:uid="{61CE8434-0474-4A82-9F1F-8BA9FFBDF874}"/>
    <cellStyle name="Currency 4 3 2 2 2 4 2" xfId="29969" xr:uid="{A6E3D5D1-B127-4385-8A3C-57C615A4EC53}"/>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3 3 2" xfId="29914" xr:uid="{B4D4653B-9700-4885-9B5D-00CF112D66D6}"/>
    <cellStyle name="Currency 4 3 2 2 3 4" xfId="30026" xr:uid="{BE5F880F-D1A7-43E6-9257-37876B1379C7}"/>
    <cellStyle name="Currency 4 3 2 2 4" xfId="1885" xr:uid="{00000000-0005-0000-0000-00007A030000}"/>
    <cellStyle name="Currency 4 3 2 2 4 2" xfId="26962" xr:uid="{DB772303-1715-451F-983D-FA4084595956}"/>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2 3" xfId="31051" xr:uid="{395ABA41-C54B-4D28-9E45-B54CD7F229E6}"/>
    <cellStyle name="Currency 4 3 2 2 5 2 4" xfId="30845" xr:uid="{34E27599-88F6-41D0-87AB-5DEC06A25F09}"/>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2 2" xfId="31235" xr:uid="{F67D50A3-C1A7-4415-BBD6-E83CA67CA0E1}"/>
    <cellStyle name="Currency 4 3 2 3 2 2 2 3" xfId="30847" xr:uid="{FCC25CCB-B954-4AC4-AED2-AF96C2ACAAD6}"/>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2 3" xfId="31093" xr:uid="{5F90A487-DD6C-4B22-8CD2-6F6807FDE49D}"/>
    <cellStyle name="Currency 4 3 2 3 4 2 4" xfId="30846" xr:uid="{88CE84D6-B319-4B38-9C82-3871BE944E4C}"/>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5 2" xfId="29692" xr:uid="{72B473B9-F902-428F-854C-CB54D507686F}"/>
    <cellStyle name="Currency 4 3 2 3 5 2 2" xfId="30989" xr:uid="{A7C94F98-A8FA-4C61-B245-EF8864580272}"/>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4" xfId="5681" xr:uid="{C640D449-3274-4163-9177-C2B189F2C72C}"/>
    <cellStyle name="Currency 4 3 2 4 4 2" xfId="29968" xr:uid="{82E5840C-98F6-4266-BB3E-9495DB6AA215}"/>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4 2" xfId="29877" xr:uid="{A7BF50A6-9658-419F-8EF1-2A93352FCFF0}"/>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2 3" xfId="31148" xr:uid="{0C03AF1E-A399-4040-90B7-A6DB64E525B5}"/>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2 3" xfId="31052" xr:uid="{0BFC20F7-3A11-46FD-A2F7-E61DF009DCA7}"/>
    <cellStyle name="Currency 4 3 3 2 5 2 4" xfId="30849" xr:uid="{9DD54116-BB81-4751-8D21-DAB26CEE32EB}"/>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6 2" xfId="29729" xr:uid="{D3EB36FD-8CEE-4738-97ED-A99FD52FAEF4}"/>
    <cellStyle name="Currency 4 3 3 2 6 2 2" xfId="30990" xr:uid="{DE4878C6-2BEC-46D2-8EF8-E46B9720E401}"/>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2 3" xfId="31094" xr:uid="{292C4124-F0A2-4D10-B359-250B7466A5C3}"/>
    <cellStyle name="Currency 4 3 3 3 4 2 4" xfId="30850" xr:uid="{A251918D-5AFF-4910-8A3B-8CF0EE42D7C7}"/>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5 2" xfId="29708" xr:uid="{0A9E1880-5A33-4257-9F52-C4E2B68CBF61}"/>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4" xfId="5682" xr:uid="{FFFF2C30-4094-4398-B9F9-3EFC21446922}"/>
    <cellStyle name="Currency 4 3 3 4 4 2" xfId="29970" xr:uid="{7281F1A7-5F24-44A1-A148-B239A0D0B065}"/>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2 3" xfId="31021" xr:uid="{E791E615-2623-44F5-A62F-E2834F94C37C}"/>
    <cellStyle name="Currency 4 3 3 6 2 4" xfId="30848" xr:uid="{B37A22F8-B1F5-4E35-B076-D364916926AD}"/>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4" xfId="5685" xr:uid="{61FA4F1F-147C-45F5-8CB7-1B0BF2586D1D}"/>
    <cellStyle name="Currency 4 3 4 2 4 2" xfId="29971" xr:uid="{504B7EA9-2541-4886-B966-3E2F7E9D8798}"/>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3 3 2" xfId="29913" xr:uid="{52E0AAA9-AC47-4051-8A56-EA4E1FA813B4}"/>
    <cellStyle name="Currency 4 3 4 3 4" xfId="30025" xr:uid="{BDE30902-7BFB-4D12-BD65-976D37EB3886}"/>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2 3" xfId="31050" xr:uid="{FB39CD15-218C-4493-A9AF-8E1F9FF5135F}"/>
    <cellStyle name="Currency 4 3 4 5 2 4" xfId="30851" xr:uid="{E1B2DA33-F3FC-4394-A0AA-285A315E6745}"/>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2 2" xfId="31236" xr:uid="{543C203C-95B6-4864-94A6-8BD3E79DA64B}"/>
    <cellStyle name="Currency 4 3 5 2 2 2 3" xfId="30853" xr:uid="{0971C87F-E455-41E8-ABF8-2BC0027F690C}"/>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2 3" xfId="31095" xr:uid="{A8CD7337-3682-4CEA-AF65-6EE0FD3A735D}"/>
    <cellStyle name="Currency 4 3 5 4 2 4" xfId="30852" xr:uid="{A9A8128F-3665-438B-8D34-4F62BF436405}"/>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5 2" xfId="29687" xr:uid="{8351C799-133B-4166-88AA-AFA491555915}"/>
    <cellStyle name="Currency 4 3 5 5 2 2" xfId="30991" xr:uid="{8AE52235-88AA-4879-8CF8-35F89D2E8477}"/>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2 2" xfId="31167" xr:uid="{282841D4-51CD-48A0-8C75-7AB767A6AA5C}"/>
    <cellStyle name="Currency 4 3 6 2 2 2 3" xfId="30854" xr:uid="{6C61F38E-E05A-4904-B280-18DC8E4926BF}"/>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4" xfId="5687" xr:uid="{167B630D-F127-4469-8162-A32592159BAA}"/>
    <cellStyle name="Currency 4 3 6 4 2" xfId="29928" xr:uid="{61D729A3-778D-4A96-BFF7-41C4C5FAF594}"/>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4 2" xfId="29865" xr:uid="{ED283249-7832-40BF-813D-7A87C76D57BB}"/>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2 2 2" xfId="31125" xr:uid="{D7F480B7-CB4C-485D-96A0-E1B2EBD6C500}"/>
    <cellStyle name="Currency 4 3 8 2 2 3" xfId="30855" xr:uid="{DC34D8E2-CC8E-42A4-BA04-DCD8DE3CEB56}"/>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4" xfId="5689" xr:uid="{49DCF050-5439-44B0-B2A0-27FBC55DC5F2}"/>
    <cellStyle name="Currency 4 4 2 2 2 4 2" xfId="29973" xr:uid="{D1DCE2EF-CF6D-4E8A-B51C-2B950AC4303B}"/>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3 3 2" xfId="29916" xr:uid="{4DEBB916-963E-4C15-96CA-2D790B655BDA}"/>
    <cellStyle name="Currency 4 4 2 2 3 4" xfId="30027" xr:uid="{C5F67086-089E-473F-A519-DBC59DD5DC2B}"/>
    <cellStyle name="Currency 4 4 2 2 4" xfId="1900" xr:uid="{00000000-0005-0000-0000-00008E030000}"/>
    <cellStyle name="Currency 4 4 2 2 4 2" xfId="26967" xr:uid="{7B61A0D3-E365-47E1-BF65-D22D21EAE7CE}"/>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2 3" xfId="31053" xr:uid="{67C2670F-6277-4849-9F51-8CFAF8E73D83}"/>
    <cellStyle name="Currency 4 4 2 2 5 2 4" xfId="30856" xr:uid="{971BAED6-D407-4FD7-A43D-F427F1A24A97}"/>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2 2" xfId="31237" xr:uid="{E94BF9FB-9A35-482A-8B21-EE0A99A9AEF2}"/>
    <cellStyle name="Currency 4 4 2 3 2 2 2 3" xfId="30858" xr:uid="{84D2B151-C397-47FE-9C49-48B74BB9F4A9}"/>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2 3" xfId="31096" xr:uid="{DBDCC3BC-59A6-4FDF-8CB5-5162634392A0}"/>
    <cellStyle name="Currency 4 4 2 3 4 2 4" xfId="30857" xr:uid="{E266DC82-37B3-4A61-9149-D8B676B10235}"/>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5 2" xfId="29704" xr:uid="{3EFD9C23-21A4-42B7-958E-84631AA98301}"/>
    <cellStyle name="Currency 4 4 2 3 5 2 2" xfId="30992" xr:uid="{8BD50B0A-F77B-4D5C-9272-98C9DD72C43D}"/>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4" xfId="5691" xr:uid="{5A4FEA78-B599-41CC-9868-BAC943503E9D}"/>
    <cellStyle name="Currency 4 4 2 4 4 2" xfId="29972" xr:uid="{B94433C2-4C03-4B4D-94A5-E917D4637908}"/>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4 2" xfId="29887" xr:uid="{1E337AB5-CDC0-4D6B-AC88-B5A57522C2AF}"/>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4 2" xfId="29974" xr:uid="{C447A071-5548-47AC-88AC-3044929A90F6}"/>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2 5" xfId="30453" xr:uid="{3220311B-FB69-4A21-9EA6-BA827237813C}"/>
    <cellStyle name="Currency 4 4 3 3 3" xfId="3585" xr:uid="{00000000-0005-0000-0000-000094030000}"/>
    <cellStyle name="Currency 4 4 3 3 4" xfId="5693" xr:uid="{193A20EF-0047-4A6C-B664-DEFD302C7B8D}"/>
    <cellStyle name="Currency 4 4 3 3 4 2" xfId="29915" xr:uid="{42A8928A-AD1B-4DB0-86BB-E8BF6D29469A}"/>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2 5" xfId="31022" xr:uid="{C772FF49-A530-4A0E-B7EF-F2DE775CB904}"/>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2 2" xfId="29796" xr:uid="{F7B71C15-7722-459E-8BE7-FADD50187F71}"/>
    <cellStyle name="Currency 4 4 4 2 2 2 2" xfId="30860" xr:uid="{9D9B1BB6-7F98-4579-9936-669B30E05F76}"/>
    <cellStyle name="Currency 4 4 4 2 3" xfId="23159" xr:uid="{84ACC6A3-99BA-4642-A269-125562AF4504}"/>
    <cellStyle name="Currency 4 4 4 2 4" xfId="30065" xr:uid="{1B217033-AB76-4D61-9FDE-F4F6F11BB015}"/>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2 3" xfId="31097" xr:uid="{922E07EA-F204-451A-9C0B-BC8E8926C35D}"/>
    <cellStyle name="Currency 4 4 4 5 2 4" xfId="30859" xr:uid="{301E1222-4E62-42A9-A362-C26BC40FFCB3}"/>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2 2" xfId="31178" xr:uid="{E6ECC9DB-DC28-467B-B7F1-CDE8E720F8D3}"/>
    <cellStyle name="Currency 4 4 5 2 2 2 3" xfId="30861" xr:uid="{8A1F00C7-AFCE-4683-94ED-A78DC54E07F5}"/>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4 2" xfId="29850" xr:uid="{53673545-98E4-4DAE-8363-8BC88BF5941E}"/>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4 2" xfId="29861" xr:uid="{349FD21A-67D9-40B3-8E31-F2333293EFC2}"/>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2 2" xfId="29815" xr:uid="{54AEC88B-7641-4033-8E17-654214DB9AAB}"/>
    <cellStyle name="Currency 4 5 2 2 2 2 2 2" xfId="30863" xr:uid="{7381C2EE-3CA1-46AD-B6E8-34B86631DCC2}"/>
    <cellStyle name="Currency 4 5 2 2 2 3" xfId="25550" xr:uid="{28F1393C-3413-4434-818B-1BEA030FD1C4}"/>
    <cellStyle name="Currency 4 5 2 2 2 4" xfId="30066" xr:uid="{0B5255B4-B7A2-4EE0-89D0-EB53C585A7A2}"/>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5" xfId="4958" xr:uid="{06F5503A-5501-48DF-AE79-3F46F4403A51}"/>
    <cellStyle name="Currency 4 5 2 2 5 2" xfId="28398" xr:uid="{6F744894-9EB6-451C-8783-B144588227CA}"/>
    <cellStyle name="Currency 4 5 2 2 5 2 2" xfId="31206" xr:uid="{D619C706-0816-463B-AC58-19A8A3D29D53}"/>
    <cellStyle name="Currency 4 5 2 2 5 2 3" xfId="30862" xr:uid="{B367D80E-8DFE-4B0E-B803-BCECA40AD35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2 5" xfId="30454" xr:uid="{355E64D1-2E56-48F9-84A3-D2E0274B7114}"/>
    <cellStyle name="Currency 4 5 2 3 3" xfId="3676" xr:uid="{00000000-0005-0000-0000-0000A3030000}"/>
    <cellStyle name="Currency 4 5 2 3 4" xfId="5696" xr:uid="{0CD193E0-BEC1-4BF2-9788-987F9986CB96}"/>
    <cellStyle name="Currency 4 5 2 3 4 2" xfId="29760" xr:uid="{99F86FCC-1A9F-4D57-BA3E-48351CE66BC9}"/>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2 3" xfId="31108" xr:uid="{49C92F80-9083-4A60-A898-B9E99DF67213}"/>
    <cellStyle name="Currency 4 5 2 4 2 2 4" xfId="30864" xr:uid="{6CEECFC6-3451-4ABE-A9DF-E8C6F4B15275}"/>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4 3 2" xfId="29917" xr:uid="{5BBE9C94-0D99-4B58-8FC7-D89D9325D11D}"/>
    <cellStyle name="Currency 4 5 2 4 4" xfId="30028" xr:uid="{9967B865-BEDC-4A63-801B-5525C2EDC36C}"/>
    <cellStyle name="Currency 4 5 2 5" xfId="1914" xr:uid="{00000000-0005-0000-0000-0000A5030000}"/>
    <cellStyle name="Currency 4 5 2 5 2" xfId="24047" xr:uid="{0D05523D-B528-4033-A555-6E964F1AABAC}"/>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2 2" xfId="29818" xr:uid="{4B3D4FBF-846C-4EAB-8330-290E50CB5918}"/>
    <cellStyle name="Currency 4 5 3 2 2 2 2" xfId="30866" xr:uid="{56E3ECBD-CC6C-4809-A0CF-27A26DF84B37}"/>
    <cellStyle name="Currency 4 5 3 2 3" xfId="25620" xr:uid="{CE950C91-DA13-4A1B-A20A-059D6EE2D92A}"/>
    <cellStyle name="Currency 4 5 3 2 3 2" xfId="26037" xr:uid="{BE3BCC2F-6352-4B40-AC21-B009231F1344}"/>
    <cellStyle name="Currency 4 5 3 2 4" xfId="30067" xr:uid="{B604ADA6-9D95-4C24-AA2C-55BB6B9DA913}"/>
    <cellStyle name="Currency 4 5 3 3" xfId="1922" xr:uid="{00000000-0005-0000-0000-0000A8030000}"/>
    <cellStyle name="Currency 4 5 3 4" xfId="1920" xr:uid="{00000000-0005-0000-0000-0000A9030000}"/>
    <cellStyle name="Currency 4 5 3 4 2" xfId="22936" xr:uid="{71B5603C-6766-4D0C-B1CC-BB0C74847168}"/>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2 3" xfId="31098" xr:uid="{33326015-762D-4E88-83D4-A64BE6A0CC24}"/>
    <cellStyle name="Currency 4 5 3 5 2 4" xfId="30865" xr:uid="{F643D74F-7AFF-4B03-A864-927FA527D96F}"/>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2 2" xfId="29802" xr:uid="{C804928D-1D33-4538-9314-49B044D66F42}"/>
    <cellStyle name="Currency 4 5 4 2 2 2 2" xfId="30868" xr:uid="{B0C9A63D-7494-4D52-8251-421A392B421C}"/>
    <cellStyle name="Currency 4 5 4 2 3" xfId="24067" xr:uid="{0D856946-7117-49EA-AC01-0064A38C42CE}"/>
    <cellStyle name="Currency 4 5 4 2 4" xfId="30044" xr:uid="{EEFDFB76-2D08-40FB-A6B7-3476F3E82C64}"/>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5 2 2" xfId="31119" xr:uid="{599ACB9C-A937-47CA-9D0F-C4AB326FB162}"/>
    <cellStyle name="Currency 4 5 4 5 2 3" xfId="30867" xr:uid="{E8603F16-F09A-4E09-9D28-44B44FEF8439}"/>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2 5" xfId="30455" xr:uid="{D1D92241-B440-4161-9AD3-507B6B28F8E2}"/>
    <cellStyle name="Currency 4 5 5 3" xfId="3687" xr:uid="{00000000-0005-0000-0000-0000AE030000}"/>
    <cellStyle name="Currency 4 5 5 4" xfId="5697" xr:uid="{87D1524C-BFE7-422B-B989-9D522BADBCA1}"/>
    <cellStyle name="Currency 4 5 5 4 2" xfId="29851" xr:uid="{866D774B-6445-4880-8BA7-0099CB8DF3AA}"/>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6 4 2" xfId="29873" xr:uid="{AB0F7101-5019-4E1F-BD3B-6E1E7DC5302C}"/>
    <cellStyle name="Currency 4 5 6 5" xfId="30003" xr:uid="{8A598608-F3B4-41BB-B471-9AEA4AC2105B}"/>
    <cellStyle name="Currency 4 5 7" xfId="1913" xr:uid="{00000000-0005-0000-0000-0000B0030000}"/>
    <cellStyle name="Currency 4 5 7 2" xfId="25775" xr:uid="{E7C99D6A-38BF-4E4B-8018-AFD0CBFA99FB}"/>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2 2" xfId="29801" xr:uid="{909C59C1-8B84-41E5-BC5D-A742D25F0966}"/>
    <cellStyle name="Currency 4 6 2 2 2 2 2 2" xfId="30870" xr:uid="{33A67EFD-F51B-4EDD-ACDC-7AA56856132E}"/>
    <cellStyle name="Currency 4 6 2 2 2 3" xfId="25071" xr:uid="{E0EA9661-5210-4CF1-B311-A122A5430DBF}"/>
    <cellStyle name="Currency 4 6 2 2 2 4" xfId="30068" xr:uid="{B544388C-494D-4615-984D-2FF79A0A057C}"/>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5" xfId="4963" xr:uid="{2250466A-D110-4398-98F0-42A79CBF6180}"/>
    <cellStyle name="Currency 4 6 2 2 5 2" xfId="28537" xr:uid="{891F3589-F1CB-45CE-84A4-2A06312D3154}"/>
    <cellStyle name="Currency 4 6 2 2 5 2 2" xfId="31208" xr:uid="{0C5E9D99-D942-47ED-AA42-8E46FBC624DE}"/>
    <cellStyle name="Currency 4 6 2 2 5 2 3" xfId="30869" xr:uid="{AFFC98E0-9F11-4EDB-A318-463DF76AA7AC}"/>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2 5" xfId="30456" xr:uid="{78266109-4A71-4784-91E5-B862DD85110C}"/>
    <cellStyle name="Currency 4 6 2 3 3" xfId="3636" xr:uid="{00000000-0005-0000-0000-0000B7030000}"/>
    <cellStyle name="Currency 4 6 2 3 4" xfId="5698" xr:uid="{B38A81BB-9A36-40AA-950D-281B6FFF8927}"/>
    <cellStyle name="Currency 4 6 2 3 4 2" xfId="29761" xr:uid="{67054A47-93D4-47AB-AD53-E56BF5421076}"/>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2 3" xfId="31000" xr:uid="{50D06B9C-4AB5-43C5-B1A6-6C448FBE4A75}"/>
    <cellStyle name="Currency 4 6 2 4 2 2 4" xfId="30871" xr:uid="{04687B75-08B5-48CB-8CF3-ADAA48B62C27}"/>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4 3 2" xfId="29918" xr:uid="{5A87EBC1-D111-497B-B547-E9E6BC33C8DF}"/>
    <cellStyle name="Currency 4 6 2 4 4" xfId="30029" xr:uid="{8DDC0C0A-0576-413A-A87E-09C0201918F9}"/>
    <cellStyle name="Currency 4 6 2 5" xfId="1929" xr:uid="{00000000-0005-0000-0000-0000B9030000}"/>
    <cellStyle name="Currency 4 6 2 5 2" xfId="23050" xr:uid="{DEB66FCC-EAF6-49BE-BE1E-44208B92D060}"/>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2 2" xfId="29793" xr:uid="{5BD17850-E81F-4D87-8CFA-6F1B58B55BE2}"/>
    <cellStyle name="Currency 4 6 3 2 2 2 2" xfId="30873" xr:uid="{4106EB6B-C055-4934-8903-1EC3CEE1C66A}"/>
    <cellStyle name="Currency 4 6 3 2 3" xfId="23227" xr:uid="{2C26A46C-6DAC-4B8D-A2CE-FB3895391873}"/>
    <cellStyle name="Currency 4 6 3 2 3 2" xfId="27864" xr:uid="{10E1699B-2241-47D5-9787-3D9730D666CE}"/>
    <cellStyle name="Currency 4 6 3 2 4" xfId="30069" xr:uid="{C6C642F4-8913-48F4-A9F0-7CC515AFA269}"/>
    <cellStyle name="Currency 4 6 3 3" xfId="1937" xr:uid="{00000000-0005-0000-0000-0000BC030000}"/>
    <cellStyle name="Currency 4 6 3 4" xfId="1935" xr:uid="{00000000-0005-0000-0000-0000BD030000}"/>
    <cellStyle name="Currency 4 6 3 4 2" xfId="27207" xr:uid="{76CF2D70-31C2-4FE1-8EE7-818EBE82C205}"/>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2 3" xfId="31099" xr:uid="{61AF2E4D-FDA5-40C5-9E4A-57B74CB50473}"/>
    <cellStyle name="Currency 4 6 3 5 2 4" xfId="30872" xr:uid="{03009555-2AD8-4DBA-836C-59EF688A36D7}"/>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2 2" xfId="29805" xr:uid="{50A05FD2-552A-489D-921C-33EF4CB07C26}"/>
    <cellStyle name="Currency 4 6 4 2 2 2 2" xfId="30875" xr:uid="{20DD1A3A-4C66-426C-8AF0-5DD8ECADACD2}"/>
    <cellStyle name="Currency 4 6 4 2 3" xfId="22734" xr:uid="{49722CC7-D743-4F52-82C1-3F54B76E2373}"/>
    <cellStyle name="Currency 4 6 4 2 4" xfId="30045" xr:uid="{103C0001-4553-4204-B33E-FA357C6EA3AE}"/>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5 2 2" xfId="31120" xr:uid="{9BFE5A8D-C545-4F3A-8596-DCD99BE51191}"/>
    <cellStyle name="Currency 4 6 4 5 2 3" xfId="30874" xr:uid="{A064A3F5-5B54-4892-9309-AD84AB3D99CF}"/>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2 5" xfId="30457" xr:uid="{E18A8C60-CC08-4E1E-A0CA-FB0ED894DFBA}"/>
    <cellStyle name="Currency 4 6 5 3" xfId="2085" xr:uid="{00000000-0005-0000-0000-0000C2030000}"/>
    <cellStyle name="Currency 4 6 5 4" xfId="5699" xr:uid="{7B617730-E9B4-416A-9358-07A6A410E9D6}"/>
    <cellStyle name="Currency 4 6 5 4 2" xfId="29852" xr:uid="{E0193312-E9E5-449A-AE34-3BA53CF5D6B0}"/>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6 4 2" xfId="29884" xr:uid="{99FEDB83-0EE7-41D5-884E-FFFD18F1BF1A}"/>
    <cellStyle name="Currency 4 6 6 5" xfId="30007" xr:uid="{1460142F-DF54-4A6F-A3ED-28B82CD6A1AD}"/>
    <cellStyle name="Currency 4 6 7" xfId="1928" xr:uid="{00000000-0005-0000-0000-0000C4030000}"/>
    <cellStyle name="Currency 4 6 7 2" xfId="28518" xr:uid="{2B3A5AD4-3B72-4F07-A3C7-D11D3D3B1C66}"/>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2 2 2" xfId="31139" xr:uid="{2D7C246A-68B7-4CFD-A4B1-20F461BF2A36}"/>
    <cellStyle name="Currency 4 7 2 2 2 2 2 3" xfId="30876" xr:uid="{58998F0B-85AE-486C-A382-95439DE4F342}"/>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4 2" xfId="29770" xr:uid="{0C7B32D4-BB29-4F76-8B8A-FD0BCD18A388}"/>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2 2" xfId="30877" xr:uid="{46A40648-E8C7-46BB-B02E-964BBBAC44C8}"/>
    <cellStyle name="Currency 4 7 2 3 2 3" xfId="30559" xr:uid="{7FB00D90-5EFF-407A-A2EE-BCB114692E06}"/>
    <cellStyle name="Currency 4 7 2 3 3" xfId="24175" xr:uid="{26544DD9-D091-4B2C-811F-DB5F89FFB9E2}"/>
    <cellStyle name="Currency 4 7 2 3 4" xfId="30046" xr:uid="{03F34DAA-9662-4CDA-B389-E9B2513FC7EF}"/>
    <cellStyle name="Currency 4 7 2 3 5" xfId="29666" xr:uid="{B1A5471A-E9DF-4A58-98F4-687E63BF72A9}"/>
    <cellStyle name="Currency 4 7 2 4" xfId="1944" xr:uid="{00000000-0005-0000-0000-0000C9030000}"/>
    <cellStyle name="Currency 4 7 2 4 2" xfId="27767" xr:uid="{35AA840F-E0D9-4801-A904-7666944D530D}"/>
    <cellStyle name="Currency 4 7 2 4 2 2" xfId="30878" xr:uid="{1515B294-8235-40E8-A6B4-154D4660E385}"/>
    <cellStyle name="Currency 4 7 2 4 2 3" xfId="30594" xr:uid="{1E8B89AC-8DA1-43FC-A4C2-8D0D6782A5B1}"/>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5 5" xfId="30616" xr:uid="{21AA2613-708A-4885-9EF8-F8F95C75AC44}"/>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2 2" xfId="30880" xr:uid="{0702549B-AD85-4AE4-A433-868C879C86F7}"/>
    <cellStyle name="Currency 4 7 3 2 2 3" xfId="30607" xr:uid="{A38BBF4E-F180-48DE-B4A0-4A2613B2FFB9}"/>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2 2" xfId="31181" xr:uid="{60D792DD-C0A3-4059-B1B7-EE8D93B21A3E}"/>
    <cellStyle name="Currency 4 7 3 5 2 3" xfId="30879" xr:uid="{965771F9-B135-4B0F-888D-B2C2DB99A4E6}"/>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2 2 2" xfId="31129" xr:uid="{5CB58FDC-842F-4366-B972-CDDC1BFA162B}"/>
    <cellStyle name="Currency 4 7 4 2 2 2 3" xfId="30881" xr:uid="{89EB998A-6F45-4617-8268-95C9947F0B85}"/>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4 4 2" xfId="29740" xr:uid="{424C1383-0C0A-4A87-94FC-0B530D5B9FC1}"/>
    <cellStyle name="Currency 4 7 4 5" xfId="29853" xr:uid="{83D46F38-F5C3-4492-BE02-3C9E29784F87}"/>
    <cellStyle name="Currency 4 7 4 6" xfId="29995" xr:uid="{D5B75D03-C87F-4FB3-9F1A-AC55BC0986B3}"/>
    <cellStyle name="Currency 4 7 5" xfId="1951" xr:uid="{00000000-0005-0000-0000-0000CF030000}"/>
    <cellStyle name="Currency 4 7 5 2" xfId="25268" xr:uid="{CDE00D5B-E828-41FA-A68A-9B3CE7066B15}"/>
    <cellStyle name="Currency 4 7 5 2 2" xfId="29733" xr:uid="{6772595D-F27B-4705-AC0E-A786A7A8AE55}"/>
    <cellStyle name="Currency 4 7 5 2 2 2" xfId="30882" xr:uid="{1E6F16AA-3248-4BCF-B673-DB6874B6D555}"/>
    <cellStyle name="Currency 4 7 5 3" xfId="25600" xr:uid="{6CD831BA-6D09-4C68-9F08-905171E640CA}"/>
    <cellStyle name="Currency 4 7 5 4" xfId="30030" xr:uid="{540ADC2A-6053-4F65-B211-C07661CCB067}"/>
    <cellStyle name="Currency 4 7 6" xfId="1943" xr:uid="{00000000-0005-0000-0000-0000D0030000}"/>
    <cellStyle name="Currency 4 7 6 2" xfId="26143" xr:uid="{D0C1945C-72AA-4573-AA8D-1633DBEA2CAD}"/>
    <cellStyle name="Currency 4 7 6 2 2" xfId="30883" xr:uid="{BD05442E-4299-43AF-92D8-BA01610430CE}"/>
    <cellStyle name="Currency 4 7 6 2 3" xfId="30593" xr:uid="{D3EEBA4A-4BA4-4D6E-A7B4-E64301858765}"/>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2 2 2" xfId="31140" xr:uid="{AAC7DD63-F3B0-4EA7-A2AB-A56CAF05FE90}"/>
    <cellStyle name="Currency 4 8 2 2 2 2 2 3" xfId="30884" xr:uid="{27A2AC4E-6837-47B5-B15A-55F5344721D7}"/>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4 2" xfId="29771" xr:uid="{2A63CC11-416D-448A-B04D-B1999AFE4288}"/>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2 2" xfId="30885" xr:uid="{757A3CB7-1C55-4D56-B945-482D3CE86FCE}"/>
    <cellStyle name="Currency 4 8 2 3 2 3" xfId="30560" xr:uid="{1C10DF34-CC59-4FAB-BE80-EACF5A93CA72}"/>
    <cellStyle name="Currency 4 8 2 3 3" xfId="23120" xr:uid="{1602DC18-E900-4AE9-A316-7D2565CB3207}"/>
    <cellStyle name="Currency 4 8 2 3 4" xfId="30047" xr:uid="{1CDABCE1-0483-422E-A6D0-DA2E0546B955}"/>
    <cellStyle name="Currency 4 8 2 3 5" xfId="29667" xr:uid="{791DC7EE-5FE3-4AE5-8D27-7C884F499AE2}"/>
    <cellStyle name="Currency 4 8 2 4" xfId="1953" xr:uid="{00000000-0005-0000-0000-0000D5030000}"/>
    <cellStyle name="Currency 4 8 2 4 2" xfId="28681" xr:uid="{83965D3F-0DFF-4118-9460-A46F81EC8DEC}"/>
    <cellStyle name="Currency 4 8 2 4 2 2" xfId="30886" xr:uid="{6A9CCD15-757E-42F7-A126-7DE3F6BF7048}"/>
    <cellStyle name="Currency 4 8 2 4 2 3" xfId="30596" xr:uid="{A308E91F-CE51-4207-A946-3A96D42EA8B7}"/>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5 5" xfId="30639" xr:uid="{145C9633-4B64-48AF-8723-20B8C3906735}"/>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2 2" xfId="30888" xr:uid="{6B43E411-504A-48A0-881D-A4CB093416FC}"/>
    <cellStyle name="Currency 4 8 3 2 2 3" xfId="30608" xr:uid="{E9C158B3-78D8-4AF3-8BD1-0F4A0B4EB020}"/>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2 2" xfId="31194" xr:uid="{1FA06368-9692-4F87-BA84-A8F7113127B3}"/>
    <cellStyle name="Currency 4 8 3 5 2 3" xfId="30887" xr:uid="{74CDC86A-7890-43A0-9099-81F98F0722EF}"/>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2 2 2" xfId="31130" xr:uid="{1050FCCF-014F-4A61-8409-ABEAF81E4B6C}"/>
    <cellStyle name="Currency 4 8 4 2 2 2 3" xfId="30889" xr:uid="{FC86CB32-E70B-4812-90F6-F48A30AB6E2C}"/>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4 4 2" xfId="29741" xr:uid="{95BBA192-E16E-479F-A9AC-4984C46E7EF3}"/>
    <cellStyle name="Currency 4 8 4 5" xfId="29854" xr:uid="{C8D3D891-209E-4B26-9316-25A831B4C4AB}"/>
    <cellStyle name="Currency 4 8 4 6" xfId="29996" xr:uid="{86931842-3154-47E1-A149-1B03081C7CA9}"/>
    <cellStyle name="Currency 4 8 5" xfId="1960" xr:uid="{00000000-0005-0000-0000-0000DB030000}"/>
    <cellStyle name="Currency 4 8 5 2" xfId="25623" xr:uid="{FDE13DD4-4BFE-4241-AF39-D2C68C9AD7B0}"/>
    <cellStyle name="Currency 4 8 5 2 2" xfId="29814" xr:uid="{51867E3E-322C-45C2-AAB5-A9260D89EAA5}"/>
    <cellStyle name="Currency 4 8 5 2 2 2" xfId="30890" xr:uid="{1A883A60-46C3-43A6-A992-715105DD7CC1}"/>
    <cellStyle name="Currency 4 8 5 3" xfId="23099" xr:uid="{7A60B91C-EC8E-45C0-8A86-C875998593D9}"/>
    <cellStyle name="Currency 4 8 5 4" xfId="30031" xr:uid="{A621AE50-9826-4A13-9FC9-FFD777B68BD3}"/>
    <cellStyle name="Currency 4 8 6" xfId="1952" xr:uid="{00000000-0005-0000-0000-0000DC030000}"/>
    <cellStyle name="Currency 4 8 6 2" xfId="25843" xr:uid="{F485F629-3DA4-44A2-B8A8-546D8AA4877F}"/>
    <cellStyle name="Currency 4 8 6 2 2" xfId="30891" xr:uid="{529C92E7-70BA-45B3-AD7F-442288B598B1}"/>
    <cellStyle name="Currency 4 8 6 2 3" xfId="30595" xr:uid="{C285BB10-709D-4317-88CD-0FA126CCFB66}"/>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2 2 2" xfId="31145" xr:uid="{ED8C307C-F610-47C6-A831-49895CEE396D}"/>
    <cellStyle name="Currency 4 9 2 2 2 2 3" xfId="30892" xr:uid="{33621EAE-9D95-48E9-891A-0F259B49272F}"/>
    <cellStyle name="Currency 4 9 2 2 3" xfId="11019" xr:uid="{D7DEB894-76C8-4B7B-B912-EBD1C82FE3F2}"/>
    <cellStyle name="Currency 4 9 2 2 3 2" xfId="21399" xr:uid="{8065ECFA-8095-493D-9111-5F5913647C23}"/>
    <cellStyle name="Currency 4 9 2 2 4" xfId="25612" xr:uid="{A7FF5CE1-F4BB-4703-8B1C-0C380512F35C}"/>
    <cellStyle name="Currency 4 9 2 2 4 2" xfId="30076" xr:uid="{A4FDCC8D-1AF2-4A28-BC45-E5AB8BDBB980}"/>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4 2" xfId="29783" xr:uid="{F000CD1D-B1BA-49CE-A26C-7AEFE89CA9A5}"/>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2 5" xfId="30458" xr:uid="{E82066D7-0909-4523-8345-4B323B12606B}"/>
    <cellStyle name="Currency 4 9 3 3" xfId="3656" xr:uid="{00000000-0005-0000-0000-0000DF030000}"/>
    <cellStyle name="Currency 4 9 3 4" xfId="5703" xr:uid="{572965EA-1F6C-4640-9DDC-DE1E721E4148}"/>
    <cellStyle name="Currency 4 9 3 4 2" xfId="29758" xr:uid="{B6BCDE65-9BFA-44F5-9903-F31404CCA55C}"/>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2 3" xfId="31054" xr:uid="{65379D5D-A019-44C2-A4F5-8978204D96E1}"/>
    <cellStyle name="Currency 5 2 2 2 5 2 4" xfId="30893" xr:uid="{742D8526-B98A-43F7-82DB-E1B0DFFD6C96}"/>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6 2" xfId="29730" xr:uid="{65C9FCB2-3DEC-4426-9C59-F87A66AA0CC0}"/>
    <cellStyle name="Currency 5 2 2 2 6 2 2" xfId="30993" xr:uid="{AFC39984-8795-40B8-B32F-0117AF697C54}"/>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2 2" xfId="31238" xr:uid="{87F82027-79CD-47F8-AA9B-02A445559384}"/>
    <cellStyle name="Currency 5 2 2 3 2 2 2 3" xfId="30895" xr:uid="{17A3B4CC-F29C-453C-BBA9-895349B92972}"/>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2 3" xfId="31100" xr:uid="{448935C6-ECC2-4E7F-9166-42A235C27226}"/>
    <cellStyle name="Currency 5 2 2 3 4 2 4" xfId="30894" xr:uid="{C5657449-ECBB-4564-A545-23B9D035DF66}"/>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5 2" xfId="29712" xr:uid="{DD288719-AB35-4C89-88F1-540C0355360C}"/>
    <cellStyle name="Currency 5 2 2 3 5 2 2" xfId="30994" xr:uid="{2203EE67-0F45-4FCA-8501-AF4CCD1B0C73}"/>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4 2" xfId="29975" xr:uid="{1A47C2B6-3535-4DAD-8D31-63333AA84210}"/>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2 2" xfId="31201" xr:uid="{E9A01D91-80DD-41A2-BDF4-F2C3BA223E61}"/>
    <cellStyle name="Currency 5 2 2 5 2 2 3" xfId="30896" xr:uid="{4927734C-1128-4F35-ADA5-EBE5F5527F8D}"/>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4" xfId="5708" xr:uid="{5ED9074E-CFC1-4F0E-AAA7-8ED93D6F736E}"/>
    <cellStyle name="Currency 5 2 3 2 4 2" xfId="29976" xr:uid="{EA9668FA-7D48-4451-A463-CEDC38FAAA6D}"/>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2 5" xfId="30459" xr:uid="{DAB7CACA-8941-4CE4-B122-9A8774B9A021}"/>
    <cellStyle name="Currency 5 2 3 3 3" xfId="3579" xr:uid="{00000000-0005-0000-0000-0000E9030000}"/>
    <cellStyle name="Currency 5 2 3 3 4" xfId="5709" xr:uid="{59616245-D824-46F1-81B0-F7CE84542057}"/>
    <cellStyle name="Currency 5 2 3 3 4 2" xfId="29919" xr:uid="{9D672207-4D78-471A-8306-1D5902F0DCD8}"/>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2 5" xfId="31024" xr:uid="{0D38C156-3687-44A0-89ED-AC90BFF6346D}"/>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2 2" xfId="31239" xr:uid="{73676227-5E83-4702-8972-5E4E8CEB392D}"/>
    <cellStyle name="Currency 5 2 4 2 2 2 3" xfId="30898" xr:uid="{13AFE293-B1E9-4C3C-B65C-D9B74021402C}"/>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4" xfId="4435" xr:uid="{EAF59091-946C-4F5C-9343-3EB106ED6014}"/>
    <cellStyle name="Currency 5 2 4 4 2" xfId="9207" xr:uid="{9DE673C5-9FAC-4C6B-A3AD-1258CD7F4F41}"/>
    <cellStyle name="Currency 5 2 4 4 2 2" xfId="19587" xr:uid="{7306ABE8-FFF7-463F-8A00-99CCC9E3B069}"/>
    <cellStyle name="Currency 5 2 4 4 2 3" xfId="31101" xr:uid="{04F8AB4D-3583-413E-A867-E9E1E954177D}"/>
    <cellStyle name="Currency 5 2 4 4 2 4" xfId="30897" xr:uid="{033065B8-3DEE-4E7E-9008-7D6E15491596}"/>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5 2" xfId="29694" xr:uid="{5AD77B6F-1F47-49A8-8F2D-FBDD0BA971A3}"/>
    <cellStyle name="Currency 5 2 4 5 2 2" xfId="30995" xr:uid="{61B4BDAA-FE5F-4AB7-9E5D-32E54EF4F78A}"/>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2 2" xfId="31212" xr:uid="{BF6DB955-8871-4EAF-9EB8-C68B85D30551}"/>
    <cellStyle name="Currency 5 2 5 2 2 2 3" xfId="30899" xr:uid="{C2C9D297-6FFA-48E8-8FCF-9BB4213F41C3}"/>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4 2" xfId="29929" xr:uid="{7102F65A-C7BE-4D84-A759-F42C9E8516B6}"/>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4 2" xfId="29879" xr:uid="{C483D0FC-BB86-4D28-A080-8736F3CBDE28}"/>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2 2" xfId="31175" xr:uid="{0ABF76C8-146E-4EA9-9EF4-12330D97B2F4}"/>
    <cellStyle name="Currency 5 2 7 2 2 3" xfId="30900" xr:uid="{B13E3068-9BEB-46ED-BF85-C4985B631957}"/>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2 3" xfId="31151" xr:uid="{50F8AEFD-436B-4734-8134-882238514C1B}"/>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5 2" xfId="30077" xr:uid="{F958E69A-68BF-4BA9-81F7-14578EED27A9}"/>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2 3" xfId="31055" xr:uid="{033E1420-9C77-473B-804F-C41CBED77E74}"/>
    <cellStyle name="Currency 5 3 2 5 2 4" xfId="30901" xr:uid="{13CA0AD7-30C4-4001-B64F-03E7560C4A03}"/>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6 2" xfId="29731" xr:uid="{7E661BEA-FF8D-4BD4-AFEB-927EC4D8CCA8}"/>
    <cellStyle name="Currency 5 3 2 6 2 2" xfId="30996" xr:uid="{6539BE70-08E3-4AA4-B58E-F300449EC90E}"/>
    <cellStyle name="Currency 5 3 2 7" xfId="22910" xr:uid="{2A10CFEC-0929-4835-ABE0-3A392EEEC7A6}"/>
    <cellStyle name="Currency 5 3 2 8" xfId="13120" xr:uid="{47A9C792-CC8F-4DF3-B7EE-6BD5C7B06878}"/>
    <cellStyle name="Currency 5 3 2 9" xfId="29997" xr:uid="{2C104A3A-A926-488C-8CAB-843E476B7B22}"/>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2 2" xfId="31240" xr:uid="{3C0EFCA0-5665-4D69-876A-58B83D160D6D}"/>
    <cellStyle name="Currency 5 3 3 2 2 2 3" xfId="30903" xr:uid="{DFA99822-3024-4E51-8F42-35A278ABE4E4}"/>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2 3" xfId="31102" xr:uid="{785265B5-1F83-4815-9163-77914337B262}"/>
    <cellStyle name="Currency 5 3 3 4 2 4" xfId="30902" xr:uid="{7FC14047-A419-4FF0-AC80-82C714D7AF82}"/>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5 2" xfId="29698" xr:uid="{A379AF37-E0F1-412B-A298-3E3C42206E20}"/>
    <cellStyle name="Currency 5 3 3 5 2 2" xfId="30997" xr:uid="{1F76261D-623D-47D8-8A94-50739780B2FC}"/>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4" xfId="5712" xr:uid="{3EEC26B5-3962-41F9-B6A3-EC813AA1EBAC}"/>
    <cellStyle name="Currency 5 3 4 4 2" xfId="29977" xr:uid="{D1112619-8F7B-4CEF-915B-708D2443B095}"/>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2 2" xfId="31187" xr:uid="{C9C22307-3BA8-47BE-87A8-DE51ADDD98DB}"/>
    <cellStyle name="Currency 5 3 5 2 2 3" xfId="30904" xr:uid="{D3CCDC70-5088-44B7-86FC-33B08181C61A}"/>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5" xfId="15742" xr:uid="{A7D646FF-DCED-4ADD-A46C-B4FB30D778F5}"/>
    <cellStyle name="Currency 5 4 2 3" xfId="3642" xr:uid="{00000000-0005-0000-0000-0000F3030000}"/>
    <cellStyle name="Currency 5 4 2 4" xfId="5715" xr:uid="{671213EE-3688-4CDB-B942-51A717C3AE88}"/>
    <cellStyle name="Currency 5 4 2 4 2" xfId="29784" xr:uid="{19716B96-BD5D-41F7-9047-88F0E9D8F84C}"/>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2 5" xfId="30460" xr:uid="{C4BF89D7-9F8D-4225-9959-7ECED6738608}"/>
    <cellStyle name="Currency 5 4 3 3" xfId="2076" xr:uid="{00000000-0005-0000-0000-0000F4030000}"/>
    <cellStyle name="Currency 5 4 3 4" xfId="5716" xr:uid="{C626BE1A-2589-41B4-9BF0-6DAE18296A2F}"/>
    <cellStyle name="Currency 5 4 3 4 2" xfId="29762" xr:uid="{0D89A086-9FE6-4E3D-B526-1494DED2FF2F}"/>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2 5" xfId="31023" xr:uid="{FA1B9D74-2E46-4D44-8B9F-96DCD9E4367B}"/>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2 2" xfId="29792" xr:uid="{1F4A1241-11FA-4754-B428-B23B31049367}"/>
    <cellStyle name="Currency 5 5 2 2 2 2" xfId="30906" xr:uid="{80A3C272-8E3F-47B7-88D9-24B437AF7685}"/>
    <cellStyle name="Currency 5 5 2 3" xfId="23372" xr:uid="{B1715BAC-BC59-417D-8714-CAE2DF61EF57}"/>
    <cellStyle name="Currency 5 5 2 4" xfId="30070" xr:uid="{71DD050B-1240-4EA7-9026-B2947CE56546}"/>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2 3" xfId="31103" xr:uid="{B937916B-8AE6-4502-9C61-03713E9CBD21}"/>
    <cellStyle name="Currency 5 5 5 2 4" xfId="30905" xr:uid="{4ACA4BB3-F1EB-41B8-9D97-8BA7228130D4}"/>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2 2" xfId="31203" xr:uid="{ABAD1DC5-D818-4810-B437-4255C3E9C2B6}"/>
    <cellStyle name="Currency 5 6 2 2 2 3" xfId="30907" xr:uid="{8826BB34-1D56-4F2D-8AA5-9443D9B05EC7}"/>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4 2" xfId="29772" xr:uid="{05354970-BE85-4C7B-82A1-A927A75CB5E7}"/>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4 2" xfId="29867" xr:uid="{78EF0E7C-CE30-48B2-8566-392947B9B818}"/>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2 3" xfId="31160" xr:uid="{7174CBCE-36C5-49A4-8A6A-16D407A6799D}"/>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5 2" xfId="30090" xr:uid="{0BC24850-1976-4B8D-9771-DD8AE4D32C8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2 3" xfId="31056" xr:uid="{5A5FF8E9-866E-408A-B46E-C2931AFFF820}"/>
    <cellStyle name="Currency 6 2 5 2 4" xfId="30909" xr:uid="{BE2DD6EC-46BA-44B9-B70A-5F3A211DC23A}"/>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6 2" xfId="29732" xr:uid="{CA4427FA-A10B-4481-823D-5EF31B041201}"/>
    <cellStyle name="Currency 6 2 6 2 2" xfId="30998" xr:uid="{EF69C268-86AE-4EDB-AC7E-3233C401BC61}"/>
    <cellStyle name="Currency 6 2 7" xfId="24758" xr:uid="{E9123834-46AB-4CF8-ABC6-146C5D9A9E59}"/>
    <cellStyle name="Currency 6 2 8" xfId="13121" xr:uid="{AF98AD0D-47DC-446A-B679-F04EDFEFA06F}"/>
    <cellStyle name="Currency 6 2 9" xfId="29998" xr:uid="{9296D3E2-4786-402C-9F10-BE45CC94E49E}"/>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2 3" xfId="31104" xr:uid="{7343AD9B-9F62-4FE0-BEFA-F619984343F2}"/>
    <cellStyle name="Currency 6 3 4 2 4" xfId="30910" xr:uid="{B5D80BAF-81AD-475A-AFB2-441CB8F3FF0E}"/>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5 2" xfId="29716" xr:uid="{00913BD0-ABC3-4764-9C14-4A1079851A3F}"/>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4" xfId="5719" xr:uid="{11FA6911-EB75-43D7-84D4-A0499B2EEBBB}"/>
    <cellStyle name="Currency 6 4 4 2" xfId="29978" xr:uid="{AF218B08-8952-477D-9428-2F58BAAF89AB}"/>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2 3" xfId="31005" xr:uid="{975FE8FC-D74B-4BAB-BB02-E6313F0E9F56}"/>
    <cellStyle name="Currency 6 7 2 4" xfId="30908" xr:uid="{8B99E9DC-DF10-4D98-B2A7-FC4E44B23349}"/>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2 3" xfId="31155" xr:uid="{A4B65126-91AD-4731-B18E-C941117B3CBF}"/>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2 6 2" xfId="30084" xr:uid="{A2DDCFAE-5DAF-42B0-8BC1-D233D3247146}"/>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2 5" xfId="31047" xr:uid="{FF6DB03D-F4BC-4037-887B-3140CF3B8F7C}"/>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4" xfId="5922" xr:uid="{888BDFFC-D2BF-45F4-A2B0-4399EE5C49DE}"/>
    <cellStyle name="Currency 7 4 2" xfId="25904" xr:uid="{3BF6F9AB-DC2E-447F-A41D-2567B62C22C6}"/>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8 2" xfId="29985" xr:uid="{38CCC4F8-3A05-4E8F-A88E-F9A4A5382814}"/>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8 4" xfId="30930" xr:uid="{D45966F1-6C24-42C2-8D71-F9FB2965BA9E}"/>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1 7" xfId="31254" xr:uid="{28E00C5A-101C-4D57-87F3-FFA1BE1BED88}"/>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4" xfId="5019" xr:uid="{0C061EC0-651E-4DB0-B891-F07E2F1BDD54}"/>
    <cellStyle name="Normal 10 9 3 4 2" xfId="29763" xr:uid="{7DD32FFB-9842-4328-84E5-E9D8D2B0F68E}"/>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3 4" xfId="30032" xr:uid="{A3EAF4AB-5115-481D-A447-9586BF9ECF1A}"/>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3" xfId="25235" xr:uid="{43C97933-000E-4EB9-ADD0-F68EC944A8A0}"/>
    <cellStyle name="Normal 15 4" xfId="29986" xr:uid="{4C44E769-B72D-47F8-BFD8-967FDABB778E}"/>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5 2 2" xfId="30108" xr:uid="{F7E39ECD-4D10-4D07-8F21-75FAF9DEBFA7}"/>
    <cellStyle name="Normal 17 5 3" xfId="30383" xr:uid="{B45CE350-A162-4B94-B9BF-8DDA18EE9D32}"/>
    <cellStyle name="Normal 17 5 4" xfId="30370" xr:uid="{8603D28E-B236-4EC6-AE4B-CCA2E34ECDF2}"/>
    <cellStyle name="Normal 17 5 4 2" xfId="31709" xr:uid="{8378316B-0AEB-4628-8314-F5A160EE652A}"/>
    <cellStyle name="Normal 17 5 5" xfId="32004" xr:uid="{8377B691-2AFC-443B-8FCA-8EB296436BAE}"/>
    <cellStyle name="Normal 17 6" xfId="29639" xr:uid="{2615603F-F587-465C-9DB1-DFE5AAD13470}"/>
    <cellStyle name="Normal 17 6 2" xfId="30107" xr:uid="{1CE297B0-511C-45BD-82B6-9F5EFC6F4E9E}"/>
    <cellStyle name="Normal 17 7" xfId="30353" xr:uid="{B6AE06BD-E46D-4EF1-88E1-B52B46EEF606}"/>
    <cellStyle name="Normal 17 7 2" xfId="31693" xr:uid="{715E5696-15DC-46D7-B1F6-6B19405350CB}"/>
    <cellStyle name="Normal 17 8" xfId="31987" xr:uid="{B489DFF5-F3EE-4CCC-A360-9EC5DC833894}"/>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2 4" xfId="31001" xr:uid="{F18E5E9C-D8D8-4F69-9CEA-1EB84E6CB813}"/>
    <cellStyle name="Normal 2 18 2 5" xfId="30916" xr:uid="{C8A5B2B3-A9B4-4CC3-9248-93D24488B8AF}"/>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6" xfId="16166" xr:uid="{184E429F-5396-4319-8D7D-B20F7B31B908}"/>
    <cellStyle name="Normal 2 19" xfId="12346" xr:uid="{2851D229-502A-4D82-8490-01DA0EBA2159}"/>
    <cellStyle name="Normal 2 19 2" xfId="24058" xr:uid="{C9B81072-9CE2-4F0C-B5E2-CE8D5CE0A9C0}"/>
    <cellStyle name="Normal 2 19 3" xfId="24240" xr:uid="{1066F9CC-788C-4F68-89FE-9B9F75C44A5D}"/>
    <cellStyle name="Normal 2 19 4" xfId="25829" xr:uid="{5058E664-5536-45CD-84E0-6FADFD894F75}"/>
    <cellStyle name="Normal 2 19 5" xfId="24509" xr:uid="{D329221E-E5FF-44FA-92BC-FF4B1867B2F5}"/>
    <cellStyle name="Normal 2 19 6" xfId="29617" xr:uid="{903768B7-2C41-46B2-A4D0-9D86B34D41A4}"/>
    <cellStyle name="Normal 2 19 7" xfId="29591" xr:uid="{8AF71700-81D8-4687-AC91-003585AB8325}"/>
    <cellStyle name="Normal 2 19 7 2" xfId="30106" xr:uid="{C4AE6AE8-64C8-4402-93EB-4E613E643CC2}"/>
    <cellStyle name="Normal 2 19 8" xfId="31112" xr:uid="{AD9EAF03-CE2E-4033-B917-F2FC89D9335A}"/>
    <cellStyle name="Normal 2 19 8 2" xfId="31695" xr:uid="{E7154EF1-2601-4A7C-8056-AA513484E4A7}"/>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1" xfId="22712" xr:uid="{946996B7-D821-4E03-9730-38F8FCB07445}"/>
    <cellStyle name="Normal 2 22" xfId="23637" xr:uid="{A4E39459-462C-454A-A30C-B043BE56C80C}"/>
    <cellStyle name="Normal 2 23" xfId="12387" xr:uid="{E65DE861-3430-4CC0-B8E2-F1AE8E21C22C}"/>
    <cellStyle name="Normal 2 24" xfId="29564" xr:uid="{8B3042BB-E780-4116-ACB4-69BF5D526462}"/>
    <cellStyle name="Normal 2 25" xfId="30101" xr:uid="{5AB8A7DA-FFAA-4EB5-9950-87FFA7645D23}"/>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1 2" xfId="32317" xr:uid="{3A11D435-6686-498D-AC7C-C79278057DB1}"/>
    <cellStyle name="Normal 22" xfId="12383" xr:uid="{8C915B8E-2FA3-4DC4-BD95-7A870649C7C0}"/>
    <cellStyle name="Normal 22 2" xfId="32318" xr:uid="{4B35D2EC-2784-4862-9CDB-435F009E5F8C}"/>
    <cellStyle name="Normal 23" xfId="30099" xr:uid="{C20B993B-01C2-4C51-8F98-6A9CBB8E2F4D}"/>
    <cellStyle name="Normal 23 2" xfId="30396" xr:uid="{287CA121-5416-4078-9572-C7B4DE184957}"/>
    <cellStyle name="Normal 23 2 2" xfId="32021" xr:uid="{765B09F7-C3B9-41DD-9C24-5666249D136A}"/>
    <cellStyle name="Normal 23 3" xfId="31722" xr:uid="{23061F0C-4409-4E5F-A960-26EABC21E703}"/>
    <cellStyle name="Normal 23 4" xfId="32017" xr:uid="{468AB7C1-4BEE-44C9-8B86-5065562C55FA}"/>
    <cellStyle name="Normal 23 5" xfId="32319" xr:uid="{804EF931-28F5-48C7-9027-4DFA9B3C0163}"/>
    <cellStyle name="Normal 24" xfId="31724" xr:uid="{4AD80940-F9FE-4312-92C2-BB9034C34D3B}"/>
    <cellStyle name="Normal 24 2" xfId="32022" xr:uid="{89DE89C1-34EC-490A-8341-093FB1E461B4}"/>
    <cellStyle name="Normal 25" xfId="30098" xr:uid="{07506169-A6FD-44A0-8C52-1A1EF451F172}"/>
    <cellStyle name="Normal 26" xfId="30103" xr:uid="{7027CCDA-B9FD-43DE-A40A-182DF76F28F4}"/>
    <cellStyle name="Normal 27" xfId="31723" xr:uid="{4196B5BA-5EA7-4D8D-9D66-857889BD5159}"/>
    <cellStyle name="Normal 28" xfId="32025" xr:uid="{F9D2FC86-2EC0-4BC4-9CA1-1693550E0CE1}"/>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2 4 3 3" xfId="30236" xr:uid="{B775CA85-A94A-4FA2-B016-4DD4E6773E9E}"/>
    <cellStyle name="Normal 3 2 2 4 3 3 2" xfId="31379" xr:uid="{FE22CF11-4570-4966-8D0D-C6F52D65F8E8}"/>
    <cellStyle name="Normal 3 2 2 4 3 4" xfId="31576" xr:uid="{D3F1F72C-C507-475E-BFC1-88BFEC9AABA6}"/>
    <cellStyle name="Normal 3 2 2 4 3 5" xfId="31870" xr:uid="{C61C880B-D90D-409E-986D-7EFE86A94CD6}"/>
    <cellStyle name="Normal 3 2 2 4 3 6" xfId="32200" xr:uid="{E4C8252C-6722-4F04-ABB8-8D319B13CE12}"/>
    <cellStyle name="Normal 3 2 2 5" xfId="31263"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3 3 3" xfId="30237" xr:uid="{B4011CD2-DE1E-4B51-8A66-B3C8C7A5D421}"/>
    <cellStyle name="Normal 3 2 3 3 2 3 2 3 3 3 2" xfId="31380" xr:uid="{BE93AEFA-7DA3-4658-9FC8-146A8E24F6DB}"/>
    <cellStyle name="Normal 3 2 3 3 2 3 2 3 3 4" xfId="31577" xr:uid="{9B4EC05B-CF70-4662-9DB5-17BD8DAB0B95}"/>
    <cellStyle name="Normal 3 2 3 3 2 3 2 3 3 5" xfId="31871" xr:uid="{36337922-F1B8-43FE-89D9-33A4E0A700EA}"/>
    <cellStyle name="Normal 3 2 3 3 2 3 2 3 3 6" xfId="32201" xr:uid="{EBD78C91-08E3-4382-9A70-95F567AC2F42}"/>
    <cellStyle name="Normal 3 2 3 3 2 3 2 4" xfId="25759" xr:uid="{5EC9D443-D6FF-49B3-87CB-0CAAE76577FA}"/>
    <cellStyle name="Normal 3 2 3 3 2 3 2 5" xfId="32071" xr:uid="{BEC5AF68-89EA-42A6-B791-B9A5D2F08750}"/>
    <cellStyle name="Normal 3 2 3 3 2 3 3" xfId="858" xr:uid="{00000000-0005-0000-0000-000007050000}"/>
    <cellStyle name="Normal 3 2 3 3 2 3 4" xfId="2919" xr:uid="{00000000-0005-0000-0000-000014050000}"/>
    <cellStyle name="Normal 3 2 3 3 2 3 4 2" xfId="31292" xr:uid="{EB8BC9D9-A033-4C6E-8AEF-B73E94BB5D44}"/>
    <cellStyle name="Normal 3 2 3 3 2 3 5" xfId="2094" xr:uid="{00000000-0005-0000-0000-000008020000}"/>
    <cellStyle name="Normal 3 2 3 3 2 3 5 2" xfId="4649" xr:uid="{F5C0EA0D-9822-4FF4-BD48-55FE3EF7782D}"/>
    <cellStyle name="Normal 3 2 3 3 2 3 5 3" xfId="30175" xr:uid="{EFD41364-146C-4C8A-A23B-7D13531E8C1D}"/>
    <cellStyle name="Normal 3 2 3 3 2 3 5 3 2" xfId="31319" xr:uid="{B91B5B5F-A506-42B7-A20E-383BCA9FFAF5}"/>
    <cellStyle name="Normal 3 2 3 3 2 3 5 4" xfId="31515" xr:uid="{6D671EEF-9106-4A0F-AE0E-B3AC82C22655}"/>
    <cellStyle name="Normal 3 2 3 3 2 3 5 5" xfId="31809" xr:uid="{7A8BF9CE-A0AF-4AF4-91F4-02CA6D3FC1D7}"/>
    <cellStyle name="Normal 3 2 3 3 2 3 5 6" xfId="32140" xr:uid="{663D9F80-8313-454D-9FA7-7A254789213E}"/>
    <cellStyle name="Normal 3 2 3 3 2 3 6" xfId="3957" xr:uid="{0E1DF840-3114-4679-8527-B4509133BFD3}"/>
    <cellStyle name="Normal 3 2 3 3 2 3 6 2" xfId="4703" xr:uid="{EBED180B-3325-462A-919B-62911980F3E3}"/>
    <cellStyle name="Normal 3 2 3 3 2 3 6 3" xfId="30297" xr:uid="{E136CEC1-43EF-4959-B635-DE56F5F46204}"/>
    <cellStyle name="Normal 3 2 3 3 2 3 6 3 2" xfId="31440" xr:uid="{56DB6537-5079-42DC-8C0E-B9EB0AF26203}"/>
    <cellStyle name="Normal 3 2 3 3 2 3 6 4" xfId="31637" xr:uid="{D8E5B5D1-0B28-44DE-9618-995E05721A23}"/>
    <cellStyle name="Normal 3 2 3 3 2 3 6 5" xfId="31931" xr:uid="{9B487A6D-6B05-4F07-839D-A99EB2D5F8AC}"/>
    <cellStyle name="Normal 3 2 3 3 2 3 6 6" xfId="32261" xr:uid="{365D131D-D708-4F68-9CAD-F648FA224E03}"/>
    <cellStyle name="Normal 3 2 3 3 2 3 7" xfId="30118" xr:uid="{3A8EA0EB-6553-4DE0-BA6D-E554B6EEBC52}"/>
    <cellStyle name="Normal 3 2 3 3 2 3 7 2" xfId="30479" xr:uid="{12261BA5-6EBE-49C8-858C-4433B97E2B8F}"/>
    <cellStyle name="Normal 3 2 3 3 2 3 8" xfId="31752" xr:uid="{69E5398B-AE39-4ABD-B746-7A6A37786D71}"/>
    <cellStyle name="Normal 3 2 3 3 2 3 9" xfId="32034" xr:uid="{61D5E8BD-71B1-4169-B6BD-65EB33C864AC}"/>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4 3 3 3" xfId="30384" xr:uid="{BAC9BCB8-EF57-4DA4-B9C1-3F2B8C7FC657}"/>
    <cellStyle name="Normal 3 2 3 3 2 4 3 3 4" xfId="30371" xr:uid="{34267B84-BB81-4C12-8C46-473BBA220C20}"/>
    <cellStyle name="Normal 3 2 3 3 2 4 3 3 4 2" xfId="31710" xr:uid="{592A1166-586C-44C0-A573-38C22F19E4A2}"/>
    <cellStyle name="Normal 3 2 3 3 2 4 3 3 5" xfId="32005" xr:uid="{AF9F9127-55D5-4F95-9D50-B99CB789E817}"/>
    <cellStyle name="Normal 3 2 3 3 2 4 3 4" xfId="30354" xr:uid="{93657840-58F4-4379-9A8A-0046F497FB51}"/>
    <cellStyle name="Normal 3 2 3 3 2 4 3 4 2" xfId="31696" xr:uid="{A40DE0E8-AD45-4E9B-94C0-51490D3093FE}"/>
    <cellStyle name="Normal 3 2 3 3 2 4 3 5" xfId="31988" xr:uid="{15D7EF1A-FCD0-454A-B1AA-E84DD50EE774}"/>
    <cellStyle name="Normal 3 2 3 3 2 4 4" xfId="32103" xr:uid="{2C4300FB-EE13-4D9E-8C25-BCB793466A97}"/>
    <cellStyle name="Normal 3 2 3 3 2 5" xfId="2093" xr:uid="{00000000-0005-0000-0000-000006020000}"/>
    <cellStyle name="Normal 3 2 3 3 2 5 2" xfId="4666" xr:uid="{1B4AA995-6D1E-409F-BFE5-CBE6CD7AB94F}"/>
    <cellStyle name="Normal 3 2 3 3 2 5 3" xfId="30174" xr:uid="{5165A243-F4B8-4207-B6E2-4C6179B2331B}"/>
    <cellStyle name="Normal 3 2 3 3 2 5 3 2" xfId="31318" xr:uid="{FE81CBED-C272-45C6-9FD4-ED32FBB04F14}"/>
    <cellStyle name="Normal 3 2 3 3 2 5 4" xfId="31514" xr:uid="{00EFE9D6-E228-47B1-B203-283A8667D08C}"/>
    <cellStyle name="Normal 3 2 3 3 2 5 5" xfId="31808" xr:uid="{178690E6-34A2-4393-B592-31E0DF3C1227}"/>
    <cellStyle name="Normal 3 2 3 3 2 5 6" xfId="32139" xr:uid="{F5C24F47-93B0-4CAD-8849-ECB567CBB768}"/>
    <cellStyle name="Normal 3 2 3 3 2 6" xfId="3956" xr:uid="{F8E8F1E1-BBD4-4256-B483-D824BDAE78F4}"/>
    <cellStyle name="Normal 3 2 3 3 2 6 2" xfId="4764" xr:uid="{9F42B403-8D69-4B35-A1B8-4F04141A4544}"/>
    <cellStyle name="Normal 3 2 3 3 2 6 3" xfId="30296" xr:uid="{C496E6E4-1282-47C2-B1C7-9961AE8A150D}"/>
    <cellStyle name="Normal 3 2 3 3 2 6 3 2" xfId="31439" xr:uid="{5A0EDD58-F48D-4E4E-BD06-54CD1EEB56F7}"/>
    <cellStyle name="Normal 3 2 3 3 2 6 4" xfId="31636" xr:uid="{C5452A9F-2C0C-47BC-AC38-CC8ACD830D2A}"/>
    <cellStyle name="Normal 3 2 3 3 2 6 5" xfId="31930" xr:uid="{B73035D1-2067-401B-A00F-AFA787D13CFA}"/>
    <cellStyle name="Normal 3 2 3 3 2 6 6" xfId="32260" xr:uid="{05E3E285-9894-4182-B131-BB2FFA505922}"/>
    <cellStyle name="Normal 3 2 3 3 2 7" xfId="30117" xr:uid="{019B4B8F-7996-40B8-8487-A11E7446390C}"/>
    <cellStyle name="Normal 3 2 3 3 2 7 2" xfId="30478" xr:uid="{A9A1F17C-F870-4AC2-99F8-4C92612CB29A}"/>
    <cellStyle name="Normal 3 2 3 3 2 8" xfId="31751" xr:uid="{225D7D5A-C0D2-4CCD-9EFC-161282D45CC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2 2" xfId="30086" xr:uid="{89E53FE7-94C9-4D91-BBC4-6F94CBF85A44}"/>
    <cellStyle name="Normal 3 2 3 3 4 2 2 2 3" xfId="3713" xr:uid="{00000000-0005-0000-0000-00007A040000}"/>
    <cellStyle name="Normal 3 2 3 3 4 2 2 2 3 2" xfId="4775" xr:uid="{3EE6A992-6E14-412B-A546-1161B9E0D3AE}"/>
    <cellStyle name="Normal 3 2 3 3 4 2 2 2 3 3" xfId="30238" xr:uid="{86BCA4BE-8FF9-4E7A-B9DD-185C56EFBE75}"/>
    <cellStyle name="Normal 3 2 3 3 4 2 2 2 3 3 2" xfId="31381" xr:uid="{1A51DAD1-F532-4907-8058-33633595C8CE}"/>
    <cellStyle name="Normal 3 2 3 3 4 2 2 2 3 4" xfId="31578" xr:uid="{E311BA82-333E-46A3-AD01-6013A34DAC67}"/>
    <cellStyle name="Normal 3 2 3 3 4 2 2 2 3 5" xfId="31872" xr:uid="{16662624-3757-45D7-917F-C0AB933E36AC}"/>
    <cellStyle name="Normal 3 2 3 3 4 2 2 2 3 6" xfId="32202" xr:uid="{40D53821-A716-46C2-BC53-12A9BD8233EF}"/>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2 5" xfId="32072" xr:uid="{2EFB2FC7-4C9F-4C0C-AB73-A2412AA893CD}"/>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4 3" xfId="30177" xr:uid="{DE26479C-16AF-4053-ADA2-2366C14A6988}"/>
    <cellStyle name="Normal 3 2 3 3 4 2 3 4 3 2" xfId="31321" xr:uid="{98ADDAB9-7E5D-4B1A-B857-1BF8F72E74B4}"/>
    <cellStyle name="Normal 3 2 3 3 4 2 3 4 4" xfId="31517" xr:uid="{C975A579-45FB-4F57-850C-66AA6B19B7DF}"/>
    <cellStyle name="Normal 3 2 3 3 4 2 3 4 5" xfId="31811" xr:uid="{6DDB7F6F-104A-41B1-A645-952E20BC8075}"/>
    <cellStyle name="Normal 3 2 3 3 4 2 3 4 6" xfId="32142" xr:uid="{378A76A2-A515-47DC-B0B1-686CDA4BD23B}"/>
    <cellStyle name="Normal 3 2 3 3 4 2 3 5" xfId="25609" xr:uid="{AE0E7AAC-A35C-4739-83F7-24B2349D3A43}"/>
    <cellStyle name="Normal 3 2 3 3 4 2 3 5 2" xfId="32124" xr:uid="{C78A2D90-F3A3-4920-AD1E-6687B385D2C3}"/>
    <cellStyle name="Normal 3 2 3 3 4 2 3 6" xfId="30536" xr:uid="{5DF49D80-F591-4B6B-AC8D-0AA109DB5F47}"/>
    <cellStyle name="Normal 3 2 3 3 4 2 4" xfId="23282" xr:uid="{607B55E2-785A-4475-A5AF-715CB366B607}"/>
    <cellStyle name="Normal 3 2 3 3 4 2 5" xfId="32035" xr:uid="{E3003A5B-2E90-4ACE-B79D-A7C132E78F54}"/>
    <cellStyle name="Normal 3 2 3 3 4 3" xfId="868" xr:uid="{00000000-0005-0000-0000-000013050000}"/>
    <cellStyle name="Normal 3 2 3 3 4 4" xfId="2920" xr:uid="{00000000-0005-0000-0000-00001D050000}"/>
    <cellStyle name="Normal 3 2 3 3 4 4 2" xfId="31296" xr:uid="{324C98B1-8E30-4CDB-8616-21FD670B2E3A}"/>
    <cellStyle name="Normal 3 2 3 3 4 5" xfId="2095" xr:uid="{00000000-0005-0000-0000-00000B020000}"/>
    <cellStyle name="Normal 3 2 3 3 4 5 2" xfId="3808" xr:uid="{88D4B6F8-D038-4FA2-9B5E-8BA2B2639DFB}"/>
    <cellStyle name="Normal 3 2 3 3 4 5 3" xfId="30176" xr:uid="{CB02CBFB-77EE-4C98-92E6-6936F3E8C9D8}"/>
    <cellStyle name="Normal 3 2 3 3 4 5 3 2" xfId="31320" xr:uid="{F2C34778-01E7-4E78-BC6F-88ABEE2BEE7D}"/>
    <cellStyle name="Normal 3 2 3 3 4 5 4" xfId="31516" xr:uid="{A79C0C5A-7EDD-4B02-A14A-86F26A0520E9}"/>
    <cellStyle name="Normal 3 2 3 3 4 5 5" xfId="31810" xr:uid="{0135E4C7-4A36-4A8B-A0C0-D404DF1C677A}"/>
    <cellStyle name="Normal 3 2 3 3 4 5 6" xfId="32141" xr:uid="{B273A77D-794C-4BE1-B0D2-24F66781DCAC}"/>
    <cellStyle name="Normal 3 2 3 3 4 6" xfId="3958" xr:uid="{5C36214B-B9A0-42AD-97C5-679BC9758736}"/>
    <cellStyle name="Normal 3 2 3 3 4 6 2" xfId="4776" xr:uid="{C6EA1D90-BF83-4CD0-B22B-769466A8D247}"/>
    <cellStyle name="Normal 3 2 3 3 4 6 3" xfId="30298" xr:uid="{9F6F5CBA-D16F-48D0-91E5-EA178C3A599A}"/>
    <cellStyle name="Normal 3 2 3 3 4 6 3 2" xfId="31441" xr:uid="{A0375E49-2C8F-471E-911A-A63C71DA3145}"/>
    <cellStyle name="Normal 3 2 3 3 4 6 4" xfId="31638" xr:uid="{849E470A-FB03-4831-8FE0-135351CE5670}"/>
    <cellStyle name="Normal 3 2 3 3 4 6 5" xfId="31932" xr:uid="{7DD74C05-B182-49F2-B496-B67D994D90D1}"/>
    <cellStyle name="Normal 3 2 3 3 4 6 6" xfId="32262" xr:uid="{0BC9A620-452C-4A63-A943-8F1D817DE8E4}"/>
    <cellStyle name="Normal 3 2 3 3 4 7" xfId="30119" xr:uid="{21708935-4338-4B04-A5B4-2B12A5C766F5}"/>
    <cellStyle name="Normal 3 2 3 3 4 7 2" xfId="30480" xr:uid="{F378E57F-2EEC-4F55-AB97-A5FA15FB5A75}"/>
    <cellStyle name="Normal 3 2 3 3 4 8" xfId="31753" xr:uid="{B6B99ECF-27B7-4452-8592-01D11A877DA9}"/>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2 3" xfId="32203" xr:uid="{44729DC0-83F3-4E29-A2E7-9BFB109B997A}"/>
    <cellStyle name="Normal 3 2 3 3 5 3 3" xfId="25727" xr:uid="{5EC24068-D279-40A6-85E3-7D41DE988994}"/>
    <cellStyle name="Normal 3 2 3 3 5 3 4" xfId="30239" xr:uid="{57A3C330-EEF1-4F13-A663-4A6AAFC7B558}"/>
    <cellStyle name="Normal 3 2 3 3 5 3 4 2" xfId="31382" xr:uid="{BFC026E1-24FA-40A5-A536-7FBCD1AA6124}"/>
    <cellStyle name="Normal 3 2 3 3 5 3 5" xfId="31579" xr:uid="{78178B15-934C-461A-998B-6869636634B9}"/>
    <cellStyle name="Normal 3 2 3 3 5 3 6" xfId="31873" xr:uid="{285638F6-359F-43E0-B0FA-229C700DA1DE}"/>
    <cellStyle name="Normal 3 2 3 3 5 4" xfId="25712" xr:uid="{FCFAC2BB-862B-4984-8025-D41B2E849CF9}"/>
    <cellStyle name="Normal 3 2 3 3 5 5" xfId="32033" xr:uid="{7EA2159F-1C91-4975-9358-2C8BAAFB2135}"/>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3 3 3" xfId="30240" xr:uid="{09A3577F-9760-4766-9C2F-D9019747DF4A}"/>
    <cellStyle name="Normal 3 2 3 4 3 2 3 3 3 2" xfId="31383" xr:uid="{A4473E79-1F75-4888-8BBE-EA2C63CD76A1}"/>
    <cellStyle name="Normal 3 2 3 4 3 2 3 3 4" xfId="31580" xr:uid="{4CCDC4C7-EF66-4862-AB6F-4192F6078FC6}"/>
    <cellStyle name="Normal 3 2 3 4 3 2 3 3 5" xfId="31874" xr:uid="{383A3E76-D426-4C8C-924F-5A95A0836014}"/>
    <cellStyle name="Normal 3 2 3 4 3 2 3 3 6" xfId="32204" xr:uid="{249EA54B-0214-4669-AF70-52F0D57E0EE1}"/>
    <cellStyle name="Normal 3 2 3 4 3 2 4" xfId="25825" xr:uid="{1A6B0C1D-1919-427D-8E6B-3883E899BAEA}"/>
    <cellStyle name="Normal 3 2 3 4 3 2 5" xfId="32073" xr:uid="{E3989A55-F198-4BEA-980F-6B482D9C1285}"/>
    <cellStyle name="Normal 3 2 3 4 3 3" xfId="877" xr:uid="{00000000-0005-0000-0000-00001D050000}"/>
    <cellStyle name="Normal 3 2 3 4 3 4" xfId="2921" xr:uid="{00000000-0005-0000-0000-000023050000}"/>
    <cellStyle name="Normal 3 2 3 4 3 4 2" xfId="31285" xr:uid="{8B70590F-73CC-44E1-B466-2B324B3DBBCB}"/>
    <cellStyle name="Normal 3 2 3 4 3 5" xfId="2098" xr:uid="{00000000-0005-0000-0000-000012020000}"/>
    <cellStyle name="Normal 3 2 3 4 3 5 2" xfId="4671" xr:uid="{C7488697-347C-4027-9144-3C9AC3B4D98F}"/>
    <cellStyle name="Normal 3 2 3 4 3 5 3" xfId="30179" xr:uid="{72FD9D08-8B3A-4237-9D8B-137B965D383B}"/>
    <cellStyle name="Normal 3 2 3 4 3 5 3 2" xfId="31323" xr:uid="{45EA9506-8E31-4B6C-9642-21F6D94811EA}"/>
    <cellStyle name="Normal 3 2 3 4 3 5 4" xfId="31519" xr:uid="{57B4B3E7-6D59-438C-A24A-74EBC3100FE4}"/>
    <cellStyle name="Normal 3 2 3 4 3 5 5" xfId="31813" xr:uid="{C0EC41AE-F027-4EAC-B2AF-195D477BE1A7}"/>
    <cellStyle name="Normal 3 2 3 4 3 5 6" xfId="32144" xr:uid="{83B57C11-0066-492A-9FDD-EDB0A0496C5E}"/>
    <cellStyle name="Normal 3 2 3 4 3 6" xfId="3960" xr:uid="{D1FAA155-8172-43EB-ACF9-9A7AA25E3D6E}"/>
    <cellStyle name="Normal 3 2 3 4 3 6 2" xfId="4784" xr:uid="{8A9EA233-ABD3-42E4-B860-F2A4E0132FC1}"/>
    <cellStyle name="Normal 3 2 3 4 3 6 3" xfId="30300" xr:uid="{81B67AB2-71E6-4678-8CF3-9987E9088F9B}"/>
    <cellStyle name="Normal 3 2 3 4 3 6 3 2" xfId="31443" xr:uid="{A98CF9BE-AAE6-4825-8E47-7EAA17C2BBF3}"/>
    <cellStyle name="Normal 3 2 3 4 3 6 4" xfId="31640" xr:uid="{AAEDCB10-67E7-4420-AA2F-0DDA1928FE65}"/>
    <cellStyle name="Normal 3 2 3 4 3 6 5" xfId="31934" xr:uid="{E03EEF01-1839-44E6-AD63-1C456D0962DD}"/>
    <cellStyle name="Normal 3 2 3 4 3 6 6" xfId="32264" xr:uid="{D876842D-BEFC-493E-9801-125C23CE4D3B}"/>
    <cellStyle name="Normal 3 2 3 4 3 7" xfId="30121" xr:uid="{B13A17FC-0920-42D9-BFD0-704A408A0A4C}"/>
    <cellStyle name="Normal 3 2 3 4 3 7 2" xfId="30482" xr:uid="{10C38449-8AAA-4472-A41E-21A90DBA3EF1}"/>
    <cellStyle name="Normal 3 2 3 4 3 8" xfId="31755" xr:uid="{9272ABCD-863B-4473-80D4-56123FB3553F}"/>
    <cellStyle name="Normal 3 2 3 4 3 9" xfId="32036" xr:uid="{8A5481F1-1851-4DEC-81E5-39059259A6C9}"/>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4 3 3" xfId="30241" xr:uid="{4F7F6943-EDBD-49B8-92F4-C7F6E5EFC9D8}"/>
    <cellStyle name="Normal 3 2 3 4 4 3 3 2" xfId="31384" xr:uid="{7D216875-FD6D-42D1-B93A-66F40255D01A}"/>
    <cellStyle name="Normal 3 2 3 4 4 3 4" xfId="31581" xr:uid="{E9786FEF-20D7-44D2-9C67-93A7FB8E137B}"/>
    <cellStyle name="Normal 3 2 3 4 4 3 5" xfId="31875" xr:uid="{D1969DFF-FD25-47BB-8FE0-91FB97DD3A5E}"/>
    <cellStyle name="Normal 3 2 3 4 4 3 6" xfId="32205" xr:uid="{DDF96583-75DD-4060-910B-1D7FD09563DD}"/>
    <cellStyle name="Normal 3 2 3 4 4 4" xfId="32104" xr:uid="{B35D63B6-CBDC-4638-BEA3-B25EAF2B59DC}"/>
    <cellStyle name="Normal 3 2 3 4 5" xfId="2097" xr:uid="{00000000-0005-0000-0000-000010020000}"/>
    <cellStyle name="Normal 3 2 3 4 5 2" xfId="3778" xr:uid="{8B0DC8D1-7DE9-4171-A63D-3B65DE7CC539}"/>
    <cellStyle name="Normal 3 2 3 4 5 3" xfId="30178" xr:uid="{92251D01-4C43-436B-89CC-A84B9DD25DD4}"/>
    <cellStyle name="Normal 3 2 3 4 5 3 2" xfId="31322" xr:uid="{FCE2C500-F43A-4375-A00C-E81F083CEF3F}"/>
    <cellStyle name="Normal 3 2 3 4 5 4" xfId="31518" xr:uid="{EB794679-BCC2-4055-AC27-37AACFDD1FB4}"/>
    <cellStyle name="Normal 3 2 3 4 5 5" xfId="31812" xr:uid="{5460A817-A72C-4666-9CEA-0FD1254CA438}"/>
    <cellStyle name="Normal 3 2 3 4 5 6" xfId="32143" xr:uid="{FB670D1C-85EF-4430-BB57-0714F6794B27}"/>
    <cellStyle name="Normal 3 2 3 4 6" xfId="3959" xr:uid="{C6836599-ECCD-4EBB-AA38-ABF0279C67FA}"/>
    <cellStyle name="Normal 3 2 3 4 6 2" xfId="4749" xr:uid="{E32033F8-C2D4-4D9A-8197-D59BB0805FFB}"/>
    <cellStyle name="Normal 3 2 3 4 6 3" xfId="30299" xr:uid="{D8F87D88-0F19-481C-A1CC-3146338754DB}"/>
    <cellStyle name="Normal 3 2 3 4 6 3 2" xfId="31442" xr:uid="{B4A69638-323B-49E7-90F5-90FE0D97664A}"/>
    <cellStyle name="Normal 3 2 3 4 6 4" xfId="31639" xr:uid="{7FD9D19C-1E53-40EA-BF81-22379F781951}"/>
    <cellStyle name="Normal 3 2 3 4 6 5" xfId="31933" xr:uid="{DA36F331-6C62-4D5F-BA3C-170EE4CAD920}"/>
    <cellStyle name="Normal 3 2 3 4 6 6" xfId="32263" xr:uid="{2396EE33-E08F-4C9A-BB2B-29B80ECE21E9}"/>
    <cellStyle name="Normal 3 2 3 4 7" xfId="30120" xr:uid="{2902EA16-525C-4490-96D7-08F0557F0425}"/>
    <cellStyle name="Normal 3 2 3 4 7 2" xfId="30481" xr:uid="{DF6E23B2-6945-41B0-8306-2F702DBA91A9}"/>
    <cellStyle name="Normal 3 2 3 4 8" xfId="31754" xr:uid="{B4D2B4EA-080E-4556-BD60-5C1D2BE5D3E3}"/>
    <cellStyle name="Normal 3 2 3 5" xfId="2066" xr:uid="{00000000-0005-0000-0000-000003020000}"/>
    <cellStyle name="Normal 3 2 3 5 2" xfId="4738" xr:uid="{1DEEA62F-24B4-4396-B677-5B3167946642}"/>
    <cellStyle name="Normal 3 2 3 5 3" xfId="30166" xr:uid="{75BDF039-D1D0-4720-91AF-54BBB162394D}"/>
    <cellStyle name="Normal 3 2 3 5 3 2" xfId="30483" xr:uid="{7C8CED2E-CFB8-4B18-9B98-486CBBF1CEE6}"/>
    <cellStyle name="Normal 3 2 3 5 4" xfId="31506" xr:uid="{D2C494B6-B581-4571-B629-4078CCA1DF19}"/>
    <cellStyle name="Normal 3 2 3 5 5" xfId="31800" xr:uid="{4C93E45A-7811-489F-9771-78A6D448C1C8}"/>
    <cellStyle name="Normal 3 2 3 5 6" xfId="32131" xr:uid="{A791DACC-8672-4232-A743-7318AD87C6BC}"/>
    <cellStyle name="Normal 3 2 3 6" xfId="30112" xr:uid="{2DA27080-57C7-488E-9E66-228C66F3BB6F}"/>
    <cellStyle name="Normal 3 2 3 6 2" xfId="30471" xr:uid="{CBE48B84-9220-4165-B20B-487010328F48}"/>
    <cellStyle name="Normal 3 2 3 7" xfId="31744" xr:uid="{0824D4CF-5757-4ADE-8178-DAAE89865E41}"/>
    <cellStyle name="Normal 3 2 3 8" xfId="32026" xr:uid="{4B2762F5-A809-4FFF-A97E-29BAEF9BAD49}"/>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3 3 3" xfId="30242" xr:uid="{FB3B0704-45A1-4B1D-8FF2-DBF25C1101E3}"/>
    <cellStyle name="Normal 3 2 4 3 2 3 3 3 2" xfId="31385" xr:uid="{C389EE42-3048-406A-ACE1-5B5798D31786}"/>
    <cellStyle name="Normal 3 2 4 3 2 3 3 4" xfId="31582" xr:uid="{E69F89CA-AEBA-4937-8B6F-1B0F7B1F1450}"/>
    <cellStyle name="Normal 3 2 4 3 2 3 3 5" xfId="31876" xr:uid="{4CC266E9-1346-48DA-90DE-94B12A5F54AD}"/>
    <cellStyle name="Normal 3 2 4 3 2 3 3 6" xfId="32206" xr:uid="{4019E5A4-9E76-47B0-BD17-EF233E6D43F9}"/>
    <cellStyle name="Normal 3 2 4 3 2 4" xfId="23427" xr:uid="{F5F16304-98F9-4382-9EBD-05DA6A2307A4}"/>
    <cellStyle name="Normal 3 2 4 3 2 5" xfId="32074" xr:uid="{06FF4CA8-23DF-4DD1-A57A-FA8E6DCE7068}"/>
    <cellStyle name="Normal 3 2 4 3 3" xfId="885" xr:uid="{00000000-0005-0000-0000-000027050000}"/>
    <cellStyle name="Normal 3 2 4 3 4" xfId="2923" xr:uid="{00000000-0005-0000-0000-00002A050000}"/>
    <cellStyle name="Normal 3 2 4 3 4 2" xfId="31287" xr:uid="{C5493F1B-7833-429B-A3F9-F86186048626}"/>
    <cellStyle name="Normal 3 2 4 3 5" xfId="2100" xr:uid="{00000000-0005-0000-0000-000016020000}"/>
    <cellStyle name="Normal 3 2 4 3 5 2" xfId="4686" xr:uid="{06BFEBE3-1397-400F-9E69-D60195609A34}"/>
    <cellStyle name="Normal 3 2 4 3 5 3" xfId="30181" xr:uid="{CAF84CE8-A6AE-4653-8439-E2C2CC100971}"/>
    <cellStyle name="Normal 3 2 4 3 5 3 2" xfId="31325" xr:uid="{CD2BA927-620B-4490-8DBC-65DFEFB5E7E2}"/>
    <cellStyle name="Normal 3 2 4 3 5 4" xfId="31521" xr:uid="{F7EE645A-A73D-47E9-8833-528052C962F3}"/>
    <cellStyle name="Normal 3 2 4 3 5 5" xfId="31815" xr:uid="{EE17CC6F-D84C-454B-B3FF-8CA0A03963CA}"/>
    <cellStyle name="Normal 3 2 4 3 5 6" xfId="32146" xr:uid="{CCD1570E-8184-4DB0-8DB4-CE5CE58F1146}"/>
    <cellStyle name="Normal 3 2 4 3 6" xfId="3963" xr:uid="{C9BE7447-0E91-41CB-9714-02F1C566D84A}"/>
    <cellStyle name="Normal 3 2 4 3 6 2" xfId="4788" xr:uid="{0C195683-FC3A-4228-8CFA-81C976438B43}"/>
    <cellStyle name="Normal 3 2 4 3 6 3" xfId="30302" xr:uid="{5B46428E-4B5D-4956-93B7-0F396B73A2B2}"/>
    <cellStyle name="Normal 3 2 4 3 6 3 2" xfId="31445" xr:uid="{5A6B4B77-3513-4B99-8042-BE10B0FA72A0}"/>
    <cellStyle name="Normal 3 2 4 3 6 4" xfId="31642" xr:uid="{B3547189-4D1A-4E73-AD27-78C5227CE173}"/>
    <cellStyle name="Normal 3 2 4 3 6 5" xfId="31936" xr:uid="{32A90817-92D4-4099-B7D3-7EACDE6715B3}"/>
    <cellStyle name="Normal 3 2 4 3 6 6" xfId="32266" xr:uid="{B494C58F-78B8-484E-85C2-6D18F796AEE9}"/>
    <cellStyle name="Normal 3 2 4 3 7" xfId="30123" xr:uid="{2FC8C8CB-77C8-4CE3-9500-8BBF0E8D3D67}"/>
    <cellStyle name="Normal 3 2 4 3 7 2" xfId="30485" xr:uid="{FF9CD143-3DC5-4E78-9669-CDD5E69991DD}"/>
    <cellStyle name="Normal 3 2 4 3 8" xfId="31757" xr:uid="{3D3B0868-6B1D-44B7-9E63-7E2F85B968DE}"/>
    <cellStyle name="Normal 3 2 4 3 9" xfId="32037" xr:uid="{2265F983-1172-480E-A1B0-09A2D4B05A5B}"/>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2 3 3" xfId="30385" xr:uid="{EAB09D60-EC65-4583-A401-605E05C9795F}"/>
    <cellStyle name="Normal 3 2 4 4 2 3 4" xfId="30372" xr:uid="{EC861FD9-BC0C-408C-9531-DE32A58E2953}"/>
    <cellStyle name="Normal 3 2 4 4 2 3 4 2" xfId="31711" xr:uid="{3FB41312-390E-4923-8C3C-F8147726A4F3}"/>
    <cellStyle name="Normal 3 2 4 4 2 3 5" xfId="32006" xr:uid="{4C578D2D-4D41-4FBF-B8DD-3CC7AFC62900}"/>
    <cellStyle name="Normal 3 2 4 4 2 4" xfId="30355" xr:uid="{C34059E2-DD63-4FD3-8EEB-54B190A38F45}"/>
    <cellStyle name="Normal 3 2 4 4 2 4 2" xfId="31697" xr:uid="{6DCD7FB8-B5FD-4C77-BBC6-EAED650E4CF3}"/>
    <cellStyle name="Normal 3 2 4 4 2 5" xfId="31989" xr:uid="{1497EB42-67E3-4B2E-B704-ABF78EAC0BFC}"/>
    <cellStyle name="Normal 3 2 4 4 3" xfId="24728" xr:uid="{154F7FD8-B3F3-4487-878D-5A0175DAC264}"/>
    <cellStyle name="Normal 3 2 4 4 4" xfId="32105" xr:uid="{4C84390E-97B7-4BA4-A87C-AE5D671F64FD}"/>
    <cellStyle name="Normal 3 2 4 5" xfId="2099" xr:uid="{00000000-0005-0000-0000-000014020000}"/>
    <cellStyle name="Normal 3 2 4 5 2" xfId="4645" xr:uid="{3EC2113D-E49B-4038-9F23-778F9B5DB2AD}"/>
    <cellStyle name="Normal 3 2 4 5 3" xfId="30180" xr:uid="{8EA82334-E7EE-4E69-990C-4DEAF38099AA}"/>
    <cellStyle name="Normal 3 2 4 5 3 2" xfId="31324" xr:uid="{E9CBBCA5-54AD-468F-B466-AB0737888486}"/>
    <cellStyle name="Normal 3 2 4 5 4" xfId="31520" xr:uid="{B5FE814E-E042-40D9-B41A-A129B9C70AF7}"/>
    <cellStyle name="Normal 3 2 4 5 5" xfId="31814" xr:uid="{73C662E3-E227-488D-BAA7-C2861390EA9D}"/>
    <cellStyle name="Normal 3 2 4 5 6" xfId="32145" xr:uid="{99611B94-1B8B-45A8-9261-0534D5E568B0}"/>
    <cellStyle name="Normal 3 2 4 6" xfId="3962" xr:uid="{7B02E248-334A-4390-803D-03A9529B2562}"/>
    <cellStyle name="Normal 3 2 4 6 2" xfId="4817" xr:uid="{2DE6B781-6A0F-4C4A-A762-5BA32CF9F8AB}"/>
    <cellStyle name="Normal 3 2 4 6 3" xfId="30301" xr:uid="{DD7F06BC-48FB-45F1-B5D9-2F7DC116529F}"/>
    <cellStyle name="Normal 3 2 4 6 3 2" xfId="31444" xr:uid="{F10D9DC9-263D-4EE8-996D-1DD37EFF76EA}"/>
    <cellStyle name="Normal 3 2 4 6 4" xfId="31641" xr:uid="{BCC20E6B-1DD8-47F1-B716-180F52FE094F}"/>
    <cellStyle name="Normal 3 2 4 6 5" xfId="31935" xr:uid="{EE327EAE-2786-41D7-AAC9-789B35ED027F}"/>
    <cellStyle name="Normal 3 2 4 6 6" xfId="32265" xr:uid="{D37C526F-72B1-40A7-AC3D-A74746A1DB66}"/>
    <cellStyle name="Normal 3 2 4 7" xfId="30122" xr:uid="{2CF31ED3-BF8A-4420-A35A-63A9374EE9CB}"/>
    <cellStyle name="Normal 3 2 4 7 2" xfId="30484" xr:uid="{E8D1DD0B-859F-4702-9615-4F14D8E78C95}"/>
    <cellStyle name="Normal 3 2 4 8" xfId="31756" xr:uid="{3BD5DD47-EE0D-4D26-9979-B292E5AEB09B}"/>
    <cellStyle name="Normal 3 2 5" xfId="29571" xr:uid="{750150B5-C7CA-4EA6-BA0D-6C0AEF29E2A9}"/>
    <cellStyle name="Normal 3 2 5 2" xfId="29630" xr:uid="{FC40ABBD-3EDE-4371-9FF9-A208F204AC39}"/>
    <cellStyle name="Normal 3 2 5 2 2" xfId="31250" xr:uid="{F12AF8C4-3DE1-4158-AA8E-7806F3A8EF51}"/>
    <cellStyle name="Normal 3 2 5 2 3" xfId="30467" xr:uid="{A19572E5-C2FE-4995-B8C9-236F90541CCE}"/>
    <cellStyle name="Normal 3 2 5 3" xfId="29600" xr:uid="{4BE0FB2A-CFA3-46C2-A6F3-5BD4CCDE876F}"/>
    <cellStyle name="Normal 3 2 5 3 2" xfId="29644" xr:uid="{012C5423-63EC-45C8-AB0D-9143CDABBBAF}"/>
    <cellStyle name="Normal 3 2 5 3 3" xfId="30386" xr:uid="{61D53CD0-CA5E-4F77-91D4-46F773F8DF85}"/>
    <cellStyle name="Normal 3 2 5 3 4" xfId="30373" xr:uid="{901B8119-F76A-44E0-936C-BA78095F8F22}"/>
    <cellStyle name="Normal 3 2 5 3 4 2" xfId="31712" xr:uid="{48E12EBD-4D36-46FA-BCC1-A806C8B17EDF}"/>
    <cellStyle name="Normal 3 2 5 3 5" xfId="32007" xr:uid="{605697BD-0C7F-4E7F-9D2A-0112DEFD24E5}"/>
    <cellStyle name="Normal 3 2 5 4" xfId="29634" xr:uid="{B70E0C93-0F24-4A65-9A4C-6AA94B1973D9}"/>
    <cellStyle name="Normal 3 2 5 5" xfId="30356" xr:uid="{8D54E739-13BE-4332-8917-3C2D88CE836D}"/>
    <cellStyle name="Normal 3 2 5 5 2" xfId="31244" xr:uid="{93394BE0-19B6-4E50-8418-A98C9A434D03}"/>
    <cellStyle name="Normal 3 2 5 5 3" xfId="31698" xr:uid="{59429AA2-65FA-427B-BCCC-AF076B796573}"/>
    <cellStyle name="Normal 3 2 5 6" xfId="31990" xr:uid="{1A6030CE-991E-4462-A676-1578F405406D}"/>
    <cellStyle name="Normal 3 2 6" xfId="30109" xr:uid="{E75C1CB2-D09F-4E20-9707-91B0AD896C89}"/>
    <cellStyle name="Normal 3 2 6 2" xfId="31495" xr:uid="{75618FDA-0DC1-449E-A37B-B4C7EE151DBA}"/>
    <cellStyle name="Normal 3 2 7" xfId="31737" xr:uid="{DAF1D4CE-0E25-49CE-8219-6D8D988E1EAC}"/>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2 5" xfId="30033" xr:uid="{69245435-96EF-48AD-A85F-F3C086021E6B}"/>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3" xfId="24782" xr:uid="{903C44A5-017A-4D5E-A0BB-942EB7E8D36D}"/>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3" xfId="25782" xr:uid="{6F6096DE-56CA-421D-A3CC-34838D6F30D6}"/>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10" xfId="31740" xr:uid="{735DA6F3-F532-43DB-9D29-5AABCEFFA1CE}"/>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3 3 3" xfId="30243" xr:uid="{CA1835E3-D7CA-494D-AA80-1B1149D5AFB8}"/>
    <cellStyle name="Normal 5 2 2 3 3 2 3 2 3 3 3 2" xfId="31386" xr:uid="{887E578E-D69D-402D-8C71-0EB314923E1C}"/>
    <cellStyle name="Normal 5 2 2 3 3 2 3 2 3 3 4" xfId="31583" xr:uid="{92D8B8E4-BB12-424E-9790-D21F8131DC73}"/>
    <cellStyle name="Normal 5 2 2 3 3 2 3 2 3 3 5" xfId="31877" xr:uid="{2E43C4F1-5209-48AA-B572-DA2C3C124CB7}"/>
    <cellStyle name="Normal 5 2 2 3 3 2 3 2 3 3 6" xfId="32207" xr:uid="{D06DCA34-0AAF-4CFB-A136-C7CA3C6792AB}"/>
    <cellStyle name="Normal 5 2 2 3 3 2 3 2 4" xfId="25788" xr:uid="{1D08EFFC-DA7F-41BE-978E-EC07123E36B4}"/>
    <cellStyle name="Normal 5 2 2 3 3 2 3 2 5" xfId="32075" xr:uid="{7C05D20C-D61D-4992-BE13-A4F715C85E2B}"/>
    <cellStyle name="Normal 5 2 2 3 3 2 3 3" xfId="1058" xr:uid="{00000000-0005-0000-0000-0000D5050000}"/>
    <cellStyle name="Normal 5 2 2 3 3 2 3 4" xfId="2949" xr:uid="{00000000-0005-0000-0000-0000D2060000}"/>
    <cellStyle name="Normal 5 2 2 3 3 2 3 4 2" xfId="31297" xr:uid="{78CA0B19-A34B-4E31-AA24-2A14D9E7C4D2}"/>
    <cellStyle name="Normal 5 2 2 3 3 2 3 5" xfId="2102" xr:uid="{00000000-0005-0000-0000-000062020000}"/>
    <cellStyle name="Normal 5 2 2 3 3 2 3 5 2" xfId="4646" xr:uid="{DCF2241D-14ED-485A-9D65-B2AB943923E7}"/>
    <cellStyle name="Normal 5 2 2 3 3 2 3 5 3" xfId="30183" xr:uid="{A412684C-6109-4521-B609-EE02EEB536F2}"/>
    <cellStyle name="Normal 5 2 2 3 3 2 3 5 3 2" xfId="31327" xr:uid="{B0044842-2681-4637-80B7-F8CD98CD6A4C}"/>
    <cellStyle name="Normal 5 2 2 3 3 2 3 5 4" xfId="31523" xr:uid="{F88276D7-3241-416D-82B9-264DD5195C56}"/>
    <cellStyle name="Normal 5 2 2 3 3 2 3 5 5" xfId="31817" xr:uid="{2E1920E5-CEDA-4880-814E-F3E326863B8F}"/>
    <cellStyle name="Normal 5 2 2 3 3 2 3 5 6" xfId="32148" xr:uid="{BBE03860-0BC1-49F8-A24E-251D50AF1A36}"/>
    <cellStyle name="Normal 5 2 2 3 3 2 3 6" xfId="4001" xr:uid="{F1B4F0B9-FD33-4680-A501-B9D0765C51F9}"/>
    <cellStyle name="Normal 5 2 2 3 3 2 3 6 2" xfId="4696" xr:uid="{87C651C8-4B39-4467-81FB-F4E1577DF4A5}"/>
    <cellStyle name="Normal 5 2 2 3 3 2 3 6 3" xfId="30304" xr:uid="{20D658DA-AA9C-4B8A-88DB-4A53FA3E1566}"/>
    <cellStyle name="Normal 5 2 2 3 3 2 3 6 3 2" xfId="31447" xr:uid="{8335C654-6A5B-43B0-9BF5-99B5E4D6EAF0}"/>
    <cellStyle name="Normal 5 2 2 3 3 2 3 6 4" xfId="31644" xr:uid="{648E6EA8-0CB8-4625-96BD-1713085C6150}"/>
    <cellStyle name="Normal 5 2 2 3 3 2 3 6 5" xfId="31938" xr:uid="{87A054C9-EC04-4351-9EF1-9720A2A3B28F}"/>
    <cellStyle name="Normal 5 2 2 3 3 2 3 6 6" xfId="32268" xr:uid="{8E0220B8-DDFF-4163-9EC1-4F461BC0C6C0}"/>
    <cellStyle name="Normal 5 2 2 3 3 2 3 7" xfId="30125" xr:uid="{DAC80EA3-45F7-49F1-A349-239CC3856162}"/>
    <cellStyle name="Normal 5 2 2 3 3 2 3 7 2" xfId="30487" xr:uid="{207BB286-D44A-4530-97B5-78C32E75393D}"/>
    <cellStyle name="Normal 5 2 2 3 3 2 3 8" xfId="31759" xr:uid="{16374957-CF05-4205-977D-4B969739F384}"/>
    <cellStyle name="Normal 5 2 2 3 3 2 3 9" xfId="32039" xr:uid="{9B759F15-CDF4-4CD2-99CA-F9F64FEA51F2}"/>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4 3 3 3" xfId="30387" xr:uid="{869F3D5D-AE97-4CC5-B41A-A19DC4D969BE}"/>
    <cellStyle name="Normal 5 2 2 3 3 2 4 3 3 4" xfId="30374" xr:uid="{5CC7FCC2-30E8-4DE4-8C04-E4F3FF779ED6}"/>
    <cellStyle name="Normal 5 2 2 3 3 2 4 3 3 4 2" xfId="31713" xr:uid="{97349D98-A108-4282-8CFA-A793557F04C8}"/>
    <cellStyle name="Normal 5 2 2 3 3 2 4 3 3 5" xfId="32008" xr:uid="{BD7CA334-159E-4D42-B581-D27959C79388}"/>
    <cellStyle name="Normal 5 2 2 3 3 2 4 3 4" xfId="30357" xr:uid="{1C60EA9A-684E-4679-89C8-749CEAB253C5}"/>
    <cellStyle name="Normal 5 2 2 3 3 2 4 3 4 2" xfId="31699" xr:uid="{AD204089-4C71-4050-991D-38E2B324F7EB}"/>
    <cellStyle name="Normal 5 2 2 3 3 2 4 3 5" xfId="31991" xr:uid="{E0EC5735-4AE9-421B-99FB-C0381648EAE9}"/>
    <cellStyle name="Normal 5 2 2 3 3 2 4 4" xfId="32106" xr:uid="{883DA6C5-A2FF-4ABA-85B5-B9C8D9B8D432}"/>
    <cellStyle name="Normal 5 2 2 3 3 2 5" xfId="2101" xr:uid="{00000000-0005-0000-0000-000060020000}"/>
    <cellStyle name="Normal 5 2 2 3 3 2 5 2" xfId="4665" xr:uid="{456E6ACB-B92B-4E09-90D7-9887AC9A6356}"/>
    <cellStyle name="Normal 5 2 2 3 3 2 5 3" xfId="30182" xr:uid="{949196C8-26F0-48F8-A360-5C93471FB753}"/>
    <cellStyle name="Normal 5 2 2 3 3 2 5 3 2" xfId="31326" xr:uid="{1776B697-3D7A-44A6-8CF4-26DCA157D5FD}"/>
    <cellStyle name="Normal 5 2 2 3 3 2 5 4" xfId="31522" xr:uid="{BEF860A1-5D07-4575-A886-606466C1C1D9}"/>
    <cellStyle name="Normal 5 2 2 3 3 2 5 5" xfId="31816" xr:uid="{5E6DBADF-3E3F-472B-A3E7-13C93AE10668}"/>
    <cellStyle name="Normal 5 2 2 3 3 2 5 6" xfId="32147" xr:uid="{57BD38DB-B70C-45CC-A9AF-205016229979}"/>
    <cellStyle name="Normal 5 2 2 3 3 2 6" xfId="4000" xr:uid="{A738EDEF-3EA0-4135-885D-6506E619A596}"/>
    <cellStyle name="Normal 5 2 2 3 3 2 6 2" xfId="4815" xr:uid="{54779593-FE24-451B-9985-E9D706451F82}"/>
    <cellStyle name="Normal 5 2 2 3 3 2 6 3" xfId="30303" xr:uid="{6891DA91-5722-4BAC-8C6B-FDD9DC564F07}"/>
    <cellStyle name="Normal 5 2 2 3 3 2 6 3 2" xfId="31446" xr:uid="{6A366D88-F890-46E2-BB04-E1D17258EF3B}"/>
    <cellStyle name="Normal 5 2 2 3 3 2 6 4" xfId="31643" xr:uid="{06A84B95-836D-4AEB-8DAA-809DFA91FB68}"/>
    <cellStyle name="Normal 5 2 2 3 3 2 6 5" xfId="31937" xr:uid="{9240F838-1B68-40D6-9ACE-917497A6D1C1}"/>
    <cellStyle name="Normal 5 2 2 3 3 2 6 6" xfId="32267" xr:uid="{984350D5-53AD-42C9-9367-CA62CE0618B7}"/>
    <cellStyle name="Normal 5 2 2 3 3 2 7" xfId="30124" xr:uid="{16F6B502-50DE-40DF-90B1-0876CC1A1C94}"/>
    <cellStyle name="Normal 5 2 2 3 3 2 7 2" xfId="30486" xr:uid="{32F471BB-0723-4682-B1A0-F64159294218}"/>
    <cellStyle name="Normal 5 2 2 3 3 2 8" xfId="31758" xr:uid="{E5504B10-F7AF-4EC8-8FCB-5A92B398FBE4}"/>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2 2" xfId="30091" xr:uid="{2B878A51-CD5F-4DE5-B930-3F48D284360B}"/>
    <cellStyle name="Normal 5 2 2 3 3 4 2 2 2 3" xfId="3719" xr:uid="{00000000-0005-0000-0000-000047050000}"/>
    <cellStyle name="Normal 5 2 2 3 3 4 2 2 2 3 2" xfId="4816" xr:uid="{A9DAC7E2-553D-4565-B80F-940B97A51BE8}"/>
    <cellStyle name="Normal 5 2 2 3 3 4 2 2 2 3 3" xfId="30244" xr:uid="{BA581B0B-DADD-427E-9227-F1A4995BB8C9}"/>
    <cellStyle name="Normal 5 2 2 3 3 4 2 2 2 3 3 2" xfId="31387" xr:uid="{D3E5510B-31A3-4A73-B547-9B3F2D2B326B}"/>
    <cellStyle name="Normal 5 2 2 3 3 4 2 2 2 3 4" xfId="31584" xr:uid="{21BABE29-A0ED-45DF-9708-DEE6E0C6E1A6}"/>
    <cellStyle name="Normal 5 2 2 3 3 4 2 2 2 3 5" xfId="31878" xr:uid="{BD64AEE5-6CA3-4187-8B37-E6F4870A7130}"/>
    <cellStyle name="Normal 5 2 2 3 3 4 2 2 2 3 6" xfId="32208" xr:uid="{0BE8350D-F291-409A-986E-5F75A45031A7}"/>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2 5" xfId="32076" xr:uid="{F33EF60E-2938-4FD9-BB18-243BC40B3132}"/>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4 3" xfId="30185" xr:uid="{9A0870E9-F2F2-44FB-8B46-C48A4968FEEF}"/>
    <cellStyle name="Normal 5 2 2 3 3 4 2 3 4 3 2" xfId="31329" xr:uid="{CF04E88C-F7B3-4D7A-9717-FD9ACBD6475E}"/>
    <cellStyle name="Normal 5 2 2 3 3 4 2 3 4 4" xfId="31525" xr:uid="{A111558E-E85F-4251-9D3B-B86A6E2852FF}"/>
    <cellStyle name="Normal 5 2 2 3 3 4 2 3 4 5" xfId="31819" xr:uid="{E4474D66-FE38-48E2-86FD-353F0A7837A7}"/>
    <cellStyle name="Normal 5 2 2 3 3 4 2 3 4 6" xfId="32150" xr:uid="{F98C4A83-C013-4A84-962E-A07FA0D73C14}"/>
    <cellStyle name="Normal 5 2 2 3 3 4 2 3 5" xfId="25793" xr:uid="{BE81E2B3-54B5-44DA-A7B7-DF27FBF44B0E}"/>
    <cellStyle name="Normal 5 2 2 3 3 4 2 3 5 2" xfId="32125" xr:uid="{E47F793F-337A-4169-BFD1-74EA44D75088}"/>
    <cellStyle name="Normal 5 2 2 3 3 4 2 3 6" xfId="30537" xr:uid="{6AF04956-A4AA-40F2-9013-C6A327256590}"/>
    <cellStyle name="Normal 5 2 2 3 3 4 2 4" xfId="24195" xr:uid="{8D3CA287-FEA1-4E49-ADF5-2EF14E33D055}"/>
    <cellStyle name="Normal 5 2 2 3 3 4 2 5" xfId="32040" xr:uid="{F0E43DD4-00A5-4694-B0B1-2E0EB2656656}"/>
    <cellStyle name="Normal 5 2 2 3 3 4 3" xfId="1068" xr:uid="{00000000-0005-0000-0000-0000E1050000}"/>
    <cellStyle name="Normal 5 2 2 3 3 4 4" xfId="2950" xr:uid="{00000000-0005-0000-0000-0000DB060000}"/>
    <cellStyle name="Normal 5 2 2 3 3 4 4 2" xfId="31291" xr:uid="{DEB5B321-0F2A-4419-A5CA-930B6F07E2F7}"/>
    <cellStyle name="Normal 5 2 2 3 3 4 5" xfId="2103" xr:uid="{00000000-0005-0000-0000-000065020000}"/>
    <cellStyle name="Normal 5 2 2 3 3 4 5 2" xfId="3791" xr:uid="{BC5A38D1-BFF3-476A-8A69-EA1EE0617EC6}"/>
    <cellStyle name="Normal 5 2 2 3 3 4 5 3" xfId="30184" xr:uid="{5C24DA68-97CD-49FE-802F-E259FD9B70A3}"/>
    <cellStyle name="Normal 5 2 2 3 3 4 5 3 2" xfId="31328" xr:uid="{79426398-3EAD-4E7A-9356-7A768B6FCB74}"/>
    <cellStyle name="Normal 5 2 2 3 3 4 5 4" xfId="31524" xr:uid="{3AC3627F-72DF-4B18-B008-B92A5C21CB5D}"/>
    <cellStyle name="Normal 5 2 2 3 3 4 5 5" xfId="31818" xr:uid="{2BBCE6A9-B46F-4B5D-A278-A5920307EB44}"/>
    <cellStyle name="Normal 5 2 2 3 3 4 5 6" xfId="32149" xr:uid="{652DAEDA-23DD-4CBD-9B4B-7B679F417A4E}"/>
    <cellStyle name="Normal 5 2 2 3 3 4 6" xfId="4002" xr:uid="{D8FD9E04-9092-4C4B-A910-C73C5CD42691}"/>
    <cellStyle name="Normal 5 2 2 3 3 4 6 2" xfId="4695" xr:uid="{E279391E-A262-4102-8448-E71B06C35C79}"/>
    <cellStyle name="Normal 5 2 2 3 3 4 6 3" xfId="30305" xr:uid="{A30F632E-33C2-4D26-936D-ECDA03E22F6E}"/>
    <cellStyle name="Normal 5 2 2 3 3 4 6 3 2" xfId="31448" xr:uid="{164E3A5C-7416-44FC-8177-DC798DF6E6A0}"/>
    <cellStyle name="Normal 5 2 2 3 3 4 6 4" xfId="31645" xr:uid="{B9006B00-B933-4FB1-A35A-D7221D1C0512}"/>
    <cellStyle name="Normal 5 2 2 3 3 4 6 5" xfId="31939" xr:uid="{1A1C441C-30CE-4CB9-9C92-EDE4E3FAE21E}"/>
    <cellStyle name="Normal 5 2 2 3 3 4 6 6" xfId="32269" xr:uid="{7BA582D0-CB1E-4EF5-977C-F3C3E1823FF4}"/>
    <cellStyle name="Normal 5 2 2 3 3 4 7" xfId="30126" xr:uid="{703E38E7-8BA4-47CE-A103-8E02D7643E7A}"/>
    <cellStyle name="Normal 5 2 2 3 3 4 7 2" xfId="30488" xr:uid="{2C6C969A-844E-4616-8573-0FAFBA4D69CF}"/>
    <cellStyle name="Normal 5 2 2 3 3 4 8" xfId="31760" xr:uid="{53B414DA-F311-48B0-8473-61548E75524F}"/>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2 3" xfId="32209" xr:uid="{47678956-7F0A-4A7C-9675-7FFC36CFD9D0}"/>
    <cellStyle name="Normal 5 2 2 3 3 5 3 3" xfId="22849" xr:uid="{659AE614-353A-4FE0-9C98-E3D2FE7BC367}"/>
    <cellStyle name="Normal 5 2 2 3 3 5 3 4" xfId="30245" xr:uid="{10F24001-7CC0-44EC-B648-411E63A266B9}"/>
    <cellStyle name="Normal 5 2 2 3 3 5 3 4 2" xfId="31388" xr:uid="{B9C0C66D-8676-4A44-BA99-B9C8122368E0}"/>
    <cellStyle name="Normal 5 2 2 3 3 5 3 5" xfId="31585" xr:uid="{747A6EBE-5AA8-4D25-B6CA-2B8E86458B98}"/>
    <cellStyle name="Normal 5 2 2 3 3 5 3 6" xfId="31879" xr:uid="{AD299762-D62E-48F2-A298-0EEAB8649842}"/>
    <cellStyle name="Normal 5 2 2 3 3 5 4" xfId="25353" xr:uid="{8D8B4136-989F-4529-ABF1-5DCEC950D05B}"/>
    <cellStyle name="Normal 5 2 2 3 3 5 5" xfId="32038" xr:uid="{6856DAD6-574E-46EF-8704-B00AD2514082}"/>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3 3 3" xfId="30246" xr:uid="{0B60F80B-7368-4D89-BA1E-AC6E4192ADD4}"/>
    <cellStyle name="Normal 5 2 2 3 4 3 2 3 3 3 2" xfId="31389" xr:uid="{6980F92F-2E8D-4F9E-B82F-A0952100F3DD}"/>
    <cellStyle name="Normal 5 2 2 3 4 3 2 3 3 4" xfId="31586" xr:uid="{7B6E9149-EDD8-47F2-8D5F-A2FC9635B763}"/>
    <cellStyle name="Normal 5 2 2 3 4 3 2 3 3 5" xfId="31880" xr:uid="{5F368C6F-F5CF-461F-BA3C-C5A7BC3D79FB}"/>
    <cellStyle name="Normal 5 2 2 3 4 3 2 3 3 6" xfId="32210" xr:uid="{5CB39327-9B4A-4094-9721-E39E7747F443}"/>
    <cellStyle name="Normal 5 2 2 3 4 3 2 4" xfId="25686" xr:uid="{D36B2ED3-0F57-4BA2-8ECD-62BF05B0572F}"/>
    <cellStyle name="Normal 5 2 2 3 4 3 2 5" xfId="32077" xr:uid="{CA588EA6-CE8A-4599-9847-A4F0FD9E6CCD}"/>
    <cellStyle name="Normal 5 2 2 3 4 3 3" xfId="1077" xr:uid="{00000000-0005-0000-0000-0000EB050000}"/>
    <cellStyle name="Normal 5 2 2 3 4 3 4" xfId="2951" xr:uid="{00000000-0005-0000-0000-0000E1060000}"/>
    <cellStyle name="Normal 5 2 2 3 4 3 4 2" xfId="31275" xr:uid="{48413553-C1B7-4B8D-A3C6-C8BF89975138}"/>
    <cellStyle name="Normal 5 2 2 3 4 3 5" xfId="2106" xr:uid="{00000000-0005-0000-0000-00006C020000}"/>
    <cellStyle name="Normal 5 2 2 3 4 3 5 2" xfId="4053" xr:uid="{49B8B7A8-4856-40A4-A58F-9BFE37881BD3}"/>
    <cellStyle name="Normal 5 2 2 3 4 3 5 3" xfId="30187" xr:uid="{A70DBE0C-D5CA-4EAB-A3CA-07F95394E9AE}"/>
    <cellStyle name="Normal 5 2 2 3 4 3 5 3 2" xfId="31331" xr:uid="{490372D4-432A-4B6E-B243-E866D76B8184}"/>
    <cellStyle name="Normal 5 2 2 3 4 3 5 4" xfId="31527" xr:uid="{90AC1405-FE79-424A-BC37-FF05E9503406}"/>
    <cellStyle name="Normal 5 2 2 3 4 3 5 5" xfId="31821" xr:uid="{89504CC9-B044-4538-8115-79848BE3552E}"/>
    <cellStyle name="Normal 5 2 2 3 4 3 5 6" xfId="32152" xr:uid="{59A188FE-2A13-45AA-A566-D0FC0CAC9383}"/>
    <cellStyle name="Normal 5 2 2 3 4 3 6" xfId="4004" xr:uid="{2E9BA179-24FF-4822-9D6C-F2734EFD2CB0}"/>
    <cellStyle name="Normal 5 2 2 3 4 3 6 2" xfId="4805" xr:uid="{2387F2B7-3B47-4789-BF4E-B979001A8FAA}"/>
    <cellStyle name="Normal 5 2 2 3 4 3 6 3" xfId="30307" xr:uid="{5726D493-8CED-4265-A434-DFD8EB311CD3}"/>
    <cellStyle name="Normal 5 2 2 3 4 3 6 3 2" xfId="31450" xr:uid="{FB181689-6E48-4E44-96B3-385555CE579C}"/>
    <cellStyle name="Normal 5 2 2 3 4 3 6 4" xfId="31647" xr:uid="{0067E494-22D7-4B3A-984D-B426336F4E2D}"/>
    <cellStyle name="Normal 5 2 2 3 4 3 6 5" xfId="31941" xr:uid="{E5DBA7E2-3A44-4CEE-965A-A75BF716B893}"/>
    <cellStyle name="Normal 5 2 2 3 4 3 6 6" xfId="32271" xr:uid="{15ABDE33-12F2-4D82-BE0F-EEABCD2A7F61}"/>
    <cellStyle name="Normal 5 2 2 3 4 3 7" xfId="30128" xr:uid="{902DB47F-C143-433C-8E02-ECCFBB8FA346}"/>
    <cellStyle name="Normal 5 2 2 3 4 3 7 2" xfId="30490" xr:uid="{56017849-602A-438E-96E0-4DE9B6F02764}"/>
    <cellStyle name="Normal 5 2 2 3 4 3 8" xfId="31762" xr:uid="{9D0AC439-C11C-4287-A27F-BAB9C894D3AA}"/>
    <cellStyle name="Normal 5 2 2 3 4 3 9" xfId="32041" xr:uid="{BA3B7852-2CDE-4235-BB58-EBB01C84BA2C}"/>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4 3 3" xfId="30247" xr:uid="{EE5ADEA2-84D4-4505-87AE-A6C270C3F801}"/>
    <cellStyle name="Normal 5 2 2 3 4 4 3 3 2" xfId="31390" xr:uid="{DE289E50-B422-42E4-BB23-771C03B0FE6E}"/>
    <cellStyle name="Normal 5 2 2 3 4 4 3 4" xfId="31587" xr:uid="{8C678CD5-606D-4C9C-A7A2-159D864DB7F7}"/>
    <cellStyle name="Normal 5 2 2 3 4 4 3 5" xfId="31881" xr:uid="{4C41FAD7-5C7A-4589-B282-2779030A99DE}"/>
    <cellStyle name="Normal 5 2 2 3 4 4 3 6" xfId="32211" xr:uid="{0E6FA025-5A77-4E6E-90C3-56BADE6D3F9F}"/>
    <cellStyle name="Normal 5 2 2 3 4 4 4" xfId="32107" xr:uid="{6E17D365-E3EE-44A3-A273-5CD1C73CFC3A}"/>
    <cellStyle name="Normal 5 2 2 3 4 5" xfId="2105" xr:uid="{00000000-0005-0000-0000-00006A020000}"/>
    <cellStyle name="Normal 5 2 2 3 4 5 2" xfId="4659" xr:uid="{67E9FDA9-5A2B-445D-B40D-93E8A98A8238}"/>
    <cellStyle name="Normal 5 2 2 3 4 5 3" xfId="30186" xr:uid="{4CB0E304-139B-42D7-9A87-E169EFE7D601}"/>
    <cellStyle name="Normal 5 2 2 3 4 5 3 2" xfId="31330" xr:uid="{0F5135EB-14E6-42DE-B2B0-75C666FB0A17}"/>
    <cellStyle name="Normal 5 2 2 3 4 5 4" xfId="31526" xr:uid="{E4FC8698-639F-4C7B-A547-7219F1D50986}"/>
    <cellStyle name="Normal 5 2 2 3 4 5 5" xfId="31820" xr:uid="{8DF821CB-A78C-498E-B597-1C93D93AFD4C}"/>
    <cellStyle name="Normal 5 2 2 3 4 5 6" xfId="32151" xr:uid="{9CC65332-370F-412F-A1EB-9AFE25531844}"/>
    <cellStyle name="Normal 5 2 2 3 4 6" xfId="4003" xr:uid="{483D2F10-7048-47B5-8EC8-C27C7ED5C5D2}"/>
    <cellStyle name="Normal 5 2 2 3 4 6 2" xfId="4722" xr:uid="{9099B238-0B4B-4E4D-B266-C731E14F65F2}"/>
    <cellStyle name="Normal 5 2 2 3 4 6 3" xfId="30306" xr:uid="{CE79C3A2-8FAA-47C3-A986-94ABFF393284}"/>
    <cellStyle name="Normal 5 2 2 3 4 6 3 2" xfId="31449" xr:uid="{6D797409-02BE-47A8-973D-58729081A7B3}"/>
    <cellStyle name="Normal 5 2 2 3 4 6 4" xfId="31646" xr:uid="{F8C769A2-8633-48D8-9C86-DFE6F04F67C4}"/>
    <cellStyle name="Normal 5 2 2 3 4 6 5" xfId="31940" xr:uid="{D2C4F953-1B75-4008-AE6F-38C4170A0D30}"/>
    <cellStyle name="Normal 5 2 2 3 4 6 6" xfId="32270" xr:uid="{3080E369-7F50-4254-8233-A3841C500C52}"/>
    <cellStyle name="Normal 5 2 2 3 4 7" xfId="30127" xr:uid="{920D9317-59AD-4444-9F3B-B0AB3DA1419C}"/>
    <cellStyle name="Normal 5 2 2 3 4 7 2" xfId="30489" xr:uid="{2D2D5388-0491-48DD-9BA0-7F231209010E}"/>
    <cellStyle name="Normal 5 2 2 3 4 8" xfId="31761" xr:uid="{921242F0-2EDD-4524-BA41-55813294BF21}"/>
    <cellStyle name="Normal 5 2 2 3 5" xfId="2067" xr:uid="{00000000-0005-0000-0000-00005D020000}"/>
    <cellStyle name="Normal 5 2 2 3 5 2" xfId="4745" xr:uid="{D9BCE5B0-F41F-41F6-A6AC-41E5B78235A9}"/>
    <cellStyle name="Normal 5 2 2 3 5 3" xfId="30167" xr:uid="{F6DDC9EB-CD6C-4D04-8F67-4FD996169366}"/>
    <cellStyle name="Normal 5 2 2 3 5 3 2" xfId="30491" xr:uid="{063E2B6E-8838-4EF2-91BA-1A4AB6C209F2}"/>
    <cellStyle name="Normal 5 2 2 3 5 4" xfId="31507" xr:uid="{4C9C7E84-AA75-41E2-BFB1-21A740FAD8B6}"/>
    <cellStyle name="Normal 5 2 2 3 5 5" xfId="31801" xr:uid="{6BE66918-6C91-4F9F-A5D2-EF2F1294EF6E}"/>
    <cellStyle name="Normal 5 2 2 3 5 6" xfId="32132" xr:uid="{340EBDB6-9EF7-4313-AD6B-663B82BB3A31}"/>
    <cellStyle name="Normal 5 2 2 3 6" xfId="30104" xr:uid="{93BD7124-346B-4FA7-9E75-822A18739E86}"/>
    <cellStyle name="Normal 5 2 2 3 6 2" xfId="30472" xr:uid="{B7FC6D84-3823-4E1F-9CD2-CD3763CCF30A}"/>
    <cellStyle name="Normal 5 2 2 3 7" xfId="31745" xr:uid="{057B4325-5EC6-42D9-9B2D-E352BE37FCC4}"/>
    <cellStyle name="Normal 5 2 2 3 8" xfId="32027" xr:uid="{B8EE746D-E41D-405A-B4F2-07C4A7DC6446}"/>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3 3 3" xfId="30248" xr:uid="{A9BCBA25-83A3-4A30-9CD3-15C108FB8C79}"/>
    <cellStyle name="Normal 5 2 2 4 3 2 3 3 3 2" xfId="31391" xr:uid="{05EB7F35-34C6-4A04-A0F4-C81EF4E61930}"/>
    <cellStyle name="Normal 5 2 2 4 3 2 3 3 4" xfId="31588" xr:uid="{75B07DF1-2E2E-4D26-A331-293EB1A84567}"/>
    <cellStyle name="Normal 5 2 2 4 3 2 3 3 5" xfId="31882" xr:uid="{46E5480F-E29D-460A-9999-9AAA3602A104}"/>
    <cellStyle name="Normal 5 2 2 4 3 2 3 3 6" xfId="32212" xr:uid="{33871E81-183A-458F-AD27-874836B93415}"/>
    <cellStyle name="Normal 5 2 2 4 3 2 4" xfId="24571" xr:uid="{CA10D6C3-1290-4ABF-AABF-26E17988ED1A}"/>
    <cellStyle name="Normal 5 2 2 4 3 2 5" xfId="32078" xr:uid="{04FFF5FD-0952-4033-A1E9-FCCFB1650DD0}"/>
    <cellStyle name="Normal 5 2 2 4 3 3" xfId="1085" xr:uid="{00000000-0005-0000-0000-0000F5050000}"/>
    <cellStyle name="Normal 5 2 2 4 3 4" xfId="2952" xr:uid="{00000000-0005-0000-0000-0000E8060000}"/>
    <cellStyle name="Normal 5 2 2 4 3 4 2" xfId="31278" xr:uid="{5827531A-151D-490E-B9CC-5F64E61F31DF}"/>
    <cellStyle name="Normal 5 2 2 4 3 5" xfId="2108" xr:uid="{00000000-0005-0000-0000-000070020000}"/>
    <cellStyle name="Normal 5 2 2 4 3 5 2" xfId="4630" xr:uid="{CB491582-F2CB-4E36-BE6E-EFC681D7156D}"/>
    <cellStyle name="Normal 5 2 2 4 3 5 3" xfId="30189" xr:uid="{3AAE0EAE-E8B5-495C-B313-D9EF9D9CAB64}"/>
    <cellStyle name="Normal 5 2 2 4 3 5 3 2" xfId="31333" xr:uid="{0267AC5B-64C6-4486-ADCE-246F465FDD47}"/>
    <cellStyle name="Normal 5 2 2 4 3 5 4" xfId="31529" xr:uid="{9CB041FA-68C5-4343-A51A-DA27C8958F9D}"/>
    <cellStyle name="Normal 5 2 2 4 3 5 5" xfId="31823" xr:uid="{B74CAEC4-3C70-4398-9709-39AFEC9236D9}"/>
    <cellStyle name="Normal 5 2 2 4 3 5 6" xfId="32154" xr:uid="{10E4029F-59F6-42B8-A717-07B2B204E7EA}"/>
    <cellStyle name="Normal 5 2 2 4 3 6" xfId="4006" xr:uid="{D558FD0F-23C1-46DD-B9F0-9F8795729785}"/>
    <cellStyle name="Normal 5 2 2 4 3 6 2" xfId="4714" xr:uid="{B120F520-B966-4AD5-8EBE-409F270073F9}"/>
    <cellStyle name="Normal 5 2 2 4 3 6 3" xfId="30309" xr:uid="{699D5CA2-FACA-4377-99AD-77942E973491}"/>
    <cellStyle name="Normal 5 2 2 4 3 6 3 2" xfId="31452" xr:uid="{5F533371-818D-4244-ABD4-7A17DD389363}"/>
    <cellStyle name="Normal 5 2 2 4 3 6 4" xfId="31649" xr:uid="{EB53F69C-BF68-4DCA-85B3-F9FB5F32E27C}"/>
    <cellStyle name="Normal 5 2 2 4 3 6 5" xfId="31943" xr:uid="{C04D5001-5F62-4BB5-AD2B-507BC7A6138C}"/>
    <cellStyle name="Normal 5 2 2 4 3 6 6" xfId="32273" xr:uid="{09389473-1A5A-4084-8A2F-89BF02C37229}"/>
    <cellStyle name="Normal 5 2 2 4 3 7" xfId="30130" xr:uid="{BDE27110-9B13-48B7-8653-B497F720F538}"/>
    <cellStyle name="Normal 5 2 2 4 3 7 2" xfId="30493" xr:uid="{FD9D9EF5-F197-45A3-BC3A-5650DE888412}"/>
    <cellStyle name="Normal 5 2 2 4 3 8" xfId="31764" xr:uid="{8D74E39C-E9F8-4494-970C-42D42ACBF958}"/>
    <cellStyle name="Normal 5 2 2 4 3 9" xfId="32042" xr:uid="{7A92937A-C6C9-4A46-801D-CEBAF2B537C4}"/>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4 3 3" xfId="30249" xr:uid="{33C48EDD-9586-4230-8BA4-66265587F273}"/>
    <cellStyle name="Normal 5 2 2 4 4 3 3 2" xfId="31392" xr:uid="{922174FC-994D-4960-94F6-152FE500B889}"/>
    <cellStyle name="Normal 5 2 2 4 4 3 4" xfId="31589" xr:uid="{E291B842-5ED4-4126-8BEA-A2175FDD78C9}"/>
    <cellStyle name="Normal 5 2 2 4 4 3 5" xfId="31883" xr:uid="{5A636884-E186-43AF-848D-40533DDDB79C}"/>
    <cellStyle name="Normal 5 2 2 4 4 3 6" xfId="32213" xr:uid="{CD4128D0-A80F-4255-807F-D80B80EE674A}"/>
    <cellStyle name="Normal 5 2 2 4 4 4" xfId="32108" xr:uid="{BD1C62FD-F727-49EA-8831-04AD9C47112C}"/>
    <cellStyle name="Normal 5 2 2 4 5" xfId="2107" xr:uid="{00000000-0005-0000-0000-00006E020000}"/>
    <cellStyle name="Normal 5 2 2 4 5 2" xfId="4679" xr:uid="{1C1F360D-C6E5-496D-8E0B-7C61EF688A4B}"/>
    <cellStyle name="Normal 5 2 2 4 5 3" xfId="30188" xr:uid="{2FA02E78-E05B-4D87-8A46-DB8A8ADCC86C}"/>
    <cellStyle name="Normal 5 2 2 4 5 3 2" xfId="31332" xr:uid="{FBB927C5-8BB1-4180-BA69-EEF312036142}"/>
    <cellStyle name="Normal 5 2 2 4 5 4" xfId="31528" xr:uid="{8FFD126D-2DEA-4100-A5CD-7641C553E7A8}"/>
    <cellStyle name="Normal 5 2 2 4 5 5" xfId="31822" xr:uid="{BAE36E74-43C4-4028-BD44-347BA43D80DD}"/>
    <cellStyle name="Normal 5 2 2 4 5 6" xfId="32153" xr:uid="{06870416-5462-4D86-8C0B-BF8016B5B072}"/>
    <cellStyle name="Normal 5 2 2 4 6" xfId="4005" xr:uid="{487C8B09-2829-42FC-9B86-25DB3AB10663}"/>
    <cellStyle name="Normal 5 2 2 4 6 2" xfId="4778" xr:uid="{C7B64242-53F0-4D37-B483-14A3329CCC0F}"/>
    <cellStyle name="Normal 5 2 2 4 6 3" xfId="30308" xr:uid="{A106EA70-5CF5-4F4F-839A-1F540D6AFC82}"/>
    <cellStyle name="Normal 5 2 2 4 6 3 2" xfId="31451" xr:uid="{E6C509AA-8B5E-4123-B775-483D5B730539}"/>
    <cellStyle name="Normal 5 2 2 4 6 4" xfId="31648" xr:uid="{8920FE63-A71F-4725-A7D7-BA468668BA0F}"/>
    <cellStyle name="Normal 5 2 2 4 6 5" xfId="31942" xr:uid="{241402A0-EC53-4140-B3CB-5A2E0E265C3E}"/>
    <cellStyle name="Normal 5 2 2 4 6 6" xfId="32272" xr:uid="{86CB4996-9F6E-41A5-B16F-1C4E16620C0D}"/>
    <cellStyle name="Normal 5 2 2 4 7" xfId="30129" xr:uid="{2236E3FF-3A86-4CD1-98F1-1886F111A065}"/>
    <cellStyle name="Normal 5 2 2 4 7 2" xfId="30492" xr:uid="{45FC10F0-4741-45B2-BDBE-913619A599F3}"/>
    <cellStyle name="Normal 5 2 2 4 8" xfId="31763" xr:uid="{AA7EB73C-BBDE-4608-9B4C-41CDE22B31DF}"/>
    <cellStyle name="Normal 5 2 2 5" xfId="29602" xr:uid="{51A7D0CB-4AEF-4815-897D-E9DF6C04761B}"/>
    <cellStyle name="Normal 5 2 2 5 2" xfId="29633" xr:uid="{4D46F027-DFAF-43F3-8432-E8ADA4FEF75B}"/>
    <cellStyle name="Normal 5 2 2 5 3" xfId="30358" xr:uid="{B88E4284-E474-4823-9891-BF93F08DC332}"/>
    <cellStyle name="Normal 5 2 2 5 3 2" xfId="30494" xr:uid="{31576F81-3AEC-4A0F-9C51-2A5DB1814C7E}"/>
    <cellStyle name="Normal 5 2 2 5 4" xfId="31992" xr:uid="{120DEC9F-9354-4688-A037-C84E42C97F21}"/>
    <cellStyle name="Normal 5 2 2 6" xfId="31499" xr:uid="{2BB411DD-5D15-4B7F-BAEC-F1A8EC41C4E3}"/>
    <cellStyle name="Normal 5 2 2 7" xfId="31741" xr:uid="{29AF3C1D-838A-492E-90FB-251697FC5BB9}"/>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3 3 3" xfId="30250" xr:uid="{8E939996-71BD-47CE-9BF4-4ED640E9C488}"/>
    <cellStyle name="Normal 5 2 4 3 2 3 2 3 3 3 2" xfId="31393" xr:uid="{E5FDB7D8-82CC-42F9-B24A-1AB0B72AE30F}"/>
    <cellStyle name="Normal 5 2 4 3 2 3 2 3 3 4" xfId="31590" xr:uid="{169BD90C-78A7-48C8-8B4D-B8A3362C27BE}"/>
    <cellStyle name="Normal 5 2 4 3 2 3 2 3 3 5" xfId="31884" xr:uid="{F987242A-7FC3-4269-978F-5DE82990D9E8}"/>
    <cellStyle name="Normal 5 2 4 3 2 3 2 3 3 6" xfId="32214" xr:uid="{AB35DBB0-D28C-4782-8040-81301FCF29C0}"/>
    <cellStyle name="Normal 5 2 4 3 2 3 2 4" xfId="23146" xr:uid="{70717655-02F4-404C-95BB-4DB5536E3E99}"/>
    <cellStyle name="Normal 5 2 4 3 2 3 2 5" xfId="32079" xr:uid="{4E6F2253-7941-4E94-8280-AD8286889E22}"/>
    <cellStyle name="Normal 5 2 4 3 2 3 3" xfId="1101" xr:uid="{00000000-0005-0000-0000-000006060000}"/>
    <cellStyle name="Normal 5 2 4 3 2 3 4" xfId="2954" xr:uid="{00000000-0005-0000-0000-0000F4060000}"/>
    <cellStyle name="Normal 5 2 4 3 2 3 4 2" xfId="31279" xr:uid="{51508AF3-39AA-43A7-A514-BBE022261B7A}"/>
    <cellStyle name="Normal 5 2 4 3 2 3 5" xfId="2110" xr:uid="{00000000-0005-0000-0000-000079020000}"/>
    <cellStyle name="Normal 5 2 4 3 2 3 5 2" xfId="4629" xr:uid="{D9BC3CB2-5DA1-450C-BCAA-C84E226AB1E6}"/>
    <cellStyle name="Normal 5 2 4 3 2 3 5 3" xfId="30191" xr:uid="{2FCB911F-22F5-4527-8AEA-8BB8AA3518F0}"/>
    <cellStyle name="Normal 5 2 4 3 2 3 5 3 2" xfId="31335" xr:uid="{C304E2DA-C317-4027-B01C-219F31AF267C}"/>
    <cellStyle name="Normal 5 2 4 3 2 3 5 4" xfId="31531" xr:uid="{0DF2BB2A-E61A-4C92-BAFA-3A88549AEB66}"/>
    <cellStyle name="Normal 5 2 4 3 2 3 5 5" xfId="31825" xr:uid="{FA92CFA6-C212-4156-99EE-6A03BE725958}"/>
    <cellStyle name="Normal 5 2 4 3 2 3 5 6" xfId="32156" xr:uid="{ACA0AD46-BECD-4946-8C40-D794F7453674}"/>
    <cellStyle name="Normal 5 2 4 3 2 3 6" xfId="4008" xr:uid="{993A1062-C514-464B-A529-806C1AF30B6A}"/>
    <cellStyle name="Normal 5 2 4 3 2 3 6 2" xfId="4694" xr:uid="{C18C23D0-B407-4C1A-B972-7E83A621B743}"/>
    <cellStyle name="Normal 5 2 4 3 2 3 6 3" xfId="30311" xr:uid="{487F42B9-1B4B-44C3-988E-42342B8A86DF}"/>
    <cellStyle name="Normal 5 2 4 3 2 3 6 3 2" xfId="31454" xr:uid="{27CFB7E5-D04B-4E2D-9DC7-CDEAC6CF78C9}"/>
    <cellStyle name="Normal 5 2 4 3 2 3 6 4" xfId="31651" xr:uid="{4D303C41-AC8E-454A-A937-02A3DD263DCF}"/>
    <cellStyle name="Normal 5 2 4 3 2 3 6 5" xfId="31945" xr:uid="{10DE5A57-AF9B-426F-8DAA-58948AA20097}"/>
    <cellStyle name="Normal 5 2 4 3 2 3 6 6" xfId="32275" xr:uid="{87FDA008-5D25-4465-B35D-D13251878086}"/>
    <cellStyle name="Normal 5 2 4 3 2 3 7" xfId="30132" xr:uid="{83341974-E50B-44D0-9696-9A6A4FF79FC7}"/>
    <cellStyle name="Normal 5 2 4 3 2 3 7 2" xfId="30496" xr:uid="{62A7FCD7-3DD3-460C-A526-2E072EA83AC6}"/>
    <cellStyle name="Normal 5 2 4 3 2 3 8" xfId="31766" xr:uid="{85D1DC84-2E84-4DAD-9A80-773144FA5BFA}"/>
    <cellStyle name="Normal 5 2 4 3 2 3 9" xfId="32044" xr:uid="{76B62C78-47D3-43FF-B9B5-D0D2382CAB01}"/>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4 3 3 3" xfId="30388" xr:uid="{1139EB9C-6328-4471-8AA4-7F81A5EA54F4}"/>
    <cellStyle name="Normal 5 2 4 3 2 4 3 3 4" xfId="30375" xr:uid="{E276286F-A8BD-43EF-B465-B006F70E65A1}"/>
    <cellStyle name="Normal 5 2 4 3 2 4 3 3 4 2" xfId="31714" xr:uid="{71AE4F98-CC52-4A8A-914B-1B3A2FF29A1C}"/>
    <cellStyle name="Normal 5 2 4 3 2 4 3 3 5" xfId="32009" xr:uid="{A4A8B685-D2B9-4A9C-9FD7-90A499EB24BA}"/>
    <cellStyle name="Normal 5 2 4 3 2 4 3 4" xfId="30359" xr:uid="{BB7BBCD9-B969-4973-A8B6-6CB722F841E4}"/>
    <cellStyle name="Normal 5 2 4 3 2 4 3 4 2" xfId="31700" xr:uid="{F60ECDD6-7D39-47D2-80B0-FE4508F286D8}"/>
    <cellStyle name="Normal 5 2 4 3 2 4 3 5" xfId="31993" xr:uid="{44EF1CE0-41C2-405F-BA2E-FBB0AC73B3B5}"/>
    <cellStyle name="Normal 5 2 4 3 2 4 4" xfId="32109" xr:uid="{539ED313-88C9-4525-A96F-945FB7521B7E}"/>
    <cellStyle name="Normal 5 2 4 3 2 5" xfId="2109" xr:uid="{00000000-0005-0000-0000-000077020000}"/>
    <cellStyle name="Normal 5 2 4 3 2 5 2" xfId="4634" xr:uid="{CE0C5B6A-2719-4A04-925F-57872C2DEC2B}"/>
    <cellStyle name="Normal 5 2 4 3 2 5 3" xfId="30190" xr:uid="{6A370297-6A41-4E24-B999-B6EBAA07B436}"/>
    <cellStyle name="Normal 5 2 4 3 2 5 3 2" xfId="31334" xr:uid="{966323EF-1FDA-4294-B815-716BB4BA52AC}"/>
    <cellStyle name="Normal 5 2 4 3 2 5 4" xfId="31530" xr:uid="{08096505-C56A-4159-AECA-7DFEAECA569B}"/>
    <cellStyle name="Normal 5 2 4 3 2 5 5" xfId="31824" xr:uid="{A53769D7-EEF3-4E8F-8C88-562622BAD983}"/>
    <cellStyle name="Normal 5 2 4 3 2 5 6" xfId="32155" xr:uid="{B178E81B-5E31-49FE-8D11-096D743C1D2C}"/>
    <cellStyle name="Normal 5 2 4 3 2 6" xfId="4007" xr:uid="{21BCC244-DE2D-4E05-B4CA-800C7ACB717D}"/>
    <cellStyle name="Normal 5 2 4 3 2 6 2" xfId="4809" xr:uid="{FE4BE598-DEBE-491E-8102-65FC12E0DC06}"/>
    <cellStyle name="Normal 5 2 4 3 2 6 3" xfId="30310" xr:uid="{F505CACC-2E7E-4908-B592-B7E4ACA029E0}"/>
    <cellStyle name="Normal 5 2 4 3 2 6 3 2" xfId="31453" xr:uid="{39A1DB0C-5820-4471-897E-0EF9158064D9}"/>
    <cellStyle name="Normal 5 2 4 3 2 6 4" xfId="31650" xr:uid="{5F240F98-984C-4E11-894B-FD68B60B2DC6}"/>
    <cellStyle name="Normal 5 2 4 3 2 6 5" xfId="31944" xr:uid="{E00381A7-CF8F-4507-89A3-9D785BAE9134}"/>
    <cellStyle name="Normal 5 2 4 3 2 6 6" xfId="32274" xr:uid="{99294EA0-2CAE-4808-A035-2EA519021ED7}"/>
    <cellStyle name="Normal 5 2 4 3 2 7" xfId="30131" xr:uid="{C81275DE-CA30-40D7-AD33-FAB62E0FACED}"/>
    <cellStyle name="Normal 5 2 4 3 2 7 2" xfId="30495" xr:uid="{8AAC8AE9-2926-47D6-87B5-9E837B1CDB4A}"/>
    <cellStyle name="Normal 5 2 4 3 2 8" xfId="31765" xr:uid="{5C4116CA-E0C6-4C1D-80BF-DAC6885F3B16}"/>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2 2" xfId="30092" xr:uid="{00FBE9D4-901D-40C4-AE9A-A01535727F0E}"/>
    <cellStyle name="Normal 5 2 4 3 4 2 2 2 3" xfId="3726" xr:uid="{00000000-0005-0000-0000-000077050000}"/>
    <cellStyle name="Normal 5 2 4 3 4 2 2 2 3 2" xfId="4700" xr:uid="{D86AE0E5-80AB-45CC-BB51-27009840DF19}"/>
    <cellStyle name="Normal 5 2 4 3 4 2 2 2 3 3" xfId="30251" xr:uid="{A5913D0B-F3AB-4685-B461-6789188CB0C7}"/>
    <cellStyle name="Normal 5 2 4 3 4 2 2 2 3 3 2" xfId="31394" xr:uid="{607078C3-D295-4A84-8F6C-C1F600B3DD7A}"/>
    <cellStyle name="Normal 5 2 4 3 4 2 2 2 3 4" xfId="31591" xr:uid="{A5395D31-9BC9-49DA-9AD2-437533C755D4}"/>
    <cellStyle name="Normal 5 2 4 3 4 2 2 2 3 5" xfId="31885" xr:uid="{7507EE1C-BDCB-4744-ADE7-CAC7706233C1}"/>
    <cellStyle name="Normal 5 2 4 3 4 2 2 2 3 6" xfId="32215" xr:uid="{914C021E-9CD1-4CA4-9A9D-815C402141B5}"/>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2 5" xfId="32080" xr:uid="{3E51038D-FDFC-433F-90F2-DC6F53996DB7}"/>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4 3" xfId="30193" xr:uid="{CFC6C10D-19C1-4175-B722-F9F6FF830FDB}"/>
    <cellStyle name="Normal 5 2 4 3 4 2 3 4 3 2" xfId="31337" xr:uid="{DE48491A-8E71-4D53-BF3A-74F36656ED66}"/>
    <cellStyle name="Normal 5 2 4 3 4 2 3 4 4" xfId="31533" xr:uid="{28552DF3-DBCC-498D-A367-6FA965B21C26}"/>
    <cellStyle name="Normal 5 2 4 3 4 2 3 4 5" xfId="31827" xr:uid="{4F60F246-F3AD-40E1-8F70-60FF2A30D287}"/>
    <cellStyle name="Normal 5 2 4 3 4 2 3 4 6" xfId="32158" xr:uid="{2727BC65-CEA1-428D-A96E-C434E5F76D84}"/>
    <cellStyle name="Normal 5 2 4 3 4 2 3 5" xfId="25282" xr:uid="{C7B4FAF3-1BA0-45BB-BA6F-44260C736B84}"/>
    <cellStyle name="Normal 5 2 4 3 4 2 3 5 2" xfId="32126" xr:uid="{6252FCD3-BD54-4783-8A89-395F9E595173}"/>
    <cellStyle name="Normal 5 2 4 3 4 2 3 6" xfId="30538" xr:uid="{63E07DC7-F18F-4505-A38A-112CFA74FEBB}"/>
    <cellStyle name="Normal 5 2 4 3 4 2 4" xfId="23058" xr:uid="{C7716834-6B7F-4C7C-AB0F-D110ACFBAC7A}"/>
    <cellStyle name="Normal 5 2 4 3 4 2 5" xfId="32045" xr:uid="{A9220E87-FD93-4A92-A1C4-B10567890E4F}"/>
    <cellStyle name="Normal 5 2 4 3 4 3" xfId="1111" xr:uid="{00000000-0005-0000-0000-000012060000}"/>
    <cellStyle name="Normal 5 2 4 3 4 4" xfId="2955" xr:uid="{00000000-0005-0000-0000-0000FD060000}"/>
    <cellStyle name="Normal 5 2 4 3 4 4 2" xfId="31284" xr:uid="{853362D5-299F-4808-978A-B0AF91C9FCCD}"/>
    <cellStyle name="Normal 5 2 4 3 4 5" xfId="2111" xr:uid="{00000000-0005-0000-0000-00007C020000}"/>
    <cellStyle name="Normal 5 2 4 3 4 5 2" xfId="4640" xr:uid="{9499810A-4B41-448D-89FA-46D00AE72935}"/>
    <cellStyle name="Normal 5 2 4 3 4 5 3" xfId="30192" xr:uid="{13D06800-6809-4CE8-A6F4-CD71FDE8EAC6}"/>
    <cellStyle name="Normal 5 2 4 3 4 5 3 2" xfId="31336" xr:uid="{F5FBEC01-0219-4E30-92D7-6771A93AA2AE}"/>
    <cellStyle name="Normal 5 2 4 3 4 5 4" xfId="31532" xr:uid="{FACAD6D8-BE20-4E78-A39A-9835E1A36A9E}"/>
    <cellStyle name="Normal 5 2 4 3 4 5 5" xfId="31826" xr:uid="{32E8BD59-8262-43DD-B34C-28EC0BEFDACF}"/>
    <cellStyle name="Normal 5 2 4 3 4 5 6" xfId="32157" xr:uid="{ACF77199-971A-473A-A49B-2C2BB66EA37A}"/>
    <cellStyle name="Normal 5 2 4 3 4 6" xfId="4009" xr:uid="{F6561F36-B5FA-449D-8623-6523BDF6513B}"/>
    <cellStyle name="Normal 5 2 4 3 4 6 2" xfId="4822" xr:uid="{2C1739FD-A387-4815-9D44-5238B913A269}"/>
    <cellStyle name="Normal 5 2 4 3 4 6 3" xfId="30312" xr:uid="{E1453DD1-D0D4-41B1-96A4-D543CB7B3645}"/>
    <cellStyle name="Normal 5 2 4 3 4 6 3 2" xfId="31455" xr:uid="{58F3D4EC-46BD-4B36-8C1D-A3BFAD097151}"/>
    <cellStyle name="Normal 5 2 4 3 4 6 4" xfId="31652" xr:uid="{740B3970-8CB7-4886-90DB-201FFA1F7212}"/>
    <cellStyle name="Normal 5 2 4 3 4 6 5" xfId="31946" xr:uid="{68EDFAD8-C96B-486B-8E30-969D04F2E6F6}"/>
    <cellStyle name="Normal 5 2 4 3 4 6 6" xfId="32276" xr:uid="{AE9AC646-E8F2-4F8F-816A-2DAD42E2864B}"/>
    <cellStyle name="Normal 5 2 4 3 4 7" xfId="30133" xr:uid="{0FF9C2E0-D12A-4ABC-95BB-3755B3F83C84}"/>
    <cellStyle name="Normal 5 2 4 3 4 7 2" xfId="30497" xr:uid="{FC91A448-0B30-4A6D-BA82-B1E29BB27650}"/>
    <cellStyle name="Normal 5 2 4 3 4 8" xfId="31767" xr:uid="{F4BF3ECB-B673-4B2C-AC1B-3B48C6349E47}"/>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2 3" xfId="32216" xr:uid="{E99D2BBA-C1AC-4313-B1A0-641421529F29}"/>
    <cellStyle name="Normal 5 2 4 3 5 3 3" xfId="25641" xr:uid="{DFF53FD4-FEAE-46B9-BCF3-B4723EA48D7C}"/>
    <cellStyle name="Normal 5 2 4 3 5 3 4" xfId="30252" xr:uid="{E82F2118-577E-4536-B0CB-18761AB513DD}"/>
    <cellStyle name="Normal 5 2 4 3 5 3 4 2" xfId="31395" xr:uid="{AB0E8E94-3AAB-4649-AC96-B3051481793B}"/>
    <cellStyle name="Normal 5 2 4 3 5 3 5" xfId="31592" xr:uid="{A3F63B78-3266-4C42-90CB-09F9D2C3C287}"/>
    <cellStyle name="Normal 5 2 4 3 5 3 6" xfId="31886" xr:uid="{2F28F5E8-258E-478C-8BD3-1ED379DFE28E}"/>
    <cellStyle name="Normal 5 2 4 3 5 4" xfId="24430" xr:uid="{16BBE468-D5C0-4B21-AD2D-3D3515796DC2}"/>
    <cellStyle name="Normal 5 2 4 3 5 5" xfId="32043" xr:uid="{8AEDCF79-88E8-4C16-AE8B-C99D9E41BF3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3 3 3" xfId="30253" xr:uid="{3371D826-E6D0-4F85-B3CB-12EC5DC11E04}"/>
    <cellStyle name="Normal 5 2 4 4 3 2 3 3 3 2" xfId="31396" xr:uid="{9F866689-093F-47B5-BB7A-A67F81465E01}"/>
    <cellStyle name="Normal 5 2 4 4 3 2 3 3 4" xfId="31593" xr:uid="{DF05E4B7-CFDF-423C-9FBA-EF6B9FF57097}"/>
    <cellStyle name="Normal 5 2 4 4 3 2 3 3 5" xfId="31887" xr:uid="{56119B9C-9AF5-4D49-928D-3177A4C0EEFB}"/>
    <cellStyle name="Normal 5 2 4 4 3 2 3 3 6" xfId="32217" xr:uid="{ACBE2A9D-6CC6-4F90-889C-67D58B062F7C}"/>
    <cellStyle name="Normal 5 2 4 4 3 2 4" xfId="24799" xr:uid="{868BB01E-4989-41C7-8624-51DC12DB0459}"/>
    <cellStyle name="Normal 5 2 4 4 3 2 5" xfId="32081" xr:uid="{D043126F-F2FD-4721-BAC1-9F91262B9FA2}"/>
    <cellStyle name="Normal 5 2 4 4 3 3" xfId="1120" xr:uid="{00000000-0005-0000-0000-00001C060000}"/>
    <cellStyle name="Normal 5 2 4 4 3 4" xfId="2956" xr:uid="{00000000-0005-0000-0000-000003070000}"/>
    <cellStyle name="Normal 5 2 4 4 3 4 2" xfId="31274" xr:uid="{FA2917AE-C3BA-4BE1-A1E6-01DBDC065E54}"/>
    <cellStyle name="Normal 5 2 4 4 3 5" xfId="2114" xr:uid="{00000000-0005-0000-0000-000083020000}"/>
    <cellStyle name="Normal 5 2 4 4 3 5 2" xfId="3783" xr:uid="{D037D556-2DF5-490C-8D04-4D0D0B902C7F}"/>
    <cellStyle name="Normal 5 2 4 4 3 5 3" xfId="30195" xr:uid="{ADC3C70D-ACE5-4A69-B04D-15C35B0C6A21}"/>
    <cellStyle name="Normal 5 2 4 4 3 5 3 2" xfId="31339" xr:uid="{3649E89F-2542-4741-8FC6-5FCC29A22267}"/>
    <cellStyle name="Normal 5 2 4 4 3 5 4" xfId="31535" xr:uid="{8641E7A6-2611-4D56-836F-9152DD7762A5}"/>
    <cellStyle name="Normal 5 2 4 4 3 5 5" xfId="31829" xr:uid="{64CA30EE-76C5-46A8-9618-CDFE91B3A122}"/>
    <cellStyle name="Normal 5 2 4 4 3 5 6" xfId="32160" xr:uid="{3001C59B-E1A0-48F0-82A5-968216FA9DA2}"/>
    <cellStyle name="Normal 5 2 4 4 3 6" xfId="4011" xr:uid="{48584F99-0955-4DD2-8F83-B7B1E99DDE13}"/>
    <cellStyle name="Normal 5 2 4 4 3 6 2" xfId="4710" xr:uid="{05F490C6-261E-4F3C-99BE-89B9730F2236}"/>
    <cellStyle name="Normal 5 2 4 4 3 6 3" xfId="30314" xr:uid="{56E9FF0F-F58B-4D2E-A832-37CBBFB3815E}"/>
    <cellStyle name="Normal 5 2 4 4 3 6 3 2" xfId="31457" xr:uid="{A5973D2C-5654-4EBD-BEEE-E7F4FF14014D}"/>
    <cellStyle name="Normal 5 2 4 4 3 6 4" xfId="31654" xr:uid="{784DD7EA-AE1F-40B9-95A6-82033FC6AD60}"/>
    <cellStyle name="Normal 5 2 4 4 3 6 5" xfId="31948" xr:uid="{D3BCC432-12BF-496A-92F6-084C1DDB2D60}"/>
    <cellStyle name="Normal 5 2 4 4 3 6 6" xfId="32278" xr:uid="{4A5CD895-E3FE-4D4A-B959-D2F4E36E6E36}"/>
    <cellStyle name="Normal 5 2 4 4 3 7" xfId="30135" xr:uid="{043D8D7C-0FB5-4B99-8C37-48CD2D0D46E8}"/>
    <cellStyle name="Normal 5 2 4 4 3 7 2" xfId="30499" xr:uid="{530030F0-59D0-4660-8567-AD5B7CB24B9B}"/>
    <cellStyle name="Normal 5 2 4 4 3 8" xfId="31769" xr:uid="{F5D64472-8EAE-483F-A781-BB3B5AF1E001}"/>
    <cellStyle name="Normal 5 2 4 4 3 9" xfId="32046" xr:uid="{0A52B4F2-C6F9-41E8-A84C-91B19D3AB757}"/>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4 3 3" xfId="30254" xr:uid="{E704B8BC-41EA-4454-AEA2-EF033FDE6340}"/>
    <cellStyle name="Normal 5 2 4 4 4 3 3 2" xfId="31397" xr:uid="{16EDD962-7E8E-4EA1-8369-937E3100EBBC}"/>
    <cellStyle name="Normal 5 2 4 4 4 3 4" xfId="31594" xr:uid="{EC278FCC-DA37-4F41-BA29-08FBF8957A8D}"/>
    <cellStyle name="Normal 5 2 4 4 4 3 5" xfId="31888" xr:uid="{758C3C2E-DAD9-4A6D-BD67-598EA8A8BA3F}"/>
    <cellStyle name="Normal 5 2 4 4 4 3 6" xfId="32218" xr:uid="{7A658158-D147-4456-A2A9-C418F51631A8}"/>
    <cellStyle name="Normal 5 2 4 4 4 4" xfId="32110" xr:uid="{5ED3675C-501D-42FD-A035-49817F3AA7A7}"/>
    <cellStyle name="Normal 5 2 4 4 5" xfId="1123" xr:uid="{00000000-0005-0000-0000-00001F060000}"/>
    <cellStyle name="Normal 5 2 4 4 5 2" xfId="4685" xr:uid="{00564EB2-1CAC-4E4B-B4B3-F5A40DFD44F8}"/>
    <cellStyle name="Normal 5 2 4 4 5 2 2" xfId="4826" xr:uid="{83E1FB17-2E9A-4803-B6F4-091CC3A05E18}"/>
    <cellStyle name="Normal 5 2 4 4 5 2 3" xfId="30352" xr:uid="{6DA91CAE-6F39-4002-B1F0-4B89033CE666}"/>
    <cellStyle name="Normal 5 2 4 4 5 2 3 2" xfId="31492" xr:uid="{383E5E58-7C91-413E-8FD2-3A67B7B19328}"/>
    <cellStyle name="Normal 5 2 4 4 5 2 4" xfId="31692" xr:uid="{20B02469-8862-47FA-AED8-8278520D8ED1}"/>
    <cellStyle name="Normal 5 2 4 4 5 2 5" xfId="31986" xr:uid="{2C09AC3E-6949-405F-8308-BB0E9F0A6D8D}"/>
    <cellStyle name="Normal 5 2 4 4 5 2 6" xfId="32316" xr:uid="{10BB00F3-F9D6-4B8B-8296-765EC8312579}"/>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6 3" xfId="30194" xr:uid="{C315FB79-57F9-4A65-8EAE-6F681E6F5074}"/>
    <cellStyle name="Normal 5 2 4 4 6 3 2" xfId="31338" xr:uid="{BDB4D344-5AF5-4D2B-8B4E-5754C69F2E50}"/>
    <cellStyle name="Normal 5 2 4 4 6 4" xfId="31534" xr:uid="{B5BD0CD0-E8AF-4AEB-A2ED-0582CF3CA95A}"/>
    <cellStyle name="Normal 5 2 4 4 6 5" xfId="31828" xr:uid="{5AD8C2B0-DF03-4ECA-A5A4-2A4C3C4AF1D2}"/>
    <cellStyle name="Normal 5 2 4 4 6 6" xfId="32159" xr:uid="{C2B49618-3F10-4172-922D-62CE0A1B3F20}"/>
    <cellStyle name="Normal 5 2 4 4 7" xfId="4010" xr:uid="{AD80C160-AEC5-4928-B410-574B477C1DBC}"/>
    <cellStyle name="Normal 5 2 4 4 7 2" xfId="4787" xr:uid="{F6E3D3A6-20C3-4DDD-A8D0-C82F8B32B771}"/>
    <cellStyle name="Normal 5 2 4 4 7 3" xfId="30313" xr:uid="{2CBF5DFB-D0DB-46CD-865F-1F5D4869B49D}"/>
    <cellStyle name="Normal 5 2 4 4 7 3 2" xfId="31456" xr:uid="{28056046-37C5-4210-A45E-87C91033B72C}"/>
    <cellStyle name="Normal 5 2 4 4 7 4" xfId="31653" xr:uid="{4A0F218C-119A-4271-A509-C12DF0B83723}"/>
    <cellStyle name="Normal 5 2 4 4 7 5" xfId="31947" xr:uid="{ECE19079-B873-4FBA-8B3F-B63A66B9D28F}"/>
    <cellStyle name="Normal 5 2 4 4 7 6" xfId="32277" xr:uid="{3D68BFDD-3F4B-445E-9B2B-098BF1B1C6AD}"/>
    <cellStyle name="Normal 5 2 4 4 8" xfId="30134" xr:uid="{2E70D3D9-38AE-4F46-AE0C-D4B00782AB6B}"/>
    <cellStyle name="Normal 5 2 4 4 8 2" xfId="30498" xr:uid="{FF04236F-3AE0-4DDD-A3DA-183F84BE2F5D}"/>
    <cellStyle name="Normal 5 2 4 4 9" xfId="31768" xr:uid="{BA437488-0F82-4D3B-9F1C-1ECAB06CE8B1}"/>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5 3 3" xfId="30255" xr:uid="{6575DB17-95F3-4C95-905B-3ABC9211C442}"/>
    <cellStyle name="Normal 5 2 4 5 3 3 2" xfId="31398" xr:uid="{DE834904-B2BD-403C-9730-C8010FF03FF0}"/>
    <cellStyle name="Normal 5 2 4 5 3 4" xfId="31595" xr:uid="{F648D83E-0FF1-4AAA-9876-4826AC71E7EB}"/>
    <cellStyle name="Normal 5 2 4 5 3 5" xfId="31889" xr:uid="{3CC5A012-FD9E-4C52-B3A6-39056DA0991B}"/>
    <cellStyle name="Normal 5 2 4 5 3 6" xfId="32219" xr:uid="{274D87A6-FD83-4DE1-A6FB-967F6B07B7B8}"/>
    <cellStyle name="Normal 5 2 4 5 4" xfId="30461" xr:uid="{15BA9B86-0397-4682-A1E5-049E65187509}"/>
    <cellStyle name="Normal 5 2 4 5 5" xfId="30500" xr:uid="{0311EE71-B5C4-4A8B-9CB9-F51438F5F7D7}"/>
    <cellStyle name="Normal 5 2 4 6" xfId="2068" xr:uid="{00000000-0005-0000-0000-000074020000}"/>
    <cellStyle name="Normal 5 2 4 6 2" xfId="4761" xr:uid="{35A1BC4F-2451-4737-BD49-D3AC91FFB2BF}"/>
    <cellStyle name="Normal 5 2 4 6 3" xfId="30168" xr:uid="{A6018F4F-C528-4905-BDB0-BF5E3AC61E88}"/>
    <cellStyle name="Normal 5 2 4 6 3 2" xfId="31316" xr:uid="{83AC687E-87C2-48AA-9A5B-F5AA4831B64D}"/>
    <cellStyle name="Normal 5 2 4 6 4" xfId="31508" xr:uid="{0746594F-F8C7-4596-9514-82C67CEA6E76}"/>
    <cellStyle name="Normal 5 2 4 6 5" xfId="31802" xr:uid="{FACD236D-9B3C-4890-AFA9-563684DE12DB}"/>
    <cellStyle name="Normal 5 2 4 6 6" xfId="32133" xr:uid="{9B95B18E-8DD8-4421-8BC7-C176E7D3A0FB}"/>
    <cellStyle name="Normal 5 2 4 7" xfId="30113" xr:uid="{342BA205-8867-43D9-9B72-B399D3F5B164}"/>
    <cellStyle name="Normal 5 2 4 7 2" xfId="30473" xr:uid="{BD37669B-A0D9-4854-A41E-C8C8D8D8F3B6}"/>
    <cellStyle name="Normal 5 2 4 8" xfId="31746" xr:uid="{292E00EC-C766-4114-9DE1-CF0907AC02E3}"/>
    <cellStyle name="Normal 5 2 4 9" xfId="32028" xr:uid="{E234AAA1-03DC-45DE-A678-72C08106D9D3}"/>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3 3 3" xfId="30256" xr:uid="{B80B6B77-F421-43D1-972F-1A065BDBB1AC}"/>
    <cellStyle name="Normal 5 2 6 3 2 3 3 3 2" xfId="31399" xr:uid="{6EB86A97-DCE1-4A16-9432-1F99543E9238}"/>
    <cellStyle name="Normal 5 2 6 3 2 3 3 4" xfId="31596" xr:uid="{B6C515EE-3083-4209-8122-BC69D0B770D5}"/>
    <cellStyle name="Normal 5 2 6 3 2 3 3 5" xfId="31890" xr:uid="{916A65CD-70EB-43D7-9F02-B5C5CEE20509}"/>
    <cellStyle name="Normal 5 2 6 3 2 3 3 6" xfId="32220" xr:uid="{139172D7-BBC4-462A-97D5-E827C9EF6B5E}"/>
    <cellStyle name="Normal 5 2 6 3 2 4" xfId="23097" xr:uid="{84EBBAC2-5BAF-4007-9F20-78E3A440C6FD}"/>
    <cellStyle name="Normal 5 2 6 3 2 5" xfId="32082" xr:uid="{1B920312-979C-49D1-A49E-0367BA394A74}"/>
    <cellStyle name="Normal 5 2 6 3 3" xfId="1133" xr:uid="{00000000-0005-0000-0000-00002A060000}"/>
    <cellStyle name="Normal 5 2 6 3 4" xfId="2958" xr:uid="{00000000-0005-0000-0000-00000B070000}"/>
    <cellStyle name="Normal 5 2 6 3 4 2" xfId="31281" xr:uid="{0E491AE0-2453-47A6-807A-49B64C0F5E81}"/>
    <cellStyle name="Normal 5 2 6 3 5" xfId="2116" xr:uid="{00000000-0005-0000-0000-000088020000}"/>
    <cellStyle name="Normal 5 2 6 3 5 2" xfId="4643" xr:uid="{55F936E5-2268-4048-890B-2E7F45921A47}"/>
    <cellStyle name="Normal 5 2 6 3 5 3" xfId="30197" xr:uid="{A8DA4185-04D3-45D0-99D2-1ED1AAD9939F}"/>
    <cellStyle name="Normal 5 2 6 3 5 3 2" xfId="31341" xr:uid="{CA9214E1-83A5-4F08-8718-28FA7D00E0BF}"/>
    <cellStyle name="Normal 5 2 6 3 5 4" xfId="31537" xr:uid="{9226D559-0753-4299-B3BF-2E415381B2FD}"/>
    <cellStyle name="Normal 5 2 6 3 5 5" xfId="31831" xr:uid="{1FCB7D3F-2561-44CB-A382-DCAF279AC409}"/>
    <cellStyle name="Normal 5 2 6 3 5 6" xfId="32162" xr:uid="{EB77F304-846F-4BF9-921C-FAD6F265A9DD}"/>
    <cellStyle name="Normal 5 2 6 3 6" xfId="4013" xr:uid="{28ED6A24-2FD5-4CA1-A14B-0556FD75683B}"/>
    <cellStyle name="Normal 5 2 6 3 6 2" xfId="4702" xr:uid="{B1BE088F-0CAA-4678-941E-5E508D832414}"/>
    <cellStyle name="Normal 5 2 6 3 6 3" xfId="30316" xr:uid="{3495266E-E1CD-4625-9ADF-210DC6DA8762}"/>
    <cellStyle name="Normal 5 2 6 3 6 3 2" xfId="31459" xr:uid="{88902C99-11AB-43A0-AE1B-DC07654E0B23}"/>
    <cellStyle name="Normal 5 2 6 3 6 4" xfId="31656" xr:uid="{566768B4-29FC-49F4-B34F-DAB710351185}"/>
    <cellStyle name="Normal 5 2 6 3 6 5" xfId="31950" xr:uid="{8D59E135-AC2F-4C8D-95DF-E196267D41D7}"/>
    <cellStyle name="Normal 5 2 6 3 6 6" xfId="32280" xr:uid="{F514E673-1C94-4856-9930-19D70B6953FC}"/>
    <cellStyle name="Normal 5 2 6 3 7" xfId="30137" xr:uid="{42B1072C-8B2A-4FA2-81EC-269C4E84A3A5}"/>
    <cellStyle name="Normal 5 2 6 3 7 2" xfId="30502" xr:uid="{54FBF52F-2716-45C2-84B6-D21E6196F530}"/>
    <cellStyle name="Normal 5 2 6 3 8" xfId="31771" xr:uid="{49C18D4C-1DD1-4E80-8DDA-1F158696D3FF}"/>
    <cellStyle name="Normal 5 2 6 3 9" xfId="32047" xr:uid="{4478B179-6354-4C26-87B1-D7AD56706CCA}"/>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2 3 3" xfId="30389" xr:uid="{F9B0019A-EB20-4842-B28E-89F54920EB78}"/>
    <cellStyle name="Normal 5 2 6 4 2 3 4" xfId="30376" xr:uid="{5FD3BC8F-F873-4B95-A007-369961038735}"/>
    <cellStyle name="Normal 5 2 6 4 2 3 4 2" xfId="31715" xr:uid="{C9092062-1AFC-4823-96DF-C19A312C94F8}"/>
    <cellStyle name="Normal 5 2 6 4 2 3 5" xfId="32010" xr:uid="{F29DABD2-FC4D-473E-BE41-07C25D0C2543}"/>
    <cellStyle name="Normal 5 2 6 4 2 4" xfId="30360" xr:uid="{704420A6-BB13-4C4A-98E2-F5E54ACD7C79}"/>
    <cellStyle name="Normal 5 2 6 4 2 4 2" xfId="31701" xr:uid="{BFDDA610-75E9-4FB0-AECA-C28A0E3EE21C}"/>
    <cellStyle name="Normal 5 2 6 4 2 5" xfId="31994" xr:uid="{3A9D60D4-64F0-4D74-B1FD-EBEE743E818A}"/>
    <cellStyle name="Normal 5 2 6 4 3" xfId="25736" xr:uid="{4B868893-5D9C-42B3-BD3C-3EDE8A95AE5E}"/>
    <cellStyle name="Normal 5 2 6 4 4" xfId="32111" xr:uid="{EBF9C6E0-4E64-4A20-B24D-D833F06C320A}"/>
    <cellStyle name="Normal 5 2 6 5" xfId="2115" xr:uid="{00000000-0005-0000-0000-000086020000}"/>
    <cellStyle name="Normal 5 2 6 5 2" xfId="3961" xr:uid="{FFE7DF02-3E33-41D1-A9B4-B30866C5927C}"/>
    <cellStyle name="Normal 5 2 6 5 3" xfId="30196" xr:uid="{E9C91989-B50D-4FEA-A02E-215D82A86398}"/>
    <cellStyle name="Normal 5 2 6 5 3 2" xfId="31340" xr:uid="{A1057280-B42D-4151-91E2-1101E0CD1D18}"/>
    <cellStyle name="Normal 5 2 6 5 4" xfId="31536" xr:uid="{E4FEB8EC-79F4-4159-9C42-EA456D479CB2}"/>
    <cellStyle name="Normal 5 2 6 5 5" xfId="31830" xr:uid="{EAEDF0E9-F29A-40F7-8554-5D892D346481}"/>
    <cellStyle name="Normal 5 2 6 5 6" xfId="32161" xr:uid="{7681E12A-9477-49F1-B50A-4883D94A969B}"/>
    <cellStyle name="Normal 5 2 6 6" xfId="4012" xr:uid="{C0B50273-D7A8-4911-83A8-B33EA77B3B8D}"/>
    <cellStyle name="Normal 5 2 6 6 2" xfId="4768" xr:uid="{B2AFAC66-1BE6-4CD0-9FFF-950CE52A8934}"/>
    <cellStyle name="Normal 5 2 6 6 3" xfId="30315" xr:uid="{766558CD-EAD6-40AD-BA68-9A404E0FB833}"/>
    <cellStyle name="Normal 5 2 6 6 3 2" xfId="31458" xr:uid="{09F532D0-1510-46DA-9DD7-4C6D46EEAB85}"/>
    <cellStyle name="Normal 5 2 6 6 4" xfId="31655" xr:uid="{CDD3E2C2-BDCA-4455-AFE6-F094AEF3D047}"/>
    <cellStyle name="Normal 5 2 6 6 5" xfId="31949" xr:uid="{87933E47-02C1-4815-A61E-BE0C8E7500DF}"/>
    <cellStyle name="Normal 5 2 6 6 6" xfId="32279" xr:uid="{8FDB5A37-5F6C-4C27-AEEE-3DEF43633D97}"/>
    <cellStyle name="Normal 5 2 6 7" xfId="30136" xr:uid="{E209EADA-9019-48FA-A3B0-FD7DD812FC2D}"/>
    <cellStyle name="Normal 5 2 6 7 2" xfId="30501" xr:uid="{806443B8-0098-40D3-A0A9-566A12CC2022}"/>
    <cellStyle name="Normal 5 2 6 8" xfId="31770" xr:uid="{F4650598-2D11-4F90-9C18-87487BE0A704}"/>
    <cellStyle name="Normal 5 2 7" xfId="1134" xr:uid="{00000000-0005-0000-0000-00002B060000}"/>
    <cellStyle name="Normal 5 2 7 2" xfId="1135" xr:uid="{00000000-0005-0000-0000-00002C060000}"/>
    <cellStyle name="Normal 5 2 7 2 2" xfId="30568" xr:uid="{EFFE7416-A60C-4E91-9C16-93A8F1582E4A}"/>
    <cellStyle name="Normal 5 2 7 2 2 2" xfId="30911" xr:uid="{B189041D-921E-4278-AAEF-960878300956}"/>
    <cellStyle name="Normal 5 2 7 3" xfId="1136" xr:uid="{00000000-0005-0000-0000-00002D060000}"/>
    <cellStyle name="Normal 5 2 7 3 2" xfId="31303" xr:uid="{34BD8BB5-E918-46B8-B0DF-8A393CE8E137}"/>
    <cellStyle name="Normal 5 2 7 4" xfId="3732" xr:uid="{00000000-0005-0000-0000-000095050000}"/>
    <cellStyle name="Normal 5 2 7 4 2" xfId="4773" xr:uid="{5E06A59F-611A-44B3-A971-E98276EE6A1C}"/>
    <cellStyle name="Normal 5 2 7 4 3" xfId="30257" xr:uid="{0B3F8B24-1002-4B57-966D-2232D44A5100}"/>
    <cellStyle name="Normal 5 2 7 4 3 2" xfId="31400" xr:uid="{AF1E7F16-F380-4E11-96CC-725B4E0771E5}"/>
    <cellStyle name="Normal 5 2 7 4 4" xfId="31597" xr:uid="{3DFA295E-7844-49B0-8B82-BE58EA95FF05}"/>
    <cellStyle name="Normal 5 2 7 4 5" xfId="31891" xr:uid="{129F469F-E454-4933-9412-0089E4D39FEB}"/>
    <cellStyle name="Normal 5 2 7 4 6" xfId="32221" xr:uid="{8FDCBC70-10CB-4A55-9432-0D12DD4E3EF8}"/>
    <cellStyle name="Normal 5 2 7 5" xfId="29605" xr:uid="{0A6BA937-6FA9-46C5-B401-7A4E2A3B41BE}"/>
    <cellStyle name="Normal 5 2 7 5 2" xfId="29636" xr:uid="{35914BEE-4FA7-4AE4-8E19-11A63582B5DB}"/>
    <cellStyle name="Normal 5 2 7 5 3" xfId="30361" xr:uid="{7D9FA1DC-0177-4EB4-91BF-12DA7B230617}"/>
    <cellStyle name="Normal 5 2 7 5 3 2" xfId="31249" xr:uid="{596C7602-7F83-46A5-B111-7EE427D394BC}"/>
    <cellStyle name="Normal 5 2 7 5 4" xfId="30462" xr:uid="{EE1BBC0C-DEC6-48E2-9E76-8915452D4F3C}"/>
    <cellStyle name="Normal 5 2 7 5 5" xfId="31995" xr:uid="{F55F42EB-AD84-4B0C-8D75-6C8D9561F7F2}"/>
    <cellStyle name="Normal 5 2 7 6" xfId="30466" xr:uid="{B67CE484-5AAE-4B38-A64C-FCA93C257D22}"/>
    <cellStyle name="Normal 5 2 7 7" xfId="30503" xr:uid="{F7491843-7F9F-43C5-8AC2-233B453AC06B}"/>
    <cellStyle name="Normal 5 2 8" xfId="31264" xr:uid="{3941616B-0E99-4AFF-91D2-813ADB9BBB4A}"/>
    <cellStyle name="Normal 5 2 9" xfId="31498"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3 3 3" xfId="30258" xr:uid="{53839113-09EB-44FD-9EEB-21FE5DD300D4}"/>
    <cellStyle name="Normal 5 3 3 2 3 2 3 3 3 2" xfId="31401" xr:uid="{43EB51E9-16CE-41A9-A7B7-D8DAA664D14C}"/>
    <cellStyle name="Normal 5 3 3 2 3 2 3 3 4" xfId="31598" xr:uid="{B617D199-4CED-4730-8A7F-1F5E3EB22FE3}"/>
    <cellStyle name="Normal 5 3 3 2 3 2 3 3 5" xfId="31892" xr:uid="{5969C7B7-F3B5-4254-A1EC-D0935ADF6B29}"/>
    <cellStyle name="Normal 5 3 3 2 3 2 3 3 6" xfId="32222" xr:uid="{99638AF2-AF29-4F9A-A07B-CFBCE110FB91}"/>
    <cellStyle name="Normal 5 3 3 2 3 2 4" xfId="25763" xr:uid="{228DCD5C-5DC3-4868-97DD-445981D2F756}"/>
    <cellStyle name="Normal 5 3 3 2 3 2 5" xfId="32083" xr:uid="{EEE9810E-AE45-4E2A-A70F-05E008A47B77}"/>
    <cellStyle name="Normal 5 3 3 2 3 3" xfId="1146" xr:uid="{00000000-0005-0000-0000-000038060000}"/>
    <cellStyle name="Normal 5 3 3 2 3 4" xfId="2959" xr:uid="{00000000-0005-0000-0000-000015070000}"/>
    <cellStyle name="Normal 5 3 3 2 3 4 2" xfId="31280" xr:uid="{10A152D0-5DF9-4181-A6B6-C858B6F9085A}"/>
    <cellStyle name="Normal 5 3 3 2 3 5" xfId="2118" xr:uid="{00000000-0005-0000-0000-00008F020000}"/>
    <cellStyle name="Normal 5 3 3 2 3 5 2" xfId="4667" xr:uid="{9506A050-893F-44B9-8047-501E583497C1}"/>
    <cellStyle name="Normal 5 3 3 2 3 5 3" xfId="30199" xr:uid="{8D8A1CE9-FEE7-4142-8793-E6203B687F03}"/>
    <cellStyle name="Normal 5 3 3 2 3 5 3 2" xfId="31343" xr:uid="{D7925A58-8098-4AE1-98BB-5CA947DA6131}"/>
    <cellStyle name="Normal 5 3 3 2 3 5 4" xfId="31539" xr:uid="{CCFCB723-F6AD-462F-92D2-0C0CFB839584}"/>
    <cellStyle name="Normal 5 3 3 2 3 5 5" xfId="31833" xr:uid="{3D4DEA08-86D4-4B52-BF8A-847A4DD64EA9}"/>
    <cellStyle name="Normal 5 3 3 2 3 5 6" xfId="32164" xr:uid="{79173FE3-8CAB-4F86-BA73-63B1DCC77BC2}"/>
    <cellStyle name="Normal 5 3 3 2 3 6" xfId="4015" xr:uid="{31A0DB43-85D3-4869-AD70-E01D62E64B6B}"/>
    <cellStyle name="Normal 5 3 3 2 3 6 2" xfId="4746" xr:uid="{6436B6BC-B08C-4B15-8C97-B396796FEFE9}"/>
    <cellStyle name="Normal 5 3 3 2 3 6 3" xfId="30318" xr:uid="{EB6FEB56-F905-4D2F-8C85-EEBBA0E88454}"/>
    <cellStyle name="Normal 5 3 3 2 3 6 3 2" xfId="31461" xr:uid="{80FFA81D-979C-43E1-8A33-E20BC8074AB0}"/>
    <cellStyle name="Normal 5 3 3 2 3 6 4" xfId="31658" xr:uid="{9DC2141B-F0B4-4E56-8BF2-20FADB2BC459}"/>
    <cellStyle name="Normal 5 3 3 2 3 6 5" xfId="31952" xr:uid="{D954C6A4-79C8-4082-86B4-7D22EF1E1CC0}"/>
    <cellStyle name="Normal 5 3 3 2 3 6 6" xfId="32282" xr:uid="{4C525289-39AF-474D-947D-3EE982654BC1}"/>
    <cellStyle name="Normal 5 3 3 2 3 7" xfId="30139" xr:uid="{CEEC2368-E04C-4884-B7E9-1C0EF9192CCC}"/>
    <cellStyle name="Normal 5 3 3 2 3 7 2" xfId="30505" xr:uid="{40091B9F-9A6C-4CD3-B1C9-52952B51C499}"/>
    <cellStyle name="Normal 5 3 3 2 3 8" xfId="31773" xr:uid="{2B25191E-3569-4896-A99F-795C742D64A0}"/>
    <cellStyle name="Normal 5 3 3 2 3 9" xfId="32049" xr:uid="{94E77DE3-5B2C-4125-80A4-E8FC9B02DDBD}"/>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4 4 3" xfId="30259" xr:uid="{CEDC34C4-7C4F-42F8-A728-9E1B2B72E5DF}"/>
    <cellStyle name="Normal 5 3 3 2 4 4 3 2" xfId="31402" xr:uid="{04E1DCED-0041-4798-B5EF-C75E7638C8D7}"/>
    <cellStyle name="Normal 5 3 3 2 4 4 4" xfId="31599" xr:uid="{8CEB4D3F-87E4-4675-A00E-13A23237EE90}"/>
    <cellStyle name="Normal 5 3 3 2 4 4 5" xfId="31893" xr:uid="{AD32732D-EA7E-4E42-981B-6AFA5D8F4DA4}"/>
    <cellStyle name="Normal 5 3 3 2 4 4 6" xfId="32223" xr:uid="{F23E49B0-0991-4674-A599-197A1A39C67C}"/>
    <cellStyle name="Normal 5 3 3 2 4 5" xfId="32112" xr:uid="{DD60E394-CC4D-4524-BAC7-68CA88B0A635}"/>
    <cellStyle name="Normal 5 3 3 2 5" xfId="2117" xr:uid="{00000000-0005-0000-0000-00008D020000}"/>
    <cellStyle name="Normal 5 3 3 2 5 2" xfId="4642" xr:uid="{6378A6EC-FE82-4A4D-B72E-F6F245354E18}"/>
    <cellStyle name="Normal 5 3 3 2 5 3" xfId="30198" xr:uid="{0981AB84-2DA6-4145-8664-7123FC7576F6}"/>
    <cellStyle name="Normal 5 3 3 2 5 3 2" xfId="31342" xr:uid="{EB2B9519-500F-4130-8E51-DAC57147922E}"/>
    <cellStyle name="Normal 5 3 3 2 5 4" xfId="31538" xr:uid="{0371D498-EC60-404F-B603-BA455C09888E}"/>
    <cellStyle name="Normal 5 3 3 2 5 5" xfId="31832" xr:uid="{2CCDF7F2-B581-4E91-87A6-32687C0B44DC}"/>
    <cellStyle name="Normal 5 3 3 2 5 6" xfId="32163" xr:uid="{8C631436-118C-4E87-A5FB-190715264B99}"/>
    <cellStyle name="Normal 5 3 3 2 6" xfId="4014" xr:uid="{336F4594-40A6-452F-A442-AD096348AEFF}"/>
    <cellStyle name="Normal 5 3 3 2 6 2" xfId="4753" xr:uid="{9079EEE4-247F-4C6E-9514-EE91EF9D4BBA}"/>
    <cellStyle name="Normal 5 3 3 2 6 3" xfId="30317" xr:uid="{B0057DC8-8D51-4F0B-8203-572F5C4F51C8}"/>
    <cellStyle name="Normal 5 3 3 2 6 3 2" xfId="31460" xr:uid="{64DB68D6-4682-48F1-BA8A-90265E89A3AD}"/>
    <cellStyle name="Normal 5 3 3 2 6 4" xfId="31657" xr:uid="{472E5388-6075-4B31-97C3-77FAE2C3A31D}"/>
    <cellStyle name="Normal 5 3 3 2 6 5" xfId="31951" xr:uid="{B77F9C38-F2D4-4E32-89DF-E504BF652154}"/>
    <cellStyle name="Normal 5 3 3 2 6 6" xfId="32281" xr:uid="{FD044368-AFF2-4814-9ED2-EA1CE51F7A9D}"/>
    <cellStyle name="Normal 5 3 3 2 7" xfId="30138" xr:uid="{D531B8A8-AA54-477A-BB5E-9C4205A9F66B}"/>
    <cellStyle name="Normal 5 3 3 2 7 2" xfId="30504" xr:uid="{F0BFF427-E566-43AB-88DF-26A10FC54877}"/>
    <cellStyle name="Normal 5 3 3 2 8" xfId="31772" xr:uid="{CAB2CF16-192A-4599-B2D4-457049C4418A}"/>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3 3 3" xfId="30260" xr:uid="{408ABDB9-2147-48DA-BFA3-76DF31BA6EC1}"/>
    <cellStyle name="Normal 5 3 3 3 3 3 2" xfId="31403" xr:uid="{A65CE80A-A839-4049-ADFD-AAF8F6EE6D79}"/>
    <cellStyle name="Normal 5 3 3 3 3 4" xfId="31600" xr:uid="{4B81E7BD-6142-432E-988B-18B93FCA55D9}"/>
    <cellStyle name="Normal 5 3 3 3 3 5" xfId="31894" xr:uid="{20BB71C6-3BBD-4DFF-81E5-88B3AF49701C}"/>
    <cellStyle name="Normal 5 3 3 3 3 6" xfId="32224" xr:uid="{29CBDE8C-8F8E-4826-9546-C6A5D1C849F7}"/>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2 2" xfId="30083" xr:uid="{E69CF877-FED2-44A6-9C89-2AAF3ED69E2C}"/>
    <cellStyle name="Normal 5 3 3 4 2 2 2 3" xfId="3736" xr:uid="{00000000-0005-0000-0000-0000A9050000}"/>
    <cellStyle name="Normal 5 3 3 4 2 2 2 3 2" xfId="4718" xr:uid="{445C2ED0-AA7A-4C15-99E2-A6CE07F7E750}"/>
    <cellStyle name="Normal 5 3 3 4 2 2 2 3 3" xfId="30261" xr:uid="{4500CED2-90B4-4C83-84D6-D51298D69CD2}"/>
    <cellStyle name="Normal 5 3 3 4 2 2 2 3 3 2" xfId="31404" xr:uid="{E891891A-4822-421D-B2CD-A770A72BB211}"/>
    <cellStyle name="Normal 5 3 3 4 2 2 2 3 4" xfId="31601" xr:uid="{1B9D8C01-B3C8-4875-9346-DF245DF8B53F}"/>
    <cellStyle name="Normal 5 3 3 4 2 2 2 3 5" xfId="31895" xr:uid="{42548376-0F5B-4503-9132-1B2C4A09D1C9}"/>
    <cellStyle name="Normal 5 3 3 4 2 2 2 3 6" xfId="32225" xr:uid="{5628D00A-40ED-4578-B3F0-D61592362240}"/>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2 5" xfId="32084" xr:uid="{73D9CCC9-0E8C-4DE7-B708-DC1DA746CF39}"/>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4 3" xfId="30201" xr:uid="{FC394264-21C2-443A-85AC-A09B6102770E}"/>
    <cellStyle name="Normal 5 3 3 4 2 3 4 3 2" xfId="31345" xr:uid="{B397F56A-E127-4FEB-B511-42354C6ED55C}"/>
    <cellStyle name="Normal 5 3 3 4 2 3 4 4" xfId="31541" xr:uid="{807C005B-BCFB-47D1-823C-E799B44488B6}"/>
    <cellStyle name="Normal 5 3 3 4 2 3 4 5" xfId="31835" xr:uid="{F88B0801-A0D0-4052-BD35-EC66AD5F8D82}"/>
    <cellStyle name="Normal 5 3 3 4 2 3 4 6" xfId="32166" xr:uid="{84DB3F3B-8A4F-4B3E-BD76-94410B6A547D}"/>
    <cellStyle name="Normal 5 3 3 4 2 3 5" xfId="24944" xr:uid="{9F045087-C642-46A8-91FD-AAF692F573EC}"/>
    <cellStyle name="Normal 5 3 3 4 2 3 5 2" xfId="32127" xr:uid="{28168571-9EDC-428C-B94A-4FAF9F8F5550}"/>
    <cellStyle name="Normal 5 3 3 4 2 3 6" xfId="30539" xr:uid="{4F060E07-9DDD-4899-B86B-3CC298685E95}"/>
    <cellStyle name="Normal 5 3 3 4 2 4" xfId="24108" xr:uid="{948204CC-FE7E-44DB-B145-20BC57C9DDCF}"/>
    <cellStyle name="Normal 5 3 3 4 2 5" xfId="32050" xr:uid="{7FA427BD-4923-4DDA-8C19-911C4F6725A1}"/>
    <cellStyle name="Normal 5 3 3 4 3" xfId="1159" xr:uid="{00000000-0005-0000-0000-000047060000}"/>
    <cellStyle name="Normal 5 3 3 4 4" xfId="2960" xr:uid="{00000000-0005-0000-0000-00001E070000}"/>
    <cellStyle name="Normal 5 3 3 4 4 2" xfId="31293" xr:uid="{F161427D-9EB4-4451-9A6A-06D7E603F9F7}"/>
    <cellStyle name="Normal 5 3 3 4 5" xfId="2119" xr:uid="{00000000-0005-0000-0000-000092020000}"/>
    <cellStyle name="Normal 5 3 3 4 5 2" xfId="4670" xr:uid="{C1D65F0E-85F0-4012-A373-B75FD3E1BAA3}"/>
    <cellStyle name="Normal 5 3 3 4 5 3" xfId="30200" xr:uid="{BA5F1E7E-EAF0-4465-897E-F4668DC5C4A0}"/>
    <cellStyle name="Normal 5 3 3 4 5 3 2" xfId="31344" xr:uid="{ABFF19D9-FA8A-40A6-A15A-35E0040E4045}"/>
    <cellStyle name="Normal 5 3 3 4 5 4" xfId="31540" xr:uid="{50683AFB-0840-4025-A64C-4D13E7846670}"/>
    <cellStyle name="Normal 5 3 3 4 5 5" xfId="31834" xr:uid="{2F36F886-931E-43DB-818A-AF5796AAE542}"/>
    <cellStyle name="Normal 5 3 3 4 5 6" xfId="32165" xr:uid="{709E1C17-054B-4FBD-A50F-0AB406242987}"/>
    <cellStyle name="Normal 5 3 3 4 6" xfId="4016" xr:uid="{D2756F3F-6B90-4F0D-A058-F63FBCF3FF7E}"/>
    <cellStyle name="Normal 5 3 3 4 6 2" xfId="4783" xr:uid="{6E3C98E3-D3AA-4BD6-A38C-7B56FF88A673}"/>
    <cellStyle name="Normal 5 3 3 4 6 3" xfId="30319" xr:uid="{A1494EBF-E472-4D23-9E90-66371198EBEC}"/>
    <cellStyle name="Normal 5 3 3 4 6 3 2" xfId="31462" xr:uid="{5598B1F7-1EC4-47B1-BDD3-05CD60976B56}"/>
    <cellStyle name="Normal 5 3 3 4 6 4" xfId="31659" xr:uid="{02121827-5E2D-4E5E-A409-436155C20907}"/>
    <cellStyle name="Normal 5 3 3 4 6 5" xfId="31953" xr:uid="{7782B158-FDC8-477A-B562-08B9DA719FCC}"/>
    <cellStyle name="Normal 5 3 3 4 6 6" xfId="32283" xr:uid="{D32C471D-AC97-4037-87F5-4137F7EE21E0}"/>
    <cellStyle name="Normal 5 3 3 4 7" xfId="30140" xr:uid="{347E797A-C3DA-48FE-923F-48D6C2483068}"/>
    <cellStyle name="Normal 5 3 3 4 7 2" xfId="30506" xr:uid="{2B8EC82B-053E-4181-83D9-DD6F2D19A0F7}"/>
    <cellStyle name="Normal 5 3 3 4 8" xfId="31774" xr:uid="{3C357966-CF74-4701-9B29-FFAAB496DA32}"/>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2 3" xfId="32226" xr:uid="{6BAD5FF7-7AF8-44B6-82F7-8F70E6ED94BC}"/>
    <cellStyle name="Normal 5 3 3 5 3 3" xfId="25684" xr:uid="{AE73F470-D748-4439-B078-FE8783C376B5}"/>
    <cellStyle name="Normal 5 3 3 5 3 4" xfId="30262" xr:uid="{2013BC4F-1489-4ABC-B72A-BF4F1AE08F66}"/>
    <cellStyle name="Normal 5 3 3 5 3 4 2" xfId="31405" xr:uid="{DFB6642C-C241-44DB-BD6A-3B774736CE12}"/>
    <cellStyle name="Normal 5 3 3 5 3 5" xfId="31602" xr:uid="{03BEB35F-10DC-466C-B4F6-64DC8F5CFD34}"/>
    <cellStyle name="Normal 5 3 3 5 3 6" xfId="31896" xr:uid="{53B2FB37-56CF-4F63-99AA-2BA801C7D5A3}"/>
    <cellStyle name="Normal 5 3 3 5 4" xfId="25356" xr:uid="{F5A8C535-4FB1-4A24-9D3B-16620EFF46D1}"/>
    <cellStyle name="Normal 5 3 3 5 5" xfId="32048" xr:uid="{030B356E-77F0-47E2-89FB-922030219595}"/>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3 6 3 3" xfId="30263" xr:uid="{D9421690-CFB8-4A7F-8514-10825D246B89}"/>
    <cellStyle name="Normal 5 3 3 6 3 3 2" xfId="31406" xr:uid="{3C2573D1-AC8F-4143-A4EB-DB65B7B44633}"/>
    <cellStyle name="Normal 5 3 3 6 3 4" xfId="31603" xr:uid="{CEF19B6A-2698-4B31-94DB-D232E456FD88}"/>
    <cellStyle name="Normal 5 3 3 6 3 5" xfId="31897" xr:uid="{37D0F6FF-D028-4AB8-BF77-2760405DC5CD}"/>
    <cellStyle name="Normal 5 3 3 6 3 6" xfId="32227" xr:uid="{172D2063-A89F-4294-AFFD-94590B2F4424}"/>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3 3 3" xfId="30264" xr:uid="{BF899BB0-E15F-4E51-901D-CDD6A013BF10}"/>
    <cellStyle name="Normal 5 3 4 3 2 3 3 3 2" xfId="31407" xr:uid="{C4B75909-CC22-4C7F-BDF8-B7847156ED0A}"/>
    <cellStyle name="Normal 5 3 4 3 2 3 3 4" xfId="31604" xr:uid="{D1B3BD06-D116-43C5-A228-6E03144C7F35}"/>
    <cellStyle name="Normal 5 3 4 3 2 3 3 5" xfId="31898" xr:uid="{F0275AAD-8718-4F58-8AC2-9639D9C64825}"/>
    <cellStyle name="Normal 5 3 4 3 2 3 3 6" xfId="32228" xr:uid="{33E93CD6-950C-40A5-B6F3-C4601C5FE1CB}"/>
    <cellStyle name="Normal 5 3 4 3 2 4" xfId="24655" xr:uid="{5F063B03-3FE5-47FE-9028-D7BB1C893E88}"/>
    <cellStyle name="Normal 5 3 4 3 2 5" xfId="32085" xr:uid="{9A2BE10D-E1C5-4949-8223-A8F1094E5E48}"/>
    <cellStyle name="Normal 5 3 4 3 3" xfId="1169" xr:uid="{00000000-0005-0000-0000-000053060000}"/>
    <cellStyle name="Normal 5 3 4 3 4" xfId="2961" xr:uid="{00000000-0005-0000-0000-000024070000}"/>
    <cellStyle name="Normal 5 3 4 3 4 2" xfId="31288" xr:uid="{DCD0F34B-C807-48EF-AD43-4F507781571A}"/>
    <cellStyle name="Normal 5 3 4 3 5" xfId="2122" xr:uid="{00000000-0005-0000-0000-000099020000}"/>
    <cellStyle name="Normal 5 3 4 3 5 2" xfId="3818" xr:uid="{9369DBB9-DD67-4338-8EB8-DA10B04D3AFA}"/>
    <cellStyle name="Normal 5 3 4 3 5 3" xfId="30203" xr:uid="{93B0F0FE-EEB4-4F30-BC7B-21D74A10E953}"/>
    <cellStyle name="Normal 5 3 4 3 5 3 2" xfId="31347" xr:uid="{C1C74FE2-D0BD-48ED-92BA-3137D666D3B8}"/>
    <cellStyle name="Normal 5 3 4 3 5 4" xfId="31543" xr:uid="{E2D064AD-4A27-4CEF-A265-0794D4FEB3DD}"/>
    <cellStyle name="Normal 5 3 4 3 5 5" xfId="31837" xr:uid="{6DD0B63B-BCBC-4E53-8390-DC94257EB32A}"/>
    <cellStyle name="Normal 5 3 4 3 5 6" xfId="32168" xr:uid="{3919AEB2-0ED9-43D1-876B-34B561E7705D}"/>
    <cellStyle name="Normal 5 3 4 3 6" xfId="4018" xr:uid="{1613ADCD-F7DC-4D24-BE2E-0512CCDB9F7E}"/>
    <cellStyle name="Normal 5 3 4 3 6 2" xfId="4698" xr:uid="{DE044A17-1F25-42F0-A6B5-42ABCA6D7CD9}"/>
    <cellStyle name="Normal 5 3 4 3 6 3" xfId="30321" xr:uid="{AD79B433-505B-4DDB-81D4-604D12CD1CB9}"/>
    <cellStyle name="Normal 5 3 4 3 6 3 2" xfId="31464" xr:uid="{1800BDA3-11C3-40C5-978D-FA7BA615088A}"/>
    <cellStyle name="Normal 5 3 4 3 6 4" xfId="31661" xr:uid="{26F0A201-B426-425F-9086-BCB13F3DABE8}"/>
    <cellStyle name="Normal 5 3 4 3 6 5" xfId="31955" xr:uid="{4DCCB906-EBF2-438B-9E5A-B1694AF0EF53}"/>
    <cellStyle name="Normal 5 3 4 3 6 6" xfId="32285" xr:uid="{7BA0267A-E119-43A8-8563-B409EE75C539}"/>
    <cellStyle name="Normal 5 3 4 3 7" xfId="30142" xr:uid="{8464588B-FBC9-4AEB-8137-4B7B64E1AFE0}"/>
    <cellStyle name="Normal 5 3 4 3 7 2" xfId="30508" xr:uid="{0455E1FF-3A8B-40C3-BF3A-C60A750C7BEF}"/>
    <cellStyle name="Normal 5 3 4 3 8" xfId="31776" xr:uid="{DA682CD3-43EC-4ABB-AA79-9FFA4EABEA26}"/>
    <cellStyle name="Normal 5 3 4 3 9" xfId="32051" xr:uid="{A97592A4-08F9-41FD-B419-C21B548A8BA5}"/>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4 3 3" xfId="30265" xr:uid="{A5471799-C0C9-4589-A46E-238EA1C8E213}"/>
    <cellStyle name="Normal 5 3 4 4 3 3 2" xfId="31408" xr:uid="{AF8662C3-806E-4CF6-8668-C63E00A0A729}"/>
    <cellStyle name="Normal 5 3 4 4 3 4" xfId="31605" xr:uid="{9B29F8B9-D0B4-45B0-BBC8-179A09C7733D}"/>
    <cellStyle name="Normal 5 3 4 4 3 5" xfId="31899" xr:uid="{00D3E093-4587-41F0-AB4B-EA0F1CD4B1EF}"/>
    <cellStyle name="Normal 5 3 4 4 3 6" xfId="32229" xr:uid="{683E95FF-AFD6-448C-BB66-4C8FAD32F765}"/>
    <cellStyle name="Normal 5 3 4 4 4" xfId="32113" xr:uid="{3620116E-0ED1-4E87-B74F-5A887A36E72C}"/>
    <cellStyle name="Normal 5 3 4 5" xfId="2121" xr:uid="{00000000-0005-0000-0000-000097020000}"/>
    <cellStyle name="Normal 5 3 4 5 2" xfId="4652" xr:uid="{AE4239F0-8210-40A2-B60A-C02B564418C5}"/>
    <cellStyle name="Normal 5 3 4 5 3" xfId="30202" xr:uid="{C013D1DD-471B-403F-9025-A8E80966F87F}"/>
    <cellStyle name="Normal 5 3 4 5 3 2" xfId="31346" xr:uid="{1C4CE880-E9D0-4A50-950B-816A84BF1515}"/>
    <cellStyle name="Normal 5 3 4 5 4" xfId="31542" xr:uid="{3131D79D-CA78-43D8-8AFB-AF83F6987B75}"/>
    <cellStyle name="Normal 5 3 4 5 5" xfId="31836" xr:uid="{91DDD679-5478-43FA-B8FB-E6B70348975D}"/>
    <cellStyle name="Normal 5 3 4 5 6" xfId="32167" xr:uid="{DAD3F515-FC96-49D0-B9DC-E119747EF48B}"/>
    <cellStyle name="Normal 5 3 4 6" xfId="4017" xr:uid="{CB599806-7C8A-45F6-9C5C-00B11E4887E0}"/>
    <cellStyle name="Normal 5 3 4 6 2" xfId="4689" xr:uid="{C33C1D9E-89E1-44FF-859F-F450C4814C70}"/>
    <cellStyle name="Normal 5 3 4 6 3" xfId="30320" xr:uid="{AF3B5E87-0871-4E2F-8B2C-CF43843C27F0}"/>
    <cellStyle name="Normal 5 3 4 6 3 2" xfId="31463" xr:uid="{1899F4E4-4289-40CD-8114-19BEC7B0B04B}"/>
    <cellStyle name="Normal 5 3 4 6 4" xfId="31660" xr:uid="{67082448-0D89-4D8D-8399-AD957CCFD59C}"/>
    <cellStyle name="Normal 5 3 4 6 5" xfId="31954" xr:uid="{85883DA4-F313-4189-9E07-0B7A1C73CF9A}"/>
    <cellStyle name="Normal 5 3 4 6 6" xfId="32284" xr:uid="{210A310D-BD43-422D-B45D-E682253E3ACC}"/>
    <cellStyle name="Normal 5 3 4 7" xfId="30141" xr:uid="{C5086DE0-3D25-4310-955C-9881B5375DBB}"/>
    <cellStyle name="Normal 5 3 4 7 2" xfId="30507" xr:uid="{0691E9B7-B979-49A9-82BB-8C389DE41776}"/>
    <cellStyle name="Normal 5 3 4 8" xfId="31775" xr:uid="{715FFDD6-6568-430B-981E-3E9264DED39F}"/>
    <cellStyle name="Normal 5 3 5" xfId="2069" xr:uid="{00000000-0005-0000-0000-00008A020000}"/>
    <cellStyle name="Normal 5 3 5 2" xfId="4724" xr:uid="{FB219402-4458-4731-8217-11E2AB428DAD}"/>
    <cellStyle name="Normal 5 3 5 3" xfId="30169" xr:uid="{22C0B9B5-A215-40E0-90E4-E9BF49B6C962}"/>
    <cellStyle name="Normal 5 3 5 3 2" xfId="30509" xr:uid="{2A3E056B-8875-48CA-B07B-074ED168B004}"/>
    <cellStyle name="Normal 5 3 5 4" xfId="31509" xr:uid="{19BA7BD3-B108-41EE-8AED-7AF73153AA44}"/>
    <cellStyle name="Normal 5 3 5 5" xfId="31803" xr:uid="{316130DC-D2A6-4547-8B59-382E1EA1CF4F}"/>
    <cellStyle name="Normal 5 3 5 6" xfId="32134" xr:uid="{CB1CF944-E872-4B80-B2F3-1E9A89BCA2A5}"/>
    <cellStyle name="Normal 5 3 6" xfId="30114" xr:uid="{FF7EC34F-1D03-426F-944C-8DDEC9BD14BD}"/>
    <cellStyle name="Normal 5 3 6 2" xfId="30474" xr:uid="{C83318F6-E85A-4A71-88FC-A52912529995}"/>
    <cellStyle name="Normal 5 3 7" xfId="31747" xr:uid="{337C1941-D29F-4DFE-8FD7-B5C358B0C158}"/>
    <cellStyle name="Normal 5 3 8" xfId="32029" xr:uid="{6D00EF5F-160A-4508-938F-8D5F965FBAD8}"/>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4 3 3 3" xfId="30266" xr:uid="{077BAFD6-31C2-403C-B6C9-D7A0B0C4E389}"/>
    <cellStyle name="Normal 5 4 3 3 3 2" xfId="31409" xr:uid="{92C0E6B0-540E-4500-9E66-230FB68E0A0F}"/>
    <cellStyle name="Normal 5 4 3 3 4" xfId="31606" xr:uid="{6882488E-1D4B-4A30-B2F8-B692B5523CCB}"/>
    <cellStyle name="Normal 5 4 3 3 5" xfId="31900" xr:uid="{40F263E5-2734-4E01-AD2F-E4EBBFD5EC64}"/>
    <cellStyle name="Normal 5 4 3 3 6" xfId="32230" xr:uid="{287C1381-AF4C-4368-AE76-629C5B070678}"/>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3 3 3" xfId="30267" xr:uid="{59D125B9-F39A-46E1-A17C-98D62824EB27}"/>
    <cellStyle name="Normal 5 5 10 2 3 3 3 2" xfId="31410" xr:uid="{E71ACD12-B317-427B-BB6C-C76E5FC66E22}"/>
    <cellStyle name="Normal 5 5 10 2 3 3 4" xfId="31607" xr:uid="{28520A92-387B-4256-98CB-37A8D127A231}"/>
    <cellStyle name="Normal 5 5 10 2 3 3 5" xfId="31901" xr:uid="{754658E2-73F9-40DD-B4CA-4C1722B5D59C}"/>
    <cellStyle name="Normal 5 5 10 2 3 3 6" xfId="32231" xr:uid="{A2048FF9-337B-4E13-B5AF-7E20DD11C2E0}"/>
    <cellStyle name="Normal 5 5 10 2 4" xfId="25773" xr:uid="{C3D50B18-259C-4014-9BCC-0D850B8A97C8}"/>
    <cellStyle name="Normal 5 5 10 2 5" xfId="32086" xr:uid="{7A83D5A8-789F-47E8-BC04-FD9497642FC6}"/>
    <cellStyle name="Normal 5 5 10 3" xfId="1180" xr:uid="{00000000-0005-0000-0000-000060060000}"/>
    <cellStyle name="Normal 5 5 10 4" xfId="2962" xr:uid="{00000000-0005-0000-0000-00002C070000}"/>
    <cellStyle name="Normal 5 5 10 4 2" xfId="31298" xr:uid="{5A6D113D-41BD-4B2B-84F1-322D480A3CB5}"/>
    <cellStyle name="Normal 5 5 10 5" xfId="2124" xr:uid="{00000000-0005-0000-0000-00009E020000}"/>
    <cellStyle name="Normal 5 5 10 5 2" xfId="3790" xr:uid="{3E02F4FD-1C4C-4539-A2B7-19465E26278C}"/>
    <cellStyle name="Normal 5 5 10 5 3" xfId="30205" xr:uid="{CD6EF2D4-0244-497A-A1A2-5CB7CEACAD08}"/>
    <cellStyle name="Normal 5 5 10 5 3 2" xfId="31349" xr:uid="{F4393F33-33B7-414E-8C16-1CC9B8AEEB67}"/>
    <cellStyle name="Normal 5 5 10 5 4" xfId="31545" xr:uid="{C11D04CC-F052-44CD-9EC7-277082F56C47}"/>
    <cellStyle name="Normal 5 5 10 5 5" xfId="31839" xr:uid="{130F5C18-B1B8-4F58-8C05-BA4F984E60B2}"/>
    <cellStyle name="Normal 5 5 10 5 6" xfId="32170" xr:uid="{DBFE37A5-1E7B-45BD-B479-0B9A651EF7A1}"/>
    <cellStyle name="Normal 5 5 10 6" xfId="4020" xr:uid="{337F88F3-5843-4A8A-A4B2-DC8C7B59A64B}"/>
    <cellStyle name="Normal 5 5 10 6 2" xfId="4806" xr:uid="{9AEE980B-AC49-472C-ABA8-56F2FAA76E03}"/>
    <cellStyle name="Normal 5 5 10 6 3" xfId="30323" xr:uid="{0EA3F919-8FF0-462B-A82C-815D3F9A6A5F}"/>
    <cellStyle name="Normal 5 5 10 6 3 2" xfId="31466" xr:uid="{7CB46D50-7B99-484C-ABB1-4B35FE53302E}"/>
    <cellStyle name="Normal 5 5 10 6 4" xfId="31663" xr:uid="{E4914706-502A-4324-8E26-B98952712100}"/>
    <cellStyle name="Normal 5 5 10 6 5" xfId="31957" xr:uid="{7E2D0404-CD48-4B83-813F-1C109FF59CF1}"/>
    <cellStyle name="Normal 5 5 10 6 6" xfId="32287" xr:uid="{F021B8C4-D97C-4D01-8B14-FD0B1C77D00B}"/>
    <cellStyle name="Normal 5 5 10 7" xfId="30144" xr:uid="{9EC4A54E-D459-477E-95C3-D8EED714DA54}"/>
    <cellStyle name="Normal 5 5 10 7 2" xfId="30510" xr:uid="{642D08F6-4146-4DCF-BE9E-E70107F064A1}"/>
    <cellStyle name="Normal 5 5 10 8" xfId="31778" xr:uid="{DE339D0D-60AE-4F49-9D53-282804968AB2}"/>
    <cellStyle name="Normal 5 5 10 9" xfId="32052" xr:uid="{C7880AA4-412C-47C5-9CC1-B24DFED4B988}"/>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2" xfId="1183" xr:uid="{00000000-0005-0000-0000-000063060000}"/>
    <cellStyle name="Normal 5 5 12 2 2" xfId="25907" xr:uid="{ACDBEB07-C175-4F8A-AF35-7A83D073F597}"/>
    <cellStyle name="Normal 5 5 12 2 2 2" xfId="27059" xr:uid="{73488BCF-2C51-42DE-9E58-72168444506D}"/>
    <cellStyle name="Normal 5 5 12 2 2 3" xfId="31494" xr:uid="{8C768011-0350-4625-9C22-6E5BAC343524}"/>
    <cellStyle name="Normal 5 5 12 2 2 4" xfId="31304" xr:uid="{4E92DD05-9DE3-47E0-9C33-4A23B380A4BC}"/>
    <cellStyle name="Normal 5 5 12 2 3" xfId="27500" xr:uid="{C60B8A07-C87E-417E-81F5-A75D4AE0518D}"/>
    <cellStyle name="Normal 5 5 12 2 4" xfId="27364" xr:uid="{FCABEA70-D790-4657-BF9A-CD1687570BD1}"/>
    <cellStyle name="Normal 5 5 12 2 5" xfId="31253" xr:uid="{29DBD238-5483-4789-AB60-4DC6E160D543}"/>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5" xfId="14647" xr:uid="{A45105C8-7446-4B1D-BB0F-E6E66EEAF4EB}"/>
    <cellStyle name="Normal 5 5 12 3 3" xfId="3773" xr:uid="{D3491984-6149-4A4F-97CA-96AC04F0A2CD}"/>
    <cellStyle name="Normal 5 5 12 3 3 2" xfId="4807" xr:uid="{62869006-B692-4B88-AA1D-967FD650D28C}"/>
    <cellStyle name="Normal 5 5 12 3 3 3" xfId="30295" xr:uid="{0809AC62-F3B7-493F-BB49-1E9941AC2340}"/>
    <cellStyle name="Normal 5 5 12 3 3 3 2" xfId="31438" xr:uid="{7019EB67-3295-429D-8D0F-44B17EE0D105}"/>
    <cellStyle name="Normal 5 5 12 3 3 4" xfId="31635" xr:uid="{7ED5B869-69B2-431F-9CC3-F41F5D450414}"/>
    <cellStyle name="Normal 5 5 12 3 3 5" xfId="31929" xr:uid="{BD43FFDF-D321-49CF-8E57-FC0670884458}"/>
    <cellStyle name="Normal 5 5 12 3 3 6" xfId="32259" xr:uid="{D5BBE5B3-D191-4E39-AE01-73014EF67497}"/>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3 3" xfId="30268" xr:uid="{0A57DE32-6FA3-493D-BCD5-EF945C4BCD4C}"/>
    <cellStyle name="Normal 5 5 12 4 3 3 2" xfId="31411" xr:uid="{8D615E02-7AB1-47B9-B5C0-EFCC16FE5595}"/>
    <cellStyle name="Normal 5 5 12 4 3 4" xfId="31608" xr:uid="{333049E4-D2E4-478B-A9A7-397D8F1AD60F}"/>
    <cellStyle name="Normal 5 5 12 4 3 5" xfId="31902" xr:uid="{B49DDE4E-B474-4D82-8DE7-DE34D666ABD3}"/>
    <cellStyle name="Normal 5 5 12 4 3 6" xfId="32232" xr:uid="{DBD63F03-A22B-4EDF-9C9B-678ACAA92542}"/>
    <cellStyle name="Normal 5 5 12 4 4" xfId="23739" xr:uid="{584E66C2-83BD-4415-897A-413EAACEC637}"/>
    <cellStyle name="Normal 5 5 12 4 5" xfId="23070" xr:uid="{445314E8-3702-42F9-96C4-4F1E3E1FC2C9}"/>
    <cellStyle name="Normal 5 5 12 4 6" xfId="26121" xr:uid="{972A4539-7000-4879-8DC1-AC3C9DAB57C7}"/>
    <cellStyle name="Normal 5 5 12 4 7" xfId="32114" xr:uid="{760C5AAE-9CDB-45D1-8D86-F48C56DF86FA}"/>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6 4" xfId="30397" xr:uid="{A373ECD6-01CF-4482-A92D-8D307049E070}"/>
    <cellStyle name="Normal 5 5 12 7" xfId="2134" xr:uid="{00000000-0005-0000-0000-0000A1020000}"/>
    <cellStyle name="Normal 5 5 12 7 2" xfId="4820" xr:uid="{933CD350-3DDB-4FFC-B65F-DBC9B5AC6FAA}"/>
    <cellStyle name="Normal 5 5 12 7 3" xfId="30215" xr:uid="{827A0F38-C1A0-4EEE-9A2A-D5F26A0F3BC4}"/>
    <cellStyle name="Normal 5 5 12 7 3 2" xfId="31359" xr:uid="{12077E98-D42B-4C46-B42E-477CDA1BC168}"/>
    <cellStyle name="Normal 5 5 12 7 4" xfId="31555" xr:uid="{ED0A659F-49C6-47AD-A8E9-D609C6FE0B98}"/>
    <cellStyle name="Normal 5 5 12 7 5" xfId="31849" xr:uid="{A34030C0-1ADE-4F6E-8588-709AA51B14BF}"/>
    <cellStyle name="Normal 5 5 12 7 6" xfId="32180" xr:uid="{CE102BB0-156D-49E9-B1B7-0B129D62595C}"/>
    <cellStyle name="Normal 5 5 12 8" xfId="4040" xr:uid="{339DDFF4-B60C-4AB4-A281-8CA03C0100FF}"/>
    <cellStyle name="Normal 5 5 12 8 2" xfId="4818" xr:uid="{7550A7D3-C1EF-43A3-A121-A8E9FC3C1D0F}"/>
    <cellStyle name="Normal 5 5 12 8 3" xfId="30332" xr:uid="{D7DBAFC5-F908-4480-B7AC-0D36D243E461}"/>
    <cellStyle name="Normal 5 5 12 8 3 2" xfId="30468" xr:uid="{008082A2-179F-4EAE-9BED-194B26EA3013}"/>
    <cellStyle name="Normal 5 5 12 8 4" xfId="31672" xr:uid="{958C0CF7-489D-4DFD-AFD0-0923A7F799E9}"/>
    <cellStyle name="Normal 5 5 12 8 5" xfId="31966" xr:uid="{198FE584-0EBD-4846-9AFF-45C9E6F51FC7}"/>
    <cellStyle name="Normal 5 5 12 8 6" xfId="32296" xr:uid="{F20B166C-EE66-4AE1-9EDF-AC0BCC40D3B2}"/>
    <cellStyle name="Normal 5 5 12 9" xfId="25796" xr:uid="{E3CEE472-2575-4086-9B70-8587E190341C}"/>
    <cellStyle name="Normal 5 5 12 9 2" xfId="26401" xr:uid="{EE6D3784-0C10-40B4-B5A5-246641421871}"/>
    <cellStyle name="Normal 5 5 12 9 3" xfId="31166" xr:uid="{1A4271D5-26B0-4441-8D15-E29ECA5F4D9D}"/>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3 8" xfId="31252" xr:uid="{74A630F6-B0B0-425A-B58E-98533DCF93A3}"/>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3 4" xfId="30269" xr:uid="{D54B79A8-5499-4F5C-A60A-015D6BE65FD9}"/>
    <cellStyle name="Normal 5 5 14 3 4 2" xfId="31412" xr:uid="{575483AF-AA95-4D48-B584-5A9993226AA8}"/>
    <cellStyle name="Normal 5 5 14 3 5" xfId="31609" xr:uid="{14E7F71F-AA9C-4825-9092-BF0C8A1EFF2F}"/>
    <cellStyle name="Normal 5 5 14 3 6" xfId="31903" xr:uid="{7E62AF28-5138-45A1-B504-E13586E5ACC7}"/>
    <cellStyle name="Normal 5 5 14 3 7" xfId="32233" xr:uid="{8C148AED-B56F-4DE0-94E4-253801186888}"/>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3" xfId="27863" xr:uid="{94C316B2-9303-4343-AB75-17DFAF12E21D}"/>
    <cellStyle name="Normal 5 5 17 4" xfId="30204" xr:uid="{36B20FD2-E384-4E2C-943F-B6158FB818DE}"/>
    <cellStyle name="Normal 5 5 17 4 2" xfId="31348" xr:uid="{5F08F1D5-89EB-4C5D-BB57-1B880E6EB770}"/>
    <cellStyle name="Normal 5 5 17 5" xfId="31544" xr:uid="{3B55F720-3305-4D8B-B69F-321B180500C4}"/>
    <cellStyle name="Normal 5 5 17 6" xfId="31838" xr:uid="{6A51634D-127A-4B22-AE22-86669FF3445A}"/>
    <cellStyle name="Normal 5 5 17 7" xfId="32169" xr:uid="{CD439D10-FDD5-45B4-BF59-8827CCC2D1B8}"/>
    <cellStyle name="Normal 5 5 18" xfId="4019" xr:uid="{F3938208-EDFC-4F17-ABB5-42A544677995}"/>
    <cellStyle name="Normal 5 5 18 2" xfId="4811" xr:uid="{F76BFFF7-F65C-4C10-94AE-340164E71EC1}"/>
    <cellStyle name="Normal 5 5 18 3" xfId="30322" xr:uid="{3F8752F1-9A5A-4A0A-9B43-2AF1C30DFDF6}"/>
    <cellStyle name="Normal 5 5 18 3 2" xfId="31465" xr:uid="{0CEB44F4-8608-49C7-AFD9-B308A93AF5D4}"/>
    <cellStyle name="Normal 5 5 18 4" xfId="31662" xr:uid="{67F64D7D-87AA-4672-BBA5-A417E15A374F}"/>
    <cellStyle name="Normal 5 5 18 5" xfId="31956" xr:uid="{6F225451-E1BB-4748-84E3-8090BB6BD0E2}"/>
    <cellStyle name="Normal 5 5 18 6" xfId="32286" xr:uid="{1B54507E-0CFA-40F6-951A-F043CAA2B0A2}"/>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3 6" xfId="29680" xr:uid="{97CDD6DB-E3BD-4C8B-B733-D86227385425}"/>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4 2" xfId="29746" xr:uid="{292C7506-2051-4783-9A25-16674A0F4704}"/>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21" xfId="29835" xr:uid="{B3E1E0EF-7306-41CF-9823-2647A17B861C}"/>
    <cellStyle name="Normal 5 5 21 2" xfId="31503" xr:uid="{4413B3F3-F116-425E-B3FC-2126AAE6FA06}"/>
    <cellStyle name="Normal 5 5 22" xfId="29980" xr:uid="{D67E6B79-0BB9-41EF-9496-F362FC77F6A8}"/>
    <cellStyle name="Normal 5 5 23" xfId="30143" xr:uid="{E141DD7A-B371-4E36-AC36-3D3BBD6F49D4}"/>
    <cellStyle name="Normal 5 5 23 2" xfId="32019" xr:uid="{81E550AD-9039-41F4-A2D5-02CB7EC9C075}"/>
    <cellStyle name="Normal 5 5 24" xfId="31777" xr:uid="{063500B0-5BCF-4689-9FF8-33FD7D7871A1}"/>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10" xfId="32053" xr:uid="{1D14E7C6-7BE9-49C4-A29B-BD69ACB796F3}"/>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4 2" xfId="29785" xr:uid="{89E00D79-3211-4205-9817-0EE04526993D}"/>
    <cellStyle name="Normal 5 5 3 3 2 2 5" xfId="24695" xr:uid="{E22B5C30-2C6B-4970-B1C3-452F3FFF52A1}"/>
    <cellStyle name="Normal 5 5 3 3 2 2 6" xfId="13980" xr:uid="{C3649F74-66E1-4FD0-90AD-33DFA58BD1ED}"/>
    <cellStyle name="Normal 5 5 3 3 2 3" xfId="3409" xr:uid="{00000000-0005-0000-0000-00005B070000}"/>
    <cellStyle name="Normal 5 5 3 3 2 3 2" xfId="30087" xr:uid="{8D83AA04-EFB8-4DBE-9F2D-CA04908BDD15}"/>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2 2" xfId="29832" xr:uid="{269F8BD8-3951-442C-8C12-5034B99EF9C4}"/>
    <cellStyle name="Normal 5 5 3 3 2 5 3" xfId="22724" xr:uid="{5EC33E70-0B4D-40F0-A6E8-EF4A4475260D}"/>
    <cellStyle name="Normal 5 5 3 3 2 5 3 2" xfId="30093" xr:uid="{B5B6AB49-98AB-441B-87F7-DD685D6798A1}"/>
    <cellStyle name="Normal 5 5 3 3 2 5 3 3" xfId="32234" xr:uid="{DD081042-800C-4D61-8723-627BF64B1BA5}"/>
    <cellStyle name="Normal 5 5 3 3 2 5 4" xfId="23447" xr:uid="{8571319B-7759-4A87-B13E-0C7FEACCE3F9}"/>
    <cellStyle name="Normal 5 5 3 3 2 5 5" xfId="30270" xr:uid="{B88538FC-C621-4360-9D4C-DD3260457648}"/>
    <cellStyle name="Normal 5 5 3 3 2 5 5 2" xfId="31413" xr:uid="{7481AEF4-D030-4595-AF6D-9244C28EA76D}"/>
    <cellStyle name="Normal 5 5 3 3 2 5 6" xfId="31610" xr:uid="{2D73DF79-C0A1-492B-ABB8-D5521DD43C2A}"/>
    <cellStyle name="Normal 5 5 3 3 2 5 7" xfId="31904" xr:uid="{03741BC8-310A-4A53-AF2C-7496C15FEEE9}"/>
    <cellStyle name="Normal 5 5 3 3 2 6" xfId="23174" xr:uid="{585B73B8-12BC-44A6-82F7-7D9C4E64E545}"/>
    <cellStyle name="Normal 5 5 3 3 2 6 2" xfId="31149" xr:uid="{D3D0E1A9-FBCA-47EC-9550-3A4C6C30E266}"/>
    <cellStyle name="Normal 5 5 3 3 2 6 3" xfId="30912" xr:uid="{B08B4DCA-5980-4F0C-A577-2BB26932546B}"/>
    <cellStyle name="Normal 5 5 3 3 2 7" xfId="13277" xr:uid="{60854C4E-F5E6-4B50-AA94-02CF9A79D755}"/>
    <cellStyle name="Normal 5 5 3 3 2 8" xfId="30925" xr:uid="{29076549-2AA4-4007-80EA-D67AC2CC5802}"/>
    <cellStyle name="Normal 5 5 3 3 2 9" xfId="32087" xr:uid="{CA22A632-F835-4744-ABE4-D438E149E7A6}"/>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2 4" xfId="29823" xr:uid="{3881B992-1BB7-464F-91BE-BB29A3566EF8}"/>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2 2" xfId="29817" xr:uid="{02A86CA0-3F43-44CF-957F-95BA6D4BDC0E}"/>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2 3" xfId="31105" xr:uid="{41CBFC74-9674-4514-AAE2-CB0510DF1FAF}"/>
    <cellStyle name="Normal 5 5 3 3 3 4 2 4" xfId="30913" xr:uid="{DE041240-1130-4FBE-A496-AF3E183AB993}"/>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5 2" xfId="29709" xr:uid="{C6AC9FE6-8F2F-4D98-B1CC-2EFCAC323B18}"/>
    <cellStyle name="Normal 5 5 3 3 3 5 2 2" xfId="30952" xr:uid="{5D2ADC69-5EDF-4AC9-8941-E830CD16909C}"/>
    <cellStyle name="Normal 5 5 3 3 3 6" xfId="23226" xr:uid="{07D2B74A-B30D-4BBA-A7E5-EB342AD9A434}"/>
    <cellStyle name="Normal 5 5 3 3 3 6 2" xfId="29673" xr:uid="{B112CBD1-63B3-4F58-B2F2-76F0EA1536DD}"/>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2 5" xfId="30569" xr:uid="{E8720E36-9B22-4DBC-BB87-8F396A474EBD}"/>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6 3" xfId="30206" xr:uid="{19E5DBC6-87B5-46F1-B5E0-B67573138C40}"/>
    <cellStyle name="Normal 5 5 3 3 6 3 2" xfId="31350" xr:uid="{C475E952-4287-47E3-B046-F9817D97F62D}"/>
    <cellStyle name="Normal 5 5 3 3 6 4" xfId="31546" xr:uid="{F0BED102-3B27-4E13-8163-0F2933607E19}"/>
    <cellStyle name="Normal 5 5 3 3 6 5" xfId="31840" xr:uid="{02E3CA20-CDCC-4EF9-A465-3AFA4DE6B0FA}"/>
    <cellStyle name="Normal 5 5 3 3 6 6" xfId="32171" xr:uid="{F9B3F5B6-A63F-4561-903E-40EE063DE122}"/>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3 2" xfId="31173" xr:uid="{E1CFC7F0-7C6D-40F3-9AAC-AEE06C15BE18}"/>
    <cellStyle name="Normal 5 5 3 3 7 4" xfId="26362" xr:uid="{2BB7C9BC-9F92-46B9-A4E8-54E7EDCFB1FE}"/>
    <cellStyle name="Normal 5 5 3 3 7 5" xfId="30324" xr:uid="{13091C6E-267B-42E9-9EC6-63A637EF4C77}"/>
    <cellStyle name="Normal 5 5 3 3 7 5 2" xfId="31467" xr:uid="{8241D67A-0B65-441D-B87C-12FCD55689C9}"/>
    <cellStyle name="Normal 5 5 3 3 7 6" xfId="31664" xr:uid="{6C15C19A-00AD-4054-8903-F5817FB38421}"/>
    <cellStyle name="Normal 5 5 3 3 7 7" xfId="31958" xr:uid="{26829776-719A-46BD-A258-5673071C5FD9}"/>
    <cellStyle name="Normal 5 5 3 3 7 8" xfId="32288" xr:uid="{4D8E115F-9D92-4398-97E5-45C593EB7D8C}"/>
    <cellStyle name="Normal 5 5 3 3 8" xfId="29681" xr:uid="{0A86F2A0-5592-44C0-A478-BDA05FBB524E}"/>
    <cellStyle name="Normal 5 5 3 3 8 2" xfId="30540" xr:uid="{CD43F895-0D8D-40A6-9F78-B0640AD53663}"/>
    <cellStyle name="Normal 5 5 3 3 9" xfId="29669" xr:uid="{04524AD8-987D-44B0-8EAE-33D3F77F3D00}"/>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5 6 3" xfId="30362" xr:uid="{94F71B0E-9972-43D2-A698-4F5F8EC6B35B}"/>
    <cellStyle name="Normal 5 6 3 2" xfId="30511" xr:uid="{9F3E153B-B09B-471D-A946-A10EBA1534EE}"/>
    <cellStyle name="Normal 5 6 4" xfId="31702" xr:uid="{41B7F247-B74F-4329-A0A1-682D6C24C354}"/>
    <cellStyle name="Normal 5 6 5" xfId="31996" xr:uid="{63D7B69F-D531-4296-933F-895FCFAC05FA}"/>
    <cellStyle name="Normal 5 7" xfId="30110" xr:uid="{B86EA2F7-3D8C-4453-9463-4535C564224A}"/>
    <cellStyle name="Normal 5 7 2" xfId="31496" xr:uid="{388D835E-8A46-47C8-B36E-97EC381E07D9}"/>
    <cellStyle name="Normal 5 8" xfId="31738" xr:uid="{2A11AEFC-1C32-45CA-8BBE-59875947677C}"/>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2 3 3" xfId="30271" xr:uid="{64E7B98A-5618-4F94-BBB0-CE729F04F1ED}"/>
    <cellStyle name="Normal 6 2 4 2 3 3 2" xfId="31414" xr:uid="{F1A26C63-AE42-4F04-8891-03B490C2D338}"/>
    <cellStyle name="Normal 6 2 4 2 3 4" xfId="31611" xr:uid="{E337A21F-9B74-4399-88F3-B6426EE26747}"/>
    <cellStyle name="Normal 6 2 4 2 3 5" xfId="31905" xr:uid="{B4F14851-42A4-42D8-AD46-176C1F10B645}"/>
    <cellStyle name="Normal 6 2 4 2 3 6" xfId="32235" xr:uid="{A0F0D1CF-47C0-47C8-A4E2-7C5F5483F1CB}"/>
    <cellStyle name="Normal 6 2 4 3" xfId="1241" xr:uid="{00000000-0005-0000-0000-00009F060000}"/>
    <cellStyle name="Normal 6 2 4 3 2" xfId="31305" xr:uid="{928413FA-20ED-46F2-9E40-B8E246A45F39}"/>
    <cellStyle name="Normal 6 2 4 4" xfId="29855" xr:uid="{AA4C1F12-DEA9-457E-AEF5-0DB4A6E59CD3}"/>
    <cellStyle name="Normal 6 2 5" xfId="1242" xr:uid="{00000000-0005-0000-0000-0000A0060000}"/>
    <cellStyle name="Normal 6 2 6" xfId="31265"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3 3 3" xfId="30272" xr:uid="{D89606A7-7F62-4BEF-BBAC-371DD44B78A1}"/>
    <cellStyle name="Normal 6 3 3 3 2 3 2 3 3 3 2" xfId="31415" xr:uid="{0B73902A-7494-489D-AE53-A905FA779E9C}"/>
    <cellStyle name="Normal 6 3 3 3 2 3 2 3 3 4" xfId="31612" xr:uid="{F3422B09-C712-4715-9E74-E2360D1499BA}"/>
    <cellStyle name="Normal 6 3 3 3 2 3 2 3 3 5" xfId="31906" xr:uid="{4DC8D91C-F9C0-4E7B-A88F-826CB688E59F}"/>
    <cellStyle name="Normal 6 3 3 3 2 3 2 3 3 6" xfId="32236" xr:uid="{0FE8085D-AA92-42B7-9E4D-CB90C3B22B96}"/>
    <cellStyle name="Normal 6 3 3 3 2 3 2 4" xfId="23723" xr:uid="{CF6E8B82-0990-4BE4-9413-7C6041332850}"/>
    <cellStyle name="Normal 6 3 3 3 2 3 2 5" xfId="32088" xr:uid="{11EFF21F-A02A-483A-B287-73839CA63840}"/>
    <cellStyle name="Normal 6 3 3 3 2 3 3" xfId="1254" xr:uid="{00000000-0005-0000-0000-0000AD060000}"/>
    <cellStyle name="Normal 6 3 3 3 2 3 4" xfId="2971" xr:uid="{00000000-0005-0000-0000-000096070000}"/>
    <cellStyle name="Normal 6 3 3 3 2 3 4 2" xfId="31282" xr:uid="{8609F323-400D-4035-9BBF-4A50ABE08EC3}"/>
    <cellStyle name="Normal 6 3 3 3 2 3 5" xfId="2127" xr:uid="{00000000-0005-0000-0000-0000BE020000}"/>
    <cellStyle name="Normal 6 3 3 3 2 3 5 2" xfId="4680" xr:uid="{D6398DC9-E5C9-496E-A2A7-CD5014D2DFA6}"/>
    <cellStyle name="Normal 6 3 3 3 2 3 5 3" xfId="30208" xr:uid="{356E9707-CCEF-4F7C-BF32-0303F4791FE4}"/>
    <cellStyle name="Normal 6 3 3 3 2 3 5 3 2" xfId="31352" xr:uid="{CC12E4D3-F8EB-4CF6-AB97-4D8B2B3693C7}"/>
    <cellStyle name="Normal 6 3 3 3 2 3 5 4" xfId="31548" xr:uid="{87A857A3-2AA9-43F2-8657-50394276CAF6}"/>
    <cellStyle name="Normal 6 3 3 3 2 3 5 5" xfId="31842" xr:uid="{D0802F31-2ACA-4BC1-B9A9-A45C60546CFF}"/>
    <cellStyle name="Normal 6 3 3 3 2 3 5 6" xfId="32173" xr:uid="{45D57793-0C6F-40A2-9351-389E8718DF58}"/>
    <cellStyle name="Normal 6 3 3 3 2 3 6" xfId="4034" xr:uid="{C3B2AF05-98DC-463A-BA12-C74208D497DD}"/>
    <cellStyle name="Normal 6 3 3 3 2 3 6 2" xfId="4812" xr:uid="{F613BC84-EDE5-4885-8459-F27AF0BB6E85}"/>
    <cellStyle name="Normal 6 3 3 3 2 3 6 3" xfId="30326" xr:uid="{FE425496-F8E2-4D8D-BACC-24E101135861}"/>
    <cellStyle name="Normal 6 3 3 3 2 3 6 3 2" xfId="31469" xr:uid="{E634AE3F-E674-4AA0-825F-3A0FBFBCA056}"/>
    <cellStyle name="Normal 6 3 3 3 2 3 6 4" xfId="31666" xr:uid="{C88B7139-BB51-44C6-81F9-0169CA295B19}"/>
    <cellStyle name="Normal 6 3 3 3 2 3 6 5" xfId="31960" xr:uid="{2E1EAF87-55A0-4572-8E1C-BFD5E308123D}"/>
    <cellStyle name="Normal 6 3 3 3 2 3 6 6" xfId="32290" xr:uid="{CDFDC7A0-4E5C-4B2F-B216-23CF32CC1D64}"/>
    <cellStyle name="Normal 6 3 3 3 2 3 7" xfId="30146" xr:uid="{DC11676B-B130-4A24-B13D-A1AF24211213}"/>
    <cellStyle name="Normal 6 3 3 3 2 3 7 2" xfId="30513" xr:uid="{2A90FA8B-F176-40AB-B942-C645A0B2AC10}"/>
    <cellStyle name="Normal 6 3 3 3 2 3 8" xfId="31780" xr:uid="{AC73DE27-1D15-4E8C-90EF-DCE8A505F7A5}"/>
    <cellStyle name="Normal 6 3 3 3 2 3 9" xfId="32055" xr:uid="{F86B9822-B1A6-411D-BBB4-F9460576F23D}"/>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4 3 3 3" xfId="30390" xr:uid="{68412F80-5B7F-4324-AB06-AB62463D18A8}"/>
    <cellStyle name="Normal 6 3 3 3 2 4 3 3 4" xfId="30377" xr:uid="{F1CFB043-722D-4FF7-8349-A408EBFE1248}"/>
    <cellStyle name="Normal 6 3 3 3 2 4 3 3 4 2" xfId="31716" xr:uid="{E1047207-F524-459C-9D5A-B00766BB0693}"/>
    <cellStyle name="Normal 6 3 3 3 2 4 3 3 5" xfId="32011" xr:uid="{06FC7E84-62B2-4631-875C-E016AFD26780}"/>
    <cellStyle name="Normal 6 3 3 3 2 4 3 4" xfId="30363" xr:uid="{3A82768C-6B5D-4D32-86C4-08DE35B49E64}"/>
    <cellStyle name="Normal 6 3 3 3 2 4 3 4 2" xfId="31703" xr:uid="{7FCFC7B6-2244-4C07-99E2-5744C78CE1C6}"/>
    <cellStyle name="Normal 6 3 3 3 2 4 3 5" xfId="31997" xr:uid="{6BCD8F41-81B7-4A64-B6D4-6AE476FDC704}"/>
    <cellStyle name="Normal 6 3 3 3 2 4 4" xfId="32115" xr:uid="{F4612663-284F-4CCF-B493-53EFF74DD01A}"/>
    <cellStyle name="Normal 6 3 3 3 2 5" xfId="2126" xr:uid="{00000000-0005-0000-0000-0000BC020000}"/>
    <cellStyle name="Normal 6 3 3 3 2 5 2" xfId="4637" xr:uid="{6DCD8049-BC85-477D-8DF4-71B624F9476D}"/>
    <cellStyle name="Normal 6 3 3 3 2 5 3" xfId="30207" xr:uid="{37F318ED-ADB1-4A63-94B9-7AD18DADE9C4}"/>
    <cellStyle name="Normal 6 3 3 3 2 5 3 2" xfId="31351" xr:uid="{63937397-5761-4327-97C3-F1A1F4AC80AD}"/>
    <cellStyle name="Normal 6 3 3 3 2 5 4" xfId="31547" xr:uid="{CD9790C9-4E7C-4C12-8572-B6779880FCFF}"/>
    <cellStyle name="Normal 6 3 3 3 2 5 5" xfId="31841" xr:uid="{16E90C34-F0D9-4A4C-8F6D-4B650C3B357C}"/>
    <cellStyle name="Normal 6 3 3 3 2 5 6" xfId="32172" xr:uid="{DB2D308E-2AF4-4232-8840-F0256B889B88}"/>
    <cellStyle name="Normal 6 3 3 3 2 6" xfId="4033" xr:uid="{2F86E8C3-CFCF-4CC5-896B-92C102F9D7BD}"/>
    <cellStyle name="Normal 6 3 3 3 2 6 2" xfId="4725" xr:uid="{3DE8FA29-3805-45F1-AFC0-AABB851E3B0A}"/>
    <cellStyle name="Normal 6 3 3 3 2 6 3" xfId="30325" xr:uid="{0ECF71C3-B132-42F9-91D6-FA49DFB6CC23}"/>
    <cellStyle name="Normal 6 3 3 3 2 6 3 2" xfId="31468" xr:uid="{64226B14-8E2D-4A6B-B1EA-CFD0A01681C0}"/>
    <cellStyle name="Normal 6 3 3 3 2 6 4" xfId="31665" xr:uid="{DBA5C1A5-A154-4B8F-A90E-5CFDC92DCCDC}"/>
    <cellStyle name="Normal 6 3 3 3 2 6 5" xfId="31959" xr:uid="{AFB3293D-1D1B-4E4B-BCC4-9F86F25FDAD0}"/>
    <cellStyle name="Normal 6 3 3 3 2 6 6" xfId="32289" xr:uid="{B2BE7267-BF93-4EC0-98C6-AAD1DBA6C5AD}"/>
    <cellStyle name="Normal 6 3 3 3 2 7" xfId="30145" xr:uid="{80BE168A-ACEA-40EE-BC12-1FF256FF1F93}"/>
    <cellStyle name="Normal 6 3 3 3 2 7 2" xfId="30512" xr:uid="{1E65CB5E-5F31-4857-9CD1-EB4B121E79A0}"/>
    <cellStyle name="Normal 6 3 3 3 2 8" xfId="31779" xr:uid="{4C8A44DD-8075-43F2-9BD9-C440A97796EC}"/>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2 2" xfId="30085" xr:uid="{AC20A973-25C7-4EEA-B8FC-5F924C46B0FC}"/>
    <cellStyle name="Normal 6 3 3 3 4 2 2 2 3" xfId="3748" xr:uid="{00000000-0005-0000-0000-000016060000}"/>
    <cellStyle name="Normal 6 3 3 3 4 2 2 2 3 2" xfId="4777" xr:uid="{AAE7B9DD-D69F-4E10-BB8B-20D4AC9962F5}"/>
    <cellStyle name="Normal 6 3 3 3 4 2 2 2 3 3" xfId="30273" xr:uid="{C37F18FF-54D7-4AE5-9692-111929E55625}"/>
    <cellStyle name="Normal 6 3 3 3 4 2 2 2 3 3 2" xfId="31416" xr:uid="{249FE48C-C7E7-4065-967D-49544C157FBD}"/>
    <cellStyle name="Normal 6 3 3 3 4 2 2 2 3 4" xfId="31613" xr:uid="{189EC8A1-D2C2-42E5-A270-697BF07C7A33}"/>
    <cellStyle name="Normal 6 3 3 3 4 2 2 2 3 5" xfId="31907" xr:uid="{64AE5BE2-C6F0-4593-AF10-CB08CD91C41C}"/>
    <cellStyle name="Normal 6 3 3 3 4 2 2 2 3 6" xfId="32237" xr:uid="{7D81C97D-BC94-4008-BBD8-E035E1742C9C}"/>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2 5" xfId="32089" xr:uid="{EFF3A447-8F03-41EA-BF1A-A09B1A9B334D}"/>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4 3" xfId="30210" xr:uid="{A160096C-0CB9-4F26-AE17-C47BB86B37E8}"/>
    <cellStyle name="Normal 6 3 3 3 4 2 3 4 3 2" xfId="31354" xr:uid="{C3EE6054-A4E1-4094-825A-1C1BF8659EA8}"/>
    <cellStyle name="Normal 6 3 3 3 4 2 3 4 4" xfId="31550" xr:uid="{9102B438-FA41-4457-A61B-AE31F663F9E7}"/>
    <cellStyle name="Normal 6 3 3 3 4 2 3 4 5" xfId="31844" xr:uid="{FF44EAE1-CC4B-400F-A821-0D0892824B90}"/>
    <cellStyle name="Normal 6 3 3 3 4 2 3 4 6" xfId="32175" xr:uid="{7E61838B-240C-41E8-90B2-2B0703B26583}"/>
    <cellStyle name="Normal 6 3 3 3 4 2 3 5" xfId="25802" xr:uid="{593CE574-319A-4AC6-9B5C-702D762FB4CA}"/>
    <cellStyle name="Normal 6 3 3 3 4 2 3 5 2" xfId="32128" xr:uid="{0D3BB26A-93A0-4670-BA38-268ECD223A92}"/>
    <cellStyle name="Normal 6 3 3 3 4 2 3 6" xfId="30541" xr:uid="{5EBC0163-4363-4F13-A5DD-AE3FCBD0410B}"/>
    <cellStyle name="Normal 6 3 3 3 4 2 4" xfId="25640" xr:uid="{EABC3D6A-712F-4FB3-BEB7-DF746EAFE1AE}"/>
    <cellStyle name="Normal 6 3 3 3 4 2 5" xfId="32056" xr:uid="{D605011F-130C-451B-AD74-646AD8CCDD58}"/>
    <cellStyle name="Normal 6 3 3 3 4 3" xfId="1264" xr:uid="{00000000-0005-0000-0000-0000B9060000}"/>
    <cellStyle name="Normal 6 3 3 3 4 4" xfId="2972" xr:uid="{00000000-0005-0000-0000-00009F070000}"/>
    <cellStyle name="Normal 6 3 3 3 4 4 2" xfId="31294" xr:uid="{186211C7-282C-42A3-AABA-91AA76594D8B}"/>
    <cellStyle name="Normal 6 3 3 3 4 5" xfId="2128" xr:uid="{00000000-0005-0000-0000-0000C1020000}"/>
    <cellStyle name="Normal 6 3 3 3 4 5 2" xfId="4672" xr:uid="{3CF7EC19-F0E2-4711-B08D-946163A456F8}"/>
    <cellStyle name="Normal 6 3 3 3 4 5 3" xfId="30209" xr:uid="{04383268-857B-47C7-9699-654DD5736F7C}"/>
    <cellStyle name="Normal 6 3 3 3 4 5 3 2" xfId="31353" xr:uid="{8F87091D-845B-4E2D-9607-3B2C3F78CB20}"/>
    <cellStyle name="Normal 6 3 3 3 4 5 4" xfId="31549" xr:uid="{F438C024-05C0-4B0E-BC65-1729E3C29826}"/>
    <cellStyle name="Normal 6 3 3 3 4 5 5" xfId="31843" xr:uid="{D1D22720-42CB-4E40-B482-92A31F5815B3}"/>
    <cellStyle name="Normal 6 3 3 3 4 5 6" xfId="32174" xr:uid="{83E63C52-2BC8-4541-AE4C-54DB78A5EEF0}"/>
    <cellStyle name="Normal 6 3 3 3 4 6" xfId="4035" xr:uid="{4F2918E3-7CCF-44F2-8B12-399DCD69E664}"/>
    <cellStyle name="Normal 6 3 3 3 4 6 2" xfId="4704" xr:uid="{66B78E9E-F4AB-4BA4-9562-EF211951A15F}"/>
    <cellStyle name="Normal 6 3 3 3 4 6 3" xfId="30327" xr:uid="{95C354DC-76FB-4CBE-9FB3-F1E8EDAD6C87}"/>
    <cellStyle name="Normal 6 3 3 3 4 6 3 2" xfId="31470" xr:uid="{B4430622-35CF-4C2E-B9B8-E001BD4035B7}"/>
    <cellStyle name="Normal 6 3 3 3 4 6 4" xfId="31667" xr:uid="{76813517-A76E-44EB-B0B6-46D7F2837E3A}"/>
    <cellStyle name="Normal 6 3 3 3 4 6 5" xfId="31961" xr:uid="{51857C86-AF84-4E98-9557-4094E2346B70}"/>
    <cellStyle name="Normal 6 3 3 3 4 6 6" xfId="32291" xr:uid="{08BBF44C-53B4-4ADB-87B8-A13CD982F4BA}"/>
    <cellStyle name="Normal 6 3 3 3 4 7" xfId="30147" xr:uid="{C2411ACB-20F6-4EE0-8B84-B62097023916}"/>
    <cellStyle name="Normal 6 3 3 3 4 7 2" xfId="30514" xr:uid="{BAFE7101-FEEB-42B9-BA1E-81777797EAA5}"/>
    <cellStyle name="Normal 6 3 3 3 4 8" xfId="31781" xr:uid="{2E1ED63D-1216-41C8-809E-8C7973656B24}"/>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2 3" xfId="32238" xr:uid="{92A3D557-6FE2-439E-9084-FC0244B53CB6}"/>
    <cellStyle name="Normal 6 3 3 3 5 3 3" xfId="24911" xr:uid="{1B73AC05-9E14-42B7-981E-924978277EB1}"/>
    <cellStyle name="Normal 6 3 3 3 5 3 4" xfId="30274" xr:uid="{B96C46A8-B0B0-4A78-8D66-296041A1E571}"/>
    <cellStyle name="Normal 6 3 3 3 5 3 4 2" xfId="31417" xr:uid="{4EF581FF-DB98-4273-BAC1-15F20033B499}"/>
    <cellStyle name="Normal 6 3 3 3 5 3 5" xfId="31614" xr:uid="{304492C9-34A5-491B-90A2-9FC308872402}"/>
    <cellStyle name="Normal 6 3 3 3 5 3 6" xfId="31908" xr:uid="{69BC04FC-FEA8-4E45-8752-A42C8361048B}"/>
    <cellStyle name="Normal 6 3 3 3 5 4" xfId="24243" xr:uid="{30885B66-180D-465C-9004-4FD2801ED13D}"/>
    <cellStyle name="Normal 6 3 3 3 5 5" xfId="32054" xr:uid="{F678895E-69D7-4BB2-8615-BC487695663E}"/>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3 3 3" xfId="30275" xr:uid="{91ACDD3A-0E04-489A-B8EF-6EF1F1AE6AAE}"/>
    <cellStyle name="Normal 6 3 3 4 3 2 3 3 3 2" xfId="31418" xr:uid="{9ED99E49-38F8-4258-8C5C-4E6CCF898051}"/>
    <cellStyle name="Normal 6 3 3 4 3 2 3 3 4" xfId="31615" xr:uid="{86DC850B-5ABA-4168-A12B-52BB2D92300C}"/>
    <cellStyle name="Normal 6 3 3 4 3 2 3 3 5" xfId="31909" xr:uid="{66977EE9-6F4B-4C05-9F60-D1EDCBE9CD5E}"/>
    <cellStyle name="Normal 6 3 3 4 3 2 3 3 6" xfId="32239" xr:uid="{600FA356-F24B-4E9C-9EBC-D246F97BC730}"/>
    <cellStyle name="Normal 6 3 3 4 3 2 4" xfId="25725" xr:uid="{458F7302-1896-4444-8A91-7EEE77D9B42E}"/>
    <cellStyle name="Normal 6 3 3 4 3 2 5" xfId="32090" xr:uid="{0A7A6CAE-7533-4226-9D81-904C11EA4150}"/>
    <cellStyle name="Normal 6 3 3 4 3 3" xfId="1273" xr:uid="{00000000-0005-0000-0000-0000C3060000}"/>
    <cellStyle name="Normal 6 3 3 4 3 4" xfId="2973" xr:uid="{00000000-0005-0000-0000-0000A5070000}"/>
    <cellStyle name="Normal 6 3 3 4 3 4 2" xfId="31301" xr:uid="{9A618AA1-F692-4092-9D65-77B750975D70}"/>
    <cellStyle name="Normal 6 3 3 4 3 5" xfId="2131" xr:uid="{00000000-0005-0000-0000-0000C8020000}"/>
    <cellStyle name="Normal 6 3 3 4 3 5 2" xfId="3855" xr:uid="{14ADEC9D-23D5-4755-9DD0-8765D24571A4}"/>
    <cellStyle name="Normal 6 3 3 4 3 5 3" xfId="30212" xr:uid="{8435FB26-6920-4CAD-AA91-3600F415560A}"/>
    <cellStyle name="Normal 6 3 3 4 3 5 3 2" xfId="31356" xr:uid="{35DA6502-A4A2-4046-B3CE-4037C2DBBE69}"/>
    <cellStyle name="Normal 6 3 3 4 3 5 4" xfId="31552" xr:uid="{072920CB-D524-41F0-B9ED-C02DFA5CF3AC}"/>
    <cellStyle name="Normal 6 3 3 4 3 5 5" xfId="31846" xr:uid="{2D22FBDD-9B81-407A-A5DF-3CE283B1CAA8}"/>
    <cellStyle name="Normal 6 3 3 4 3 5 6" xfId="32177" xr:uid="{7EB2C3DE-0662-47B1-B76C-581FDBCBAB20}"/>
    <cellStyle name="Normal 6 3 3 4 3 6" xfId="4037" xr:uid="{C66D090D-F948-4628-9A4B-3556EC8A8993}"/>
    <cellStyle name="Normal 6 3 3 4 3 6 2" xfId="4740" xr:uid="{6CDE8700-2BC6-4C40-AD11-A661C27D6699}"/>
    <cellStyle name="Normal 6 3 3 4 3 6 3" xfId="30329" xr:uid="{A9169C37-2F33-4AC5-9D16-6468DBFE55C7}"/>
    <cellStyle name="Normal 6 3 3 4 3 6 3 2" xfId="31472" xr:uid="{C08347BC-2FE4-4A4C-88AE-047B4F1111EB}"/>
    <cellStyle name="Normal 6 3 3 4 3 6 4" xfId="31669" xr:uid="{25C9AC63-04F8-44DF-BE45-828C1A0EFA15}"/>
    <cellStyle name="Normal 6 3 3 4 3 6 5" xfId="31963" xr:uid="{674A6D6C-A61D-4C55-B6BD-FC47C98FA7B6}"/>
    <cellStyle name="Normal 6 3 3 4 3 6 6" xfId="32293" xr:uid="{E7FDA16B-0B6F-48B7-A07D-A6EFA83D55A7}"/>
    <cellStyle name="Normal 6 3 3 4 3 7" xfId="30149" xr:uid="{5DD134DE-7771-4AC1-A6C7-CAB182204804}"/>
    <cellStyle name="Normal 6 3 3 4 3 7 2" xfId="30516" xr:uid="{F5396644-8DAF-4937-A4F1-2401EBC3517A}"/>
    <cellStyle name="Normal 6 3 3 4 3 8" xfId="31783" xr:uid="{12048E24-3C43-4435-BE8C-D5069E93FC2F}"/>
    <cellStyle name="Normal 6 3 3 4 3 9" xfId="32057" xr:uid="{AEE32714-E7FE-48C8-A9CC-87E0D775289E}"/>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4 3 3" xfId="30276" xr:uid="{7F3E6705-4643-4EF6-886B-EF89E8C009A2}"/>
    <cellStyle name="Normal 6 3 3 4 4 3 3 2" xfId="31419" xr:uid="{519FAA7A-C692-4C62-A964-CCC9D5705A0C}"/>
    <cellStyle name="Normal 6 3 3 4 4 3 4" xfId="31616" xr:uid="{C2001405-3A9E-407C-A41F-4E4E1ECCA430}"/>
    <cellStyle name="Normal 6 3 3 4 4 3 5" xfId="31910" xr:uid="{951405C8-B7DD-4C08-BFB4-871217ABAC05}"/>
    <cellStyle name="Normal 6 3 3 4 4 3 6" xfId="32240" xr:uid="{C2704ED1-851A-433E-B2F0-4751F6C85BB1}"/>
    <cellStyle name="Normal 6 3 3 4 4 4" xfId="32116" xr:uid="{501FE6BB-FF41-4828-8B6E-28812E49FBBA}"/>
    <cellStyle name="Normal 6 3 3 4 5" xfId="2130" xr:uid="{00000000-0005-0000-0000-0000C6020000}"/>
    <cellStyle name="Normal 6 3 3 4 5 2" xfId="3776" xr:uid="{E7CE2CBA-ABE9-40BC-B051-DB9C5FB798E6}"/>
    <cellStyle name="Normal 6 3 3 4 5 3" xfId="30211" xr:uid="{89A8051D-31C3-40B3-9711-90934B61F108}"/>
    <cellStyle name="Normal 6 3 3 4 5 3 2" xfId="31355" xr:uid="{85BF3F84-4BD4-4F22-BAF8-1486D86B8D5C}"/>
    <cellStyle name="Normal 6 3 3 4 5 4" xfId="31551" xr:uid="{A28A8BEB-C65E-4662-A83C-828FBC0BB7C6}"/>
    <cellStyle name="Normal 6 3 3 4 5 5" xfId="31845" xr:uid="{DB32A3B8-5C37-4356-AA3C-90F98EB93FA0}"/>
    <cellStyle name="Normal 6 3 3 4 5 6" xfId="32176" xr:uid="{EE3F754F-C40B-44FD-A8A8-65F12EAE14D9}"/>
    <cellStyle name="Normal 6 3 3 4 6" xfId="4036" xr:uid="{45BFAD04-BCD7-4CAC-953D-0DBD444CB6D4}"/>
    <cellStyle name="Normal 6 3 3 4 6 2" xfId="4726" xr:uid="{E376E65A-2E16-478D-B2B0-FCA698161DA4}"/>
    <cellStyle name="Normal 6 3 3 4 6 3" xfId="30328" xr:uid="{7B491ED7-6C6A-4219-B6F7-978B126F66AF}"/>
    <cellStyle name="Normal 6 3 3 4 6 3 2" xfId="31471" xr:uid="{7C5376D0-737F-432C-B2D8-A4762CC89502}"/>
    <cellStyle name="Normal 6 3 3 4 6 4" xfId="31668" xr:uid="{5D3A6406-FADF-46CF-957E-3CA6899F60ED}"/>
    <cellStyle name="Normal 6 3 3 4 6 5" xfId="31962" xr:uid="{DC78F7B7-6B26-4AC5-984F-17C8FD986577}"/>
    <cellStyle name="Normal 6 3 3 4 6 6" xfId="32292" xr:uid="{87083F34-23E0-4423-9733-B060B5D5AC20}"/>
    <cellStyle name="Normal 6 3 3 4 7" xfId="30148" xr:uid="{838F89EF-1D7F-4065-8D4C-3A4DAF9BF3DA}"/>
    <cellStyle name="Normal 6 3 3 4 7 2" xfId="30515" xr:uid="{05F24ADF-AA50-4531-B604-5CFE29E6FEC6}"/>
    <cellStyle name="Normal 6 3 3 4 8" xfId="31782" xr:uid="{FEEE74F3-2B84-4E8F-BAB1-8AF14D10129F}"/>
    <cellStyle name="Normal 6 3 3 5" xfId="2070" xr:uid="{00000000-0005-0000-0000-0000B9020000}"/>
    <cellStyle name="Normal 6 3 3 5 2" xfId="4799" xr:uid="{907E5E47-F6B2-4DC4-A325-33901AAEA066}"/>
    <cellStyle name="Normal 6 3 3 5 3" xfId="30170" xr:uid="{35A6137A-9A79-4FA9-A0E4-BC9B9671A559}"/>
    <cellStyle name="Normal 6 3 3 5 3 2" xfId="30517" xr:uid="{DABD6C2B-49F9-41EE-B9EE-279CE22049EF}"/>
    <cellStyle name="Normal 6 3 3 5 4" xfId="31510" xr:uid="{FE5EE180-0A6C-4451-850A-0F128D00BDF6}"/>
    <cellStyle name="Normal 6 3 3 5 5" xfId="31804" xr:uid="{B3748554-0B6A-4B8F-9DBC-D73F2A66DFC1}"/>
    <cellStyle name="Normal 6 3 3 5 6" xfId="32135" xr:uid="{F96230C3-F68D-444C-91C6-320C1ADD5315}"/>
    <cellStyle name="Normal 6 3 3 6" xfId="30102" xr:uid="{39D311B1-3F99-4637-B6B6-3945F5B433CC}"/>
    <cellStyle name="Normal 6 3 3 6 2" xfId="30475" xr:uid="{F1B2B02C-F2EA-473E-AE49-8B217EFDE528}"/>
    <cellStyle name="Normal 6 3 3 7" xfId="31748" xr:uid="{4A82FE77-F13D-47E1-8718-69A66B938AB7}"/>
    <cellStyle name="Normal 6 3 3 8" xfId="32030" xr:uid="{ECDF3958-3830-4501-8F34-52ABF7C6FAEB}"/>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3 3 3" xfId="30277" xr:uid="{E5F840FE-5104-4857-8DCE-96279A827F92}"/>
    <cellStyle name="Normal 6 3 4 3 2 3 3 3 2" xfId="31420" xr:uid="{4198C9AA-B1FD-49F4-9439-E7F43D107413}"/>
    <cellStyle name="Normal 6 3 4 3 2 3 3 4" xfId="31617" xr:uid="{909DD0D0-1364-42A4-A034-3430836BB697}"/>
    <cellStyle name="Normal 6 3 4 3 2 3 3 5" xfId="31911" xr:uid="{ED0A0047-CDC3-4569-847C-302E6CE1CE6E}"/>
    <cellStyle name="Normal 6 3 4 3 2 3 3 6" xfId="32241" xr:uid="{66B61237-FE00-4FF9-AF95-59753BCFE680}"/>
    <cellStyle name="Normal 6 3 4 3 2 4" xfId="24959" xr:uid="{0DA149DA-ADAC-4AFA-94DC-BF3AC20BD344}"/>
    <cellStyle name="Normal 6 3 4 3 2 5" xfId="32091" xr:uid="{7355105C-AE37-47B3-B3C8-AE28FDDD2A1E}"/>
    <cellStyle name="Normal 6 3 4 3 3" xfId="1281" xr:uid="{00000000-0005-0000-0000-0000CD060000}"/>
    <cellStyle name="Normal 6 3 4 3 4" xfId="2975" xr:uid="{00000000-0005-0000-0000-0000AC070000}"/>
    <cellStyle name="Normal 6 3 4 3 4 2" xfId="31289" xr:uid="{BE8648E5-FB61-43AA-BB56-FE67109396AA}"/>
    <cellStyle name="Normal 6 3 4 3 5" xfId="2133" xr:uid="{00000000-0005-0000-0000-0000CC020000}"/>
    <cellStyle name="Normal 6 3 4 3 5 2" xfId="4641" xr:uid="{B14B5BE6-0AD9-4024-B6A3-83DB74FA6323}"/>
    <cellStyle name="Normal 6 3 4 3 5 3" xfId="30214" xr:uid="{E0D683BA-EFB6-4E11-8ABF-098065B0A36F}"/>
    <cellStyle name="Normal 6 3 4 3 5 3 2" xfId="31358" xr:uid="{9C8FE98E-1D8F-4973-8A1E-AB187A709B52}"/>
    <cellStyle name="Normal 6 3 4 3 5 4" xfId="31554" xr:uid="{83DF3942-78DD-4E7E-8FC5-59A81BE0190A}"/>
    <cellStyle name="Normal 6 3 4 3 5 5" xfId="31848" xr:uid="{BB170375-6210-4D6C-9888-71D334730DE6}"/>
    <cellStyle name="Normal 6 3 4 3 5 6" xfId="32179" xr:uid="{D0B55667-580D-43B4-ADA5-CDBFF29B000E}"/>
    <cellStyle name="Normal 6 3 4 3 6" xfId="4039" xr:uid="{85017E11-7866-4279-9063-BD1F44AA9952}"/>
    <cellStyle name="Normal 6 3 4 3 6 2" xfId="4785" xr:uid="{121F7278-5066-479E-804E-839EF523D6AF}"/>
    <cellStyle name="Normal 6 3 4 3 6 3" xfId="30331" xr:uid="{10D4AA31-3BD6-458F-BF46-08A025222983}"/>
    <cellStyle name="Normal 6 3 4 3 6 3 2" xfId="31474" xr:uid="{45E35B95-8A5B-4E1D-9384-E5D7227BFA78}"/>
    <cellStyle name="Normal 6 3 4 3 6 4" xfId="31671" xr:uid="{5ABCB488-C596-4F4D-A1BD-D5E366D7C9F2}"/>
    <cellStyle name="Normal 6 3 4 3 6 5" xfId="31965" xr:uid="{0080A4F2-C314-4612-BF76-5FBC385C3736}"/>
    <cellStyle name="Normal 6 3 4 3 6 6" xfId="32295" xr:uid="{7311C39E-2205-43E1-A1C6-4DF7CE8B98CA}"/>
    <cellStyle name="Normal 6 3 4 3 7" xfId="30151" xr:uid="{7EB70341-ADA0-4143-B80B-2417C60D5EFB}"/>
    <cellStyle name="Normal 6 3 4 3 7 2" xfId="30519" xr:uid="{35C90F93-35F2-4DF2-AF1A-E04B1075095B}"/>
    <cellStyle name="Normal 6 3 4 3 8" xfId="31785" xr:uid="{01430505-97F4-473B-8E56-9B7CA08BF22D}"/>
    <cellStyle name="Normal 6 3 4 3 9" xfId="32058" xr:uid="{B4FB7339-B502-4539-8C6F-DCE8FE06A186}"/>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2 3 3" xfId="30391" xr:uid="{5C1B9AE5-B079-4BE9-940F-38DB98168A0F}"/>
    <cellStyle name="Normal 6 3 4 4 2 3 4" xfId="30378" xr:uid="{0C630832-C427-48AC-B7B7-CDBA068EF46E}"/>
    <cellStyle name="Normal 6 3 4 4 2 3 4 2" xfId="31717" xr:uid="{59210765-A088-4B60-B438-476422DF6627}"/>
    <cellStyle name="Normal 6 3 4 4 2 3 5" xfId="32012" xr:uid="{2A5DE39B-10E2-4CDF-9538-29E120C87514}"/>
    <cellStyle name="Normal 6 3 4 4 2 4" xfId="30364" xr:uid="{ED8C1BC9-242E-4E34-A350-F2FCEF2ABD52}"/>
    <cellStyle name="Normal 6 3 4 4 2 4 2" xfId="31704" xr:uid="{1508FF5D-6EE9-4924-B426-3723E8CF7E8F}"/>
    <cellStyle name="Normal 6 3 4 4 2 5" xfId="31998" xr:uid="{D2580A4E-D5D9-4858-8863-0FBC62EB80D7}"/>
    <cellStyle name="Normal 6 3 4 4 3" xfId="24976" xr:uid="{B81CA4B1-D0EC-4903-82C2-3729418C66EC}"/>
    <cellStyle name="Normal 6 3 4 4 4" xfId="32117" xr:uid="{9693C631-7FB4-4AE2-AC46-095D0171B56F}"/>
    <cellStyle name="Normal 6 3 4 5" xfId="2132" xr:uid="{00000000-0005-0000-0000-0000CA020000}"/>
    <cellStyle name="Normal 6 3 4 5 2" xfId="4626" xr:uid="{385DF0D6-58F0-450D-88C9-C3CEB76D1408}"/>
    <cellStyle name="Normal 6 3 4 5 3" xfId="30213" xr:uid="{90312F7B-2D6D-405C-8052-43F9AAADE25C}"/>
    <cellStyle name="Normal 6 3 4 5 3 2" xfId="31357" xr:uid="{E7349462-429D-4D08-82F3-1A2EB2E58B37}"/>
    <cellStyle name="Normal 6 3 4 5 4" xfId="31553" xr:uid="{1042ECBD-2BB7-4E90-905B-07F8507D3AB7}"/>
    <cellStyle name="Normal 6 3 4 5 5" xfId="31847" xr:uid="{6C5AA0DD-3468-4F0D-B57F-4A9120AFE14F}"/>
    <cellStyle name="Normal 6 3 4 5 6" xfId="32178" xr:uid="{232D0B10-EC90-4E7D-99B7-46511446EA1F}"/>
    <cellStyle name="Normal 6 3 4 6" xfId="4038" xr:uid="{8D1101F3-0C22-4BE8-AF14-06E549D8B1C0}"/>
    <cellStyle name="Normal 6 3 4 6 2" xfId="4708" xr:uid="{309113B5-9206-44C4-9B50-F0859B4F4AC0}"/>
    <cellStyle name="Normal 6 3 4 6 3" xfId="30330" xr:uid="{75C41231-A56E-451C-A0E6-06EE355C936A}"/>
    <cellStyle name="Normal 6 3 4 6 3 2" xfId="31473" xr:uid="{E83C45BE-E56B-493C-B749-8DBB698D4281}"/>
    <cellStyle name="Normal 6 3 4 6 4" xfId="31670" xr:uid="{BED4E2F1-8BFE-49E7-94A6-F6C20E56EE89}"/>
    <cellStyle name="Normal 6 3 4 6 5" xfId="31964" xr:uid="{F27C1DC0-90DF-4120-8952-65B84C1CBB5C}"/>
    <cellStyle name="Normal 6 3 4 6 6" xfId="32294" xr:uid="{1B5A8D2B-DE04-483C-BDCD-588DE92DB329}"/>
    <cellStyle name="Normal 6 3 4 7" xfId="30150" xr:uid="{230E3327-1DCE-4021-B3F8-983D1A5A137A}"/>
    <cellStyle name="Normal 6 3 4 7 2" xfId="30518" xr:uid="{E88A4B4D-5E2F-4EF4-8F91-154A61DEACCE}"/>
    <cellStyle name="Normal 6 3 4 8" xfId="31784" xr:uid="{6D7E8ABB-FD7C-401F-A318-46987B373574}"/>
    <cellStyle name="Normal 6 3 5" xfId="29609" xr:uid="{631E655F-7844-43BA-9955-2AD29CB8158C}"/>
    <cellStyle name="Normal 6 3 5 2" xfId="29637" xr:uid="{B4AFCDD8-862C-4144-A948-C80FD9D9C627}"/>
    <cellStyle name="Normal 6 3 5 3" xfId="30365" xr:uid="{BB71A935-D937-468C-AA47-D9536B9840FB}"/>
    <cellStyle name="Normal 6 3 5 3 2" xfId="30520" xr:uid="{EB168DF3-E7E9-4582-9E18-6217A4D688DD}"/>
    <cellStyle name="Normal 6 3 5 4" xfId="31999" xr:uid="{E0EBF805-1D6B-4701-B2D1-326C63ED6BE7}"/>
    <cellStyle name="Normal 6 3 6" xfId="31500" xr:uid="{DD156CEF-7EAB-43B9-BB83-25E20C183EA0}"/>
    <cellStyle name="Normal 6 3 7" xfId="31742" xr:uid="{B400B9E4-1355-4386-B647-8830266281C1}"/>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3 3 3" xfId="30278" xr:uid="{E39C729E-3986-412E-9582-DDBDB6F5B372}"/>
    <cellStyle name="Normal 6 5 3 2 3 2 3 3 3 2" xfId="31421" xr:uid="{3CA02C8E-1377-438F-8ACF-277F8C8DB7A0}"/>
    <cellStyle name="Normal 6 5 3 2 3 2 3 3 4" xfId="31618" xr:uid="{0A1895AA-EE88-42AC-B89A-BCDB4B9319D4}"/>
    <cellStyle name="Normal 6 5 3 2 3 2 3 3 5" xfId="31912" xr:uid="{FA306F00-B841-4355-A066-EC66918A692E}"/>
    <cellStyle name="Normal 6 5 3 2 3 2 3 3 6" xfId="32242" xr:uid="{258EBAE3-0BED-4E18-AAC2-54497726E76F}"/>
    <cellStyle name="Normal 6 5 3 2 3 2 4" xfId="22682" xr:uid="{9FD8EF5C-1DF1-4ABC-86B0-BC0A24BC7DB0}"/>
    <cellStyle name="Normal 6 5 3 2 3 2 5" xfId="32092" xr:uid="{6A685DFA-07DB-4306-A692-4F0D22CD3264}"/>
    <cellStyle name="Normal 6 5 3 2 3 3" xfId="1292" xr:uid="{00000000-0005-0000-0000-0000D9060000}"/>
    <cellStyle name="Normal 6 5 3 2 3 4" xfId="2977" xr:uid="{00000000-0005-0000-0000-0000B7070000}"/>
    <cellStyle name="Normal 6 5 3 2 3 4 2" xfId="31277" xr:uid="{AC78F16B-C398-421C-B6DA-60754B2F6068}"/>
    <cellStyle name="Normal 6 5 3 2 3 5" xfId="2136" xr:uid="{00000000-0005-0000-0000-0000D4020000}"/>
    <cellStyle name="Normal 6 5 3 2 3 5 2" xfId="4648" xr:uid="{6EE5CD5D-2630-46DB-98C1-E0A91C088B26}"/>
    <cellStyle name="Normal 6 5 3 2 3 5 3" xfId="30217" xr:uid="{ADF6D548-1F3A-459F-A750-74CD99FDEE9A}"/>
    <cellStyle name="Normal 6 5 3 2 3 5 3 2" xfId="31361" xr:uid="{B71D2F94-18B1-4748-AC7B-9E99EEE3BBE2}"/>
    <cellStyle name="Normal 6 5 3 2 3 5 4" xfId="31557" xr:uid="{F49B284C-4158-45C7-A289-51B9D8DE13A3}"/>
    <cellStyle name="Normal 6 5 3 2 3 5 5" xfId="31851" xr:uid="{67AA7A16-6D9A-4F6F-8C69-9779C128EF35}"/>
    <cellStyle name="Normal 6 5 3 2 3 5 6" xfId="32182" xr:uid="{068BF810-2CE2-447F-9623-7866E0C446C0}"/>
    <cellStyle name="Normal 6 5 3 2 3 6" xfId="4042" xr:uid="{8B315A9F-8391-474D-B4C0-405EE4404F8E}"/>
    <cellStyle name="Normal 6 5 3 2 3 6 2" xfId="4713" xr:uid="{B2D6BDD1-5721-402C-A1EB-DE58BA876C84}"/>
    <cellStyle name="Normal 6 5 3 2 3 6 3" xfId="30334" xr:uid="{BB68FD68-7256-47F7-953D-2BBE26864CDA}"/>
    <cellStyle name="Normal 6 5 3 2 3 6 3 2" xfId="31476" xr:uid="{8C01FEE2-79B9-4A0F-A784-4FD92A5B6B0B}"/>
    <cellStyle name="Normal 6 5 3 2 3 6 4" xfId="31674" xr:uid="{EBE5DAA1-C59B-46EC-A8F2-1CE773456805}"/>
    <cellStyle name="Normal 6 5 3 2 3 6 5" xfId="31968" xr:uid="{C3B81571-3093-4248-9DDA-B5D3C700E5CD}"/>
    <cellStyle name="Normal 6 5 3 2 3 6 6" xfId="32298" xr:uid="{F0958593-51A9-4F4E-91A3-56EE297021CC}"/>
    <cellStyle name="Normal 6 5 3 2 3 7" xfId="30153" xr:uid="{49112585-27FD-43F2-BF44-AC831E47158C}"/>
    <cellStyle name="Normal 6 5 3 2 3 7 2" xfId="30522" xr:uid="{97E9803D-6432-444E-A890-68A0602A16F1}"/>
    <cellStyle name="Normal 6 5 3 2 3 8" xfId="31787" xr:uid="{92E4056A-0E55-450E-8180-8D324919DF75}"/>
    <cellStyle name="Normal 6 5 3 2 3 9" xfId="32060" xr:uid="{99F304A7-3BF3-4EA4-A1AE-A2611214CBD7}"/>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4 3 3 3" xfId="30392" xr:uid="{3896CCD4-4803-40CF-8441-650569527929}"/>
    <cellStyle name="Normal 6 5 3 2 4 3 3 4" xfId="30379" xr:uid="{CBA19119-5BB4-4E00-A950-1BDA2D9F3805}"/>
    <cellStyle name="Normal 6 5 3 2 4 3 3 4 2" xfId="31718" xr:uid="{8630AAF4-9A72-44FF-B5C2-D15011E2D118}"/>
    <cellStyle name="Normal 6 5 3 2 4 3 3 5" xfId="32013" xr:uid="{ED42548C-FFC3-4356-B950-BF13D0FA1BF0}"/>
    <cellStyle name="Normal 6 5 3 2 4 3 4" xfId="30366" xr:uid="{ECE487CF-3F45-4A59-B530-7A43F95E48BF}"/>
    <cellStyle name="Normal 6 5 3 2 4 3 4 2" xfId="31705" xr:uid="{08509A36-70E6-4EBD-A46D-BFCD7652D951}"/>
    <cellStyle name="Normal 6 5 3 2 4 3 5" xfId="32000" xr:uid="{524D9E0C-D4F0-412A-85C7-DB233C7F4163}"/>
    <cellStyle name="Normal 6 5 3 2 4 4" xfId="32118" xr:uid="{022B3988-3C35-4C0E-B1D3-13DBEEFE4213}"/>
    <cellStyle name="Normal 6 5 3 2 5" xfId="2135" xr:uid="{00000000-0005-0000-0000-0000D2020000}"/>
    <cellStyle name="Normal 6 5 3 2 5 2" xfId="4684" xr:uid="{985E2EB5-9E1E-43AC-B0AB-0DDE28EC2B5C}"/>
    <cellStyle name="Normal 6 5 3 2 5 3" xfId="30216" xr:uid="{D46CE359-6D20-457D-B96B-F51C055BD562}"/>
    <cellStyle name="Normal 6 5 3 2 5 3 2" xfId="31360" xr:uid="{988CB04C-674F-41D1-A07E-95491E04BE7D}"/>
    <cellStyle name="Normal 6 5 3 2 5 4" xfId="31556" xr:uid="{D1D84B56-D950-4446-AE9F-C32773F7F07D}"/>
    <cellStyle name="Normal 6 5 3 2 5 5" xfId="31850" xr:uid="{C249B8BB-7FA6-449E-90CB-9850ACEA77F4}"/>
    <cellStyle name="Normal 6 5 3 2 5 6" xfId="32181" xr:uid="{D725AA58-2CAD-4632-B75E-5DCB4F4E7841}"/>
    <cellStyle name="Normal 6 5 3 2 6" xfId="4041" xr:uid="{8635F82C-04F7-4EC6-B923-CFC4350C7830}"/>
    <cellStyle name="Normal 6 5 3 2 6 2" xfId="4721" xr:uid="{5D5E7BFF-9D34-4E6B-9329-AD7DE75B6822}"/>
    <cellStyle name="Normal 6 5 3 2 6 3" xfId="30333" xr:uid="{32DCCDDE-5942-4CE1-9E1F-32A881D5BAD7}"/>
    <cellStyle name="Normal 6 5 3 2 6 3 2" xfId="31475" xr:uid="{5FA83714-5914-4708-8333-1CC83A3DDB0D}"/>
    <cellStyle name="Normal 6 5 3 2 6 4" xfId="31673" xr:uid="{E9FE8281-905A-4173-80C7-82183386EABC}"/>
    <cellStyle name="Normal 6 5 3 2 6 5" xfId="31967" xr:uid="{3399695D-436F-4CC2-AF84-C02327CC6E8C}"/>
    <cellStyle name="Normal 6 5 3 2 6 6" xfId="32297" xr:uid="{C833A0D2-B9C5-4C0F-9478-927F9B79AC9A}"/>
    <cellStyle name="Normal 6 5 3 2 7" xfId="30152" xr:uid="{940D94C0-6359-4490-BCCE-8FEBED747550}"/>
    <cellStyle name="Normal 6 5 3 2 7 2" xfId="30521" xr:uid="{AC08ED16-3FFE-4CEE-BEF0-0022C74CD6F4}"/>
    <cellStyle name="Normal 6 5 3 2 8" xfId="31786" xr:uid="{52842E78-08C4-4D93-B418-278B236D7F7D}"/>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2 2" xfId="30071" xr:uid="{CE4D3F89-E104-4E7C-94DC-8DEA8C31FCE9}"/>
    <cellStyle name="Normal 6 5 3 4 2 2 2 3" xfId="3754" xr:uid="{00000000-0005-0000-0000-000041060000}"/>
    <cellStyle name="Normal 6 5 3 4 2 2 2 3 2" xfId="4751" xr:uid="{26BAC224-8031-4231-90D3-310CC68CB6C0}"/>
    <cellStyle name="Normal 6 5 3 4 2 2 2 3 3" xfId="30279" xr:uid="{D5CEC65A-2ADC-4D45-B3B7-ADDDF3F54B9C}"/>
    <cellStyle name="Normal 6 5 3 4 2 2 2 3 3 2" xfId="31422" xr:uid="{F627CE79-B180-42C5-A491-6351F4C67CBE}"/>
    <cellStyle name="Normal 6 5 3 4 2 2 2 3 4" xfId="31619" xr:uid="{BB2108BE-1192-4E13-B6B9-9D2AB265B6C3}"/>
    <cellStyle name="Normal 6 5 3 4 2 2 2 3 5" xfId="31913" xr:uid="{A7805F84-0B74-416D-ADFD-01F71EC45096}"/>
    <cellStyle name="Normal 6 5 3 4 2 2 2 3 6" xfId="32243" xr:uid="{78956A0C-66D7-4352-9B3D-34FDBF8E9376}"/>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2 5" xfId="32093" xr:uid="{0AC21874-4032-4CEE-B80A-8218D2BAAF89}"/>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4 3" xfId="30219" xr:uid="{315EE6F0-4A4B-4614-90D5-5242C6E49BBC}"/>
    <cellStyle name="Normal 6 5 3 4 2 3 4 3 2" xfId="31363" xr:uid="{946949EA-0176-4BCD-B99E-F7D135D21458}"/>
    <cellStyle name="Normal 6 5 3 4 2 3 4 4" xfId="31559" xr:uid="{F5FB7FA9-7FF9-4592-9A76-78A07223589D}"/>
    <cellStyle name="Normal 6 5 3 4 2 3 4 5" xfId="31853" xr:uid="{37184B02-C537-4F3D-B29D-AC1AF1DF004A}"/>
    <cellStyle name="Normal 6 5 3 4 2 3 4 6" xfId="32184" xr:uid="{AF91166A-CA46-4631-B660-6AD123738AED}"/>
    <cellStyle name="Normal 6 5 3 4 2 3 5" xfId="25819" xr:uid="{146A0A89-FA15-4673-83D1-1BD48BA23B4F}"/>
    <cellStyle name="Normal 6 5 3 4 2 3 5 2" xfId="32129" xr:uid="{7E26AFDA-61A3-4DE8-862C-B291CB3C87C6}"/>
    <cellStyle name="Normal 6 5 3 4 2 3 6" xfId="30542" xr:uid="{1E4E56E2-FCF3-4C9E-A5C1-C675C3F1A005}"/>
    <cellStyle name="Normal 6 5 3 4 2 4" xfId="24939" xr:uid="{FD27707B-D4A4-422F-BC64-0031AA3E4D05}"/>
    <cellStyle name="Normal 6 5 3 4 2 5" xfId="32061" xr:uid="{6DF184E7-ECC4-45C3-9132-613BC3EDD200}"/>
    <cellStyle name="Normal 6 5 3 4 3" xfId="1302" xr:uid="{00000000-0005-0000-0000-0000E5060000}"/>
    <cellStyle name="Normal 6 5 3 4 4" xfId="2978" xr:uid="{00000000-0005-0000-0000-0000C0070000}"/>
    <cellStyle name="Normal 6 5 3 4 4 2" xfId="31295" xr:uid="{AB74C274-9F21-4F33-97DC-03C78C47142A}"/>
    <cellStyle name="Normal 6 5 3 4 5" xfId="2137" xr:uid="{00000000-0005-0000-0000-0000D7020000}"/>
    <cellStyle name="Normal 6 5 3 4 5 2" xfId="4668" xr:uid="{D2333BB9-76BA-48B1-B619-1F9C6401FD25}"/>
    <cellStyle name="Normal 6 5 3 4 5 3" xfId="30218" xr:uid="{62554BF8-65F6-4FEE-9102-1517F5320031}"/>
    <cellStyle name="Normal 6 5 3 4 5 3 2" xfId="31362" xr:uid="{8411E2B0-CE72-4FAF-B1B5-E2FDF3AB6116}"/>
    <cellStyle name="Normal 6 5 3 4 5 4" xfId="31558" xr:uid="{613255CF-C246-4231-95AD-15A9EA1A28E1}"/>
    <cellStyle name="Normal 6 5 3 4 5 5" xfId="31852" xr:uid="{69C82089-5492-414A-9DDA-ADF45843FE6D}"/>
    <cellStyle name="Normal 6 5 3 4 5 6" xfId="32183" xr:uid="{D7F43BD7-B1FD-4F55-83DA-ADF5CE9424B6}"/>
    <cellStyle name="Normal 6 5 3 4 6" xfId="4043" xr:uid="{13FADCA8-36DC-469D-8F55-211BB24FA64B}"/>
    <cellStyle name="Normal 6 5 3 4 6 2" xfId="4755" xr:uid="{ABAADEE5-6BDD-4DDF-988F-045E065F16C3}"/>
    <cellStyle name="Normal 6 5 3 4 6 3" xfId="30335" xr:uid="{C370706B-D050-44A6-8DBC-4B79D80786ED}"/>
    <cellStyle name="Normal 6 5 3 4 6 3 2" xfId="31477" xr:uid="{A2072E34-E841-4339-9FD5-C6D6C717F7C6}"/>
    <cellStyle name="Normal 6 5 3 4 6 4" xfId="31675" xr:uid="{A7B8BC6B-0D84-401C-BCE1-1C3CE034DBAA}"/>
    <cellStyle name="Normal 6 5 3 4 6 5" xfId="31969" xr:uid="{37B21FB9-1290-4412-A9CE-92BD2AAF5C40}"/>
    <cellStyle name="Normal 6 5 3 4 6 6" xfId="32299" xr:uid="{210A55B9-1815-4122-8215-F4919D6FA109}"/>
    <cellStyle name="Normal 6 5 3 4 7" xfId="30154" xr:uid="{B6B1B1A2-B731-440F-A283-79585C0A73B2}"/>
    <cellStyle name="Normal 6 5 3 4 7 2" xfId="30523" xr:uid="{8E1F6B5E-F917-4E06-A35E-B3F4B762C63D}"/>
    <cellStyle name="Normal 6 5 3 4 8" xfId="31788" xr:uid="{C0022AF3-683F-4822-9FDE-2D4825BB3CEB}"/>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2 3" xfId="32244" xr:uid="{BB22467A-CA53-4496-AB3C-09FBD7046399}"/>
    <cellStyle name="Normal 6 5 3 5 3 3" xfId="23853" xr:uid="{67DDA71D-7964-413D-BDC5-5EE7AA0D2113}"/>
    <cellStyle name="Normal 6 5 3 5 3 4" xfId="30280" xr:uid="{0F482ABE-F9DD-4AE1-B958-7F9AACCE1E1C}"/>
    <cellStyle name="Normal 6 5 3 5 3 4 2" xfId="31423" xr:uid="{8090AB6F-2CAE-48D4-BCB0-D8D0AD244004}"/>
    <cellStyle name="Normal 6 5 3 5 3 5" xfId="31620" xr:uid="{F37F9835-CED0-41DF-BE2E-CCAD9E7DE39B}"/>
    <cellStyle name="Normal 6 5 3 5 3 6" xfId="31914" xr:uid="{9D47DEBD-EEFE-4E64-8C27-EA9C22AC519C}"/>
    <cellStyle name="Normal 6 5 3 5 4" xfId="23274" xr:uid="{58D8A3A5-BF02-4FA5-950C-8BF39731C4DC}"/>
    <cellStyle name="Normal 6 5 3 5 5" xfId="32059" xr:uid="{C030719A-F730-4F28-9ACF-D1B35DE5676F}"/>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3 3 3" xfId="30281" xr:uid="{44E45A56-0938-496E-848A-9D883B75B8E6}"/>
    <cellStyle name="Normal 6 5 4 3 2 3 3 3 2" xfId="31424" xr:uid="{104720AE-072D-43E6-A876-8E12BB329AC9}"/>
    <cellStyle name="Normal 6 5 4 3 2 3 3 4" xfId="31621" xr:uid="{C63255E8-1A1C-4DD5-BCD8-566984E31045}"/>
    <cellStyle name="Normal 6 5 4 3 2 3 3 5" xfId="31915" xr:uid="{823605E1-DB5C-4F59-9EE6-AE17B1CDA6F4}"/>
    <cellStyle name="Normal 6 5 4 3 2 3 3 6" xfId="32245" xr:uid="{C1AA372F-33A1-4D57-BF4A-B2471D20A2F4}"/>
    <cellStyle name="Normal 6 5 4 3 2 4" xfId="24664" xr:uid="{C8FD317F-C620-40B3-9E84-C86134062E28}"/>
    <cellStyle name="Normal 6 5 4 3 2 5" xfId="32094" xr:uid="{7E57C695-FA99-49AE-BDB6-0032B4E29CBE}"/>
    <cellStyle name="Normal 6 5 4 3 3" xfId="1311" xr:uid="{00000000-0005-0000-0000-0000EF060000}"/>
    <cellStyle name="Normal 6 5 4 3 4" xfId="2979" xr:uid="{00000000-0005-0000-0000-0000C6070000}"/>
    <cellStyle name="Normal 6 5 4 3 4 2" xfId="31300" xr:uid="{1D63F91C-4880-4AD8-ACE6-3490B3C191AF}"/>
    <cellStyle name="Normal 6 5 4 3 5" xfId="2140" xr:uid="{00000000-0005-0000-0000-0000DE020000}"/>
    <cellStyle name="Normal 6 5 4 3 5 2" xfId="3772" xr:uid="{0DAEABF9-E059-45BB-9EA3-DB8CCF44184B}"/>
    <cellStyle name="Normal 6 5 4 3 5 3" xfId="30221" xr:uid="{45838C83-4A43-4932-BDCE-C8F337A6FF93}"/>
    <cellStyle name="Normal 6 5 4 3 5 3 2" xfId="31365" xr:uid="{1681B1FF-BD73-48EA-B617-B273CD937AF6}"/>
    <cellStyle name="Normal 6 5 4 3 5 4" xfId="31561" xr:uid="{D408C2DC-B73E-44AF-B237-D74B8744DB20}"/>
    <cellStyle name="Normal 6 5 4 3 5 5" xfId="31855" xr:uid="{4429D6D9-8CFE-407C-B71F-35EA55399D04}"/>
    <cellStyle name="Normal 6 5 4 3 5 6" xfId="32186" xr:uid="{769FFE10-8950-48FB-AFF4-41014B2EDFF5}"/>
    <cellStyle name="Normal 6 5 4 3 6" xfId="4045" xr:uid="{3B6C1D61-E8B0-4D32-BD74-479DABBA050E}"/>
    <cellStyle name="Normal 6 5 4 3 6 2" xfId="4743" xr:uid="{AB0FA666-59CA-452D-8185-BFDD339259A5}"/>
    <cellStyle name="Normal 6 5 4 3 6 3" xfId="30337" xr:uid="{A0F6DACF-5765-4B5B-B0D5-474B058864BF}"/>
    <cellStyle name="Normal 6 5 4 3 6 3 2" xfId="31479" xr:uid="{399043F7-6F4A-4A3E-9634-085F7EF1332F}"/>
    <cellStyle name="Normal 6 5 4 3 6 4" xfId="31677" xr:uid="{0C618089-00EB-4E10-B4F7-F237E3E30D1F}"/>
    <cellStyle name="Normal 6 5 4 3 6 5" xfId="31971" xr:uid="{F0527D1F-273E-49D2-A24A-A75265A92AFF}"/>
    <cellStyle name="Normal 6 5 4 3 6 6" xfId="32301" xr:uid="{3D171E29-5BA9-4157-9AFE-1D9878060036}"/>
    <cellStyle name="Normal 6 5 4 3 7" xfId="30156" xr:uid="{E689BF94-8089-4EDB-8A90-EC9DD05FAEB6}"/>
    <cellStyle name="Normal 6 5 4 3 7 2" xfId="30525" xr:uid="{EFBA4820-C840-4148-BF88-6BDF2F0347D9}"/>
    <cellStyle name="Normal 6 5 4 3 8" xfId="31790" xr:uid="{A00B5BF0-4630-4B27-BCA7-9409C3E3A23A}"/>
    <cellStyle name="Normal 6 5 4 3 9" xfId="32062" xr:uid="{7F2974AA-6B8A-4D7C-A08D-FED5201D7280}"/>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4 3 3" xfId="30282" xr:uid="{0B00FD0E-6729-4916-9762-F885F79C9AA2}"/>
    <cellStyle name="Normal 6 5 4 4 3 3 2" xfId="31425" xr:uid="{06166BF6-49AB-4FD9-B6C9-466EFABFB73C}"/>
    <cellStyle name="Normal 6 5 4 4 3 4" xfId="31622" xr:uid="{F51A84E7-859C-4016-A24B-CC6BB58A5781}"/>
    <cellStyle name="Normal 6 5 4 4 3 5" xfId="31916" xr:uid="{7A555C8D-B18E-4F02-8331-898A76BDA649}"/>
    <cellStyle name="Normal 6 5 4 4 3 6" xfId="32246" xr:uid="{98409AC0-22EC-40F4-81CC-FE58EC8AA3DE}"/>
    <cellStyle name="Normal 6 5 4 4 4" xfId="32119" xr:uid="{84C584FB-4078-4B3C-B9F4-8E05D9CD9391}"/>
    <cellStyle name="Normal 6 5 4 5" xfId="2139" xr:uid="{00000000-0005-0000-0000-0000DC020000}"/>
    <cellStyle name="Normal 6 5 4 5 2" xfId="4628" xr:uid="{F656D414-B9FB-4E57-A874-02EABF4164A9}"/>
    <cellStyle name="Normal 6 5 4 5 3" xfId="30220" xr:uid="{CC65D777-7FA0-471D-A07E-954A4411B4C7}"/>
    <cellStyle name="Normal 6 5 4 5 3 2" xfId="31364" xr:uid="{73E9ABE8-24A6-412C-9014-B32C406F5254}"/>
    <cellStyle name="Normal 6 5 4 5 4" xfId="31560" xr:uid="{6EB7D5EF-0E62-4B3E-BC7A-4EBD9D7356D9}"/>
    <cellStyle name="Normal 6 5 4 5 5" xfId="31854" xr:uid="{D28721DE-819F-43F9-A414-2BEC67C0122E}"/>
    <cellStyle name="Normal 6 5 4 5 6" xfId="32185" xr:uid="{945B8D50-736E-49A7-8C5C-331D52A96E39}"/>
    <cellStyle name="Normal 6 5 4 6" xfId="4044" xr:uid="{275714B7-5104-4FAB-9E0E-B1CADB04BD20}"/>
    <cellStyle name="Normal 6 5 4 6 2" xfId="4758" xr:uid="{66B4AC42-B19A-46C7-BB60-AA3BF5A56B35}"/>
    <cellStyle name="Normal 6 5 4 6 3" xfId="30336" xr:uid="{0B89003E-3F94-4F85-8781-8734CDF2F216}"/>
    <cellStyle name="Normal 6 5 4 6 3 2" xfId="31478" xr:uid="{28AE4F89-814E-43D6-B004-239043802B5A}"/>
    <cellStyle name="Normal 6 5 4 6 4" xfId="31676" xr:uid="{C9E8D383-49F9-4B00-9D73-DB9D2C0D47B7}"/>
    <cellStyle name="Normal 6 5 4 6 5" xfId="31970" xr:uid="{433CF912-D1A6-4A9F-8959-3B581688C430}"/>
    <cellStyle name="Normal 6 5 4 6 6" xfId="32300" xr:uid="{C237EEC5-C2C4-48EC-BE4B-232AA8171701}"/>
    <cellStyle name="Normal 6 5 4 7" xfId="30155" xr:uid="{2552D7E3-E9B3-4241-AB50-FAF890DD8E42}"/>
    <cellStyle name="Normal 6 5 4 7 2" xfId="30524" xr:uid="{4C0D5AE6-EFC9-4BFA-B323-123CB782B2A7}"/>
    <cellStyle name="Normal 6 5 4 8" xfId="31789" xr:uid="{33361614-3A2D-4D7D-BAA2-A1E6B612CF9C}"/>
    <cellStyle name="Normal 6 5 5" xfId="2071" xr:uid="{00000000-0005-0000-0000-0000CF020000}"/>
    <cellStyle name="Normal 6 5 5 2" xfId="4762" xr:uid="{58B42343-3889-4193-AB92-064DC779A64F}"/>
    <cellStyle name="Normal 6 5 5 3" xfId="30171" xr:uid="{1B9038EE-4F4C-4744-8861-25102551DC54}"/>
    <cellStyle name="Normal 6 5 5 3 2" xfId="30526" xr:uid="{438B0090-C4E0-4040-B6B8-2ED195399BE5}"/>
    <cellStyle name="Normal 6 5 5 4" xfId="31511" xr:uid="{22A88986-2C4B-4B97-B1CE-8329EB5EAAF9}"/>
    <cellStyle name="Normal 6 5 5 5" xfId="31805" xr:uid="{C050C015-E250-4559-AD66-78B8986C407A}"/>
    <cellStyle name="Normal 6 5 5 6" xfId="32136" xr:uid="{3FC9F4EA-3173-4693-BF4D-0AA1B246482E}"/>
    <cellStyle name="Normal 6 5 6" xfId="30115" xr:uid="{8D7A58C9-2680-41F9-B10A-5FB6EB00FD95}"/>
    <cellStyle name="Normal 6 5 6 2" xfId="30476" xr:uid="{6AC3E222-93E2-4ED5-A04F-8AD2183A95F8}"/>
    <cellStyle name="Normal 6 5 7" xfId="31749" xr:uid="{CB59BB16-5F38-4712-9C3A-9A00767CB6AD}"/>
    <cellStyle name="Normal 6 5 8" xfId="32031" xr:uid="{EF1C2B7C-7967-4646-8A22-D5224466D73A}"/>
    <cellStyle name="Normal 6 6" xfId="1313" xr:uid="{00000000-0005-0000-0000-0000F2060000}"/>
    <cellStyle name="Normal 6 6 10" xfId="30157" xr:uid="{52A1F13F-0078-432B-BBAA-5F6768E9F38E}"/>
    <cellStyle name="Normal 6 6 10 2" xfId="31504" xr:uid="{05AC218F-FBCD-4605-9DE7-01587C8CA6CF}"/>
    <cellStyle name="Normal 6 6 11" xfId="31791" xr:uid="{74FF6331-4671-4D2A-B271-7069687F8CA4}"/>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3 4 4" xfId="30223" xr:uid="{1E0F7A3C-2BD1-4F71-A059-2E52E4FFE1B1}"/>
    <cellStyle name="Normal 6 6 3 3 4 4 2" xfId="31367" xr:uid="{0CD2B232-A623-46D5-BE56-9B0330ABDEE6}"/>
    <cellStyle name="Normal 6 6 3 3 4 5" xfId="31563" xr:uid="{644EB2C4-45E6-4172-BD45-78B17057F6A4}"/>
    <cellStyle name="Normal 6 6 3 3 4 6" xfId="31857" xr:uid="{28903465-60C5-4A10-A8E8-F00A275D3F5A}"/>
    <cellStyle name="Normal 6 6 3 3 4 7" xfId="32188" xr:uid="{5C4CCE7E-09CE-4EEE-A77E-1AAA4424276D}"/>
    <cellStyle name="Normal 6 6 3 3 5" xfId="30463" xr:uid="{904D57A7-5920-484C-BF65-E06F982671D6}"/>
    <cellStyle name="Normal 6 6 3 3 6" xfId="30543" xr:uid="{45581F97-261A-4B5F-B6BF-52BB811941F9}"/>
    <cellStyle name="Normal 6 6 3 3 7" xfId="32095" xr:uid="{A5C106E1-8705-484C-93EB-1D57CB7EA23B}"/>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3 4 3 3" xfId="30283" xr:uid="{43EAA275-4ABE-462B-9447-B627D0C084F1}"/>
    <cellStyle name="Normal 6 6 3 4 3 3 2" xfId="31426" xr:uid="{93AAD6B1-80BF-4EEF-8D5D-CD727227AB72}"/>
    <cellStyle name="Normal 6 6 3 4 3 4" xfId="31623" xr:uid="{DD574392-F768-47A5-8B02-6EED73AC3250}"/>
    <cellStyle name="Normal 6 6 3 4 3 5" xfId="31917" xr:uid="{3F146B55-5D43-4400-8F65-8489273F94A0}"/>
    <cellStyle name="Normal 6 6 3 4 3 6" xfId="32247" xr:uid="{9CC88868-02B4-420B-9E29-AD07F1829437}"/>
    <cellStyle name="Normal 6 6 3 5" xfId="32063" xr:uid="{13998B71-4806-414F-8F8C-525E6377BE14}"/>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3 3 3" xfId="30284" xr:uid="{A757C1CC-289F-47DA-B927-DF3F89752397}"/>
    <cellStyle name="Normal 6 6 4 2 3 3 3 2" xfId="31427" xr:uid="{E50733EF-7DA7-4CC6-8EE1-0A08A8F17A48}"/>
    <cellStyle name="Normal 6 6 4 2 3 3 4" xfId="31624" xr:uid="{116C31C3-ADCC-4EDA-827C-4B657CD536F0}"/>
    <cellStyle name="Normal 6 6 4 2 3 3 5" xfId="31918" xr:uid="{960E59B8-C2E3-483C-ADDB-D1989A9218F0}"/>
    <cellStyle name="Normal 6 6 4 2 3 3 6" xfId="32248" xr:uid="{8329D6FF-88A2-43C4-9E6D-732895923426}"/>
    <cellStyle name="Normal 6 6 4 2 4" xfId="24612" xr:uid="{0E019910-37DE-43E1-BDD5-941731A48A83}"/>
    <cellStyle name="Normal 6 6 4 2 5" xfId="32096" xr:uid="{F9410BC2-FF09-4468-9A10-D7759D2E44C2}"/>
    <cellStyle name="Normal 6 6 4 3" xfId="1326" xr:uid="{00000000-0005-0000-0000-000000070000}"/>
    <cellStyle name="Normal 6 6 4 4" xfId="2980" xr:uid="{00000000-0005-0000-0000-0000D1070000}"/>
    <cellStyle name="Normal 6 6 4 4 2" xfId="31286" xr:uid="{19635C23-0322-4BD8-97B1-5DC1FA748C5B}"/>
    <cellStyle name="Normal 6 6 4 5" xfId="2143" xr:uid="{00000000-0005-0000-0000-0000E6020000}"/>
    <cellStyle name="Normal 6 6 4 5 2" xfId="4636" xr:uid="{BD1045AF-7E49-48EA-AF41-B1E7071CB221}"/>
    <cellStyle name="Normal 6 6 4 5 3" xfId="30224" xr:uid="{6D024BB1-BCE9-45B1-B4E9-3324C92FA7CE}"/>
    <cellStyle name="Normal 6 6 4 5 3 2" xfId="31368" xr:uid="{A3F6340C-D451-475A-A982-207B891A2261}"/>
    <cellStyle name="Normal 6 6 4 5 4" xfId="31564" xr:uid="{E815B1D5-FDA4-48C8-A684-C03B7EE3E407}"/>
    <cellStyle name="Normal 6 6 4 5 5" xfId="31858" xr:uid="{173280EF-6653-42CB-8434-355231052529}"/>
    <cellStyle name="Normal 6 6 4 5 6" xfId="32189" xr:uid="{2627EF87-60FA-4EDF-94C0-97F5338F0DB0}"/>
    <cellStyle name="Normal 6 6 4 6" xfId="4047" xr:uid="{7E3C1600-D01B-4C17-A3C8-5A48EC2345CF}"/>
    <cellStyle name="Normal 6 6 4 6 2" xfId="4715" xr:uid="{68449821-113B-44E2-90F0-E71E4937E5CF}"/>
    <cellStyle name="Normal 6 6 4 6 3" xfId="30339" xr:uid="{4FEA25DB-3C81-4F82-B8DE-5FCA09BE2E0B}"/>
    <cellStyle name="Normal 6 6 4 6 3 2" xfId="31481" xr:uid="{1305EA02-9F5C-4ACE-9E7C-1E5681505D17}"/>
    <cellStyle name="Normal 6 6 4 6 4" xfId="31679" xr:uid="{6C3874CC-609C-48F8-B7E4-A3BC65EC6DA6}"/>
    <cellStyle name="Normal 6 6 4 6 5" xfId="31973" xr:uid="{342A6E5E-5D39-46FA-9E49-D50F18241D08}"/>
    <cellStyle name="Normal 6 6 4 6 6" xfId="32303" xr:uid="{36FA6850-D43C-4050-B733-75A2105BC69E}"/>
    <cellStyle name="Normal 6 6 4 7" xfId="30158" xr:uid="{5E7B4808-922D-4165-8936-0598A0A6DAFF}"/>
    <cellStyle name="Normal 6 6 4 7 2" xfId="30527" xr:uid="{D1390093-1061-4654-B29D-280509906CE5}"/>
    <cellStyle name="Normal 6 6 4 8" xfId="31792" xr:uid="{8DEA34C9-654F-4005-85CB-82FA7DFB213E}"/>
    <cellStyle name="Normal 6 6 4 9" xfId="32064" xr:uid="{20F08962-94F6-4F53-8CEB-E0B041240E45}"/>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2 3" xfId="30350" xr:uid="{3218E97D-CD8C-4646-865A-D9FE354D3366}"/>
    <cellStyle name="Normal 6 6 6 3 2 3 2" xfId="31490" xr:uid="{3CAE3964-BC01-4657-A282-A605E568255D}"/>
    <cellStyle name="Normal 6 6 6 3 2 4" xfId="31690" xr:uid="{678B2E18-3999-4540-B1B8-C66D5ECF9D30}"/>
    <cellStyle name="Normal 6 6 6 3 2 5" xfId="31984" xr:uid="{AF73F513-87D6-47D6-9646-C04065186AB3}"/>
    <cellStyle name="Normal 6 6 6 3 2 6" xfId="32314" xr:uid="{DD700604-0B00-4FB8-9F7B-DFC82F45F0DB}"/>
    <cellStyle name="Normal 6 6 6 3 3" xfId="25364" xr:uid="{25F2D5BA-2D6F-4E91-8FBB-4B9D252657D9}"/>
    <cellStyle name="Normal 6 6 6 4" xfId="2153" xr:uid="{00000000-0005-0000-0000-0000E9020000}"/>
    <cellStyle name="Normal 6 6 6 4 2" xfId="4691" xr:uid="{114F1330-7415-461B-B792-61BE07D55AC7}"/>
    <cellStyle name="Normal 6 6 6 4 3" xfId="30234" xr:uid="{F58AE918-38CD-4E0E-A2D9-09149BED6B00}"/>
    <cellStyle name="Normal 6 6 6 4 3 2" xfId="31378" xr:uid="{4B856CE8-FBE5-40B9-9BC7-A62E57FFCD5D}"/>
    <cellStyle name="Normal 6 6 6 4 4" xfId="31574" xr:uid="{4C1B4E78-3692-4AD9-812B-F104F8C9273E}"/>
    <cellStyle name="Normal 6 6 6 4 5" xfId="31868" xr:uid="{03485721-D522-4C8E-B1BE-9731A263D2AE}"/>
    <cellStyle name="Normal 6 6 6 4 6" xfId="32120" xr:uid="{2F1E7AF7-1DEC-4283-B968-4EB27F2A5069}"/>
    <cellStyle name="Normal 6 6 6 5" xfId="4096" xr:uid="{E42903F7-CF43-4BB8-AC03-F1EB46C1FC19}"/>
    <cellStyle name="Normal 6 6 6 5 2" xfId="4767" xr:uid="{2CC1BF88-5B5D-4701-8916-7B15CC9D2D01}"/>
    <cellStyle name="Normal 6 6 6 5 3" xfId="30348" xr:uid="{98CCC825-4A1A-42E6-B1AA-0E2C69D86523}"/>
    <cellStyle name="Normal 6 6 6 5 3 2" xfId="30469" xr:uid="{4FBD431D-8DEA-4803-A24A-7EA12E3C3A28}"/>
    <cellStyle name="Normal 6 6 6 5 4" xfId="31688" xr:uid="{C49B3C7B-D919-4712-AAA7-9D97D397881B}"/>
    <cellStyle name="Normal 6 6 6 5 5" xfId="31982" xr:uid="{6B670D1B-72F8-476C-9820-687259F35253}"/>
    <cellStyle name="Normal 6 6 6 5 6" xfId="32312" xr:uid="{41FF21DE-62D6-45D8-9A53-8FE82B41A208}"/>
    <cellStyle name="Normal 6 6 6 6" xfId="25714" xr:uid="{CE44424C-FDE2-4274-9AAC-2B2782EEB566}"/>
    <cellStyle name="Normal 6 6 6 6 2" xfId="26403" xr:uid="{DEBDC983-AB32-4C69-A2AF-B29A4C97979C}"/>
    <cellStyle name="Normal 6 6 6 6 3" xfId="31163" xr:uid="{BD47C53A-D048-4DE0-B9CB-CDDE1C18DABC}"/>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7 3 3" xfId="30285" xr:uid="{2C0FF210-3F32-4667-BC76-A197BDA7207F}"/>
    <cellStyle name="Normal 6 6 7 3 3 2" xfId="31428" xr:uid="{AD38E9A4-55DA-497D-9BB3-C9C7088878B7}"/>
    <cellStyle name="Normal 6 6 7 3 4" xfId="31625" xr:uid="{42646DD9-025F-4705-9E62-4F3B5975772E}"/>
    <cellStyle name="Normal 6 6 7 3 5" xfId="31919" xr:uid="{16F026D2-0DB1-46A8-8FFA-BC5B09FC2223}"/>
    <cellStyle name="Normal 6 6 7 3 6" xfId="32249" xr:uid="{AD6AC4CB-FE55-4A52-BAB9-26B7BDD16604}"/>
    <cellStyle name="Normal 6 6 8" xfId="2141" xr:uid="{00000000-0005-0000-0000-0000E0020000}"/>
    <cellStyle name="Normal 6 6 8 2" xfId="4774" xr:uid="{C961BEA7-4CED-4BA6-BDFD-A714A0F418E5}"/>
    <cellStyle name="Normal 6 6 8 3" xfId="30222" xr:uid="{37158C93-C128-47BC-9E38-D6AD1178AECA}"/>
    <cellStyle name="Normal 6 6 8 3 2" xfId="31366" xr:uid="{872114F9-D194-46EE-A5D9-EE1B0BAD18D4}"/>
    <cellStyle name="Normal 6 6 8 4" xfId="31562" xr:uid="{3F39477A-ED45-441A-A75D-B419A820AC75}"/>
    <cellStyle name="Normal 6 6 8 5" xfId="31856" xr:uid="{7366CA6F-6EE2-4AEC-9452-BA6A62DD4FB2}"/>
    <cellStyle name="Normal 6 6 8 6" xfId="32187" xr:uid="{6202FCBE-E785-47CE-8C7F-080AB4976B0B}"/>
    <cellStyle name="Normal 6 6 9" xfId="4046" xr:uid="{A50BAD3F-B140-4A20-83B4-791B93C5BDD0}"/>
    <cellStyle name="Normal 6 6 9 2" xfId="4823" xr:uid="{7CDE7D59-F383-4AF9-8CAA-D8B18AFC360A}"/>
    <cellStyle name="Normal 6 6 9 3" xfId="30338" xr:uid="{3A6A9E50-0BA5-4941-9213-B78E13DA814B}"/>
    <cellStyle name="Normal 6 6 9 3 2" xfId="31480" xr:uid="{6013DB08-71B5-4C90-970E-D19F82C70232}"/>
    <cellStyle name="Normal 6 6 9 4" xfId="31678" xr:uid="{53DDC73E-BA27-4E23-88D4-7A4DBD3D816F}"/>
    <cellStyle name="Normal 6 6 9 5" xfId="31972" xr:uid="{10DB9F5C-EF7E-4FBA-9689-529FC0D984FB}"/>
    <cellStyle name="Normal 6 6 9 6" xfId="32302" xr:uid="{4B58E139-F529-46BD-98CA-923F1D45D4C2}"/>
    <cellStyle name="Normal 6 7" xfId="29575" xr:uid="{949E648E-1627-4304-B1D4-9DF911CA9729}"/>
    <cellStyle name="Normal 6 7 2" xfId="29632" xr:uid="{0E90CD01-BDD5-4813-BF65-92255AD7581D}"/>
    <cellStyle name="Normal 6 7 2 2" xfId="31251" xr:uid="{93E5B342-B8B5-4605-BBB7-D65BB0DA361E}"/>
    <cellStyle name="Normal 6 7 2 3" xfId="30419" xr:uid="{12179D78-6B54-4E06-83B0-9939D6079D0B}"/>
    <cellStyle name="Normal 6 7 3" xfId="29611" xr:uid="{7AF28517-C91E-49FA-99C2-5F623D4C0532}"/>
    <cellStyle name="Normal 6 7 3 2" xfId="29651" xr:uid="{53DFD4C6-C645-4A38-ACB5-6A77D465B439}"/>
    <cellStyle name="Normal 6 7 3 3" xfId="30393" xr:uid="{A5E5D95B-DDD1-4A2C-BD44-CABFE47ABDB3}"/>
    <cellStyle name="Normal 6 7 3 4" xfId="30380" xr:uid="{5155BC23-F086-4F1A-906F-131E56510975}"/>
    <cellStyle name="Normal 6 7 3 4 2" xfId="31719" xr:uid="{2BC8B870-CC42-4F6F-B727-0ADF1FB26729}"/>
    <cellStyle name="Normal 6 7 3 5" xfId="32014" xr:uid="{E5B9F66D-6161-48B2-803E-6760CD70079F}"/>
    <cellStyle name="Normal 6 7 4" xfId="29640" xr:uid="{BF5B92AD-058E-4424-9669-B083BD07B8A2}"/>
    <cellStyle name="Normal 6 7 5" xfId="30367" xr:uid="{F68FEA24-123A-403F-96BE-EBB35A98CD3A}"/>
    <cellStyle name="Normal 6 7 5 2" xfId="31245" xr:uid="{E6CAD0FF-2279-4F48-A47B-5AABE6331490}"/>
    <cellStyle name="Normal 6 7 5 3" xfId="31706" xr:uid="{5A1A3DA2-D180-456E-AB85-E966B8A9EF63}"/>
    <cellStyle name="Normal 6 7 6" xfId="32001" xr:uid="{21442EBC-428C-40AE-9CDB-EDF03BE8B984}"/>
    <cellStyle name="Normal 6 8" xfId="31497" xr:uid="{87BFBF72-39C8-449B-BCD7-58E40C532503}"/>
    <cellStyle name="Normal 6 9" xfId="31739" xr:uid="{76EECAB5-253D-4568-A8DF-AA4469B54760}"/>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2 4" xfId="31106" xr:uid="{30963E68-DF7F-441E-B851-E7A8DAB34A08}"/>
    <cellStyle name="Normal 7 14 2 2 5" xfId="30421" xr:uid="{B8C63CF5-2E3D-473B-81DF-62C1DAE53521}"/>
    <cellStyle name="Normal 7 14 2 3" xfId="12176" xr:uid="{14EEB91B-D8F9-4F06-B344-22845EF1E6AA}"/>
    <cellStyle name="Normal 7 14 2 3 2" xfId="22556" xr:uid="{3B072E4D-49A0-409B-9BD9-9B2AAEACA31C}"/>
    <cellStyle name="Normal 7 14 2 4" xfId="24584" xr:uid="{5942702B-591C-4132-A5C1-66F61F49F937}"/>
    <cellStyle name="Normal 7 14 2 4 2" xfId="31154" xr:uid="{DFD19340-27A1-4EB4-9771-AFF3F37C5F8F}"/>
    <cellStyle name="Normal 7 14 2 4 3" xfId="30528" xr:uid="{097927A9-822F-4CE1-ABAF-BC40902279A8}"/>
    <cellStyle name="Normal 7 14 2 5" xfId="16890" xr:uid="{683ACCB9-7C62-4B63-B4F1-090AB6DAC786}"/>
    <cellStyle name="Normal 7 14 2 6" xfId="30416" xr:uid="{CAAFDBF3-936A-463B-A3A3-49A746E7DF3C}"/>
    <cellStyle name="Normal 7 14 3" xfId="5400" xr:uid="{FAC9975F-8F2F-4E63-A9C3-9F3C1010A589}"/>
    <cellStyle name="Normal 7 14 3 2" xfId="25774" xr:uid="{8D397C2B-E913-4504-B12F-1B0EE6347D16}"/>
    <cellStyle name="Normal 7 14 3 2 2" xfId="30609" xr:uid="{8CB35ADA-85AD-456B-A4A2-9E7935D7A153}"/>
    <cellStyle name="Normal 7 14 3 2 3" xfId="30628" xr:uid="{844DF4E4-5553-4C45-8863-EB680F88D5AA}"/>
    <cellStyle name="Normal 7 14 3 2 4" xfId="30934" xr:uid="{01A695C0-06D1-4038-BF9D-2C5EAC4E3B89}"/>
    <cellStyle name="Normal 7 14 3 3" xfId="27633" xr:uid="{07857877-B5B2-4CEB-A569-43A78CB1FF4C}"/>
    <cellStyle name="Normal 7 14 3 3 2" xfId="30637" xr:uid="{B264691C-E730-4EB5-8788-D14FC0F420C6}"/>
    <cellStyle name="Normal 7 14 3 3 3" xfId="30947" xr:uid="{6CD0E69B-2973-47A6-BAED-35F716DDA0C5}"/>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6 3" xfId="30394" xr:uid="{FA523EAF-70B8-4AB1-B244-F2E2D64AD147}"/>
    <cellStyle name="Normal 7 14 3 6 4" xfId="30381" xr:uid="{D9D852A3-6220-47B4-992C-3A8987A5120D}"/>
    <cellStyle name="Normal 7 14 3 6 4 2" xfId="31720" xr:uid="{E0D828CE-13E3-40E8-9A67-00BAC0712D97}"/>
    <cellStyle name="Normal 7 14 3 6 5" xfId="32015" xr:uid="{46B3987C-F377-4BA8-88FD-DD093606B7D0}"/>
    <cellStyle name="Normal 7 14 3 7" xfId="29635" xr:uid="{34C97F94-45C7-4B15-9ED5-2C3B425DF668}"/>
    <cellStyle name="Normal 7 14 3 8" xfId="30368" xr:uid="{41672123-6C8D-4359-9C8E-48BF387564A2}"/>
    <cellStyle name="Normal 7 14 3 8 2" xfId="31707" xr:uid="{E814CD8D-8D5B-49AD-88A8-8E69D7486D14}"/>
    <cellStyle name="Normal 7 14 3 9" xfId="32002" xr:uid="{BCC042FB-75E0-4775-91B4-89B2F3EE376D}"/>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4 5" xfId="30999" xr:uid="{2F8BC7AC-73B7-4F15-821E-FB071EE57409}"/>
    <cellStyle name="Normal 7 14 4 6" xfId="30420" xr:uid="{385EB25C-5F27-41F3-A609-38B7663A6BFD}"/>
    <cellStyle name="Normal 7 14 5" xfId="9983" xr:uid="{8235CE7C-372C-4318-A599-8E62C285DA7B}"/>
    <cellStyle name="Normal 7 14 5 2" xfId="29451" xr:uid="{AEDE9949-7169-4514-AE0E-4A891C24561E}"/>
    <cellStyle name="Normal 7 14 5 3" xfId="20363" xr:uid="{9449C78C-D33B-459C-BBF9-694343407FAB}"/>
    <cellStyle name="Normal 7 14 5 4" xfId="30939" xr:uid="{E0BCDBFB-8F60-42E5-B625-B2599670E8F5}"/>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2 4" xfId="30935" xr:uid="{33745800-52FB-4055-8019-A260A36BC408}"/>
    <cellStyle name="Normal 7 15 3" xfId="7557" xr:uid="{F1E98D2C-5E23-44D7-A17A-E7E508629C08}"/>
    <cellStyle name="Normal 7 15 3 2" xfId="17937" xr:uid="{AE558860-C380-4D33-B8F4-BAFABF7E14FC}"/>
    <cellStyle name="Normal 7 15 3 3" xfId="30948" xr:uid="{0DCC9790-3146-4601-AB3F-28C8BDFFB878}"/>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2 3" xfId="30950" xr:uid="{A45B824F-5108-4980-B469-78E9818C36B4}"/>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20 2" xfId="29834" xr:uid="{06A9DF73-34B1-440D-84B3-8A48C8702549}"/>
    <cellStyle name="Normal 7 20 2 2" xfId="31246" xr:uid="{209E63D4-6E49-46E2-AC41-4E8AA5C77F37}"/>
    <cellStyle name="Normal 7 21" xfId="29979" xr:uid="{9CE9C7A0-056C-44AD-A33D-E7968E3C6153}"/>
    <cellStyle name="Normal 7 21 2" xfId="31501" xr:uid="{FFA9F5D8-7DC6-4F24-B4CD-E82A02F1D2A8}"/>
    <cellStyle name="Normal 7 22" xfId="30111" xr:uid="{758F768F-0264-4A45-A815-34609497E100}"/>
    <cellStyle name="Normal 7 22 2" xfId="32018" xr:uid="{50E47BEF-A468-48F5-A420-3B199B9330CE}"/>
    <cellStyle name="Normal 7 23" xfId="31743" xr:uid="{CEF6573A-53EC-4ADF-A172-4A2371A008E9}"/>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3 3 3" xfId="30286" xr:uid="{CC748A5D-0BEB-4944-8F3D-97F8CF0BB353}"/>
    <cellStyle name="Normal 7 3 3 2 3 2 3 3 3 2" xfId="31429" xr:uid="{6DA37E3D-007F-49C2-A12C-7354CDCD0FDC}"/>
    <cellStyle name="Normal 7 3 3 2 3 2 3 3 4" xfId="31626" xr:uid="{A591BBBB-0D4A-46D3-A04A-7C0B2D602A7C}"/>
    <cellStyle name="Normal 7 3 3 2 3 2 3 3 5" xfId="31920" xr:uid="{55361E46-5E85-436F-A87E-13321082FEED}"/>
    <cellStyle name="Normal 7 3 3 2 3 2 3 3 6" xfId="32250" xr:uid="{E08CC63D-E859-4FEE-B59E-A7552AEFC1FE}"/>
    <cellStyle name="Normal 7 3 3 2 3 2 4" xfId="24308" xr:uid="{4F4781A6-ECE1-4C9E-AC58-6E5C10C0A2BA}"/>
    <cellStyle name="Normal 7 3 3 2 3 2 5" xfId="32097" xr:uid="{6F0C8C48-6788-4E7F-9530-F7693469D84F}"/>
    <cellStyle name="Normal 7 3 3 2 3 3" xfId="1362" xr:uid="{00000000-0005-0000-0000-000025070000}"/>
    <cellStyle name="Normal 7 3 3 2 3 4" xfId="2983" xr:uid="{00000000-0005-0000-0000-0000FA070000}"/>
    <cellStyle name="Normal 7 3 3 2 3 4 2" xfId="31276" xr:uid="{FE80F6DF-4597-4CFB-BBD3-5BE6A13FC5D1}"/>
    <cellStyle name="Normal 7 3 3 2 3 5" xfId="2145" xr:uid="{00000000-0005-0000-0000-0000F7020000}"/>
    <cellStyle name="Normal 7 3 3 2 3 5 2" xfId="4635" xr:uid="{4276D1A2-DC93-4587-8A35-0E2B48A1053D}"/>
    <cellStyle name="Normal 7 3 3 2 3 5 3" xfId="30226" xr:uid="{26797C4E-8D1E-4032-A1BF-A4CEED6C0C3E}"/>
    <cellStyle name="Normal 7 3 3 2 3 5 3 2" xfId="31370" xr:uid="{AE22E742-9D01-4013-99C2-F097DBB0C902}"/>
    <cellStyle name="Normal 7 3 3 2 3 5 4" xfId="31566" xr:uid="{44215A84-68FA-41D8-95CF-672B06952FBE}"/>
    <cellStyle name="Normal 7 3 3 2 3 5 5" xfId="31860" xr:uid="{9CBCCE02-47FB-4AF6-ADDB-B464771E04FE}"/>
    <cellStyle name="Normal 7 3 3 2 3 5 6" xfId="32191" xr:uid="{BC61FBBB-F212-4625-87FA-06B163FDEC86}"/>
    <cellStyle name="Normal 7 3 3 2 3 6" xfId="4055" xr:uid="{B827FBD5-2E2E-4EC7-8D41-DDFF87CC148D}"/>
    <cellStyle name="Normal 7 3 3 2 3 6 2" xfId="4800" xr:uid="{41E9EAB1-F610-481E-9DBF-172EE15DBDDE}"/>
    <cellStyle name="Normal 7 3 3 2 3 6 3" xfId="30341" xr:uid="{1870D514-1782-4A72-924A-46F157C54A64}"/>
    <cellStyle name="Normal 7 3 3 2 3 6 3 2" xfId="31483" xr:uid="{10473CFF-088B-46C0-9F1B-6A43DFDE6F83}"/>
    <cellStyle name="Normal 7 3 3 2 3 6 4" xfId="31681" xr:uid="{A0C69ABB-68AB-49B8-8AA7-23CBE1147DF3}"/>
    <cellStyle name="Normal 7 3 3 2 3 6 5" xfId="31975" xr:uid="{97F602CD-4D32-4105-B0B3-757FFCD6EBFE}"/>
    <cellStyle name="Normal 7 3 3 2 3 6 6" xfId="32305" xr:uid="{AF12084D-80F1-40F9-8E05-E61F005E5C06}"/>
    <cellStyle name="Normal 7 3 3 2 3 7" xfId="30160" xr:uid="{780A71C4-DEF8-4E6E-ACC0-3655804A98B1}"/>
    <cellStyle name="Normal 7 3 3 2 3 7 2" xfId="30530" xr:uid="{0EEE45BB-0632-4849-9B3D-03E60AC02070}"/>
    <cellStyle name="Normal 7 3 3 2 3 8" xfId="31794" xr:uid="{C144B9C8-39BD-4E83-B5B7-593FF45276F0}"/>
    <cellStyle name="Normal 7 3 3 2 3 9" xfId="32066" xr:uid="{4F619F51-D26D-4401-9498-AF7DB185C8A2}"/>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4 3 3 3" xfId="30395" xr:uid="{298B7D3F-FBD5-4460-93A9-F54645816E7E}"/>
    <cellStyle name="Normal 7 3 3 2 4 3 3 4" xfId="30382" xr:uid="{EB6E69B1-D944-4719-98E3-285669324B35}"/>
    <cellStyle name="Normal 7 3 3 2 4 3 3 4 2" xfId="31721" xr:uid="{C95F887A-0DE3-4885-9933-DFDC3C26B10C}"/>
    <cellStyle name="Normal 7 3 3 2 4 3 3 5" xfId="32016" xr:uid="{BAA84678-B9E5-44F0-AACB-BC984A455A5A}"/>
    <cellStyle name="Normal 7 3 3 2 4 3 4" xfId="30369" xr:uid="{51F68BB7-1CBC-471B-8C45-133EBC2770D2}"/>
    <cellStyle name="Normal 7 3 3 2 4 3 4 2" xfId="31708" xr:uid="{9A461396-9683-439E-A844-9F185B081F12}"/>
    <cellStyle name="Normal 7 3 3 2 4 3 5" xfId="32003" xr:uid="{8F72FC01-163A-4051-8EAF-8C05A91C2A2C}"/>
    <cellStyle name="Normal 7 3 3 2 4 4" xfId="32121" xr:uid="{4F9B2BD8-34C6-490A-8C98-A650E486FA56}"/>
    <cellStyle name="Normal 7 3 3 2 5" xfId="2144" xr:uid="{00000000-0005-0000-0000-0000F5020000}"/>
    <cellStyle name="Normal 7 3 3 2 5 2" xfId="4663" xr:uid="{8519FF03-5F6D-4EB4-B933-25C9AA886D70}"/>
    <cellStyle name="Normal 7 3 3 2 5 3" xfId="30225" xr:uid="{3961AF33-EFDD-4226-A841-E3976186FFD4}"/>
    <cellStyle name="Normal 7 3 3 2 5 3 2" xfId="31369" xr:uid="{16EBF1E3-7968-444B-8C3D-D7DC786844C8}"/>
    <cellStyle name="Normal 7 3 3 2 5 4" xfId="31565" xr:uid="{214AA77A-3A32-4BAE-847A-D697B49E96EA}"/>
    <cellStyle name="Normal 7 3 3 2 5 5" xfId="31859" xr:uid="{8A5C62B8-D4CC-4179-ADE7-B7BC4D8AF4B6}"/>
    <cellStyle name="Normal 7 3 3 2 5 6" xfId="32190" xr:uid="{4F0F9F50-AE9F-436E-8079-06BC5F9AB9DD}"/>
    <cellStyle name="Normal 7 3 3 2 6" xfId="4054" xr:uid="{0F69AA1D-AABD-4773-8E71-6D7F88104E7D}"/>
    <cellStyle name="Normal 7 3 3 2 6 2" xfId="4706" xr:uid="{FBE10302-99A6-4D2B-BB8D-B20AC5081845}"/>
    <cellStyle name="Normal 7 3 3 2 6 3" xfId="30340" xr:uid="{A37C4874-8220-4154-9C48-359C73DA2E56}"/>
    <cellStyle name="Normal 7 3 3 2 6 3 2" xfId="31482" xr:uid="{1468B4C2-4CC6-4853-886D-572963C37F80}"/>
    <cellStyle name="Normal 7 3 3 2 6 4" xfId="31680" xr:uid="{70321CC2-308C-492B-9C17-C00F1D0D05E8}"/>
    <cellStyle name="Normal 7 3 3 2 6 5" xfId="31974" xr:uid="{5153D389-8175-4598-B8CE-6C4EAFCC97B3}"/>
    <cellStyle name="Normal 7 3 3 2 6 6" xfId="32304" xr:uid="{2501F8E5-70EC-4300-A1D8-9B8AEAD515C3}"/>
    <cellStyle name="Normal 7 3 3 2 7" xfId="30159" xr:uid="{FA8D9B86-1118-4618-BB6D-43B775B037D2}"/>
    <cellStyle name="Normal 7 3 3 2 7 2" xfId="30529" xr:uid="{5EDFF2C5-0B36-4BC0-9185-4FF885E1700E}"/>
    <cellStyle name="Normal 7 3 3 2 8" xfId="31793" xr:uid="{32B13723-F3E1-4DA7-85FD-F0F88921FADD}"/>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2 2" xfId="30080" xr:uid="{3537F8E7-8F63-4952-A614-60ED7C47A13A}"/>
    <cellStyle name="Normal 7 3 3 4 2 2 2 3" xfId="3762" xr:uid="{00000000-0005-0000-0000-00008B060000}"/>
    <cellStyle name="Normal 7 3 3 4 2 2 2 3 2" xfId="4690" xr:uid="{FFDAA0C2-4A8B-4197-B6CC-922603129983}"/>
    <cellStyle name="Normal 7 3 3 4 2 2 2 3 3" xfId="30287" xr:uid="{A5F56370-D827-4B99-ABC8-6275F53DD26A}"/>
    <cellStyle name="Normal 7 3 3 4 2 2 2 3 3 2" xfId="31430" xr:uid="{1B7941D8-E613-4CAB-A60E-F55CDB998239}"/>
    <cellStyle name="Normal 7 3 3 4 2 2 2 3 4" xfId="31627" xr:uid="{07B95D85-B905-48E7-BD19-0355BFAB2114}"/>
    <cellStyle name="Normal 7 3 3 4 2 2 2 3 5" xfId="31921" xr:uid="{63301C97-B84A-4E7A-8688-742EB75815D0}"/>
    <cellStyle name="Normal 7 3 3 4 2 2 2 3 6" xfId="32251" xr:uid="{5DD19643-D14D-4630-A2C0-4D467C43E485}"/>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2 5" xfId="32098" xr:uid="{E080D137-2CBF-4CD9-8478-19E6F0938114}"/>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4 3" xfId="30228" xr:uid="{F67EB70F-E06D-4EBB-9414-4F6A0ABDCA9A}"/>
    <cellStyle name="Normal 7 3 3 4 2 3 4 3 2" xfId="31372" xr:uid="{150FAA65-DC89-4157-9322-130B051ADE2F}"/>
    <cellStyle name="Normal 7 3 3 4 2 3 4 4" xfId="31568" xr:uid="{BC1256C2-D523-4DD4-AA26-053BFC807901}"/>
    <cellStyle name="Normal 7 3 3 4 2 3 4 5" xfId="31862" xr:uid="{2EC07911-05C0-4CAF-B202-5092EDBBF497}"/>
    <cellStyle name="Normal 7 3 3 4 2 3 4 6" xfId="32193" xr:uid="{052A5465-4955-46CF-BCBB-4E60DB07FDF5}"/>
    <cellStyle name="Normal 7 3 3 4 2 3 5" xfId="24402" xr:uid="{AE0E1D6A-38CA-406E-AE73-788945631526}"/>
    <cellStyle name="Normal 7 3 3 4 2 3 5 2" xfId="32130" xr:uid="{1A30AB4C-AE99-49BF-B3DC-23324E5D7106}"/>
    <cellStyle name="Normal 7 3 3 4 2 3 6" xfId="30544" xr:uid="{AC01CEC4-5B95-4E42-8FF7-121F69B77E99}"/>
    <cellStyle name="Normal 7 3 3 4 2 4" xfId="23708" xr:uid="{E6762BC0-4988-4223-B09E-CC35F0BD73AE}"/>
    <cellStyle name="Normal 7 3 3 4 2 5" xfId="32067" xr:uid="{301B5030-9C80-4213-A117-7803EFF55ECC}"/>
    <cellStyle name="Normal 7 3 3 4 3" xfId="1372" xr:uid="{00000000-0005-0000-0000-000031070000}"/>
    <cellStyle name="Normal 7 3 3 4 4" xfId="2984" xr:uid="{00000000-0005-0000-0000-000003080000}"/>
    <cellStyle name="Normal 7 3 3 4 4 2" xfId="31290" xr:uid="{9F4A7FD4-2CC3-4D75-A163-54E002A5B431}"/>
    <cellStyle name="Normal 7 3 3 4 5" xfId="2146" xr:uid="{00000000-0005-0000-0000-0000FA020000}"/>
    <cellStyle name="Normal 7 3 3 4 5 2" xfId="4023" xr:uid="{6D2F6D47-4728-4B49-AE2E-D503982C4500}"/>
    <cellStyle name="Normal 7 3 3 4 5 3" xfId="30227" xr:uid="{B4C65A3C-9A2A-47E6-ACA6-EABEB7F3EC73}"/>
    <cellStyle name="Normal 7 3 3 4 5 3 2" xfId="31371" xr:uid="{16A1F998-BDD9-48F0-A1CA-3C3865A23834}"/>
    <cellStyle name="Normal 7 3 3 4 5 4" xfId="31567" xr:uid="{C81BDD7A-E442-49FA-9146-5D12360A9450}"/>
    <cellStyle name="Normal 7 3 3 4 5 5" xfId="31861" xr:uid="{E88DA9FC-87BB-4143-BC53-9B2399968B3D}"/>
    <cellStyle name="Normal 7 3 3 4 5 6" xfId="32192" xr:uid="{578EE279-9D0F-4F86-BEED-3BD8F598ECD6}"/>
    <cellStyle name="Normal 7 3 3 4 6" xfId="4056" xr:uid="{3D663429-9E72-4EFF-8B04-88C376DF2815}"/>
    <cellStyle name="Normal 7 3 3 4 6 2" xfId="4796" xr:uid="{AEA4314F-DE64-4934-8CDE-F04585260C3B}"/>
    <cellStyle name="Normal 7 3 3 4 6 3" xfId="30342" xr:uid="{6116923A-F62C-4F9F-A326-D07A8FD4381A}"/>
    <cellStyle name="Normal 7 3 3 4 6 3 2" xfId="31484" xr:uid="{CDC4F293-C87D-4A0F-B788-8B9E787F9DF4}"/>
    <cellStyle name="Normal 7 3 3 4 6 4" xfId="31682" xr:uid="{85689CFE-9FF2-4DE3-9BD0-535F40259C97}"/>
    <cellStyle name="Normal 7 3 3 4 6 5" xfId="31976" xr:uid="{7977BF5F-CF9F-4A6A-8CB8-A7B643E6B27E}"/>
    <cellStyle name="Normal 7 3 3 4 6 6" xfId="32306" xr:uid="{A836C774-1554-40B1-8172-E98D99681F15}"/>
    <cellStyle name="Normal 7 3 3 4 7" xfId="30161" xr:uid="{52394549-E29E-4278-9C6A-6C4AFCC85D43}"/>
    <cellStyle name="Normal 7 3 3 4 7 2" xfId="30531" xr:uid="{79991904-AF5C-4236-8DCF-6C2BEDC43AA3}"/>
    <cellStyle name="Normal 7 3 3 4 8" xfId="31795" xr:uid="{47E5FB9E-D623-43B4-A4AD-A3D134ACD5E5}"/>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2 3" xfId="32252" xr:uid="{EDEA7CFD-5334-48EA-9848-3ED131184891}"/>
    <cellStyle name="Normal 7 3 3 5 3 3" xfId="25223" xr:uid="{B55B4F7C-6E21-48BE-9E2E-2D34FC86B976}"/>
    <cellStyle name="Normal 7 3 3 5 3 4" xfId="30288" xr:uid="{7DB1975E-D21E-4CBF-9637-4AE3E6D74C12}"/>
    <cellStyle name="Normal 7 3 3 5 3 4 2" xfId="31431" xr:uid="{99ECBF59-1354-4783-BEAE-B7E19B25B945}"/>
    <cellStyle name="Normal 7 3 3 5 3 5" xfId="31628" xr:uid="{7D588285-A419-4667-B536-46B1B8B1ACDD}"/>
    <cellStyle name="Normal 7 3 3 5 3 6" xfId="31922" xr:uid="{2C59FDC7-DB25-4F03-A12F-8B0B7DE4C225}"/>
    <cellStyle name="Normal 7 3 3 5 4" xfId="24261" xr:uid="{83907BAB-0BFF-4471-B445-39A5F57DBBD9}"/>
    <cellStyle name="Normal 7 3 3 5 5" xfId="32065" xr:uid="{D9BC6E96-FEAB-4765-8262-96AC91558D20}"/>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3 3 3" xfId="30289" xr:uid="{30109096-014C-4DA2-92E3-E5015E0ECB5D}"/>
    <cellStyle name="Normal 7 3 4 3 2 3 3 3 2" xfId="31432" xr:uid="{EAB0C2EA-DC67-4172-92E3-7F9D56EB00AD}"/>
    <cellStyle name="Normal 7 3 4 3 2 3 3 4" xfId="31629" xr:uid="{9BD9345E-9D68-4A3B-B175-A464CEC94D75}"/>
    <cellStyle name="Normal 7 3 4 3 2 3 3 5" xfId="31923" xr:uid="{38023B3C-A0A5-4432-BF8A-CF008C9C4100}"/>
    <cellStyle name="Normal 7 3 4 3 2 3 3 6" xfId="32253" xr:uid="{A9EB3ED8-178B-47C0-BE26-4E182AF6CD18}"/>
    <cellStyle name="Normal 7 3 4 3 2 4" xfId="25414" xr:uid="{F055F10B-64A1-40D8-B460-1A174561E6AE}"/>
    <cellStyle name="Normal 7 3 4 3 2 5" xfId="32099" xr:uid="{186AA161-2984-4AFB-B03D-854F1492B3C6}"/>
    <cellStyle name="Normal 7 3 4 3 3" xfId="1381" xr:uid="{00000000-0005-0000-0000-00003B070000}"/>
    <cellStyle name="Normal 7 3 4 3 4" xfId="2985" xr:uid="{00000000-0005-0000-0000-000009080000}"/>
    <cellStyle name="Normal 7 3 4 3 4 2" xfId="31299" xr:uid="{51B7DBEA-ED31-4954-9F86-83029453074D}"/>
    <cellStyle name="Normal 7 3 4 3 5" xfId="2149" xr:uid="{00000000-0005-0000-0000-000001030000}"/>
    <cellStyle name="Normal 7 3 4 3 5 2" xfId="4669" xr:uid="{E82F8251-A2EF-493C-99EC-798453FDB072}"/>
    <cellStyle name="Normal 7 3 4 3 5 3" xfId="30230" xr:uid="{A6924A06-14A6-48AE-A85A-4DABC1CC13E5}"/>
    <cellStyle name="Normal 7 3 4 3 5 3 2" xfId="31374" xr:uid="{C8D4E907-8DE5-4032-99CD-497732C57A8C}"/>
    <cellStyle name="Normal 7 3 4 3 5 4" xfId="31570" xr:uid="{2AED3941-1FFB-4F03-B67E-AF20682A3540}"/>
    <cellStyle name="Normal 7 3 4 3 5 5" xfId="31864" xr:uid="{4DC4F957-CC23-4812-BAE0-B7E016475ED7}"/>
    <cellStyle name="Normal 7 3 4 3 5 6" xfId="32195" xr:uid="{C847BD25-034E-485F-A26C-56B3D68FCAA8}"/>
    <cellStyle name="Normal 7 3 4 3 6" xfId="4058" xr:uid="{19AF6C94-1102-41EB-A615-06CFDA2F78F6}"/>
    <cellStyle name="Normal 7 3 4 3 6 2" xfId="4819" xr:uid="{0CC34133-4C51-4581-8706-421D8E52AF25}"/>
    <cellStyle name="Normal 7 3 4 3 6 3" xfId="30344" xr:uid="{F2BB3124-6AE4-40BC-B519-5A61E185E003}"/>
    <cellStyle name="Normal 7 3 4 3 6 3 2" xfId="31486" xr:uid="{6FDB91E1-41FC-4670-9B2F-D9DC69D295B1}"/>
    <cellStyle name="Normal 7 3 4 3 6 4" xfId="31684" xr:uid="{94F26B9A-DF18-4DFF-9BB3-356E8653AEE6}"/>
    <cellStyle name="Normal 7 3 4 3 6 5" xfId="31978" xr:uid="{9306CA6F-2E9E-481C-8EF0-FBCD946739C3}"/>
    <cellStyle name="Normal 7 3 4 3 6 6" xfId="32308" xr:uid="{33D64759-8471-44C4-A0A3-369072553813}"/>
    <cellStyle name="Normal 7 3 4 3 7" xfId="30163" xr:uid="{8FB8729F-E256-4613-98CA-4EC4024F1636}"/>
    <cellStyle name="Normal 7 3 4 3 7 2" xfId="30533" xr:uid="{D8F8BCBD-9FA9-4694-BE0E-FA68B6A82F77}"/>
    <cellStyle name="Normal 7 3 4 3 8" xfId="31797" xr:uid="{631BC5F8-D753-4365-B5B2-C7BF0ADA5825}"/>
    <cellStyle name="Normal 7 3 4 3 9" xfId="32068" xr:uid="{7EEB3F66-E901-42B5-A383-1BF59186F939}"/>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4 3 3" xfId="30290" xr:uid="{33067305-5030-4C44-A096-EB1A04AB9E17}"/>
    <cellStyle name="Normal 7 3 4 4 3 3 2" xfId="31433" xr:uid="{5464B581-FC1F-4F05-88EE-62C6E6E88CAA}"/>
    <cellStyle name="Normal 7 3 4 4 3 4" xfId="31630" xr:uid="{0A8F1EDA-FA33-459B-B2F0-524CCFD0733E}"/>
    <cellStyle name="Normal 7 3 4 4 3 5" xfId="31924" xr:uid="{D7B6178E-619E-46EE-BDC2-A00B64BB6FB3}"/>
    <cellStyle name="Normal 7 3 4 4 3 6" xfId="32254" xr:uid="{DFF2299C-7965-4BDD-B624-EAA1640DCEDA}"/>
    <cellStyle name="Normal 7 3 4 4 4" xfId="32122" xr:uid="{E6EB4088-8B46-40B4-89CA-F0940A6BEBC8}"/>
    <cellStyle name="Normal 7 3 4 5" xfId="2148" xr:uid="{00000000-0005-0000-0000-0000FF020000}"/>
    <cellStyle name="Normal 7 3 4 5 2" xfId="4676" xr:uid="{62B191F5-1F42-4E10-9F64-94BCDEA70967}"/>
    <cellStyle name="Normal 7 3 4 5 3" xfId="30229" xr:uid="{754916DA-38F4-4DB4-AC60-276D3B784FE8}"/>
    <cellStyle name="Normal 7 3 4 5 3 2" xfId="31373" xr:uid="{044A87F7-8EA1-490E-9C8D-11D6D6BAE37E}"/>
    <cellStyle name="Normal 7 3 4 5 4" xfId="31569" xr:uid="{5DA86EC8-8286-4878-8542-77217A13FFA4}"/>
    <cellStyle name="Normal 7 3 4 5 5" xfId="31863" xr:uid="{0473FE3B-B9AA-47DE-9BC9-F8D6FA07832C}"/>
    <cellStyle name="Normal 7 3 4 5 6" xfId="32194" xr:uid="{0DEFC684-CF4B-467A-9920-FE397BEB2603}"/>
    <cellStyle name="Normal 7 3 4 6" xfId="4057" xr:uid="{FA0FC87F-FC4E-4E3F-98FE-B3C6B8313692}"/>
    <cellStyle name="Normal 7 3 4 6 2" xfId="4766" xr:uid="{56DF81AD-9939-4BBA-9856-A8B717C867ED}"/>
    <cellStyle name="Normal 7 3 4 6 3" xfId="30343" xr:uid="{B20B5A7A-FDC4-4249-8466-A745C0238C84}"/>
    <cellStyle name="Normal 7 3 4 6 3 2" xfId="31485" xr:uid="{A0200AC4-E0FC-4EF7-BE2C-B088557646B3}"/>
    <cellStyle name="Normal 7 3 4 6 4" xfId="31683" xr:uid="{3694F6B6-85D0-4B9D-A3E8-21FFBEDC8837}"/>
    <cellStyle name="Normal 7 3 4 6 5" xfId="31977" xr:uid="{36928D29-A131-4FEB-82EE-02A909264579}"/>
    <cellStyle name="Normal 7 3 4 6 6" xfId="32307" xr:uid="{813DC248-D855-4A5E-BE14-E4B6E0C30972}"/>
    <cellStyle name="Normal 7 3 4 7" xfId="30162" xr:uid="{547D83AB-00BA-499B-81A0-779EECACE4D6}"/>
    <cellStyle name="Normal 7 3 4 7 2" xfId="30532" xr:uid="{C34CEC2F-9910-42A5-A6D6-E9823FE39A10}"/>
    <cellStyle name="Normal 7 3 4 8" xfId="31796" xr:uid="{51DAE4A7-2976-4A42-88D1-2A39C979678A}"/>
    <cellStyle name="Normal 7 3 5" xfId="2072" xr:uid="{00000000-0005-0000-0000-0000F2020000}"/>
    <cellStyle name="Normal 7 3 5 2" xfId="4780" xr:uid="{2BC8EFBC-06F5-4C7E-B0DC-F1B8E24A78E5}"/>
    <cellStyle name="Normal 7 3 5 3" xfId="30172" xr:uid="{DECA1B29-BBE5-4B43-B1E4-970DDF40EAFE}"/>
    <cellStyle name="Normal 7 3 5 3 2" xfId="30534" xr:uid="{1E65DB43-42EC-4ED4-993E-326E053D0E1B}"/>
    <cellStyle name="Normal 7 3 5 4" xfId="31512" xr:uid="{62585BCE-F536-46B9-8EFD-7DDBD82F7D6A}"/>
    <cellStyle name="Normal 7 3 5 5" xfId="31806" xr:uid="{11E33760-64EC-4568-9ABC-E16EE221B5DD}"/>
    <cellStyle name="Normal 7 3 5 6" xfId="32137" xr:uid="{CB24FF98-435B-4CFA-B361-6DE189299BC1}"/>
    <cellStyle name="Normal 7 3 6" xfId="29580" xr:uid="{F508C06F-0760-4DB3-8A82-A860AE1FCD26}"/>
    <cellStyle name="Normal 7 3 6 2" xfId="31247" xr:uid="{35461E4B-121A-4F8F-8CB4-021E38307A97}"/>
    <cellStyle name="Normal 7 3 6 3" xfId="30477" xr:uid="{EA0BC44F-1276-48AD-906F-6873BECD3DA1}"/>
    <cellStyle name="Normal 7 3 7" xfId="30116" xr:uid="{AA681422-51CE-46B6-A8B2-24AE11AA003A}"/>
    <cellStyle name="Normal 7 3 7 2" xfId="31502" xr:uid="{57282A1B-C9B2-4738-A048-DE5BEE2B6052}"/>
    <cellStyle name="Normal 7 3 8" xfId="31750" xr:uid="{6F01602F-B9A8-4E34-928B-8B7B3FDA5091}"/>
    <cellStyle name="Normal 7 3 9" xfId="32032" xr:uid="{D48AD1E6-CDAC-4118-9772-3E43468C9219}"/>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3 3 3" xfId="30291" xr:uid="{CB1BD4F2-F63B-4AC6-A611-52768EB82BEB}"/>
    <cellStyle name="Normal 7 6 10 2 3 3 3 2" xfId="31434" xr:uid="{39266993-B013-4166-A920-C26B0A484995}"/>
    <cellStyle name="Normal 7 6 10 2 3 3 4" xfId="31631" xr:uid="{E1F93840-EE29-493B-A5F9-44A29EBD528D}"/>
    <cellStyle name="Normal 7 6 10 2 3 3 5" xfId="31925" xr:uid="{5B5EBB68-0A11-442D-823C-B46CE6330393}"/>
    <cellStyle name="Normal 7 6 10 2 3 3 6" xfId="32255" xr:uid="{B5F1FB8D-E766-4BD0-B014-6C2A075C8115}"/>
    <cellStyle name="Normal 7 6 10 2 4" xfId="25604" xr:uid="{1F88F4F4-8E7E-4A10-9831-AB18C3F05F2C}"/>
    <cellStyle name="Normal 7 6 10 2 5" xfId="32100" xr:uid="{99E8E283-5CAB-4755-8005-74024192953E}"/>
    <cellStyle name="Normal 7 6 10 3" xfId="1466" xr:uid="{00000000-0005-0000-0000-000092070000}"/>
    <cellStyle name="Normal 7 6 10 4" xfId="2998" xr:uid="{00000000-0005-0000-0000-0000DB080000}"/>
    <cellStyle name="Normal 7 6 10 4 2" xfId="31283" xr:uid="{69027C77-DB7A-41A6-AD44-B417C9A1F73E}"/>
    <cellStyle name="Normal 7 6 10 5" xfId="2151" xr:uid="{00000000-0005-0000-0000-000024030000}"/>
    <cellStyle name="Normal 7 6 10 5 2" xfId="4681" xr:uid="{64225ED7-B81F-4829-937E-4C8F86992647}"/>
    <cellStyle name="Normal 7 6 10 5 3" xfId="30232" xr:uid="{E8A66BD3-D076-4AC4-9CB9-C69A4F84E392}"/>
    <cellStyle name="Normal 7 6 10 5 3 2" xfId="31376" xr:uid="{D1DAB6D5-9CCE-40FC-902D-9DEE317FF735}"/>
    <cellStyle name="Normal 7 6 10 5 4" xfId="31572" xr:uid="{11601000-5713-4821-958F-68BE4ED60597}"/>
    <cellStyle name="Normal 7 6 10 5 5" xfId="31866" xr:uid="{3F49E6C2-1A90-4871-B579-033A0A0310AD}"/>
    <cellStyle name="Normal 7 6 10 5 6" xfId="32197" xr:uid="{1EA327E3-B7B3-4B35-A341-BCE23A731012}"/>
    <cellStyle name="Normal 7 6 10 6" xfId="4079" xr:uid="{5A04D94C-6FA8-4354-90B5-CFB60835C8E6}"/>
    <cellStyle name="Normal 7 6 10 6 2" xfId="4824" xr:uid="{0FEEC669-8F27-4B5E-8A98-CFDB8125CE32}"/>
    <cellStyle name="Normal 7 6 10 6 3" xfId="30346" xr:uid="{F9587E97-63EE-407D-AB4F-67E8F50E4485}"/>
    <cellStyle name="Normal 7 6 10 6 3 2" xfId="31488" xr:uid="{1B8E676E-0AA8-4F0A-8F3B-F346F6626895}"/>
    <cellStyle name="Normal 7 6 10 6 4" xfId="31686" xr:uid="{8B0FF327-4B58-4E9D-B7E2-13B7E118E2F7}"/>
    <cellStyle name="Normal 7 6 10 6 5" xfId="31980" xr:uid="{152DA5AE-C37F-47BF-B925-52D2A4AEDE56}"/>
    <cellStyle name="Normal 7 6 10 6 6" xfId="32310" xr:uid="{AA7795F9-3D40-4468-A6ED-E194803104B4}"/>
    <cellStyle name="Normal 7 6 10 7" xfId="30165" xr:uid="{12C3815A-038F-484F-AD47-98D3CF0EAE5F}"/>
    <cellStyle name="Normal 7 6 10 7 2" xfId="30535" xr:uid="{0238211A-81EA-4FE4-8F6A-61EEA3D894FA}"/>
    <cellStyle name="Normal 7 6 10 8" xfId="31799" xr:uid="{8A9FC99B-6DCD-4262-BCF2-EB79CEDF5684}"/>
    <cellStyle name="Normal 7 6 10 9" xfId="32069" xr:uid="{BA42B53E-728D-4113-B6F0-E7AD75E51C1B}"/>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2 3" xfId="30351" xr:uid="{32EA88A3-08AC-49A9-88D9-78D4B3CF965A}"/>
    <cellStyle name="Normal 7 6 12 3 2 3 2" xfId="31491" xr:uid="{4E36D0A4-F1F3-4DA5-BD91-14C17BE12718}"/>
    <cellStyle name="Normal 7 6 12 3 2 4" xfId="31691" xr:uid="{4EB2BB40-362C-4EB4-A380-9BF8050F35EC}"/>
    <cellStyle name="Normal 7 6 12 3 2 5" xfId="31985" xr:uid="{762A2D3A-6FC8-40AA-B98E-AB71505F9243}"/>
    <cellStyle name="Normal 7 6 12 3 2 6" xfId="32315" xr:uid="{AE2F3292-51EE-48D8-B65B-0110D6F25A63}"/>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4 5" xfId="32123" xr:uid="{98DD89C1-7262-46FF-B451-8570463DA0EC}"/>
    <cellStyle name="Normal 7 6 12 5" xfId="2154" xr:uid="{00000000-0005-0000-0000-000027030000}"/>
    <cellStyle name="Normal 7 6 12 5 2" xfId="4790" xr:uid="{41EDDE25-589E-426C-B333-2F90E7438841}"/>
    <cellStyle name="Normal 7 6 12 5 2 2" xfId="28351" xr:uid="{3EB7436E-C897-4D37-A74A-339AD61DBDE8}"/>
    <cellStyle name="Normal 7 6 12 5 3" xfId="30235" xr:uid="{83457AE9-53E7-4626-824E-8BAF1E027614}"/>
    <cellStyle name="Normal 7 6 12 5 3 2" xfId="30408" xr:uid="{BBED2A49-C521-4234-9A68-3423CCBF2CC3}"/>
    <cellStyle name="Normal 7 6 12 5 4" xfId="31575" xr:uid="{F51BCC98-4641-44BA-970F-92381F3BC744}"/>
    <cellStyle name="Normal 7 6 12 5 5" xfId="31869" xr:uid="{A8422BAC-31C8-453B-B096-90DBB72464BC}"/>
    <cellStyle name="Normal 7 6 12 5 6" xfId="32199" xr:uid="{177B7B5A-D0FC-43DB-9FED-26C987448288}"/>
    <cellStyle name="Normal 7 6 12 6" xfId="4107" xr:uid="{30A2C7AC-688D-49BA-80A4-9263C9BFA06B}"/>
    <cellStyle name="Normal 7 6 12 6 2" xfId="4760" xr:uid="{A9321574-1AD7-4B70-B5D3-A6DF307B9A1E}"/>
    <cellStyle name="Normal 7 6 12 6 3" xfId="30349" xr:uid="{92066A0A-D760-4CC8-B1AD-E90895EDD322}"/>
    <cellStyle name="Normal 7 6 12 6 3 2" xfId="30470" xr:uid="{F372F407-C5C1-421C-B0DA-539207397CF2}"/>
    <cellStyle name="Normal 7 6 12 6 4" xfId="31689" xr:uid="{AF9DAF71-AEF0-46C2-AF8D-5CD1CE61D7A8}"/>
    <cellStyle name="Normal 7 6 12 6 5" xfId="31983" xr:uid="{3942AF52-D4AD-45BF-A526-185D948791E2}"/>
    <cellStyle name="Normal 7 6 12 6 6" xfId="32313" xr:uid="{D4052CDE-2B49-4449-A7A2-54140DEC611E}"/>
    <cellStyle name="Normal 7 6 12 7" xfId="25333" xr:uid="{F7D8B81A-047F-48C6-A186-A40F67FBBC1A}"/>
    <cellStyle name="Normal 7 6 12 7 2" xfId="26410" xr:uid="{92E5298E-5151-4BC5-8530-0F8A55FB4F6C}"/>
    <cellStyle name="Normal 7 6 12 7 3" xfId="31158" xr:uid="{2374E897-A2DD-4365-809D-E07045FA949F}"/>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3 4" xfId="30292" xr:uid="{FAC2BF2A-86D0-46D4-9C19-960A9118AE4A}"/>
    <cellStyle name="Normal 7 6 14 3 4 2" xfId="31435" xr:uid="{1A077638-1BB3-4622-90A7-D76601927321}"/>
    <cellStyle name="Normal 7 6 14 3 5" xfId="31632" xr:uid="{F015D07E-7A10-4562-9261-1F62D0680FB5}"/>
    <cellStyle name="Normal 7 6 14 3 6" xfId="31926" xr:uid="{2FE623C4-5C9B-4719-9236-574D991686ED}"/>
    <cellStyle name="Normal 7 6 14 3 7" xfId="32256" xr:uid="{74D0687B-198F-4582-B60C-2B5C0EB3687D}"/>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3" xfId="27002" xr:uid="{CF3F67CA-7171-40A7-8B27-2E3B488C6464}"/>
    <cellStyle name="Normal 7 6 17 4" xfId="30231" xr:uid="{22805842-D57A-4294-947D-0526512732D1}"/>
    <cellStyle name="Normal 7 6 17 4 2" xfId="31375" xr:uid="{3A52D4CE-12B1-451F-B61D-7FA7D4D520E5}"/>
    <cellStyle name="Normal 7 6 17 5" xfId="31571" xr:uid="{F2A4B6CE-C68B-42CC-9C27-3F458A1293BD}"/>
    <cellStyle name="Normal 7 6 17 6" xfId="31865" xr:uid="{E55F823F-4A15-4C26-9344-B1D432761C2B}"/>
    <cellStyle name="Normal 7 6 17 7" xfId="32196" xr:uid="{B75ED672-FA2E-44BB-93A0-C8C8CF1C86A0}"/>
    <cellStyle name="Normal 7 6 18" xfId="4078" xr:uid="{0FEC4EED-31A4-4E9D-A539-4F81C2FE41D8}"/>
    <cellStyle name="Normal 7 6 18 2" xfId="4693" xr:uid="{BF19DB26-08D9-499A-A4F6-1D49D2A37102}"/>
    <cellStyle name="Normal 7 6 18 3" xfId="30345" xr:uid="{097B12CA-5FBD-4FCE-AC04-16616058D705}"/>
    <cellStyle name="Normal 7 6 18 3 2" xfId="31487" xr:uid="{FF36C13B-12D4-45EE-9BDA-D2A65682F0F4}"/>
    <cellStyle name="Normal 7 6 18 4" xfId="31685" xr:uid="{84FA38DB-E8D3-4A3F-894E-B6DF80BE9978}"/>
    <cellStyle name="Normal 7 6 18 5" xfId="31979" xr:uid="{CE2C3E01-1D6B-4F77-AD4A-A2B7FE05F7FC}"/>
    <cellStyle name="Normal 7 6 18 6" xfId="32309" xr:uid="{6B1B658E-8188-4CA8-848E-AD2079F8598A}"/>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10" xfId="29982" xr:uid="{04EAF5DC-CECD-4DF5-8341-46D11520E3B2}"/>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4 3" xfId="29856" xr:uid="{F5A0251C-89B3-4ED2-B453-D31D90B62909}"/>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7" xfId="25095" xr:uid="{2DD6EE98-696C-462E-BCC5-900432B06F90}"/>
    <cellStyle name="Normal 7 6 2 2 2 7 2" xfId="29683" xr:uid="{9C6F49DB-D23B-4106-9F39-763D45CC4D93}"/>
    <cellStyle name="Normal 7 6 2 2 2 7 2 2" xfId="31156" xr:uid="{319D062E-984D-495E-A6B1-EDF1A68F4600}"/>
    <cellStyle name="Normal 7 6 2 2 2 8" xfId="29671" xr:uid="{A6916481-21A3-435F-B144-A91FBB42ED2B}"/>
    <cellStyle name="Normal 7 6 2 2 2 9" xfId="29837" xr:uid="{9D9C830E-9D27-4D5D-A596-7040B62EB861}"/>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4 2" xfId="29747" xr:uid="{5D856566-71DC-4B60-BA54-4AAFB41ABC56}"/>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21" xfId="29836" xr:uid="{14591012-5BF2-4661-84EF-D3C202A421F1}"/>
    <cellStyle name="Normal 7 6 21 2" xfId="31505" xr:uid="{AE07DE1B-668E-4B16-88FD-3A9EC54BD8AE}"/>
    <cellStyle name="Normal 7 6 22" xfId="29981" xr:uid="{9BCCC15C-78C9-486F-A701-1A52E6003D5D}"/>
    <cellStyle name="Normal 7 6 23" xfId="30164" xr:uid="{49D357EA-AD67-4E3B-A3C0-C67DEDCA22C2}"/>
    <cellStyle name="Normal 7 6 23 2" xfId="32020" xr:uid="{973872C4-0B51-4EC1-9087-44540FD2E4EB}"/>
    <cellStyle name="Normal 7 6 24" xfId="31798" xr:uid="{141CC0B2-AEC2-469D-8BE9-D5FE5F93FB89}"/>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10" xfId="32070" xr:uid="{27581484-251F-431B-A294-D80C9E7C0E04}"/>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4 2" xfId="29786" xr:uid="{AEE5E8D0-64E0-4EF2-B258-9A2F3F526AE1}"/>
    <cellStyle name="Normal 7 6 3 3 2 2 5" xfId="24559" xr:uid="{B922943A-682E-4BDA-97D1-4B15684C58BE}"/>
    <cellStyle name="Normal 7 6 3 3 2 2 6" xfId="14086" xr:uid="{962D000C-A1AC-4453-ACAB-73642BEFA1C9}"/>
    <cellStyle name="Normal 7 6 3 3 2 3" xfId="3493" xr:uid="{00000000-0005-0000-0000-000006090000}"/>
    <cellStyle name="Normal 7 6 3 3 2 3 2" xfId="30074" xr:uid="{32C9490F-223B-4F54-991F-4B3A7967E779}"/>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2 2" xfId="29806" xr:uid="{5B30EC69-E692-4A67-825D-515A3CD295B3}"/>
    <cellStyle name="Normal 7 6 3 3 2 5 3" xfId="23112" xr:uid="{8B9C337C-9F1F-4B71-B33C-4BBF8768F2B4}"/>
    <cellStyle name="Normal 7 6 3 3 2 5 3 2" xfId="30094" xr:uid="{704ABBA2-7391-4C03-A229-8C5BE6596277}"/>
    <cellStyle name="Normal 7 6 3 3 2 5 3 3" xfId="32257" xr:uid="{D8A5AC3C-B521-47B7-A2D2-E913FD602BD1}"/>
    <cellStyle name="Normal 7 6 3 3 2 5 4" xfId="25624" xr:uid="{08F19465-FA20-4EFC-BDBA-F333EA0FE99C}"/>
    <cellStyle name="Normal 7 6 3 3 2 5 5" xfId="30293" xr:uid="{B0B0FC5E-A681-4C7A-9402-587E6D246449}"/>
    <cellStyle name="Normal 7 6 3 3 2 5 5 2" xfId="31436" xr:uid="{0C479F8B-31BC-4A83-A9FF-C393F1C53DF5}"/>
    <cellStyle name="Normal 7 6 3 3 2 5 6" xfId="31633" xr:uid="{30D63F68-2665-4D62-BFD1-4D3B105583A0}"/>
    <cellStyle name="Normal 7 6 3 3 2 5 7" xfId="31927" xr:uid="{0B7A38A3-D1DF-48EC-A2E6-D9E92519B970}"/>
    <cellStyle name="Normal 7 6 3 3 2 6" xfId="23049" xr:uid="{6A1329E9-4F61-4AE7-A038-DC47D92FCBA5}"/>
    <cellStyle name="Normal 7 6 3 3 2 6 2" xfId="31146" xr:uid="{34B83ACE-44A3-4940-AFE5-B4EF022905B3}"/>
    <cellStyle name="Normal 7 6 3 3 2 6 3" xfId="30914" xr:uid="{6E2A21CD-035E-489F-A7DE-293D595960DB}"/>
    <cellStyle name="Normal 7 6 3 3 2 7" xfId="13327" xr:uid="{F64208F4-0E3F-4CEE-8256-88031B63933C}"/>
    <cellStyle name="Normal 7 6 3 3 2 8" xfId="30926" xr:uid="{9FCF0968-A979-4539-AD90-D2D9D79CDAFE}"/>
    <cellStyle name="Normal 7 6 3 3 2 9" xfId="32101" xr:uid="{E2655494-02BF-4A9D-80ED-7D7B66C318D0}"/>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2 4" xfId="29816" xr:uid="{A6D295F5-EE7B-4174-AF97-372C2354F921}"/>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2 2" xfId="29819" xr:uid="{780A20BF-D728-490A-A368-FF54E81B0461}"/>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2 3" xfId="31107" xr:uid="{8CB3474E-5571-49FA-AE72-8D5E115219A0}"/>
    <cellStyle name="Normal 7 6 3 3 3 4 2 4" xfId="30915" xr:uid="{DE5E27BB-B822-402D-923F-F9EA10B0EB4E}"/>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5 2" xfId="29710" xr:uid="{04BD60D3-49F8-449A-9143-0C78D84BF8AD}"/>
    <cellStyle name="Normal 7 6 3 3 3 5 2 2" xfId="30953" xr:uid="{B3D80988-D845-47B0-B2DE-F9006412263D}"/>
    <cellStyle name="Normal 7 6 3 3 3 6" xfId="22964" xr:uid="{A39247FC-957C-4179-8B1D-E102D3CFAC6C}"/>
    <cellStyle name="Normal 7 6 3 3 3 6 2" xfId="29674" xr:uid="{CA9E9E34-311D-47F7-9DA7-90D58AC2FE83}"/>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2 5" xfId="30570" xr:uid="{84B7872D-76F9-4A5E-9DB5-AB13DBD0B9B6}"/>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6 3" xfId="30233" xr:uid="{6645CF52-C51C-46A3-B69A-670BFF6D043C}"/>
    <cellStyle name="Normal 7 6 3 3 6 3 2" xfId="31377" xr:uid="{9C0664F1-2BC2-4486-BD5C-A88F2827CD6E}"/>
    <cellStyle name="Normal 7 6 3 3 6 4" xfId="31573" xr:uid="{B935607C-FA16-46A0-8678-73DBE2437CBD}"/>
    <cellStyle name="Normal 7 6 3 3 6 5" xfId="31867" xr:uid="{ACF92A0E-985B-41DD-BC15-4DDAD94F98B9}"/>
    <cellStyle name="Normal 7 6 3 3 6 6" xfId="32198" xr:uid="{8EB8F143-4CE3-48B4-ACB6-08F76987A993}"/>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3 2" xfId="31185" xr:uid="{6E7833E5-778C-465E-8DE0-065A447A6E20}"/>
    <cellStyle name="Normal 7 6 3 3 7 4" xfId="27627" xr:uid="{D690042B-48A8-4B37-88B6-2BF49BC9445A}"/>
    <cellStyle name="Normal 7 6 3 3 7 5" xfId="30347" xr:uid="{9CC4D4A5-A59A-485D-9725-F0B5952F9150}"/>
    <cellStyle name="Normal 7 6 3 3 7 5 2" xfId="31489" xr:uid="{7896352E-95E3-41EA-B176-36FF0CEE565A}"/>
    <cellStyle name="Normal 7 6 3 3 7 6" xfId="31687" xr:uid="{D11F685F-83BD-4E7B-A8DA-FFB6C0997B38}"/>
    <cellStyle name="Normal 7 6 3 3 7 7" xfId="31981" xr:uid="{8F3A3EFA-40F6-4219-A5AF-EC49E0730250}"/>
    <cellStyle name="Normal 7 6 3 3 7 8" xfId="32311" xr:uid="{6B87F873-805B-4BC2-88BD-D693415A1A65}"/>
    <cellStyle name="Normal 7 6 3 3 8" xfId="29682" xr:uid="{DDD031FA-DD35-4F20-99A5-AA11D3C98D44}"/>
    <cellStyle name="Normal 7 6 3 3 8 2" xfId="30545" xr:uid="{DE3B6B93-E2A5-480B-9010-B39AA1DCB833}"/>
    <cellStyle name="Normal 7 6 3 3 9" xfId="29670" xr:uid="{5A811436-6D74-48D3-AB9A-EE7538A6A6FC}"/>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6 9 2" xfId="30417" xr:uid="{AB45C2D4-D1A5-4191-A2B5-6B3B04A57500}"/>
    <cellStyle name="Normal 7 6 9 3" xfId="30418" xr:uid="{878EED05-4C5D-4667-BCA2-DAD249232A25}"/>
    <cellStyle name="Normal 7 6 9 3 2" xfId="30571" xr:uid="{1BBA716F-322A-443F-9F1C-34B4B91E48F1}"/>
    <cellStyle name="Normal 7 6 9 3 2 2" xfId="30610" xr:uid="{4BD1B694-F951-4017-95A9-FF534FEB7058}"/>
    <cellStyle name="Normal 7 6 9 3 2 3" xfId="30629" xr:uid="{D926D891-B7C7-4693-8B9F-A282844D3DAF}"/>
    <cellStyle name="Normal 7 6 9 3 2 4" xfId="30936" xr:uid="{D974361E-AECE-4B32-BC25-92B53BFBEF24}"/>
    <cellStyle name="Normal 7 6 9 3 3" xfId="30597" xr:uid="{1CB22FE2-C93E-4B7A-9F83-F05BC42F8988}"/>
    <cellStyle name="Normal 7 6 9 3 3 2" xfId="30638" xr:uid="{0E85BEEA-8502-4FB9-9D7B-9B39FC6894C4}"/>
    <cellStyle name="Normal 7 6 9 3 3 3" xfId="30949" xr:uid="{10A0B2B1-C014-460B-B97B-1F8715293478}"/>
    <cellStyle name="Normal 7 6 9 3 4" xfId="30626" xr:uid="{D5B2EEA1-BA41-4ECF-8645-DC7FCB362E6F}"/>
    <cellStyle name="Normal 7 6 9 3 5" xfId="30924" xr:uid="{59272B79-6782-498A-A565-B27F383EE7E8}"/>
    <cellStyle name="Normal 7 6 9 4" xfId="30574" xr:uid="{AF443EFD-BF75-488F-8C96-3A07A286175C}"/>
    <cellStyle name="Normal 7 6 9 4 2" xfId="30613" xr:uid="{93E0A71D-1FCA-4C1A-8893-2D82F9B7C858}"/>
    <cellStyle name="Normal 7 6 9 4 3" xfId="30632" xr:uid="{32F1BC2F-10D3-4E71-AD07-986C280704B2}"/>
    <cellStyle name="Normal 7 6 9 4 4" xfId="30940" xr:uid="{D4C2894F-E69E-46C0-825F-9DFEC6921BF8}"/>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7" xfId="5533" xr:uid="{046B55AD-73C4-4E32-BA01-C1D2261765B1}"/>
    <cellStyle name="Normal 9 4 7 2" xfId="30088" xr:uid="{2F6732B9-22B1-4277-B1A7-B0F33EDFCAEE}"/>
    <cellStyle name="Normal 9 4 7 2 2" xfId="30954" xr:uid="{A8188D3E-D4CD-4378-91D8-1EB48A3EF6B0}"/>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3 2" xfId="31302" xr:uid="{09740B15-9ABE-40E6-8871-06691DDF618A}"/>
    <cellStyle name="Note 4 2 4" xfId="3769" xr:uid="{00000000-0005-0000-0000-0000E60E0000}"/>
    <cellStyle name="Note 4 2 4 2" xfId="4802" xr:uid="{E4762291-6E3E-40C0-B2A3-FBA7791D5340}"/>
    <cellStyle name="Note 4 2 4 3" xfId="30294" xr:uid="{F6CC97B8-D329-47AB-B30B-38088FA4AA4F}"/>
    <cellStyle name="Note 4 2 4 3 2" xfId="31437" xr:uid="{8DF259B6-D8D6-4B9D-B39D-3D52A6097811}"/>
    <cellStyle name="Note 4 2 4 4" xfId="31634" xr:uid="{E29E150E-84A6-4520-A31C-C74B5C1F5214}"/>
    <cellStyle name="Note 4 2 4 5" xfId="31928" xr:uid="{94C5323D-F7B6-4ECB-AD1E-3416C18ADF9C}"/>
    <cellStyle name="Note 4 2 4 6" xfId="32258" xr:uid="{248760E8-E94D-476A-AD2A-071E13862B53}"/>
    <cellStyle name="Note 4 3" xfId="1545" xr:uid="{00000000-0005-0000-0000-0000E2070000}"/>
    <cellStyle name="Note 4 3 2" xfId="30097" xr:uid="{9537CA53-C3FD-4E87-AC66-BA3C054C1009}"/>
    <cellStyle name="Note 4 4" xfId="2073" xr:uid="{00000000-0005-0000-0000-000049030000}"/>
    <cellStyle name="Note 4 4 2" xfId="4791" xr:uid="{EAC7EE03-6B36-4A5D-889D-B815EC9F9048}"/>
    <cellStyle name="Note 4 4 3" xfId="30173" xr:uid="{F6441C75-DAA1-4486-B072-CAFC56088476}"/>
    <cellStyle name="Note 4 4 3 2" xfId="31317" xr:uid="{A51A4A51-59A9-4DA4-BAC6-6B498B98295B}"/>
    <cellStyle name="Note 4 4 4" xfId="31513" xr:uid="{46BB7552-C9F7-4992-BB91-1408BCB3217B}"/>
    <cellStyle name="Note 4 4 5" xfId="31807" xr:uid="{64E24786-A0BE-4408-97F4-A4E6CCF6094A}"/>
    <cellStyle name="Note 4 4 6" xfId="32138" xr:uid="{0D63A2E1-CFC6-4F00-B29D-453F60FF7C47}"/>
    <cellStyle name="Note 4 5" xfId="29583" xr:uid="{24FEBD0B-5ABA-49D8-AC25-4DA966B23BF8}"/>
    <cellStyle name="Note 4 5 2" xfId="31248" xr:uid="{179223E0-4C3A-4691-A628-3421C1D9764F}"/>
    <cellStyle name="Note 4 5 3" xfId="30548" xr:uid="{6CEC5488-D223-4DCD-BE4A-44A97B40BB66}"/>
    <cellStyle name="Note 4 6" xfId="32102" xr:uid="{015B80D8-D508-4438-87D2-A2B44A464D65}"/>
    <cellStyle name="Note 5" xfId="12255" xr:uid="{E1364BB4-A0A2-46F5-BB38-05901CCE3206}"/>
    <cellStyle name="Note 5 2" xfId="22634" xr:uid="{E297CF68-B359-40C9-8CC6-73BC50F6502C}"/>
    <cellStyle name="Note 6" xfId="30917" xr:uid="{568266BE-1B4B-4D3A-B271-E6A359140DD3}"/>
    <cellStyle name="Note 6 2" xfId="30951" xr:uid="{BC9386E2-C514-49C7-8749-71E76C1309BC}"/>
    <cellStyle name="Note 7" xfId="32320" xr:uid="{CE1133CD-502B-4C05-AB0E-290014342AA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2 2" xfId="31736" xr:uid="{F5D2602A-1CA8-4937-A75B-B7316868305F}"/>
    <cellStyle name="Percent 2 3" xfId="29585" xr:uid="{8FB87725-886D-4A62-BBA8-4FA9FB880D61}"/>
    <cellStyle name="Percent 2 4" xfId="31735" xr:uid="{81975A88-DC72-409E-895A-F94B1AF416FB}"/>
    <cellStyle name="Percent 3" xfId="1550" xr:uid="{00000000-0005-0000-0000-0000E7070000}"/>
    <cellStyle name="Percent 3 2" xfId="2034" xr:uid="{00000000-0005-0000-0000-0000E8070000}"/>
    <cellStyle name="Percent 3 2 2" xfId="24401" xr:uid="{D0B85497-BCB7-44B3-90B9-F34C3207B46F}"/>
    <cellStyle name="Percent 3 2 2 2" xfId="29826" xr:uid="{75C23271-7EC3-43D0-8BA4-69F636E29421}"/>
    <cellStyle name="Percent 3 2 3" xfId="24242" xr:uid="{2ACE85BF-3B3C-4EA3-8A82-C46C5C94E5DC}"/>
    <cellStyle name="Percent 3 3" xfId="2035" xr:uid="{00000000-0005-0000-0000-0000E9070000}"/>
    <cellStyle name="Percent 3 3 2" xfId="31314" xr:uid="{BBC1F203-4A2A-48B7-9BD9-1716E25CC9AC}"/>
    <cellStyle name="Percent 3 3 3" xfId="31266" xr:uid="{8085B9E8-E0F4-4AC1-ADD7-5A40211A939D}"/>
    <cellStyle name="Percent 3 4" xfId="2033" xr:uid="{00000000-0005-0000-0000-0000EA070000}"/>
    <cellStyle name="Percent 3 5" xfId="30405" xr:uid="{0945A6B3-A411-4FFC-8192-180DB5988AA0}"/>
    <cellStyle name="Percent 3 5 2" xfId="30464" xr:uid="{63EB7186-FCEB-4D7E-9110-B36DEB064572}"/>
    <cellStyle name="Percent 3 6" xfId="31734" xr:uid="{C296D834-E3A5-4FC0-BDC5-01EF2E3AC3B4}"/>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2 4 2" xfId="29999" xr:uid="{DBA75EBB-88DC-4000-A3DE-7A773AC8CB6F}"/>
    <cellStyle name="Percent 4 2 5" xfId="29655" xr:uid="{C102B639-DE72-4927-A796-0F496C3DDD1A}"/>
    <cellStyle name="Percent 4 3" xfId="2038" xr:uid="{00000000-0005-0000-0000-0000ED070000}"/>
    <cellStyle name="Percent 4 3 2" xfId="29736" xr:uid="{2BDC7087-3D0C-4FA8-ACBA-F106235DF4E2}"/>
    <cellStyle name="Percent 4 3 3" xfId="29668" xr:uid="{6A17D060-249E-4F71-900C-08F938E35D8F}"/>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Percent 7" xfId="30409" xr:uid="{BD67580D-48EC-4ABF-B2EE-570D90A532C8}"/>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2 2" xfId="29810" xr:uid="{D4E7F262-7E61-4687-B06C-E107D8296DF9}"/>
    <cellStyle name="Style 1 2 2 3" xfId="25778" xr:uid="{C9F19B91-F5E5-4CD7-BE8E-78C05D2BCD6F}"/>
    <cellStyle name="Style 1 2 3" xfId="2041" xr:uid="{00000000-0005-0000-0000-0000F3070000}"/>
    <cellStyle name="Style 1 2 3 2" xfId="31315" xr:uid="{5D03057C-9A71-4F1B-9674-72DE10B21C86}"/>
    <cellStyle name="Style 1 2 3 3" xfId="31269" xr:uid="{FAC42ECE-AC01-4F74-8A11-03C4263CADAB}"/>
    <cellStyle name="Style 1 2 4" xfId="2039" xr:uid="{00000000-0005-0000-0000-0000F4070000}"/>
    <cellStyle name="Style 1 2 5" xfId="30407" xr:uid="{2E6C0663-EF3E-4DBA-8EED-2A1EA035CBE7}"/>
    <cellStyle name="Style 1 2 5 2" xfId="30465" xr:uid="{F706DBF5-298E-4FDD-8401-13A891456247}"/>
    <cellStyle name="Style 1 3" xfId="1555" xr:uid="{00000000-0005-0000-0000-0000F5070000}"/>
    <cellStyle name="Style 1 4" xfId="2042" xr:uid="{00000000-0005-0000-0000-0000F6070000}"/>
    <cellStyle name="Style 1 4 2" xfId="24410" xr:uid="{ED030EBF-D663-412E-B3DF-AF45BED2AFE5}"/>
    <cellStyle name="Style 1 4 2 2" xfId="29831" xr:uid="{12EB135A-16A2-48C8-957C-56C95D4F0B94}"/>
    <cellStyle name="Style 1 4 3" xfId="25651" xr:uid="{8568525C-B3AA-4170-9749-B4F90608AC98}"/>
    <cellStyle name="Style 1 5" xfId="30406" xr:uid="{91B5FAB8-CE8E-4A1E-A86E-BA45CA647BF5}"/>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121">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91" formatCode=";;;"/>
    </dxf>
    <dxf>
      <numFmt numFmtId="191" formatCode=";;;"/>
    </dxf>
    <dxf>
      <numFmt numFmtId="191" formatCode=";;;"/>
    </dxf>
    <dxf>
      <numFmt numFmtId="191" formatCode=";;;"/>
    </dxf>
    <dxf>
      <numFmt numFmtId="191"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ont>
        <color rgb="FFFF0000"/>
      </font>
      <fill>
        <patternFill>
          <bgColor rgb="FFFFFFCC"/>
        </patternFill>
      </fill>
    </dxf>
    <dxf>
      <font>
        <color rgb="FF9C0006"/>
      </font>
      <fill>
        <patternFill>
          <bgColor rgb="FFFFC7CE"/>
        </patternFill>
      </fill>
    </dxf>
    <dxf>
      <font>
        <color rgb="FFFF0000"/>
      </font>
      <fill>
        <patternFill>
          <bgColor rgb="FFFFFFCC"/>
        </patternFill>
      </fill>
    </dxf>
    <dxf>
      <font>
        <color rgb="FFFF0000"/>
      </font>
      <fill>
        <patternFill>
          <bgColor rgb="FFFFFFCC"/>
        </patternFill>
      </fill>
    </dxf>
    <dxf>
      <font>
        <b/>
        <i val="0"/>
        <color rgb="FFFF0000"/>
      </font>
      <fill>
        <patternFill>
          <bgColor rgb="FFFFC7CE"/>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5" tint="0.79998168889431442"/>
        </patternFill>
      </fill>
    </dxf>
    <dxf>
      <font>
        <b/>
        <i val="0"/>
      </font>
      <fill>
        <patternFill>
          <bgColor rgb="FFFDC7D6"/>
        </patternFill>
      </fill>
    </dxf>
    <dxf>
      <fill>
        <patternFill>
          <bgColor rgb="FFFFFFCC"/>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bgColor rgb="FFFFC7CE"/>
        </patternFill>
      </fill>
    </dxf>
    <dxf>
      <font>
        <color rgb="FF9C0006"/>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120"/>
      <tableStyleElement type="headerRow" dxfId="119"/>
      <tableStyleElement type="firstRowStripe" dxfId="118"/>
    </tableStyle>
  </tableStyles>
  <colors>
    <mruColors>
      <color rgb="FF99FF66"/>
      <color rgb="FFFFFFCC"/>
      <color rgb="FFFFFFFF"/>
      <color rgb="FFFFC7CE"/>
      <color rgb="FFFFC4FF"/>
      <color rgb="FF0315BD"/>
      <color rgb="FFCCFF66"/>
      <color rgb="FFFDC7D6"/>
      <color rgb="FFFEE2EA"/>
      <color rgb="FFFDD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  as a % of Expenditures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9.7797185706470544E-2"/>
          <c:y val="0.15667699698037926"/>
          <c:w val="0.87753647349015773"/>
          <c:h val="0.70688706795084866"/>
        </c:manualLayout>
      </c:layout>
      <c:barChart>
        <c:barDir val="col"/>
        <c:grouping val="clustered"/>
        <c:varyColors val="1"/>
        <c:ser>
          <c:idx val="0"/>
          <c:order val="0"/>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948-4790-A7B9-1F8BA545F0C2}"/>
              </c:ext>
            </c:extLst>
          </c:dPt>
          <c:dPt>
            <c:idx val="1"/>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948-4790-A7B9-1F8BA545F0C2}"/>
              </c:ext>
            </c:extLst>
          </c:dPt>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1948-4790-A7B9-1F8BA545F0C2}"/>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  Indicators Print'!$L$10:$N$10</c:f>
              <c:numCache>
                <c:formatCode>0</c:formatCode>
                <c:ptCount val="3"/>
                <c:pt idx="0" formatCode="General">
                  <c:v>2022</c:v>
                </c:pt>
                <c:pt idx="1">
                  <c:v>2023</c:v>
                </c:pt>
                <c:pt idx="2" formatCode="General">
                  <c:v>2024</c:v>
                </c:pt>
              </c:numCache>
            </c:numRef>
          </c:cat>
          <c:val>
            <c:numRef>
              <c:f>'Performance  Indicators Print'!$L$11:$N$11</c:f>
              <c:numCache>
                <c:formatCode>0.00%</c:formatCode>
                <c:ptCount val="3"/>
                <c:pt idx="0">
                  <c:v>#N/A</c:v>
                </c:pt>
                <c:pt idx="1">
                  <c:v>#N/A</c:v>
                </c:pt>
                <c:pt idx="2">
                  <c:v>0</c:v>
                </c:pt>
              </c:numCache>
            </c:numRef>
          </c:val>
          <c:extLst>
            <c:ext xmlns:c16="http://schemas.microsoft.com/office/drawing/2014/chart" uri="{C3380CC4-5D6E-409C-BE32-E72D297353CC}">
              <c16:uniqueId val="{00000000-A409-43D6-8C66-73522177D1BF}"/>
            </c:ext>
          </c:extLst>
        </c:ser>
        <c:dLbls>
          <c:dLblPos val="inEnd"/>
          <c:showLegendKey val="0"/>
          <c:showVal val="1"/>
          <c:showCatName val="0"/>
          <c:showSerName val="0"/>
          <c:showPercent val="0"/>
          <c:showBubbleSize val="0"/>
        </c:dLbls>
        <c:gapWidth val="75"/>
        <c:overlap val="40"/>
        <c:axId val="75334896"/>
        <c:axId val="216599104"/>
      </c:barChart>
      <c:catAx>
        <c:axId val="75334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Ratio-Water and Sewer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8820-4E4A-9E55-9678AD123E46}"/>
              </c:ext>
            </c:extLst>
          </c:dPt>
          <c:dPt>
            <c:idx val="1"/>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8820-4E4A-9E55-9678AD123E46}"/>
              </c:ext>
            </c:extLst>
          </c:dPt>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8820-4E4A-9E55-9678AD123E46}"/>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  Indicators Print'!$L$10:$N$10</c:f>
              <c:numCache>
                <c:formatCode>0</c:formatCode>
                <c:ptCount val="3"/>
                <c:pt idx="0" formatCode="General">
                  <c:v>2022</c:v>
                </c:pt>
                <c:pt idx="1">
                  <c:v>2023</c:v>
                </c:pt>
                <c:pt idx="2" formatCode="General">
                  <c:v>2024</c:v>
                </c:pt>
              </c:numCache>
            </c:numRef>
          </c:cat>
          <c:val>
            <c:numRef>
              <c:f>'Performance  Indicators Print'!$L$16:$N$16</c:f>
              <c:numCache>
                <c:formatCode>0.00</c:formatCode>
                <c:ptCount val="3"/>
                <c:pt idx="0">
                  <c:v>#N/A</c:v>
                </c:pt>
                <c:pt idx="1">
                  <c:v>#N/A</c:v>
                </c:pt>
                <c:pt idx="2">
                  <c:v>0</c:v>
                </c:pt>
              </c:numCache>
            </c:numRef>
          </c:val>
          <c:extLst>
            <c:ext xmlns:c16="http://schemas.microsoft.com/office/drawing/2014/chart" uri="{C3380CC4-5D6E-409C-BE32-E72D297353CC}">
              <c16:uniqueId val="{00000000-1CDB-4C76-BFFC-D1B465011A83}"/>
            </c:ext>
          </c:extLst>
        </c:ser>
        <c:dLbls>
          <c:dLblPos val="inEnd"/>
          <c:showLegendKey val="0"/>
          <c:showVal val="1"/>
          <c:showCatName val="0"/>
          <c:showSerName val="0"/>
          <c:showPercent val="0"/>
          <c:showBubbleSize val="0"/>
        </c:dLbls>
        <c:gapWidth val="75"/>
        <c:overlap val="40"/>
        <c:axId val="75334896"/>
        <c:axId val="216599104"/>
      </c:barChart>
      <c:catAx>
        <c:axId val="75334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Ratio-Electric</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95-4FC6-84A4-7A5F1ECAFFDB}"/>
              </c:ext>
            </c:extLst>
          </c:dPt>
          <c:dPt>
            <c:idx val="1"/>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95-4FC6-84A4-7A5F1ECAFFDB}"/>
              </c:ext>
            </c:extLst>
          </c:dPt>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95-4FC6-84A4-7A5F1ECAFFDB}"/>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  Indicators Print'!$L$10:$N$10</c:f>
              <c:numCache>
                <c:formatCode>0</c:formatCode>
                <c:ptCount val="3"/>
                <c:pt idx="0" formatCode="General">
                  <c:v>2022</c:v>
                </c:pt>
                <c:pt idx="1">
                  <c:v>2023</c:v>
                </c:pt>
                <c:pt idx="2" formatCode="General">
                  <c:v>2024</c:v>
                </c:pt>
              </c:numCache>
            </c:numRef>
          </c:cat>
          <c:val>
            <c:numRef>
              <c:f>'Performance  Indicators Print'!$L$25:$N$25</c:f>
              <c:numCache>
                <c:formatCode>0.00</c:formatCode>
                <c:ptCount val="3"/>
                <c:pt idx="0">
                  <c:v>#N/A</c:v>
                </c:pt>
                <c:pt idx="1">
                  <c:v>#N/A</c:v>
                </c:pt>
                <c:pt idx="2">
                  <c:v>0</c:v>
                </c:pt>
              </c:numCache>
            </c:numRef>
          </c:val>
          <c:extLst>
            <c:ext xmlns:c16="http://schemas.microsoft.com/office/drawing/2014/chart" uri="{C3380CC4-5D6E-409C-BE32-E72D297353CC}">
              <c16:uniqueId val="{00000000-3BE2-4478-82F0-97834E674CDE}"/>
            </c:ext>
          </c:extLst>
        </c:ser>
        <c:dLbls>
          <c:dLblPos val="inEnd"/>
          <c:showLegendKey val="0"/>
          <c:showVal val="1"/>
          <c:showCatName val="0"/>
          <c:showSerName val="0"/>
          <c:showPercent val="0"/>
          <c:showBubbleSize val="0"/>
        </c:dLbls>
        <c:gapWidth val="75"/>
        <c:overlap val="40"/>
        <c:axId val="75334896"/>
        <c:axId val="216599104"/>
      </c:barChart>
      <c:catAx>
        <c:axId val="75334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210638</xdr:colOff>
      <xdr:row>10</xdr:row>
      <xdr:rowOff>190500</xdr:rowOff>
    </xdr:from>
    <xdr:to>
      <xdr:col>4</xdr:col>
      <xdr:colOff>850991</xdr:colOff>
      <xdr:row>10</xdr:row>
      <xdr:rowOff>2908391</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197847</xdr:colOff>
      <xdr:row>15</xdr:row>
      <xdr:rowOff>66131</xdr:rowOff>
    </xdr:from>
    <xdr:to>
      <xdr:col>4</xdr:col>
      <xdr:colOff>856162</xdr:colOff>
      <xdr:row>15</xdr:row>
      <xdr:rowOff>2410369</xdr:rowOff>
    </xdr:to>
    <xdr:graphicFrame macro="">
      <xdr:nvGraphicFramePr>
        <xdr:cNvPr id="3" name="Chart 1">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163287</xdr:colOff>
      <xdr:row>24</xdr:row>
      <xdr:rowOff>81643</xdr:rowOff>
    </xdr:from>
    <xdr:to>
      <xdr:col>4</xdr:col>
      <xdr:colOff>838201</xdr:colOff>
      <xdr:row>24</xdr:row>
      <xdr:rowOff>2449286</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251460</xdr:colOff>
          <xdr:row>7</xdr:row>
          <xdr:rowOff>83820</xdr:rowOff>
        </xdr:from>
        <xdr:to>
          <xdr:col>6</xdr:col>
          <xdr:colOff>1066800</xdr:colOff>
          <xdr:row>8</xdr:row>
          <xdr:rowOff>1531620</xdr:rowOff>
        </xdr:to>
        <xdr:sp macro="" textlink="">
          <xdr:nvSpPr>
            <xdr:cNvPr id="48129" name="Object 1" hidden="1">
              <a:extLst>
                <a:ext uri="{63B3BB69-23CF-44E3-9099-C40C66FF867C}">
                  <a14:compatExt spid="_x0000_s48129"/>
                </a:ext>
                <a:ext uri="{FF2B5EF4-FFF2-40B4-BE49-F238E27FC236}">
                  <a16:creationId xmlns:a16="http://schemas.microsoft.com/office/drawing/2014/main" id="{00000000-0008-0000-0300-000001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5" Type="http://schemas.openxmlformats.org/officeDocument/2006/relationships/printerSettings" Target="../printerSettings/printerSettings1.bin"/><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75D9-3D83-4324-B62D-17FE2ED83864}">
  <sheetPr codeName="Sheet1"/>
  <dimension ref="B1:N61"/>
  <sheetViews>
    <sheetView tabSelected="1" zoomScaleNormal="100" workbookViewId="0">
      <selection activeCell="B2" sqref="B2"/>
    </sheetView>
  </sheetViews>
  <sheetFormatPr defaultColWidth="9.109375" defaultRowHeight="14.4" x14ac:dyDescent="0.3"/>
  <cols>
    <col min="1" max="1" width="1.6640625" style="180" customWidth="1"/>
    <col min="2" max="2" width="187.109375" style="180" customWidth="1"/>
    <col min="3" max="4" width="9.109375" style="180" hidden="1" customWidth="1"/>
    <col min="5" max="5" width="2.33203125" style="180" customWidth="1"/>
    <col min="6" max="6" width="16.44140625" style="180" customWidth="1"/>
    <col min="7" max="16384" width="9.109375" style="180"/>
  </cols>
  <sheetData>
    <row r="1" spans="2:14" ht="9.6" customHeight="1" thickBot="1" x14ac:dyDescent="0.35">
      <c r="B1" s="162"/>
    </row>
    <row r="2" spans="2:14" ht="91.95" customHeight="1" thickBot="1" x14ac:dyDescent="0.35">
      <c r="B2" s="531" t="s">
        <v>1949</v>
      </c>
      <c r="E2"/>
    </row>
    <row r="3" spans="2:14" ht="76.2" customHeight="1" thickBot="1" x14ac:dyDescent="0.35">
      <c r="B3" s="972" t="s">
        <v>1908</v>
      </c>
      <c r="C3" s="173"/>
      <c r="D3" s="173"/>
      <c r="E3"/>
      <c r="F3"/>
    </row>
    <row r="4" spans="2:14" ht="58.95" customHeight="1" thickBot="1" x14ac:dyDescent="0.35">
      <c r="B4" s="972" t="s">
        <v>1909</v>
      </c>
      <c r="C4" s="173"/>
      <c r="D4" s="173"/>
    </row>
    <row r="5" spans="2:14" ht="61.2" customHeight="1" x14ac:dyDescent="0.3">
      <c r="B5" s="173" t="s">
        <v>1873</v>
      </c>
    </row>
    <row r="6" spans="2:14" ht="83.4" customHeight="1" x14ac:dyDescent="0.4">
      <c r="B6" s="173" t="s">
        <v>860</v>
      </c>
      <c r="F6" s="532"/>
      <c r="G6" s="532"/>
      <c r="H6" s="532"/>
      <c r="I6" s="532"/>
      <c r="J6" s="532"/>
      <c r="K6" s="532"/>
      <c r="L6" s="532"/>
      <c r="M6" s="532"/>
      <c r="N6" s="532"/>
    </row>
    <row r="7" spans="2:14" ht="58.2" customHeight="1" x14ac:dyDescent="0.3">
      <c r="B7" s="173" t="s">
        <v>861</v>
      </c>
    </row>
    <row r="8" spans="2:14" ht="117.6" customHeight="1" x14ac:dyDescent="0.3">
      <c r="B8" s="163" t="s">
        <v>862</v>
      </c>
    </row>
    <row r="9" spans="2:14" ht="25.95" customHeight="1" x14ac:dyDescent="0.3">
      <c r="B9" s="175" t="s">
        <v>452</v>
      </c>
    </row>
    <row r="10" spans="2:14" ht="49.2" customHeight="1" x14ac:dyDescent="0.3">
      <c r="B10" s="533" t="s">
        <v>863</v>
      </c>
    </row>
    <row r="11" spans="2:14" ht="42.6" customHeight="1" x14ac:dyDescent="0.3">
      <c r="B11" s="533" t="s">
        <v>453</v>
      </c>
    </row>
    <row r="12" spans="2:14" s="535" customFormat="1" ht="34.200000000000003" customHeight="1" x14ac:dyDescent="0.3">
      <c r="B12" s="534" t="s">
        <v>1920</v>
      </c>
    </row>
    <row r="13" spans="2:14" s="535" customFormat="1" ht="55.95" customHeight="1" x14ac:dyDescent="0.3">
      <c r="B13" s="536" t="s">
        <v>864</v>
      </c>
    </row>
    <row r="14" spans="2:14" ht="36" customHeight="1" x14ac:dyDescent="0.3">
      <c r="B14" s="536" t="s">
        <v>865</v>
      </c>
    </row>
    <row r="15" spans="2:14" ht="39" customHeight="1" x14ac:dyDescent="0.3">
      <c r="B15" s="537" t="s">
        <v>866</v>
      </c>
    </row>
    <row r="16" spans="2:14" ht="25.95" customHeight="1" x14ac:dyDescent="0.3">
      <c r="B16" s="175" t="s">
        <v>454</v>
      </c>
    </row>
    <row r="17" spans="2:2" x14ac:dyDescent="0.3">
      <c r="B17" s="162"/>
    </row>
    <row r="18" spans="2:2" x14ac:dyDescent="0.3">
      <c r="B18" s="538" t="s">
        <v>36</v>
      </c>
    </row>
    <row r="19" spans="2:2" ht="15.6" customHeight="1" x14ac:dyDescent="0.3">
      <c r="B19" s="539" t="s">
        <v>867</v>
      </c>
    </row>
    <row r="20" spans="2:2" x14ac:dyDescent="0.3">
      <c r="B20" s="540"/>
    </row>
    <row r="21" spans="2:2" x14ac:dyDescent="0.3">
      <c r="B21" s="538" t="s">
        <v>37</v>
      </c>
    </row>
    <row r="22" spans="2:2" ht="15.6" customHeight="1" x14ac:dyDescent="0.3">
      <c r="B22" s="541" t="s">
        <v>335</v>
      </c>
    </row>
    <row r="23" spans="2:2" ht="13.2" customHeight="1" x14ac:dyDescent="0.3">
      <c r="B23" s="162"/>
    </row>
    <row r="24" spans="2:2" ht="25.95" customHeight="1" x14ac:dyDescent="0.3">
      <c r="B24" s="175" t="s">
        <v>455</v>
      </c>
    </row>
    <row r="25" spans="2:2" s="535" customFormat="1" ht="72.599999999999994" customHeight="1" x14ac:dyDescent="0.3">
      <c r="B25" s="533" t="s">
        <v>1487</v>
      </c>
    </row>
    <row r="26" spans="2:2" s="535" customFormat="1" ht="84.6" customHeight="1" x14ac:dyDescent="0.3">
      <c r="B26" s="533" t="s">
        <v>868</v>
      </c>
    </row>
    <row r="27" spans="2:2" s="535" customFormat="1" ht="78.599999999999994" customHeight="1" x14ac:dyDescent="0.3">
      <c r="B27" s="533" t="s">
        <v>456</v>
      </c>
    </row>
    <row r="28" spans="2:2" ht="15" x14ac:dyDescent="0.3">
      <c r="B28" s="165" t="s">
        <v>869</v>
      </c>
    </row>
    <row r="29" spans="2:2" ht="8.4" customHeight="1" x14ac:dyDescent="0.3">
      <c r="B29" s="164"/>
    </row>
    <row r="30" spans="2:2" ht="25.95" customHeight="1" x14ac:dyDescent="0.3">
      <c r="B30" s="175" t="s">
        <v>870</v>
      </c>
    </row>
    <row r="31" spans="2:2" ht="28.95" customHeight="1" x14ac:dyDescent="0.3">
      <c r="B31" s="176" t="s">
        <v>1950</v>
      </c>
    </row>
    <row r="32" spans="2:2" ht="31.95" customHeight="1" x14ac:dyDescent="0.3">
      <c r="B32" s="176" t="s">
        <v>1951</v>
      </c>
    </row>
    <row r="33" spans="2:7" ht="30.6" customHeight="1" x14ac:dyDescent="0.3">
      <c r="B33" s="542" t="s">
        <v>1952</v>
      </c>
    </row>
    <row r="34" spans="2:7" ht="25.2" customHeight="1" x14ac:dyDescent="0.3">
      <c r="B34" s="542" t="s">
        <v>1953</v>
      </c>
    </row>
    <row r="35" spans="2:7" ht="27.6" customHeight="1" x14ac:dyDescent="0.3">
      <c r="B35" s="542" t="s">
        <v>1954</v>
      </c>
    </row>
    <row r="36" spans="2:7" ht="31.95" customHeight="1" x14ac:dyDescent="0.3">
      <c r="B36" s="543" t="s">
        <v>871</v>
      </c>
    </row>
    <row r="37" spans="2:7" ht="60" customHeight="1" x14ac:dyDescent="0.3">
      <c r="B37" s="176" t="s">
        <v>1959</v>
      </c>
    </row>
    <row r="38" spans="2:7" ht="60" customHeight="1" x14ac:dyDescent="0.3">
      <c r="B38" s="661" t="s">
        <v>1955</v>
      </c>
    </row>
    <row r="39" spans="2:7" ht="25.95" customHeight="1" x14ac:dyDescent="0.3">
      <c r="B39" s="176" t="s">
        <v>872</v>
      </c>
    </row>
    <row r="40" spans="2:7" ht="12" customHeight="1" x14ac:dyDescent="0.3">
      <c r="B40" s="176"/>
    </row>
    <row r="41" spans="2:7" ht="25.95" customHeight="1" x14ac:dyDescent="0.3">
      <c r="B41" s="175" t="s">
        <v>1956</v>
      </c>
    </row>
    <row r="42" spans="2:7" x14ac:dyDescent="0.3">
      <c r="B42" s="174"/>
      <c r="G42" s="544"/>
    </row>
    <row r="43" spans="2:7" ht="43.2" customHeight="1" x14ac:dyDescent="0.3">
      <c r="B43" s="545" t="s">
        <v>873</v>
      </c>
    </row>
    <row r="44" spans="2:7" ht="19.95" customHeight="1" x14ac:dyDescent="0.3">
      <c r="B44" s="546" t="s">
        <v>866</v>
      </c>
    </row>
    <row r="45" spans="2:7" ht="11.4" customHeight="1" x14ac:dyDescent="0.3">
      <c r="B45" s="177"/>
    </row>
    <row r="46" spans="2:7" ht="15" x14ac:dyDescent="0.3">
      <c r="B46" s="178"/>
    </row>
    <row r="47" spans="2:7" ht="7.2" customHeight="1" x14ac:dyDescent="0.3">
      <c r="B47" s="176"/>
    </row>
    <row r="48" spans="2:7" ht="25.95" customHeight="1" x14ac:dyDescent="0.3">
      <c r="B48" s="175" t="s">
        <v>1957</v>
      </c>
    </row>
    <row r="49" spans="2:2" ht="35.4" customHeight="1" x14ac:dyDescent="0.3">
      <c r="B49" s="545" t="s">
        <v>1958</v>
      </c>
    </row>
    <row r="50" spans="2:2" ht="15" x14ac:dyDescent="0.3">
      <c r="B50" s="178"/>
    </row>
    <row r="61" spans="2:2" ht="44.25" customHeight="1" x14ac:dyDescent="0.3"/>
  </sheetData>
  <sheetProtection algorithmName="SHA-512" hashValue="rjgJBcGupUKfOA6KXRnCOpITY7DpyFTz9B3ccGd51k2tNShZZQav+f/+caBZy3V2jcAkMfIPWrhPlwkhuOsqgg==" saltValue="Qd3anp6cVaxtsIBPT1FkFg==" spinCount="100000" sheet="1" formatCells="0" formatColumns="0" formatRows="0"/>
  <hyperlinks>
    <hyperlink ref="B19" r:id="rId1" xr:uid="{C1F6514A-E8A6-43E5-A86A-05C7A391046B}"/>
    <hyperlink ref="B22" r:id="rId2" xr:uid="{B1541227-3D45-4870-904D-604AA0D245A4}"/>
    <hyperlink ref="B44" r:id="rId3" xr:uid="{4A9D302D-DF03-4083-B0C5-61ACF65C0239}"/>
    <hyperlink ref="B15" r:id="rId4" xr:uid="{C422E034-BC33-4433-9232-B9B4AB71E050}"/>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TI406"/>
  <sheetViews>
    <sheetView zoomScaleNormal="100" workbookViewId="0">
      <pane ySplit="5" topLeftCell="A6" activePane="bottomLeft" state="frozen"/>
      <selection activeCell="K179" sqref="K179"/>
      <selection pane="bottomLeft" activeCell="D2" sqref="D2"/>
    </sheetView>
  </sheetViews>
  <sheetFormatPr defaultColWidth="9.109375" defaultRowHeight="14.4" x14ac:dyDescent="0.3"/>
  <cols>
    <col min="1" max="1" width="9.6640625" style="277" customWidth="1"/>
    <col min="2" max="2" width="20.6640625" style="5" customWidth="1"/>
    <col min="3" max="3" width="17.44140625" style="5" customWidth="1"/>
    <col min="4" max="4" width="46.33203125" style="384" customWidth="1"/>
    <col min="5" max="5" width="17.109375" style="18" customWidth="1"/>
    <col min="6" max="6" width="21.5546875" style="384" customWidth="1"/>
    <col min="7" max="7" width="26.6640625" style="449" customWidth="1"/>
    <col min="8" max="8" width="24.33203125" style="309" customWidth="1"/>
    <col min="9" max="10" width="24" style="384" customWidth="1"/>
    <col min="11" max="11" width="17.33203125" style="18" customWidth="1"/>
    <col min="12" max="12" width="11.6640625" style="18" hidden="1" customWidth="1"/>
    <col min="13" max="13" width="4" hidden="1" customWidth="1"/>
    <col min="14" max="14" width="11" style="18" hidden="1" customWidth="1"/>
    <col min="15" max="15" width="3.33203125" style="186" hidden="1" customWidth="1"/>
    <col min="16" max="16" width="2.109375" style="18" hidden="1" customWidth="1"/>
    <col min="17" max="17" width="13.44140625" style="18" hidden="1" customWidth="1"/>
    <col min="18" max="18" width="13.109375" style="18" customWidth="1"/>
    <col min="19" max="25" width="9.109375" style="18"/>
    <col min="26" max="26" width="8.88671875" customWidth="1"/>
    <col min="27" max="29" width="10.5546875" customWidth="1"/>
    <col min="30" max="96" width="20.6640625" customWidth="1"/>
    <col min="124" max="1881" width="9.109375" style="18"/>
    <col min="1882" max="16384" width="9.109375" style="384"/>
  </cols>
  <sheetData>
    <row r="1" spans="1:123" ht="15" thickBot="1" x14ac:dyDescent="0.35">
      <c r="B1" s="451" t="s">
        <v>386</v>
      </c>
      <c r="C1" s="451"/>
      <c r="E1" s="385" t="s">
        <v>35</v>
      </c>
      <c r="F1" s="386">
        <v>2024</v>
      </c>
      <c r="G1" s="115" t="s">
        <v>118</v>
      </c>
      <c r="H1" s="387"/>
      <c r="I1" s="388"/>
      <c r="J1" s="388"/>
      <c r="K1" s="389"/>
      <c r="N1" s="18" t="s">
        <v>50</v>
      </c>
      <c r="P1" s="18">
        <v>1</v>
      </c>
      <c r="Q1" s="18" t="s">
        <v>1061</v>
      </c>
    </row>
    <row r="2" spans="1:123" ht="44.25" customHeight="1" thickBot="1" x14ac:dyDescent="0.35">
      <c r="B2" s="1057" t="s">
        <v>282</v>
      </c>
      <c r="C2" s="1058"/>
      <c r="D2" s="390" t="s">
        <v>798</v>
      </c>
      <c r="E2" s="1055" t="s">
        <v>294</v>
      </c>
      <c r="F2" s="1055"/>
      <c r="G2" s="1056"/>
      <c r="H2" s="1034" t="s">
        <v>2653</v>
      </c>
      <c r="N2" s="18" t="s">
        <v>51</v>
      </c>
      <c r="O2" s="186">
        <v>50</v>
      </c>
      <c r="P2" s="18">
        <v>2</v>
      </c>
      <c r="Q2" s="18">
        <v>9004</v>
      </c>
    </row>
    <row r="3" spans="1:123" ht="15" thickBot="1" x14ac:dyDescent="0.35">
      <c r="B3" s="452" t="s">
        <v>0</v>
      </c>
      <c r="C3" s="453"/>
      <c r="D3" s="392" t="e">
        <f>VLOOKUP(D2,'Unit Names(H)'!A2:B139,2,FALSE)</f>
        <v>#N/A</v>
      </c>
      <c r="E3" s="523"/>
      <c r="F3" s="393"/>
      <c r="G3" s="394"/>
      <c r="H3" s="391"/>
      <c r="O3" s="186">
        <v>51</v>
      </c>
      <c r="P3" s="18">
        <v>3</v>
      </c>
    </row>
    <row r="4" spans="1:123" ht="15" thickBot="1" x14ac:dyDescent="0.35">
      <c r="B4" s="454" t="s">
        <v>665</v>
      </c>
      <c r="C4" s="455"/>
      <c r="D4" s="395"/>
      <c r="E4" s="395"/>
      <c r="F4" s="396"/>
      <c r="G4" s="397"/>
      <c r="H4" s="391"/>
      <c r="I4" s="2"/>
      <c r="J4" s="2"/>
      <c r="N4" s="18" t="s">
        <v>322</v>
      </c>
      <c r="O4" s="186">
        <v>52</v>
      </c>
      <c r="P4" s="18">
        <v>4</v>
      </c>
    </row>
    <row r="5" spans="1:123" ht="37.5" customHeight="1" thickBot="1" x14ac:dyDescent="0.35">
      <c r="A5" s="373" t="s">
        <v>383</v>
      </c>
      <c r="B5" s="945" t="s">
        <v>103</v>
      </c>
      <c r="C5" s="945" t="s">
        <v>120</v>
      </c>
      <c r="D5" s="946" t="s">
        <v>1</v>
      </c>
      <c r="E5" s="946">
        <v>2023</v>
      </c>
      <c r="F5" s="398">
        <v>2024</v>
      </c>
      <c r="G5" s="947" t="s">
        <v>773</v>
      </c>
      <c r="H5" s="399" t="s">
        <v>298</v>
      </c>
      <c r="I5" s="386" t="s">
        <v>13</v>
      </c>
      <c r="J5" s="386"/>
      <c r="N5" s="18" t="s">
        <v>427</v>
      </c>
    </row>
    <row r="6" spans="1:123" ht="48" customHeight="1" thickBot="1" x14ac:dyDescent="0.4">
      <c r="A6" s="373"/>
      <c r="B6" s="1064" t="s">
        <v>1874</v>
      </c>
      <c r="C6" s="1065"/>
      <c r="D6" s="1065"/>
      <c r="E6" s="1065"/>
      <c r="F6" s="1065"/>
      <c r="G6" s="1066"/>
      <c r="H6" s="937"/>
      <c r="I6" s="386"/>
      <c r="J6" s="386"/>
      <c r="M6" s="180"/>
      <c r="N6" s="342" t="s">
        <v>461</v>
      </c>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0"/>
      <c r="DQ6" s="180"/>
      <c r="DR6" s="180"/>
      <c r="DS6" s="180"/>
    </row>
    <row r="7" spans="1:123" ht="72" customHeight="1" thickBot="1" x14ac:dyDescent="0.4">
      <c r="A7" s="373"/>
      <c r="B7" s="1064" t="s">
        <v>1909</v>
      </c>
      <c r="C7" s="1065"/>
      <c r="D7" s="1065"/>
      <c r="E7" s="1065"/>
      <c r="F7" s="1065"/>
      <c r="G7" s="1066"/>
      <c r="H7" s="937"/>
      <c r="I7" s="386"/>
      <c r="J7" s="386"/>
      <c r="M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0"/>
      <c r="DQ7" s="180"/>
      <c r="DR7" s="180"/>
      <c r="DS7" s="180"/>
    </row>
    <row r="8" spans="1:123" ht="31.2" customHeight="1" x14ac:dyDescent="0.3">
      <c r="B8" s="478" t="s">
        <v>119</v>
      </c>
      <c r="C8" s="479"/>
      <c r="D8" s="480"/>
      <c r="E8" s="481"/>
      <c r="F8" s="482"/>
      <c r="G8" s="474"/>
      <c r="H8" s="17"/>
      <c r="K8" s="760"/>
      <c r="N8" s="18" t="s">
        <v>410</v>
      </c>
    </row>
    <row r="9" spans="1:123" s="18" customFormat="1" ht="72.599999999999994" customHeight="1" x14ac:dyDescent="0.3">
      <c r="A9" s="550">
        <v>333</v>
      </c>
      <c r="B9" s="373" t="s">
        <v>66</v>
      </c>
      <c r="C9" s="373" t="s">
        <v>121</v>
      </c>
      <c r="D9" s="383" t="s">
        <v>666</v>
      </c>
      <c r="E9" s="371" t="e">
        <f>INDEX('PY1 Data(H)'!$A$1:$BV$265,MATCH('Unit Data from Audit Worksheet'!$A9,'PY1 Data(H)'!$A$1:$A$258,0),MATCH('Unit Data from Audit Worksheet'!$D$2,'PY1 Data(H)'!$A$1:$BV$1,0))</f>
        <v>#N/A</v>
      </c>
      <c r="F9" s="793">
        <v>0</v>
      </c>
      <c r="G9" s="401">
        <f>IF(F9&lt;0,"Note: Number is normally positive.",)</f>
        <v>0</v>
      </c>
      <c r="H9" s="402"/>
      <c r="I9" s="402"/>
      <c r="J9" s="403"/>
      <c r="K9" s="292"/>
      <c r="L9" s="547"/>
      <c r="M9"/>
      <c r="N9" s="18" t="s">
        <v>428</v>
      </c>
      <c r="O9" s="186"/>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s="18" customFormat="1" ht="51" customHeight="1" x14ac:dyDescent="0.3">
      <c r="A10" s="100">
        <v>500</v>
      </c>
      <c r="B10" s="373" t="s">
        <v>54</v>
      </c>
      <c r="C10" s="373" t="s">
        <v>121</v>
      </c>
      <c r="D10" s="383" t="s">
        <v>667</v>
      </c>
      <c r="E10" s="371" t="e">
        <f>INDEX('PY1 Data(H)'!$A$1:$BV$265,MATCH('Unit Data from Audit Worksheet'!$A10,'PY1 Data(H)'!$A$1:$A$258,0),MATCH('Unit Data from Audit Worksheet'!$D$2,'PY1 Data(H)'!$A$1:$BV$1,0))</f>
        <v>#N/A</v>
      </c>
      <c r="F10" s="793">
        <v>0</v>
      </c>
      <c r="G10" s="401">
        <f>IF(F10&lt;0,"Note: Number is normally positive.",)</f>
        <v>0</v>
      </c>
      <c r="H10" s="402"/>
      <c r="I10" s="402"/>
      <c r="J10" s="402"/>
      <c r="K10" s="292"/>
      <c r="L10" s="547"/>
      <c r="M10"/>
      <c r="N10" s="18" t="s">
        <v>429</v>
      </c>
      <c r="O10" s="186"/>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51" customHeight="1" x14ac:dyDescent="0.3">
      <c r="A11" s="561">
        <v>385</v>
      </c>
      <c r="B11" s="4" t="s">
        <v>59</v>
      </c>
      <c r="C11" s="373" t="s">
        <v>121</v>
      </c>
      <c r="D11" s="99" t="s">
        <v>122</v>
      </c>
      <c r="E11" s="371" t="e">
        <f>INDEX('PY1 Data(H)'!$A$1:$BV$265,MATCH('Unit Data from Audit Worksheet'!$A11,'PY1 Data(H)'!$A$1:$A$258,0),MATCH('Unit Data from Audit Worksheet'!$D$2,'PY1 Data(H)'!$A$1:$BV$1,0))-INDEX('PY1 Data(H)'!$A$1:$BV$258,MATCH('Unit Data from Audit Worksheet'!$A13,'PY1 Data(H)'!$A$1:$A$258,0),MATCH('Unit Data from Audit Worksheet'!$D$2,'PY1 Data(H)'!$A$1:$BV$1,0))</f>
        <v>#N/A</v>
      </c>
      <c r="F11" s="793">
        <v>0</v>
      </c>
      <c r="G11" s="401">
        <f>IF((F9+F10)&gt;F11,"Error: Please review Account numbers (333+500)&gt;385",)</f>
        <v>0</v>
      </c>
      <c r="H11" s="402"/>
      <c r="I11" s="402"/>
      <c r="J11" s="402"/>
      <c r="K11"/>
      <c r="L11" s="547"/>
    </row>
    <row r="12" spans="1:123" s="18" customFormat="1" ht="90" customHeight="1" x14ac:dyDescent="0.3">
      <c r="A12" s="100">
        <v>575</v>
      </c>
      <c r="B12" s="373" t="s">
        <v>69</v>
      </c>
      <c r="C12" s="373" t="s">
        <v>121</v>
      </c>
      <c r="D12" s="456" t="s">
        <v>668</v>
      </c>
      <c r="E12" s="371" t="e">
        <f>INDEX('PY1 Data(H)'!$A$1:$BV$265,MATCH('Unit Data from Audit Worksheet'!$A12,'PY1 Data(H)'!$A$1:$A$258,0),MATCH('Unit Data from Audit Worksheet'!$D$2,'PY1 Data(H)'!$A$1:$BV$1,0))</f>
        <v>#N/A</v>
      </c>
      <c r="F12" s="793">
        <v>0</v>
      </c>
      <c r="G12" s="401">
        <f>IF(F12&lt;0,"Note: Number is normally positive.",)</f>
        <v>0</v>
      </c>
      <c r="H12" s="404"/>
      <c r="I12" s="405"/>
      <c r="J12" s="405"/>
      <c r="K12"/>
      <c r="L12" s="547"/>
      <c r="M12"/>
      <c r="O12" s="186"/>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s="18" customFormat="1" ht="93.75" customHeight="1" x14ac:dyDescent="0.3">
      <c r="A13" s="100">
        <v>576</v>
      </c>
      <c r="B13" s="373" t="s">
        <v>69</v>
      </c>
      <c r="C13" s="373" t="s">
        <v>121</v>
      </c>
      <c r="D13" s="456" t="s">
        <v>669</v>
      </c>
      <c r="E13" s="371" t="e">
        <f>INDEX('PY1 Data(H)'!$A$1:$BV$265,MATCH('Unit Data from Audit Worksheet'!$A13,'PY1 Data(H)'!$A$1:$A$258,0),MATCH('Unit Data from Audit Worksheet'!$D$2,'PY1 Data(H)'!$A$1:$BV$1,0))</f>
        <v>#N/A</v>
      </c>
      <c r="F13" s="793">
        <v>0</v>
      </c>
      <c r="G13" s="401">
        <f>IF(F13&lt;0,"Error: Enter as positive.",)</f>
        <v>0</v>
      </c>
      <c r="H13" s="404"/>
      <c r="I13" s="405"/>
      <c r="J13" s="405"/>
      <c r="K13"/>
      <c r="L13" s="547"/>
      <c r="M13"/>
      <c r="O13" s="186"/>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85.5" customHeight="1" x14ac:dyDescent="0.3">
      <c r="A14" s="562">
        <v>626</v>
      </c>
      <c r="B14" s="460" t="s">
        <v>442</v>
      </c>
      <c r="C14" s="460" t="s">
        <v>121</v>
      </c>
      <c r="D14" s="214" t="s">
        <v>670</v>
      </c>
      <c r="E14" s="371" t="e">
        <f>INDEX('PY1 Data(H)'!$A$1:$BV$265,MATCH('Unit Data from Audit Worksheet'!$A14,'PY1 Data(H)'!$A$1:$A$258,0),MATCH('Unit Data from Audit Worksheet'!$D$2,'PY1 Data(H)'!$A$1:$BV$1,0))-INDEX('PY1 Data(H)'!$A$1:$BV$258,MATCH('Unit Data from Audit Worksheet'!$A13,'PY1 Data(H)'!$A$1:$A$258,0),MATCH('Unit Data from Audit Worksheet'!$D$2,'PY1 Data(H)'!$A$1:$BV$1,0))</f>
        <v>#N/A</v>
      </c>
      <c r="F14" s="793">
        <v>0</v>
      </c>
      <c r="G14" s="401">
        <f>IF(F14&lt;0,"Error: Enter as positive.",)</f>
        <v>0</v>
      </c>
      <c r="H14" s="406"/>
      <c r="I14" s="406"/>
      <c r="J14" s="761"/>
      <c r="K14"/>
      <c r="L14" s="547"/>
    </row>
    <row r="15" spans="1:123" ht="89.25" customHeight="1" x14ac:dyDescent="0.3">
      <c r="A15" s="189">
        <v>627</v>
      </c>
      <c r="B15" s="461" t="s">
        <v>358</v>
      </c>
      <c r="C15" s="460" t="s">
        <v>121</v>
      </c>
      <c r="D15" s="214" t="s">
        <v>671</v>
      </c>
      <c r="E15" s="371" t="e">
        <f>INDEX('PY1 Data(H)'!$A$1:$BV$265,MATCH('Unit Data from Audit Worksheet'!$A15,'PY1 Data(H)'!$A$1:$A$258,0),MATCH('Unit Data from Audit Worksheet'!$D$2,'PY1 Data(H)'!$A$1:$BV$1,0))</f>
        <v>#N/A</v>
      </c>
      <c r="F15" s="793">
        <v>0</v>
      </c>
      <c r="G15" s="401">
        <f>IF(F15&gt;F14,"Please review account numbers 627 &gt;626",)</f>
        <v>0</v>
      </c>
      <c r="H15" s="406"/>
      <c r="I15" s="406"/>
      <c r="J15" s="761"/>
      <c r="K15"/>
      <c r="L15" s="547"/>
    </row>
    <row r="16" spans="1:123" ht="105" customHeight="1" x14ac:dyDescent="0.3">
      <c r="A16" s="189">
        <v>628</v>
      </c>
      <c r="B16" s="461" t="s">
        <v>358</v>
      </c>
      <c r="C16" s="460" t="s">
        <v>121</v>
      </c>
      <c r="D16" s="214" t="s">
        <v>672</v>
      </c>
      <c r="E16" s="371" t="e">
        <f>INDEX('PY1 Data(H)'!$A$1:$BV$265,MATCH('Unit Data from Audit Worksheet'!$A16,'PY1 Data(H)'!$A$1:$A$258,0),MATCH('Unit Data from Audit Worksheet'!$D$2,'PY1 Data(H)'!$A$1:$BV$1,0))</f>
        <v>#N/A</v>
      </c>
      <c r="F16" s="793">
        <v>0</v>
      </c>
      <c r="G16" s="401">
        <f>IF(F16&gt;F14,"Please review account numbers 628 &gt; 626",)</f>
        <v>0</v>
      </c>
      <c r="H16" s="406"/>
      <c r="I16" s="406"/>
      <c r="J16" s="761"/>
      <c r="K16"/>
      <c r="L16" s="547"/>
    </row>
    <row r="17" spans="1:12" ht="95.25" customHeight="1" x14ac:dyDescent="0.3">
      <c r="A17" s="189">
        <v>629</v>
      </c>
      <c r="B17" s="461" t="s">
        <v>358</v>
      </c>
      <c r="C17" s="460" t="s">
        <v>121</v>
      </c>
      <c r="D17" s="214" t="s">
        <v>673</v>
      </c>
      <c r="E17" s="371" t="e">
        <f>INDEX('PY1 Data(H)'!$A$1:$BV$265,MATCH('Unit Data from Audit Worksheet'!$A17,'PY1 Data(H)'!$A$1:$A$258,0),MATCH('Unit Data from Audit Worksheet'!$D$2,'PY1 Data(H)'!$A$1:$BV$1,0))</f>
        <v>#N/A</v>
      </c>
      <c r="F17" s="793">
        <v>0</v>
      </c>
      <c r="G17" s="401">
        <f>IF(F17&gt;F14,"Please review account numbers 629 &gt; 626",)</f>
        <v>0</v>
      </c>
      <c r="H17" s="406"/>
      <c r="I17" s="406"/>
      <c r="J17" s="761"/>
      <c r="K17"/>
      <c r="L17" s="547"/>
    </row>
    <row r="18" spans="1:12" ht="69" customHeight="1" x14ac:dyDescent="0.3">
      <c r="A18" s="189">
        <v>630</v>
      </c>
      <c r="B18" s="461" t="s">
        <v>358</v>
      </c>
      <c r="C18" s="460" t="s">
        <v>121</v>
      </c>
      <c r="D18" s="214" t="s">
        <v>423</v>
      </c>
      <c r="E18" s="371" t="e">
        <f>INDEX('PY1 Data(H)'!$A$1:$BV$265,MATCH('Unit Data from Audit Worksheet'!$A18,'PY1 Data(H)'!$A$1:$A$258,0),MATCH('Unit Data from Audit Worksheet'!$D$2,'PY1 Data(H)'!$A$1:$BV$1,0))</f>
        <v>#N/A</v>
      </c>
      <c r="F18" s="793">
        <v>0</v>
      </c>
      <c r="G18" s="401">
        <f>IF(F18&gt;F14,"Please review account numbers 630 &gt; 626",)</f>
        <v>0</v>
      </c>
      <c r="H18" s="406"/>
      <c r="I18" s="406"/>
      <c r="J18" s="761"/>
      <c r="K18"/>
      <c r="L18" s="547"/>
    </row>
    <row r="19" spans="1:12" ht="95.25" customHeight="1" x14ac:dyDescent="0.3">
      <c r="A19" s="189">
        <v>631</v>
      </c>
      <c r="B19" s="461" t="s">
        <v>358</v>
      </c>
      <c r="C19" s="460" t="s">
        <v>121</v>
      </c>
      <c r="D19" s="214" t="s">
        <v>674</v>
      </c>
      <c r="E19" s="371" t="e">
        <f>INDEX('PY1 Data(H)'!$A$1:$BV$265,MATCH('Unit Data from Audit Worksheet'!$A19,'PY1 Data(H)'!$A$1:$A$258,0),MATCH('Unit Data from Audit Worksheet'!$D$2,'PY1 Data(H)'!$A$1:$BV$1,0))</f>
        <v>#N/A</v>
      </c>
      <c r="F19" s="793">
        <v>0</v>
      </c>
      <c r="G19" s="401">
        <f>IF(F19&gt;F14,"Please review account numbers 631 &gt; 626",)</f>
        <v>0</v>
      </c>
      <c r="H19" s="406"/>
      <c r="I19" s="406"/>
      <c r="J19" s="761"/>
      <c r="K19"/>
      <c r="L19" s="547"/>
    </row>
    <row r="20" spans="1:12" ht="111.75" customHeight="1" x14ac:dyDescent="0.3">
      <c r="A20" s="189">
        <v>632</v>
      </c>
      <c r="B20" s="461" t="s">
        <v>358</v>
      </c>
      <c r="C20" s="460" t="s">
        <v>121</v>
      </c>
      <c r="D20" s="214" t="s">
        <v>675</v>
      </c>
      <c r="E20" s="371" t="e">
        <f>INDEX('PY1 Data(H)'!$A$1:$BV$265,MATCH('Unit Data from Audit Worksheet'!$A20,'PY1 Data(H)'!$A$1:$A$258,0),MATCH('Unit Data from Audit Worksheet'!$D$2,'PY1 Data(H)'!$A$1:$BV$1,0))</f>
        <v>#N/A</v>
      </c>
      <c r="F20" s="793">
        <v>0</v>
      </c>
      <c r="G20" s="401">
        <f>IF(F20&gt;F14,"Please review account numbers 632 &gt; 626",)</f>
        <v>0</v>
      </c>
      <c r="H20" s="406"/>
      <c r="I20" s="406"/>
      <c r="J20" s="761"/>
      <c r="K20"/>
      <c r="L20" s="547"/>
    </row>
    <row r="21" spans="1:12" ht="55.5" customHeight="1" x14ac:dyDescent="0.3">
      <c r="A21" s="561">
        <v>338</v>
      </c>
      <c r="B21" s="4" t="s">
        <v>55</v>
      </c>
      <c r="C21" s="373" t="s">
        <v>121</v>
      </c>
      <c r="D21" s="99" t="s">
        <v>123</v>
      </c>
      <c r="E21" s="371" t="e">
        <f>INDEX('PY1 Data(H)'!$A$1:$BV$265,MATCH('Unit Data from Audit Worksheet'!$A21,'PY1 Data(H)'!$A$1:$A$258,0),MATCH('Unit Data from Audit Worksheet'!$D$2,'PY1 Data(H)'!$A$1:$BV$1,0))-INDEX('PY1 Data(H)'!$A$1:$BV$258,MATCH('Unit Data from Audit Worksheet'!$A13,'PY1 Data(H)'!$A$1:$A$258,0),MATCH('Unit Data from Audit Worksheet'!$D$2,'PY1 Data(H)'!$A$1:$BV$1,0))</f>
        <v>#N/A</v>
      </c>
      <c r="F21" s="793">
        <v>0</v>
      </c>
      <c r="G21" s="401" t="str">
        <f>IF(F14&gt;F21,"Error: Please review accts 626 &gt; 338","")</f>
        <v/>
      </c>
      <c r="H21" s="402"/>
      <c r="I21" s="402"/>
      <c r="J21" s="402"/>
      <c r="K21"/>
      <c r="L21" s="547"/>
    </row>
    <row r="22" spans="1:12" ht="89.25" customHeight="1" x14ac:dyDescent="0.3">
      <c r="A22" s="100">
        <v>335</v>
      </c>
      <c r="B22" s="4" t="s">
        <v>55</v>
      </c>
      <c r="C22" s="373" t="s">
        <v>121</v>
      </c>
      <c r="D22" s="383" t="s">
        <v>676</v>
      </c>
      <c r="E22" s="371" t="e">
        <f>INDEX('PY1 Data(H)'!$A$1:$BV$265,MATCH('Unit Data from Audit Worksheet'!$A22,'PY1 Data(H)'!$A$1:$A$258,0),MATCH('Unit Data from Audit Worksheet'!$D$2,'PY1 Data(H)'!$A$1:$BV$1,0))</f>
        <v>#N/A</v>
      </c>
      <c r="F22" s="793">
        <v>0</v>
      </c>
      <c r="G22" s="401">
        <f>IF(F22&lt;0,"Error: Enter as positive.",)</f>
        <v>0</v>
      </c>
      <c r="H22" s="402"/>
      <c r="I22" s="242"/>
      <c r="J22" s="242"/>
      <c r="K22"/>
      <c r="L22" s="547"/>
    </row>
    <row r="23" spans="1:12" ht="48.75" customHeight="1" x14ac:dyDescent="0.3">
      <c r="A23" s="100">
        <v>252</v>
      </c>
      <c r="B23" s="4" t="s">
        <v>55</v>
      </c>
      <c r="C23" s="373" t="s">
        <v>121</v>
      </c>
      <c r="D23" s="99" t="s">
        <v>124</v>
      </c>
      <c r="E23" s="371" t="e">
        <f>INDEX('PY1 Data(H)'!$A$1:$BV$265,MATCH('Unit Data from Audit Worksheet'!$A23,'PY1 Data(H)'!$A$1:$A$258,0),MATCH('Unit Data from Audit Worksheet'!$D$2,'PY1 Data(H)'!$A$1:$BV$1,0))</f>
        <v>#N/A</v>
      </c>
      <c r="F23" s="793">
        <v>0</v>
      </c>
      <c r="G23" s="724"/>
      <c r="H23" s="402"/>
      <c r="I23" s="17"/>
      <c r="J23" s="72"/>
      <c r="K23"/>
      <c r="L23" s="547"/>
    </row>
    <row r="24" spans="1:12" ht="43.2" x14ac:dyDescent="0.3">
      <c r="A24" s="100">
        <v>253</v>
      </c>
      <c r="B24" s="4" t="s">
        <v>55</v>
      </c>
      <c r="C24" s="373" t="s">
        <v>121</v>
      </c>
      <c r="D24" s="99" t="s">
        <v>125</v>
      </c>
      <c r="E24" s="371" t="e">
        <f>INDEX('PY1 Data(H)'!$A$1:$BV$265,MATCH('Unit Data from Audit Worksheet'!$A24,'PY1 Data(H)'!$A$1:$A$258,0),MATCH('Unit Data from Audit Worksheet'!$D$2,'PY1 Data(H)'!$A$1:$BV$1,0))</f>
        <v>#N/A</v>
      </c>
      <c r="F24" s="793">
        <v>0</v>
      </c>
      <c r="G24" s="401"/>
      <c r="H24" s="402"/>
      <c r="I24" s="17"/>
      <c r="J24" s="72"/>
      <c r="K24"/>
      <c r="L24" s="547"/>
    </row>
    <row r="25" spans="1:12" ht="138" customHeight="1" x14ac:dyDescent="0.3">
      <c r="A25" s="100">
        <v>254</v>
      </c>
      <c r="B25" s="4" t="s">
        <v>55</v>
      </c>
      <c r="C25" s="373" t="s">
        <v>121</v>
      </c>
      <c r="D25" s="99" t="s">
        <v>677</v>
      </c>
      <c r="E25" s="371" t="e">
        <f>INDEX('PY1 Data(H)'!$A$1:$BV$265,MATCH('Unit Data from Audit Worksheet'!$A25,'PY1 Data(H)'!$A$1:$A$258,0),MATCH('Unit Data from Audit Worksheet'!$D$2,'PY1 Data(H)'!$A$1:$BV$1,0))</f>
        <v>#N/A</v>
      </c>
      <c r="F25" s="793">
        <v>0</v>
      </c>
      <c r="G25" s="401">
        <f>IF(H25=0,,"Error: Total assets and deferred outflows less total liabilities and deferred inflows do not equal total net position. Account numbers  385-338-252-253-254 = 0.  The amount the formula is off is located in the cell to the right")</f>
        <v>0</v>
      </c>
      <c r="H25" s="404">
        <f>F11-F21-F23-F24-F25</f>
        <v>0</v>
      </c>
      <c r="I25" s="17"/>
      <c r="J25" s="72"/>
      <c r="K25"/>
      <c r="L25" s="547"/>
    </row>
    <row r="26" spans="1:12" ht="21.75" customHeight="1" x14ac:dyDescent="0.3">
      <c r="A26" s="100"/>
      <c r="B26" s="489" t="s">
        <v>126</v>
      </c>
      <c r="C26" s="499"/>
      <c r="D26" s="472"/>
      <c r="E26" s="483"/>
      <c r="F26" s="483"/>
      <c r="G26" s="484"/>
      <c r="H26" s="17"/>
      <c r="I26" s="17"/>
      <c r="J26" s="72"/>
      <c r="K26"/>
      <c r="L26" s="547"/>
    </row>
    <row r="27" spans="1:12" ht="59.25" customHeight="1" x14ac:dyDescent="0.3">
      <c r="A27" s="100">
        <v>502</v>
      </c>
      <c r="B27" s="4" t="s">
        <v>54</v>
      </c>
      <c r="C27" s="373" t="s">
        <v>128</v>
      </c>
      <c r="D27" s="383" t="s">
        <v>678</v>
      </c>
      <c r="E27" s="371" t="e">
        <f>INDEX('PY1 Data(H)'!$A$1:$BV$265,MATCH('Unit Data from Audit Worksheet'!$A27,'PY1 Data(H)'!$A$1:$A$258,0),MATCH('Unit Data from Audit Worksheet'!$D$2,'PY1 Data(H)'!$A$1:$BV$1,0))</f>
        <v>#N/A</v>
      </c>
      <c r="F27" s="793">
        <v>0</v>
      </c>
      <c r="G27" s="401">
        <f>IF(F27&lt;0,"Note: Number is normally positive.",)</f>
        <v>0</v>
      </c>
      <c r="H27" s="17"/>
      <c r="I27" s="17"/>
      <c r="J27" s="72"/>
      <c r="K27"/>
      <c r="L27" s="547"/>
    </row>
    <row r="28" spans="1:12" ht="59.25" customHeight="1" x14ac:dyDescent="0.3">
      <c r="A28" s="100">
        <v>503</v>
      </c>
      <c r="B28" s="4" t="s">
        <v>54</v>
      </c>
      <c r="C28" s="373" t="s">
        <v>128</v>
      </c>
      <c r="D28" s="99" t="s">
        <v>127</v>
      </c>
      <c r="E28" s="371" t="e">
        <f>INDEX('PY1 Data(H)'!$A$1:$BV$265,MATCH('Unit Data from Audit Worksheet'!$A28,'PY1 Data(H)'!$A$1:$A$258,0),MATCH('Unit Data from Audit Worksheet'!$D$2,'PY1 Data(H)'!$A$1:$BV$1,0))</f>
        <v>#N/A</v>
      </c>
      <c r="F28" s="793">
        <v>0</v>
      </c>
      <c r="G28" s="401">
        <f>IF(F28&lt;0,"Note: Number is normally positive.",)</f>
        <v>0</v>
      </c>
      <c r="H28" s="17"/>
      <c r="I28" s="17"/>
      <c r="J28" s="72"/>
      <c r="K28"/>
      <c r="L28" s="547"/>
    </row>
    <row r="29" spans="1:12" ht="27" customHeight="1" x14ac:dyDescent="0.3">
      <c r="A29" s="100"/>
      <c r="B29" s="489" t="s">
        <v>129</v>
      </c>
      <c r="C29" s="499"/>
      <c r="D29" s="472"/>
      <c r="E29" s="473"/>
      <c r="F29" s="473"/>
      <c r="G29" s="474"/>
      <c r="H29" s="17"/>
      <c r="I29" s="17"/>
      <c r="J29" s="72"/>
      <c r="K29"/>
      <c r="L29" s="547"/>
    </row>
    <row r="30" spans="1:12" ht="49.5" customHeight="1" x14ac:dyDescent="0.3">
      <c r="A30" s="100">
        <v>344</v>
      </c>
      <c r="B30" s="4" t="s">
        <v>55</v>
      </c>
      <c r="C30" s="4" t="s">
        <v>136</v>
      </c>
      <c r="D30" s="99" t="s">
        <v>130</v>
      </c>
      <c r="E30" s="371" t="e">
        <f>INDEX('PY1 Data(H)'!$A$1:$BV$265,MATCH('Unit Data from Audit Worksheet'!$A30,'PY1 Data(H)'!$A$1:$A$258,0),MATCH('Unit Data from Audit Worksheet'!$D$2,'PY1 Data(H)'!$A$1:$BV$1,0))</f>
        <v>#N/A</v>
      </c>
      <c r="F30" s="793">
        <v>0</v>
      </c>
      <c r="G30" s="401">
        <f t="shared" ref="G30:G37" si="0">IF(F30&lt;0,"Error: Enter as positive.",)</f>
        <v>0</v>
      </c>
      <c r="H30" s="17"/>
      <c r="I30" s="17"/>
      <c r="J30" s="72"/>
      <c r="K30"/>
      <c r="L30" s="547"/>
    </row>
    <row r="31" spans="1:12" ht="49.5" customHeight="1" x14ac:dyDescent="0.3">
      <c r="A31" s="100">
        <v>388</v>
      </c>
      <c r="B31" s="4" t="s">
        <v>59</v>
      </c>
      <c r="C31" s="4" t="s">
        <v>136</v>
      </c>
      <c r="D31" s="99" t="s">
        <v>131</v>
      </c>
      <c r="E31" s="371" t="e">
        <f>INDEX('PY1 Data(H)'!$A$1:$BV$265,MATCH('Unit Data from Audit Worksheet'!$A31,'PY1 Data(H)'!$A$1:$A$258,0),MATCH('Unit Data from Audit Worksheet'!$D$2,'PY1 Data(H)'!$A$1:$BV$1,0))</f>
        <v>#N/A</v>
      </c>
      <c r="F31" s="793">
        <v>0</v>
      </c>
      <c r="G31" s="401">
        <f t="shared" si="0"/>
        <v>0</v>
      </c>
      <c r="H31" s="17"/>
      <c r="I31" s="17"/>
      <c r="J31" s="72"/>
      <c r="K31"/>
      <c r="L31" s="547"/>
    </row>
    <row r="32" spans="1:12" ht="51.75" customHeight="1" x14ac:dyDescent="0.3">
      <c r="A32" s="100">
        <v>339</v>
      </c>
      <c r="B32" s="4" t="s">
        <v>55</v>
      </c>
      <c r="C32" s="4" t="s">
        <v>136</v>
      </c>
      <c r="D32" s="99" t="s">
        <v>132</v>
      </c>
      <c r="E32" s="371" t="e">
        <f>INDEX('PY1 Data(H)'!$A$1:$BV$265,MATCH('Unit Data from Audit Worksheet'!$A32,'PY1 Data(H)'!$A$1:$A$258,0),MATCH('Unit Data from Audit Worksheet'!$D$2,'PY1 Data(H)'!$A$1:$BV$1,0))</f>
        <v>#N/A</v>
      </c>
      <c r="F32" s="793">
        <v>0</v>
      </c>
      <c r="G32" s="401">
        <f t="shared" si="0"/>
        <v>0</v>
      </c>
      <c r="H32" s="17"/>
      <c r="I32" s="17"/>
      <c r="J32" s="72"/>
      <c r="K32"/>
      <c r="L32" s="547"/>
    </row>
    <row r="33" spans="1:123" ht="50.25" customHeight="1" x14ac:dyDescent="0.3">
      <c r="A33" s="100">
        <v>504</v>
      </c>
      <c r="B33" s="4" t="s">
        <v>55</v>
      </c>
      <c r="C33" s="4" t="s">
        <v>136</v>
      </c>
      <c r="D33" s="99" t="s">
        <v>133</v>
      </c>
      <c r="E33" s="371" t="e">
        <f>INDEX('PY1 Data(H)'!$A$1:$BV$265,MATCH('Unit Data from Audit Worksheet'!$A33,'PY1 Data(H)'!$A$1:$A$258,0),MATCH('Unit Data from Audit Worksheet'!$D$2,'PY1 Data(H)'!$A$1:$BV$1,0))</f>
        <v>#N/A</v>
      </c>
      <c r="F33" s="793">
        <v>0</v>
      </c>
      <c r="G33" s="401">
        <f t="shared" si="0"/>
        <v>0</v>
      </c>
      <c r="H33" s="17"/>
      <c r="I33" s="17"/>
      <c r="J33" s="72"/>
      <c r="K33"/>
      <c r="L33" s="547"/>
    </row>
    <row r="34" spans="1:123" ht="60" customHeight="1" x14ac:dyDescent="0.3">
      <c r="A34" s="100">
        <v>505</v>
      </c>
      <c r="B34" s="4" t="s">
        <v>55</v>
      </c>
      <c r="C34" s="4" t="s">
        <v>136</v>
      </c>
      <c r="D34" s="377" t="s">
        <v>134</v>
      </c>
      <c r="E34" s="371" t="e">
        <f>INDEX('PY1 Data(H)'!$A$1:$BV$265,MATCH('Unit Data from Audit Worksheet'!$A34,'PY1 Data(H)'!$A$1:$A$258,0),MATCH('Unit Data from Audit Worksheet'!$D$2,'PY1 Data(H)'!$A$1:$BV$1,0))</f>
        <v>#N/A</v>
      </c>
      <c r="F34" s="793">
        <v>0</v>
      </c>
      <c r="G34" s="401">
        <f t="shared" si="0"/>
        <v>0</v>
      </c>
      <c r="H34" s="17"/>
      <c r="I34" s="17"/>
      <c r="J34" s="72"/>
      <c r="K34"/>
      <c r="L34" s="547"/>
    </row>
    <row r="35" spans="1:123" ht="67.95" customHeight="1" x14ac:dyDescent="0.3">
      <c r="A35" s="100">
        <v>341</v>
      </c>
      <c r="B35" s="4" t="s">
        <v>55</v>
      </c>
      <c r="C35" s="4" t="s">
        <v>136</v>
      </c>
      <c r="D35" s="383" t="s">
        <v>679</v>
      </c>
      <c r="E35" s="371" t="e">
        <f>INDEX('PY1 Data(H)'!$A$1:$BV$265,MATCH('Unit Data from Audit Worksheet'!$A35,'PY1 Data(H)'!$A$1:$A$258,0),MATCH('Unit Data from Audit Worksheet'!$D$2,'PY1 Data(H)'!$A$1:$BV$1,0))</f>
        <v>#N/A</v>
      </c>
      <c r="F35" s="793">
        <v>0</v>
      </c>
      <c r="G35" s="401">
        <f t="shared" si="0"/>
        <v>0</v>
      </c>
      <c r="H35" s="17"/>
      <c r="I35" s="17"/>
      <c r="J35" s="72"/>
      <c r="K35"/>
      <c r="L35" s="547"/>
    </row>
    <row r="36" spans="1:123" ht="44.25" customHeight="1" x14ac:dyDescent="0.3">
      <c r="A36" s="100">
        <v>386</v>
      </c>
      <c r="B36" s="4" t="s">
        <v>55</v>
      </c>
      <c r="C36" s="4" t="s">
        <v>136</v>
      </c>
      <c r="D36" s="99" t="s">
        <v>680</v>
      </c>
      <c r="E36" s="371" t="e">
        <f>INDEX('PY1 Data(H)'!$A$1:$BV$265,MATCH('Unit Data from Audit Worksheet'!$A36,'PY1 Data(H)'!$A$1:$A$258,0),MATCH('Unit Data from Audit Worksheet'!$D$2,'PY1 Data(H)'!$A$1:$BV$1,0))</f>
        <v>#N/A</v>
      </c>
      <c r="F36" s="793">
        <v>0</v>
      </c>
      <c r="G36" s="401">
        <f t="shared" si="0"/>
        <v>0</v>
      </c>
      <c r="H36" s="17"/>
      <c r="I36" s="17"/>
      <c r="J36" s="72"/>
      <c r="K36"/>
      <c r="L36" s="547"/>
    </row>
    <row r="37" spans="1:123" ht="48.75" customHeight="1" x14ac:dyDescent="0.3">
      <c r="A37" s="100">
        <v>387</v>
      </c>
      <c r="B37" s="4" t="s">
        <v>59</v>
      </c>
      <c r="C37" s="4" t="s">
        <v>136</v>
      </c>
      <c r="D37" s="99" t="s">
        <v>681</v>
      </c>
      <c r="E37" s="371" t="e">
        <f>INDEX('PY1 Data(H)'!$A$1:$BV$265,MATCH('Unit Data from Audit Worksheet'!$A37,'PY1 Data(H)'!$A$1:$A$258,0),MATCH('Unit Data from Audit Worksheet'!$D$2,'PY1 Data(H)'!$A$1:$BV$1,0))</f>
        <v>#N/A</v>
      </c>
      <c r="F37" s="793">
        <v>0</v>
      </c>
      <c r="G37" s="401">
        <f t="shared" si="0"/>
        <v>0</v>
      </c>
      <c r="H37" s="17"/>
      <c r="I37" s="17"/>
      <c r="J37" s="72"/>
      <c r="K37"/>
      <c r="L37" s="547"/>
    </row>
    <row r="38" spans="1:123" ht="92.25" customHeight="1" x14ac:dyDescent="0.3">
      <c r="A38" s="100">
        <v>389</v>
      </c>
      <c r="B38" s="4" t="s">
        <v>59</v>
      </c>
      <c r="C38" s="4" t="s">
        <v>136</v>
      </c>
      <c r="D38" s="383" t="s">
        <v>682</v>
      </c>
      <c r="E38" s="371" t="e">
        <f>INDEX('PY1 Data(H)'!$A$1:$BV$265,MATCH('Unit Data from Audit Worksheet'!$A38,'PY1 Data(H)'!$A$1:$A$258,0),MATCH('Unit Data from Audit Worksheet'!$D$2,'PY1 Data(H)'!$A$1:$BV$1,0))</f>
        <v>#N/A</v>
      </c>
      <c r="F38" s="793">
        <v>0</v>
      </c>
      <c r="G38" s="401"/>
      <c r="H38" s="17"/>
      <c r="I38" s="17"/>
      <c r="J38" s="72"/>
      <c r="K38"/>
      <c r="L38" s="547"/>
    </row>
    <row r="39" spans="1:123" ht="138" customHeight="1" x14ac:dyDescent="0.3">
      <c r="A39" s="100">
        <v>255</v>
      </c>
      <c r="B39" s="4" t="s">
        <v>55</v>
      </c>
      <c r="C39" s="4" t="s">
        <v>136</v>
      </c>
      <c r="D39" s="383" t="s">
        <v>683</v>
      </c>
      <c r="E39" s="371" t="e">
        <f>INDEX('PY1 Data(H)'!$A$1:$BV$265,MATCH('Unit Data from Audit Worksheet'!$A39,'PY1 Data(H)'!$A$1:$A$258,0),MATCH('Unit Data from Audit Worksheet'!$D$2,'PY1 Data(H)'!$A$1:$BV$1,0))</f>
        <v>#N/A</v>
      </c>
      <c r="F39" s="793">
        <v>0</v>
      </c>
      <c r="G39" s="401">
        <f>IF(H39=0,,"Error: Total revenues less total expenses do not equal total change in net position. Account numbers 339+504+505+341+386-387+389-388-255 = 0  The amount the formula is off is located in the cell to the right")</f>
        <v>0</v>
      </c>
      <c r="H39" s="404">
        <f>F32+F33+F34+F35+F36-F37+F38-F31-F39</f>
        <v>0</v>
      </c>
      <c r="I39" s="17"/>
      <c r="J39" s="72"/>
      <c r="K39"/>
      <c r="L39" s="547"/>
    </row>
    <row r="40" spans="1:123" ht="138" customHeight="1" x14ac:dyDescent="0.3">
      <c r="A40" s="100">
        <v>376</v>
      </c>
      <c r="B40" s="4" t="s">
        <v>55</v>
      </c>
      <c r="C40" s="4" t="s">
        <v>136</v>
      </c>
      <c r="D40" s="383" t="s">
        <v>684</v>
      </c>
      <c r="E40" s="371" t="e">
        <f>INDEX('PY1 Data(H)'!$A$1:$BV$265,MATCH('Unit Data from Audit Worksheet'!$A40,'PY1 Data(H)'!$A$1:$A$258,0),MATCH('Unit Data from Audit Worksheet'!$D$2,'PY1 Data(H)'!$A$1:$BV$1,0))</f>
        <v>#N/A</v>
      </c>
      <c r="F40" s="793">
        <v>0</v>
      </c>
      <c r="G40" s="752" t="e">
        <f>IF(H40=0,,"Error: Beginning Balance does not agree with our records.  Account numbers  252+253+254-255-376-(Prior Year 252+253+254)=0  The amount the formula is off is located in the cell to the right")</f>
        <v>#N/A</v>
      </c>
      <c r="H40" s="753" t="e">
        <f>F23+F24+F25-F39-F40-(E23+E24+E25)</f>
        <v>#N/A</v>
      </c>
      <c r="I40" s="775" t="e">
        <f>IF(H40=0," ","If the out of balance is because prior years data is not populated in cells E23,E24,E25, disregard the error message.  Do not include prior year's ending balances in cell F40")</f>
        <v>#N/A</v>
      </c>
      <c r="J40" s="763"/>
      <c r="K40" s="524"/>
      <c r="L40" s="547"/>
    </row>
    <row r="41" spans="1:123" s="18" customFormat="1" ht="141.75" customHeight="1" x14ac:dyDescent="0.3">
      <c r="A41" s="100">
        <v>597</v>
      </c>
      <c r="B41" s="373" t="s">
        <v>324</v>
      </c>
      <c r="C41" s="373" t="s">
        <v>334</v>
      </c>
      <c r="D41" s="457" t="s">
        <v>685</v>
      </c>
      <c r="E41" s="371" t="e">
        <f>INDEX('PY1 Data(H)'!$A$1:$BV$265,MATCH('Unit Data from Audit Worksheet'!$A41,'PY1 Data(H)'!$A$1:$A$258,0),MATCH('Unit Data from Audit Worksheet'!$D$2,'PY1 Data(H)'!$A$1:$BV$1,0))</f>
        <v>#N/A</v>
      </c>
      <c r="F41" s="793">
        <v>0</v>
      </c>
      <c r="G41" s="401">
        <f>IF(F41&lt;0,"Note: Number is normally positive.",)</f>
        <v>0</v>
      </c>
      <c r="H41" s="402"/>
      <c r="I41" s="342"/>
      <c r="J41" s="403"/>
      <c r="K41"/>
      <c r="L41" s="547"/>
      <c r="M41"/>
      <c r="O41" s="186"/>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row>
    <row r="42" spans="1:123" ht="25.5" customHeight="1" x14ac:dyDescent="0.3">
      <c r="A42" s="100"/>
      <c r="B42" s="489" t="s">
        <v>323</v>
      </c>
      <c r="C42" s="499"/>
      <c r="D42" s="472"/>
      <c r="E42" s="473"/>
      <c r="F42" s="473"/>
      <c r="G42" s="474"/>
      <c r="H42" s="17"/>
      <c r="I42" s="17"/>
      <c r="J42" s="72"/>
      <c r="K42"/>
      <c r="L42" s="547"/>
    </row>
    <row r="43" spans="1:123" s="18" customFormat="1" ht="86.25" customHeight="1" x14ac:dyDescent="0.3">
      <c r="A43" s="100">
        <v>592</v>
      </c>
      <c r="B43" s="373" t="s">
        <v>58</v>
      </c>
      <c r="C43" s="373" t="s">
        <v>325</v>
      </c>
      <c r="D43" s="383" t="s">
        <v>686</v>
      </c>
      <c r="E43" s="371" t="e">
        <f>INDEX('PY1 Data(H)'!$A$1:$BV$265,MATCH('Unit Data from Audit Worksheet'!$A43,'PY1 Data(H)'!$A$1:$A$258,0),MATCH('Unit Data from Audit Worksheet'!$D$2,'PY1 Data(H)'!$A$1:$BV$1,0))</f>
        <v>#N/A</v>
      </c>
      <c r="F43" s="793">
        <v>0</v>
      </c>
      <c r="G43" s="401"/>
      <c r="H43" s="402"/>
      <c r="I43" s="342"/>
      <c r="K43"/>
      <c r="L43" s="547"/>
      <c r="M43"/>
      <c r="O43" s="186"/>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row>
    <row r="44" spans="1:123" s="18" customFormat="1" ht="71.25" customHeight="1" x14ac:dyDescent="0.3">
      <c r="A44" s="100">
        <v>591</v>
      </c>
      <c r="B44" s="373" t="s">
        <v>58</v>
      </c>
      <c r="C44" s="373" t="s">
        <v>325</v>
      </c>
      <c r="D44" s="99" t="s">
        <v>326</v>
      </c>
      <c r="E44" s="371" t="e">
        <f>INDEX('PY1 Data(H)'!$A$1:$BV$265,MATCH('Unit Data from Audit Worksheet'!$A44,'PY1 Data(H)'!$A$1:$A$258,0),MATCH('Unit Data from Audit Worksheet'!$D$2,'PY1 Data(H)'!$A$1:$BV$1,0))</f>
        <v>#N/A</v>
      </c>
      <c r="F44" s="793">
        <v>0</v>
      </c>
      <c r="G44" s="401">
        <f>IF(F44&lt;0,"Error: Enter as positive.",)</f>
        <v>0</v>
      </c>
      <c r="H44" s="402"/>
      <c r="I44" s="342"/>
      <c r="K44"/>
      <c r="L44" s="547"/>
      <c r="M44"/>
      <c r="O44" s="186"/>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row>
    <row r="45" spans="1:123" ht="27" customHeight="1" x14ac:dyDescent="0.3">
      <c r="A45" s="100"/>
      <c r="B45" s="489" t="s">
        <v>137</v>
      </c>
      <c r="C45" s="499"/>
      <c r="D45" s="475"/>
      <c r="E45" s="476"/>
      <c r="F45" s="476"/>
      <c r="G45" s="477"/>
      <c r="H45" s="17"/>
      <c r="I45" s="17"/>
      <c r="J45" s="72"/>
      <c r="K45"/>
      <c r="L45" s="547"/>
    </row>
    <row r="46" spans="1:123" s="18" customFormat="1" ht="55.5" customHeight="1" x14ac:dyDescent="0.3">
      <c r="A46" s="100">
        <v>506</v>
      </c>
      <c r="B46" s="949" t="s">
        <v>1886</v>
      </c>
      <c r="C46" s="458" t="s">
        <v>141</v>
      </c>
      <c r="D46" s="99" t="s">
        <v>687</v>
      </c>
      <c r="E46" s="371" t="e">
        <f>INDEX('PY1 Data(H)'!$A$1:$BV$265,MATCH('Unit Data from Audit Worksheet'!$A46,'PY1 Data(H)'!$A$1:$A$258,0),MATCH('Unit Data from Audit Worksheet'!$D$2,'PY1 Data(H)'!$A$1:$BV$1,0))</f>
        <v>#N/A</v>
      </c>
      <c r="F46" s="793">
        <v>0</v>
      </c>
      <c r="G46" s="401">
        <f>IF(F46&lt;0,"Note: Number is normally positive.",)</f>
        <v>0</v>
      </c>
      <c r="H46" s="402"/>
      <c r="I46" s="17"/>
      <c r="J46" s="72"/>
      <c r="K46"/>
      <c r="L46" s="547"/>
      <c r="M46"/>
      <c r="O46" s="18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row>
    <row r="47" spans="1:123" s="18" customFormat="1" ht="63.6" customHeight="1" x14ac:dyDescent="0.3">
      <c r="A47" s="100">
        <v>536</v>
      </c>
      <c r="B47" s="949" t="s">
        <v>1886</v>
      </c>
      <c r="C47" s="458" t="s">
        <v>141</v>
      </c>
      <c r="D47" s="99" t="s">
        <v>138</v>
      </c>
      <c r="E47" s="371" t="e">
        <f>INDEX('PY1 Data(H)'!$A$1:$BV$265,MATCH('Unit Data from Audit Worksheet'!$A47,'PY1 Data(H)'!$A$1:$A$258,0),MATCH('Unit Data from Audit Worksheet'!$D$2,'PY1 Data(H)'!$A$1:$BV$1,0))</f>
        <v>#N/A</v>
      </c>
      <c r="F47" s="793">
        <v>0</v>
      </c>
      <c r="G47" s="401">
        <f>IF(F47&lt;0,"Note: Number is normally positive.",)</f>
        <v>0</v>
      </c>
      <c r="H47" s="402"/>
      <c r="I47" s="402"/>
      <c r="J47" s="403"/>
      <c r="K47"/>
      <c r="L47" s="547"/>
      <c r="M47"/>
      <c r="O47" s="186"/>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row>
    <row r="48" spans="1:123" s="18" customFormat="1" ht="51.75" customHeight="1" x14ac:dyDescent="0.3">
      <c r="A48" s="100">
        <v>586</v>
      </c>
      <c r="B48" s="458" t="s">
        <v>58</v>
      </c>
      <c r="C48" s="458" t="s">
        <v>141</v>
      </c>
      <c r="D48" s="376" t="s">
        <v>312</v>
      </c>
      <c r="E48" s="371" t="e">
        <f>INDEX('PY1 Data(H)'!$A$1:$BV$265,MATCH('Unit Data from Audit Worksheet'!$A48,'PY1 Data(H)'!$A$1:$A$258,0),MATCH('Unit Data from Audit Worksheet'!$D$2,'PY1 Data(H)'!$A$1:$BV$1,0))</f>
        <v>#N/A</v>
      </c>
      <c r="F48" s="793">
        <v>0</v>
      </c>
      <c r="G48" s="401">
        <f>IF(F48&lt;0,"Note: Number is normally positive.",)</f>
        <v>0</v>
      </c>
      <c r="H48" s="402"/>
      <c r="I48" s="402"/>
      <c r="J48" s="403"/>
      <c r="K48"/>
      <c r="L48" s="547"/>
      <c r="M48"/>
      <c r="O48" s="186"/>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row>
    <row r="49" spans="1:123" ht="37.5" customHeight="1" x14ac:dyDescent="0.3">
      <c r="A49" s="100">
        <v>379</v>
      </c>
      <c r="B49" s="458" t="s">
        <v>59</v>
      </c>
      <c r="C49" s="458" t="s">
        <v>141</v>
      </c>
      <c r="D49" s="99" t="s">
        <v>122</v>
      </c>
      <c r="E49" s="371" t="e">
        <f>INDEX('PY1 Data(H)'!$A$1:$BV$265,MATCH('Unit Data from Audit Worksheet'!$A49,'PY1 Data(H)'!$A$1:$A$258,0),MATCH('Unit Data from Audit Worksheet'!$D$2,'PY1 Data(H)'!$A$1:$BV$1,0))</f>
        <v>#N/A</v>
      </c>
      <c r="F49" s="793">
        <v>0</v>
      </c>
      <c r="G49" s="401">
        <f>IF((F46+F47)&gt;F49,"Error: Please review account numbers (506+536)&gt;379",)</f>
        <v>0</v>
      </c>
      <c r="H49" s="402"/>
      <c r="I49" s="17"/>
      <c r="J49" s="72"/>
      <c r="K49"/>
      <c r="L49" s="547"/>
    </row>
    <row r="50" spans="1:123" ht="93" customHeight="1" x14ac:dyDescent="0.3">
      <c r="A50" s="100">
        <v>368</v>
      </c>
      <c r="B50" s="458" t="s">
        <v>1448</v>
      </c>
      <c r="C50" s="458" t="s">
        <v>141</v>
      </c>
      <c r="D50" s="383" t="s">
        <v>688</v>
      </c>
      <c r="E50" s="371" t="e">
        <f>INDEX('PY1 Data(H)'!$A$1:$BV$265,MATCH('Unit Data from Audit Worksheet'!$A50,'PY1 Data(H)'!$A$1:$A$258,0),MATCH('Unit Data from Audit Worksheet'!$D$2,'PY1 Data(H)'!$A$1:$BV$1,0))</f>
        <v>#N/A</v>
      </c>
      <c r="F50" s="793">
        <v>0</v>
      </c>
      <c r="G50" s="401">
        <f t="shared" ref="G50:G56" si="1">IF(F50&lt;0,"Error: Enter as positive.",)</f>
        <v>0</v>
      </c>
      <c r="H50" s="402"/>
      <c r="I50" s="402"/>
      <c r="J50" s="402"/>
      <c r="K50"/>
      <c r="L50" s="547"/>
    </row>
    <row r="51" spans="1:123" ht="87" customHeight="1" x14ac:dyDescent="0.3">
      <c r="A51" s="100">
        <v>4</v>
      </c>
      <c r="B51" s="949" t="s">
        <v>1886</v>
      </c>
      <c r="C51" s="458" t="s">
        <v>141</v>
      </c>
      <c r="D51" s="188" t="s">
        <v>689</v>
      </c>
      <c r="E51" s="371" t="e">
        <f>INDEX('PY1 Data(H)'!$A$1:$BV$265,MATCH('Unit Data from Audit Worksheet'!$A51,'PY1 Data(H)'!$A$1:$A$258,0),MATCH('Unit Data from Audit Worksheet'!$D$2,'PY1 Data(H)'!$A$1:$BV$1,0))</f>
        <v>#N/A</v>
      </c>
      <c r="F51" s="793">
        <v>0</v>
      </c>
      <c r="G51" s="401">
        <f t="shared" si="1"/>
        <v>0</v>
      </c>
      <c r="H51" s="402"/>
      <c r="I51" s="17"/>
      <c r="J51" s="72"/>
      <c r="K51"/>
      <c r="L51" s="547"/>
    </row>
    <row r="52" spans="1:123" ht="132" customHeight="1" x14ac:dyDescent="0.3">
      <c r="A52" s="100">
        <v>5</v>
      </c>
      <c r="B52" s="949" t="s">
        <v>1886</v>
      </c>
      <c r="C52" s="458" t="s">
        <v>141</v>
      </c>
      <c r="D52" s="211" t="s">
        <v>690</v>
      </c>
      <c r="E52" s="371" t="e">
        <f>INDEX('PY1 Data(H)'!$A$1:$BV$265,MATCH('Unit Data from Audit Worksheet'!$A52,'PY1 Data(H)'!$A$1:$A$258,0),MATCH('Unit Data from Audit Worksheet'!$D$2,'PY1 Data(H)'!$A$1:$BV$1,0))</f>
        <v>#N/A</v>
      </c>
      <c r="F52" s="793">
        <v>0</v>
      </c>
      <c r="G52" s="401">
        <f t="shared" si="1"/>
        <v>0</v>
      </c>
      <c r="H52" s="402"/>
      <c r="I52" s="17"/>
      <c r="J52" s="72"/>
      <c r="K52"/>
      <c r="L52" s="547"/>
    </row>
    <row r="53" spans="1:123" ht="93.75" customHeight="1" x14ac:dyDescent="0.3">
      <c r="A53" s="100">
        <v>380</v>
      </c>
      <c r="B53" s="458" t="s">
        <v>59</v>
      </c>
      <c r="C53" s="458" t="s">
        <v>141</v>
      </c>
      <c r="D53" s="211" t="s">
        <v>691</v>
      </c>
      <c r="E53" s="371" t="e">
        <f>INDEX('PY1 Data(H)'!$A$1:$BV$265,MATCH('Unit Data from Audit Worksheet'!$A53,'PY1 Data(H)'!$A$1:$A$258,0),MATCH('Unit Data from Audit Worksheet'!$D$2,'PY1 Data(H)'!$A$1:$BV$1,0))</f>
        <v>#N/A</v>
      </c>
      <c r="F53" s="793">
        <v>0</v>
      </c>
      <c r="G53" s="401">
        <f t="shared" si="1"/>
        <v>0</v>
      </c>
      <c r="H53" s="402"/>
      <c r="I53" s="17"/>
      <c r="J53" s="72"/>
      <c r="K53"/>
      <c r="L53" s="547"/>
    </row>
    <row r="54" spans="1:123" ht="48.75" customHeight="1" x14ac:dyDescent="0.3">
      <c r="A54" s="100">
        <v>391</v>
      </c>
      <c r="B54" s="458" t="s">
        <v>68</v>
      </c>
      <c r="C54" s="458" t="s">
        <v>141</v>
      </c>
      <c r="D54" s="99" t="s">
        <v>139</v>
      </c>
      <c r="E54" s="371" t="e">
        <f>INDEX('PY1 Data(H)'!$A$1:$BV$265,MATCH('Unit Data from Audit Worksheet'!$A54,'PY1 Data(H)'!$A$1:$A$258,0),MATCH('Unit Data from Audit Worksheet'!$D$2,'PY1 Data(H)'!$A$1:$BV$1,0))</f>
        <v>#N/A</v>
      </c>
      <c r="F54" s="793">
        <v>0</v>
      </c>
      <c r="G54" s="401">
        <f t="shared" si="1"/>
        <v>0</v>
      </c>
      <c r="H54" s="402"/>
      <c r="I54" s="17"/>
      <c r="J54" s="72"/>
      <c r="K54"/>
      <c r="L54" s="547"/>
    </row>
    <row r="55" spans="1:123" ht="51.75" customHeight="1" x14ac:dyDescent="0.3">
      <c r="A55" s="100">
        <v>7</v>
      </c>
      <c r="B55" s="458" t="s">
        <v>68</v>
      </c>
      <c r="C55" s="458" t="s">
        <v>141</v>
      </c>
      <c r="D55" s="99" t="s">
        <v>140</v>
      </c>
      <c r="E55" s="371" t="e">
        <f>INDEX('PY1 Data(H)'!$A$1:$BV$265,MATCH('Unit Data from Audit Worksheet'!$A55,'PY1 Data(H)'!$A$1:$A$258,0),MATCH('Unit Data from Audit Worksheet'!$D$2,'PY1 Data(H)'!$A$1:$BV$1,0))</f>
        <v>#N/A</v>
      </c>
      <c r="F55" s="793">
        <v>0</v>
      </c>
      <c r="G55" s="401">
        <f t="shared" si="1"/>
        <v>0</v>
      </c>
      <c r="H55" s="402"/>
      <c r="I55" s="17"/>
      <c r="J55" s="72"/>
      <c r="K55"/>
      <c r="L55" s="547"/>
    </row>
    <row r="56" spans="1:123" ht="83.4" customHeight="1" x14ac:dyDescent="0.3">
      <c r="A56" s="100">
        <v>11</v>
      </c>
      <c r="B56" s="949" t="s">
        <v>1887</v>
      </c>
      <c r="C56" s="458" t="s">
        <v>141</v>
      </c>
      <c r="D56" s="383" t="s">
        <v>692</v>
      </c>
      <c r="E56" s="371" t="e">
        <f>INDEX('PY1 Data(H)'!$A$1:$BV$265,MATCH('Unit Data from Audit Worksheet'!$A56,'PY1 Data(H)'!$A$1:$A$258,0),MATCH('Unit Data from Audit Worksheet'!$D$2,'PY1 Data(H)'!$A$1:$BV$1,0))</f>
        <v>#N/A</v>
      </c>
      <c r="F56" s="793">
        <v>0</v>
      </c>
      <c r="G56" s="401">
        <f t="shared" si="1"/>
        <v>0</v>
      </c>
      <c r="H56" s="402"/>
      <c r="I56" s="17"/>
      <c r="J56" s="72"/>
      <c r="K56"/>
      <c r="L56" s="547"/>
    </row>
    <row r="57" spans="1:123" ht="78.75" customHeight="1" x14ac:dyDescent="0.3">
      <c r="A57" s="189">
        <v>645</v>
      </c>
      <c r="B57" s="461" t="s">
        <v>358</v>
      </c>
      <c r="C57" s="461" t="s">
        <v>141</v>
      </c>
      <c r="D57" s="636" t="s">
        <v>384</v>
      </c>
      <c r="E57" s="371" t="e">
        <f>INDEX('PY1 Data(H)'!$A$1:$BV$265,MATCH('Unit Data from Audit Worksheet'!$A57,'PY1 Data(H)'!$A$1:$A$258,0),MATCH('Unit Data from Audit Worksheet'!$D$2,'PY1 Data(H)'!$A$1:$BV$1,0))</f>
        <v>#N/A</v>
      </c>
      <c r="F57" s="793">
        <v>0</v>
      </c>
      <c r="G57" s="401">
        <f>IF(F57&lt;0,"Note: Number is normally positive.",)</f>
        <v>0</v>
      </c>
      <c r="H57" s="402"/>
      <c r="I57" s="402"/>
      <c r="J57" s="403"/>
      <c r="K57"/>
      <c r="L57" s="547"/>
    </row>
    <row r="58" spans="1:123" ht="78.75" customHeight="1" x14ac:dyDescent="0.3">
      <c r="A58" s="189">
        <v>646</v>
      </c>
      <c r="B58" s="461" t="s">
        <v>358</v>
      </c>
      <c r="C58" s="461" t="s">
        <v>141</v>
      </c>
      <c r="D58" s="188" t="s">
        <v>359</v>
      </c>
      <c r="E58" s="371" t="e">
        <f>INDEX('PY1 Data(H)'!$A$1:$BV$265,MATCH('Unit Data from Audit Worksheet'!$A58,'PY1 Data(H)'!$A$1:$A$258,0),MATCH('Unit Data from Audit Worksheet'!$D$2,'PY1 Data(H)'!$A$1:$BV$1,0))</f>
        <v>#N/A</v>
      </c>
      <c r="F58" s="793">
        <v>0</v>
      </c>
      <c r="G58" s="401">
        <f>IF(F58&lt;0,"Note: Number is normally positive.",)</f>
        <v>0</v>
      </c>
      <c r="H58" s="402"/>
      <c r="I58" s="402"/>
      <c r="J58" s="403"/>
      <c r="K58"/>
      <c r="L58" s="547"/>
    </row>
    <row r="59" spans="1:123" ht="138" customHeight="1" x14ac:dyDescent="0.3">
      <c r="A59" s="100">
        <v>9</v>
      </c>
      <c r="B59" s="949" t="s">
        <v>1890</v>
      </c>
      <c r="C59" s="458" t="s">
        <v>141</v>
      </c>
      <c r="D59" s="383" t="s">
        <v>693</v>
      </c>
      <c r="E59" s="371" t="e">
        <f>INDEX('PY1 Data(H)'!$A$1:$BV$265,MATCH('Unit Data from Audit Worksheet'!$A59,'PY1 Data(H)'!$A$1:$A$258,0),MATCH('Unit Data from Audit Worksheet'!$D$2,'PY1 Data(H)'!$A$1:$BV$1,0))</f>
        <v>#N/A</v>
      </c>
      <c r="F59" s="793">
        <v>0</v>
      </c>
      <c r="G59" s="401">
        <f>IF(F49-F51-F52-F53-F59=0,,"Error: Total assets less total liabilities do not equal total fund balance. Account numbers 379-4-5-380-9= 0  The amount of the formula is in the cell to the right")</f>
        <v>0</v>
      </c>
      <c r="H59" s="404">
        <f>F49-F51-F52-F53-F59</f>
        <v>0</v>
      </c>
      <c r="I59" s="17"/>
      <c r="J59" s="72"/>
      <c r="K59"/>
      <c r="L59" s="547"/>
    </row>
    <row r="60" spans="1:123" s="18" customFormat="1" ht="63.75" customHeight="1" x14ac:dyDescent="0.3">
      <c r="A60" s="100">
        <v>540</v>
      </c>
      <c r="B60" s="373" t="s">
        <v>58</v>
      </c>
      <c r="C60" s="373" t="s">
        <v>694</v>
      </c>
      <c r="D60" s="99" t="s">
        <v>385</v>
      </c>
      <c r="E60" s="371" t="e">
        <f>INDEX('PY1 Data(H)'!$A$1:$BV$265,MATCH('Unit Data from Audit Worksheet'!$A60,'PY1 Data(H)'!$A$1:$A$258,0),MATCH('Unit Data from Audit Worksheet'!$D$2,'PY1 Data(H)'!$A$1:$BV$1,0))</f>
        <v>#N/A</v>
      </c>
      <c r="F60" s="793">
        <v>0</v>
      </c>
      <c r="G60" s="401"/>
      <c r="H60" s="402"/>
      <c r="I60" s="402"/>
      <c r="J60" s="403"/>
      <c r="K60"/>
      <c r="L60" s="547"/>
      <c r="M60"/>
      <c r="O60" s="186"/>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row>
    <row r="61" spans="1:123" s="18" customFormat="1" ht="63.75" customHeight="1" x14ac:dyDescent="0.3">
      <c r="A61" s="100">
        <v>1052</v>
      </c>
      <c r="B61" s="373" t="s">
        <v>58</v>
      </c>
      <c r="C61" s="778" t="s">
        <v>144</v>
      </c>
      <c r="D61" s="774" t="s">
        <v>1485</v>
      </c>
      <c r="E61" s="371" t="e">
        <f>INDEX('PY1 Data(H)'!$A$1:$BV$265,MATCH('Unit Data from Audit Worksheet'!$A61,'PY1 Data(H)'!$A$1:$A$258,0),MATCH('Unit Data from Audit Worksheet'!$D$2,'PY1 Data(H)'!$A$1:$BV$1,0))</f>
        <v>#N/A</v>
      </c>
      <c r="F61" s="793">
        <v>0</v>
      </c>
      <c r="G61" s="401"/>
      <c r="H61" s="402"/>
      <c r="I61" s="402"/>
      <c r="J61" s="403"/>
      <c r="K61" s="180"/>
      <c r="L61" s="547"/>
      <c r="M61" s="180"/>
      <c r="O61" s="186"/>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0"/>
      <c r="CP61" s="180"/>
      <c r="CQ61" s="180"/>
      <c r="CR61" s="180"/>
      <c r="CS61" s="180"/>
      <c r="CT61" s="180"/>
      <c r="CU61" s="180"/>
      <c r="CV61" s="180"/>
      <c r="CW61" s="180"/>
      <c r="CX61" s="180"/>
      <c r="CY61" s="180"/>
      <c r="CZ61" s="180"/>
      <c r="DA61" s="180"/>
      <c r="DB61" s="180"/>
      <c r="DC61" s="180"/>
      <c r="DD61" s="180"/>
      <c r="DE61" s="180"/>
      <c r="DF61" s="180"/>
      <c r="DG61" s="180"/>
      <c r="DH61" s="180"/>
      <c r="DI61" s="180"/>
      <c r="DJ61" s="180"/>
      <c r="DK61" s="180"/>
      <c r="DL61" s="180"/>
      <c r="DM61" s="180"/>
      <c r="DN61" s="180"/>
      <c r="DO61" s="180"/>
      <c r="DP61" s="180"/>
      <c r="DQ61" s="180"/>
      <c r="DR61" s="180"/>
      <c r="DS61" s="180"/>
    </row>
    <row r="62" spans="1:123" ht="30" customHeight="1" x14ac:dyDescent="0.3">
      <c r="A62" s="100"/>
      <c r="B62" s="489" t="s">
        <v>143</v>
      </c>
      <c r="C62" s="499"/>
      <c r="D62" s="472"/>
      <c r="E62" s="473"/>
      <c r="F62" s="473"/>
      <c r="G62" s="474"/>
      <c r="H62" s="17"/>
      <c r="I62" s="17"/>
      <c r="J62" s="72"/>
      <c r="K62"/>
      <c r="L62" s="547"/>
    </row>
    <row r="63" spans="1:123" ht="82.5" customHeight="1" x14ac:dyDescent="0.3">
      <c r="A63" s="100">
        <v>984</v>
      </c>
      <c r="B63" s="948" t="s">
        <v>1900</v>
      </c>
      <c r="C63" s="373" t="s">
        <v>694</v>
      </c>
      <c r="D63" s="383" t="s">
        <v>774</v>
      </c>
      <c r="E63" s="371" t="e">
        <f>INDEX('PY1 Data(H)'!$A$1:$BV$265,MATCH('Unit Data from Audit Worksheet'!$A63,'PY1 Data(H)'!$A$1:$A$258,0),MATCH('Unit Data from Audit Worksheet'!$D$2,'PY1 Data(H)'!$A$1:$BV$1,0))</f>
        <v>#N/A</v>
      </c>
      <c r="F63" s="793">
        <v>0</v>
      </c>
      <c r="G63" s="401"/>
      <c r="H63" s="17"/>
      <c r="I63" s="17"/>
      <c r="J63" s="72"/>
      <c r="K63"/>
      <c r="L63" s="547"/>
    </row>
    <row r="64" spans="1:123" ht="69" customHeight="1" x14ac:dyDescent="0.3">
      <c r="A64" s="100">
        <v>985</v>
      </c>
      <c r="B64" s="948" t="s">
        <v>1900</v>
      </c>
      <c r="C64" s="373" t="s">
        <v>694</v>
      </c>
      <c r="D64" s="383" t="s">
        <v>775</v>
      </c>
      <c r="E64" s="371" t="e">
        <f>INDEX('PY1 Data(H)'!$A$1:$BV$265,MATCH('Unit Data from Audit Worksheet'!$A64,'PY1 Data(H)'!$A$1:$A$258,0),MATCH('Unit Data from Audit Worksheet'!$D$2,'PY1 Data(H)'!$A$1:$BV$1,0))</f>
        <v>#N/A</v>
      </c>
      <c r="F64" s="793">
        <v>0</v>
      </c>
      <c r="G64" s="401"/>
      <c r="H64" s="17"/>
      <c r="I64" s="17"/>
      <c r="J64" s="72"/>
      <c r="K64"/>
      <c r="L64" s="547"/>
    </row>
    <row r="65" spans="1:123" ht="52.5" customHeight="1" x14ac:dyDescent="0.3">
      <c r="A65" s="100">
        <v>369</v>
      </c>
      <c r="B65" s="4" t="s">
        <v>55</v>
      </c>
      <c r="C65" s="4" t="s">
        <v>144</v>
      </c>
      <c r="D65" s="383" t="s">
        <v>695</v>
      </c>
      <c r="E65" s="371" t="e">
        <f>INDEX('PY1 Data(H)'!$A$1:$BV$265,MATCH('Unit Data from Audit Worksheet'!$A65,'PY1 Data(H)'!$A$1:$A$258,0),MATCH('Unit Data from Audit Worksheet'!$D$2,'PY1 Data(H)'!$A$1:$BV$1,0))</f>
        <v>#N/A</v>
      </c>
      <c r="F65" s="793">
        <v>0</v>
      </c>
      <c r="G65" s="401"/>
      <c r="H65" s="17"/>
      <c r="I65" s="17"/>
      <c r="J65" s="72"/>
      <c r="K65"/>
      <c r="L65" s="547"/>
    </row>
    <row r="66" spans="1:123" ht="57.75" customHeight="1" x14ac:dyDescent="0.3">
      <c r="A66" s="100">
        <v>16</v>
      </c>
      <c r="B66" s="4" t="s">
        <v>65</v>
      </c>
      <c r="C66" s="4" t="s">
        <v>144</v>
      </c>
      <c r="D66" s="99" t="s">
        <v>142</v>
      </c>
      <c r="E66" s="371" t="e">
        <f>INDEX('PY1 Data(H)'!$A$1:$BV$265,MATCH('Unit Data from Audit Worksheet'!$A66,'PY1 Data(H)'!$A$1:$A$258,0),MATCH('Unit Data from Audit Worksheet'!$D$2,'PY1 Data(H)'!$A$1:$BV$1,0))</f>
        <v>#N/A</v>
      </c>
      <c r="F66" s="793">
        <v>0</v>
      </c>
      <c r="G66" s="401"/>
      <c r="H66" s="17"/>
      <c r="I66" s="17"/>
      <c r="J66" s="72"/>
      <c r="K66"/>
      <c r="L66" s="547"/>
    </row>
    <row r="67" spans="1:123" ht="65.25" customHeight="1" x14ac:dyDescent="0.3">
      <c r="A67" s="100">
        <v>370</v>
      </c>
      <c r="B67" s="4" t="s">
        <v>55</v>
      </c>
      <c r="C67" s="4" t="s">
        <v>144</v>
      </c>
      <c r="D67" s="383" t="s">
        <v>696</v>
      </c>
      <c r="E67" s="371" t="e">
        <f>INDEX('PY1 Data(H)'!$A$1:$BV$265,MATCH('Unit Data from Audit Worksheet'!$A67,'PY1 Data(H)'!$A$1:$A$258,0),MATCH('Unit Data from Audit Worksheet'!$D$2,'PY1 Data(H)'!$A$1:$BV$1,0))</f>
        <v>#N/A</v>
      </c>
      <c r="F67" s="793">
        <v>0</v>
      </c>
      <c r="G67" s="401">
        <f>IF(F67&lt;0,"Error: Enter as positive.",)</f>
        <v>0</v>
      </c>
      <c r="H67" s="17"/>
      <c r="I67" s="17"/>
      <c r="J67" s="72"/>
      <c r="K67"/>
      <c r="L67" s="547"/>
    </row>
    <row r="68" spans="1:123" ht="69.75" customHeight="1" x14ac:dyDescent="0.3">
      <c r="A68" s="100">
        <v>532</v>
      </c>
      <c r="B68" s="948" t="s">
        <v>1886</v>
      </c>
      <c r="C68" s="4" t="s">
        <v>144</v>
      </c>
      <c r="D68" s="379" t="s">
        <v>697</v>
      </c>
      <c r="E68" s="371" t="e">
        <f>INDEX('PY1 Data(H)'!$A$1:$BV$265,MATCH('Unit Data from Audit Worksheet'!$A68,'PY1 Data(H)'!$A$1:$A$258,0),MATCH('Unit Data from Audit Worksheet'!$D$2,'PY1 Data(H)'!$A$1:$BV$1,0))</f>
        <v>#N/A</v>
      </c>
      <c r="F68" s="793">
        <v>0</v>
      </c>
      <c r="G68" s="401">
        <f>IF(F68&lt;0,"Error: Enter as positive.",)</f>
        <v>0</v>
      </c>
      <c r="H68" s="17"/>
      <c r="I68" s="17"/>
      <c r="J68" s="72"/>
      <c r="K68"/>
      <c r="L68" s="547"/>
    </row>
    <row r="69" spans="1:123" ht="69.75" customHeight="1" x14ac:dyDescent="0.3">
      <c r="A69" s="100">
        <v>1050</v>
      </c>
      <c r="B69" s="951" t="s">
        <v>1889</v>
      </c>
      <c r="C69" s="778" t="s">
        <v>144</v>
      </c>
      <c r="D69" s="779" t="s">
        <v>1436</v>
      </c>
      <c r="E69" s="371" t="e">
        <f>INDEX('PY1 Data(H)'!$A$1:$BV$265,MATCH('Unit Data from Audit Worksheet'!$A69,'PY1 Data(H)'!$A$1:$A$258,0),MATCH('Unit Data from Audit Worksheet'!$D$2,'PY1 Data(H)'!$A$1:$BV$1,0))</f>
        <v>#N/A</v>
      </c>
      <c r="F69" s="793">
        <v>0</v>
      </c>
      <c r="G69" s="401">
        <f>IF(F69&lt;0,"Error: Enter as positive.",)</f>
        <v>0</v>
      </c>
      <c r="H69" s="17"/>
      <c r="I69" s="17"/>
      <c r="J69" s="72"/>
      <c r="K69" s="180"/>
      <c r="L69" s="547"/>
      <c r="M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c r="CC69" s="180"/>
      <c r="CD69" s="180"/>
      <c r="CE69" s="180"/>
      <c r="CF69" s="180"/>
      <c r="CG69" s="180"/>
      <c r="CH69" s="180"/>
      <c r="CI69" s="180"/>
      <c r="CJ69" s="180"/>
      <c r="CK69" s="180"/>
      <c r="CL69" s="180"/>
      <c r="CM69" s="180"/>
      <c r="CN69" s="180"/>
      <c r="CO69" s="180"/>
      <c r="CP69" s="180"/>
      <c r="CQ69" s="180"/>
      <c r="CR69" s="180"/>
      <c r="CS69" s="180"/>
      <c r="CT69" s="180"/>
      <c r="CU69" s="180"/>
      <c r="CV69" s="180"/>
      <c r="CW69" s="180"/>
      <c r="CX69" s="180"/>
      <c r="CY69" s="180"/>
      <c r="CZ69" s="180"/>
      <c r="DA69" s="180"/>
      <c r="DB69" s="180"/>
      <c r="DC69" s="180"/>
      <c r="DD69" s="180"/>
      <c r="DE69" s="180"/>
      <c r="DF69" s="180"/>
      <c r="DG69" s="180"/>
      <c r="DH69" s="180"/>
      <c r="DI69" s="180"/>
      <c r="DJ69" s="180"/>
      <c r="DK69" s="180"/>
      <c r="DL69" s="180"/>
      <c r="DM69" s="180"/>
      <c r="DN69" s="180"/>
      <c r="DO69" s="180"/>
      <c r="DP69" s="180"/>
      <c r="DQ69" s="180"/>
      <c r="DR69" s="180"/>
      <c r="DS69" s="180"/>
    </row>
    <row r="70" spans="1:123" ht="58.95" customHeight="1" x14ac:dyDescent="0.3">
      <c r="A70" s="100">
        <v>17</v>
      </c>
      <c r="B70" s="4" t="s">
        <v>59</v>
      </c>
      <c r="C70" s="4" t="s">
        <v>144</v>
      </c>
      <c r="D70" s="99" t="s">
        <v>698</v>
      </c>
      <c r="E70" s="371" t="e">
        <f>INDEX('PY1 Data(H)'!$A$1:$BV$265,MATCH('Unit Data from Audit Worksheet'!$A70,'PY1 Data(H)'!$A$1:$A$258,0),MATCH('Unit Data from Audit Worksheet'!$D$2,'PY1 Data(H)'!$A$1:$BV$1,0))</f>
        <v>#N/A</v>
      </c>
      <c r="F70" s="793">
        <v>0</v>
      </c>
      <c r="G70" s="401"/>
      <c r="H70" s="17"/>
      <c r="I70" s="17"/>
      <c r="J70" s="72"/>
      <c r="K70"/>
      <c r="L70" s="547"/>
    </row>
    <row r="71" spans="1:123" ht="66" customHeight="1" x14ac:dyDescent="0.3">
      <c r="A71" s="100">
        <v>20</v>
      </c>
      <c r="B71" s="948" t="s">
        <v>1886</v>
      </c>
      <c r="C71" s="4" t="s">
        <v>144</v>
      </c>
      <c r="D71" s="99" t="s">
        <v>699</v>
      </c>
      <c r="E71" s="371" t="e">
        <f>INDEX('PY1 Data(H)'!$A$1:$BV$265,MATCH('Unit Data from Audit Worksheet'!$A71,'PY1 Data(H)'!$A$1:$A$258,0),MATCH('Unit Data from Audit Worksheet'!$D$2,'PY1 Data(H)'!$A$1:$BV$1,0))</f>
        <v>#N/A</v>
      </c>
      <c r="F71" s="793">
        <v>0</v>
      </c>
      <c r="G71" s="401">
        <f>IF(F71&lt;0,"Error: Enter as positive.",)</f>
        <v>0</v>
      </c>
      <c r="H71" s="17"/>
      <c r="I71" s="17"/>
      <c r="J71" s="72"/>
      <c r="K71"/>
      <c r="L71" s="547"/>
    </row>
    <row r="72" spans="1:123" ht="62.4" customHeight="1" x14ac:dyDescent="0.3">
      <c r="A72" s="100">
        <v>533</v>
      </c>
      <c r="B72" s="948" t="s">
        <v>1886</v>
      </c>
      <c r="C72" s="4" t="s">
        <v>144</v>
      </c>
      <c r="D72" s="379" t="s">
        <v>700</v>
      </c>
      <c r="E72" s="371" t="e">
        <f>INDEX('PY1 Data(H)'!$A$1:$BV$265,MATCH('Unit Data from Audit Worksheet'!$A72,'PY1 Data(H)'!$A$1:$A$258,0),MATCH('Unit Data from Audit Worksheet'!$D$2,'PY1 Data(H)'!$A$1:$BV$1,0))</f>
        <v>#N/A</v>
      </c>
      <c r="F72" s="793">
        <v>0</v>
      </c>
      <c r="G72" s="407"/>
      <c r="H72" s="17"/>
      <c r="I72" s="17"/>
      <c r="J72" s="72"/>
      <c r="K72"/>
      <c r="L72" s="547"/>
    </row>
    <row r="73" spans="1:123" s="18" customFormat="1" ht="72.599999999999994" customHeight="1" x14ac:dyDescent="0.3">
      <c r="A73" s="100">
        <v>508</v>
      </c>
      <c r="B73" s="948" t="s">
        <v>1886</v>
      </c>
      <c r="C73" s="4" t="s">
        <v>144</v>
      </c>
      <c r="D73" s="99" t="s">
        <v>290</v>
      </c>
      <c r="E73" s="371" t="e">
        <f>INDEX('PY1 Data(H)'!$A$1:$BV$265,MATCH('Unit Data from Audit Worksheet'!$A73,'PY1 Data(H)'!$A$1:$A$258,0),MATCH('Unit Data from Audit Worksheet'!$D$2,'PY1 Data(H)'!$A$1:$BV$1,0))</f>
        <v>#N/A</v>
      </c>
      <c r="F73" s="793">
        <v>0</v>
      </c>
      <c r="G73" s="401"/>
      <c r="H73" s="402"/>
      <c r="I73" s="402"/>
      <c r="J73" s="403"/>
      <c r="K73"/>
      <c r="L73" s="547"/>
      <c r="M73"/>
      <c r="O73" s="186"/>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row>
    <row r="74" spans="1:123" s="18" customFormat="1" ht="81.75" customHeight="1" x14ac:dyDescent="0.3">
      <c r="A74" s="100">
        <v>509</v>
      </c>
      <c r="B74" s="948" t="s">
        <v>1886</v>
      </c>
      <c r="C74" s="4" t="s">
        <v>144</v>
      </c>
      <c r="D74" s="99" t="s">
        <v>288</v>
      </c>
      <c r="E74" s="371" t="e">
        <f>INDEX('PY1 Data(H)'!$A$1:$BV$265,MATCH('Unit Data from Audit Worksheet'!$A74,'PY1 Data(H)'!$A$1:$A$258,0),MATCH('Unit Data from Audit Worksheet'!$D$2,'PY1 Data(H)'!$A$1:$BV$1,0))</f>
        <v>#N/A</v>
      </c>
      <c r="F74" s="793">
        <v>0</v>
      </c>
      <c r="G74" s="401">
        <f>IF(F74&lt;0,"Error: Enter as positive.",)</f>
        <v>0</v>
      </c>
      <c r="H74" s="402"/>
      <c r="I74" s="402"/>
      <c r="J74" s="403"/>
      <c r="K74"/>
      <c r="L74" s="547"/>
      <c r="M74"/>
      <c r="O74" s="186"/>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row>
    <row r="75" spans="1:123" ht="69" customHeight="1" x14ac:dyDescent="0.3">
      <c r="A75" s="100">
        <v>22</v>
      </c>
      <c r="B75" s="4" t="s">
        <v>59</v>
      </c>
      <c r="C75" s="4" t="s">
        <v>144</v>
      </c>
      <c r="D75" s="99" t="s">
        <v>289</v>
      </c>
      <c r="E75" s="371" t="e">
        <f>INDEX('PY1 Data(H)'!$A$1:$BV$265,MATCH('Unit Data from Audit Worksheet'!$A75,'PY1 Data(H)'!$A$1:$A$258,0),MATCH('Unit Data from Audit Worksheet'!$D$2,'PY1 Data(H)'!$A$1:$BV$1,0))</f>
        <v>#N/A</v>
      </c>
      <c r="F75" s="793">
        <v>0</v>
      </c>
      <c r="G75" s="407"/>
      <c r="H75" s="17"/>
      <c r="I75" s="17"/>
      <c r="J75" s="72"/>
      <c r="K75"/>
      <c r="L75" s="547"/>
    </row>
    <row r="76" spans="1:123" ht="138" customHeight="1" x14ac:dyDescent="0.3">
      <c r="A76" s="100">
        <v>23</v>
      </c>
      <c r="B76" s="4" t="s">
        <v>59</v>
      </c>
      <c r="C76" s="4" t="s">
        <v>144</v>
      </c>
      <c r="D76" s="383" t="s">
        <v>701</v>
      </c>
      <c r="E76" s="371" t="e">
        <f>INDEX('PY1 Data(H)'!$A$1:$BV$265,MATCH('Unit Data from Audit Worksheet'!$A76,'PY1 Data(H)'!$A$1:$A$258,0),MATCH('Unit Data from Audit Worksheet'!$D$2,'PY1 Data(H)'!$A$1:$BV$1,0))</f>
        <v>#N/A</v>
      </c>
      <c r="F76" s="793"/>
      <c r="G76" s="401">
        <f>IF(H76=0,,"Error: Total revenues less total expenditures do not equal total change in fund balance.  Account numbers 16-532+17-20+533+22+508-509-23=0  The amount of the formula is located in the cell to the right")</f>
        <v>0</v>
      </c>
      <c r="H76" s="404">
        <f>+F66-F68+F70-F71+F72+F75+F73-F74-F76</f>
        <v>0</v>
      </c>
      <c r="I76" s="17"/>
      <c r="J76" s="72"/>
      <c r="K76"/>
      <c r="L76" s="547"/>
    </row>
    <row r="77" spans="1:123" ht="194.25" customHeight="1" x14ac:dyDescent="0.3">
      <c r="A77" s="100">
        <v>590</v>
      </c>
      <c r="B77" s="948" t="s">
        <v>1941</v>
      </c>
      <c r="C77" s="4"/>
      <c r="D77" s="776" t="s">
        <v>1960</v>
      </c>
      <c r="E77" s="522"/>
      <c r="F77" s="794"/>
      <c r="G77" s="651"/>
      <c r="H77" s="755" t="str">
        <f>IF(F77&lt;&gt;""," ","Please do not leave cell F77 blank.")</f>
        <v>Please do not leave cell F77 blank.</v>
      </c>
      <c r="I77" s="402"/>
      <c r="J77" s="403"/>
      <c r="K77"/>
      <c r="L77" s="547"/>
    </row>
    <row r="78" spans="1:123" ht="138" customHeight="1" x14ac:dyDescent="0.3">
      <c r="A78" s="100">
        <v>507</v>
      </c>
      <c r="B78" s="373" t="s">
        <v>59</v>
      </c>
      <c r="C78" s="373" t="s">
        <v>144</v>
      </c>
      <c r="D78" s="383" t="s">
        <v>702</v>
      </c>
      <c r="E78" s="371" t="e">
        <f>INDEX('PY1 Data(H)'!$A$1:$BV$265,MATCH('Unit Data from Audit Worksheet'!$A78,'PY1 Data(H)'!$A$1:$A$258,0),MATCH('Unit Data from Audit Worksheet'!$D$2,'PY1 Data(H)'!$A$1:$BV$1,0))</f>
        <v>#N/A</v>
      </c>
      <c r="F78" s="793">
        <v>0</v>
      </c>
      <c r="G78" s="754" t="e">
        <f>IF(F59-F76-F78=E59,,"Error: Beginning Balance does not agree with our records.  (Acct# 9-23-507)= Prior Years Acct # 9 The amount of the formula is in the cell to the right")</f>
        <v>#N/A</v>
      </c>
      <c r="H78" s="755" t="e">
        <f>+F59-F76-F78-E59</f>
        <v>#N/A</v>
      </c>
      <c r="I78" s="775" t="e">
        <f>IF(H78=0," ","If the out of balance is because prior years data is not populated in cell E59, disregard the error message. Do not include prior year's ending balance in cell F78.")</f>
        <v>#N/A</v>
      </c>
      <c r="J78" s="763"/>
      <c r="K78"/>
      <c r="L78" s="547"/>
    </row>
    <row r="79" spans="1:123" ht="82.5" customHeight="1" x14ac:dyDescent="0.3">
      <c r="A79" s="189">
        <v>647</v>
      </c>
      <c r="B79" s="950" t="s">
        <v>1888</v>
      </c>
      <c r="C79" s="460" t="s">
        <v>360</v>
      </c>
      <c r="D79" s="188" t="s">
        <v>1530</v>
      </c>
      <c r="E79" s="371" t="e">
        <f>INDEX('PY1 Data(H)'!$A$1:$BV$265,MATCH('Unit Data from Audit Worksheet'!$A79,'PY1 Data(H)'!$A$1:$A$258,0),MATCH('Unit Data from Audit Worksheet'!$D$2,'PY1 Data(H)'!$A$1:$BV$1,0))</f>
        <v>#N/A</v>
      </c>
      <c r="F79" s="793">
        <v>0</v>
      </c>
      <c r="G79" s="401">
        <f>IF(F79&lt;0,"Error: Enter as positive.",)</f>
        <v>0</v>
      </c>
      <c r="H79" s="408"/>
      <c r="I79" s="17"/>
      <c r="J79" s="72"/>
      <c r="K79"/>
      <c r="L79" s="547"/>
    </row>
    <row r="80" spans="1:123" ht="25.5" customHeight="1" x14ac:dyDescent="0.3">
      <c r="A80" s="100"/>
      <c r="B80" s="489" t="s">
        <v>11</v>
      </c>
      <c r="C80" s="499"/>
      <c r="D80" s="469"/>
      <c r="E80" s="470"/>
      <c r="F80" s="470"/>
      <c r="G80" s="471"/>
      <c r="H80" s="17"/>
      <c r="I80" s="17"/>
      <c r="J80" s="72"/>
      <c r="K80"/>
      <c r="L80" s="547"/>
    </row>
    <row r="81" spans="1:12" ht="78" customHeight="1" x14ac:dyDescent="0.3">
      <c r="A81" s="100">
        <v>171</v>
      </c>
      <c r="B81" s="4" t="s">
        <v>293</v>
      </c>
      <c r="C81" s="4" t="s">
        <v>292</v>
      </c>
      <c r="D81" s="781" t="s">
        <v>703</v>
      </c>
      <c r="E81" s="371" t="e">
        <f>INDEX('PY1 Data(H)'!$A$1:$BV$265,MATCH('Unit Data from Audit Worksheet'!$A81,'PY1 Data(H)'!$A$1:$A$258,0),MATCH('Unit Data from Audit Worksheet'!$D$2,'PY1 Data(H)'!$A$1:$BV$1,0))</f>
        <v>#N/A</v>
      </c>
      <c r="F81" s="802">
        <v>0</v>
      </c>
      <c r="G81" s="401">
        <f>IF(F81&lt;0,"Error: Enter as positive.",)</f>
        <v>0</v>
      </c>
      <c r="H81" s="17"/>
      <c r="I81" s="17"/>
      <c r="J81" s="72"/>
      <c r="K81"/>
      <c r="L81" s="547"/>
    </row>
    <row r="82" spans="1:12" ht="18" customHeight="1" x14ac:dyDescent="0.3">
      <c r="A82" s="100"/>
      <c r="B82" s="490" t="s">
        <v>704</v>
      </c>
      <c r="C82" s="499"/>
      <c r="D82" s="467"/>
      <c r="E82" s="486"/>
      <c r="F82" s="485"/>
      <c r="G82" s="486"/>
      <c r="H82" s="17"/>
      <c r="I82" s="17"/>
      <c r="J82" s="72"/>
      <c r="K82"/>
      <c r="L82" s="547"/>
    </row>
    <row r="83" spans="1:12" ht="14.4" customHeight="1" x14ac:dyDescent="0.3">
      <c r="A83" s="100"/>
      <c r="B83" s="490" t="s">
        <v>24</v>
      </c>
      <c r="C83" s="499"/>
      <c r="D83" s="481"/>
      <c r="E83" s="488"/>
      <c r="F83" s="487"/>
      <c r="G83" s="488"/>
      <c r="H83" s="17"/>
      <c r="I83" s="17"/>
      <c r="J83" s="72"/>
      <c r="K83"/>
      <c r="L83" s="547"/>
    </row>
    <row r="84" spans="1:12" ht="14.4" customHeight="1" x14ac:dyDescent="0.3">
      <c r="A84" s="100"/>
      <c r="B84" s="490" t="s">
        <v>22</v>
      </c>
      <c r="C84" s="499"/>
      <c r="D84" s="481"/>
      <c r="E84" s="488"/>
      <c r="F84" s="487"/>
      <c r="G84" s="488"/>
      <c r="H84" s="409"/>
      <c r="I84" s="17"/>
      <c r="J84" s="72"/>
      <c r="K84"/>
      <c r="L84" s="547"/>
    </row>
    <row r="85" spans="1:12" ht="88.95" customHeight="1" x14ac:dyDescent="0.3">
      <c r="A85" s="100">
        <v>596</v>
      </c>
      <c r="B85" s="373" t="s">
        <v>56</v>
      </c>
      <c r="C85" s="277"/>
      <c r="D85" s="739" t="s">
        <v>1543</v>
      </c>
      <c r="E85" s="371" t="e">
        <f>INDEX('PY1 Data(H)'!$A$1:$BV$265,MATCH('Unit Data from Audit Worksheet'!$A85,'PY1 Data(H)'!$A$1:$A$258,0),MATCH('Unit Data from Audit Worksheet'!$D$2,'PY1 Data(H)'!$A$1:$BV$1,0))</f>
        <v>#N/A</v>
      </c>
      <c r="F85" s="181"/>
      <c r="G85" s="987" t="s">
        <v>1927</v>
      </c>
      <c r="H85" s="409"/>
      <c r="I85" s="17"/>
      <c r="J85" s="72"/>
      <c r="K85"/>
      <c r="L85" s="547"/>
    </row>
    <row r="86" spans="1:12" ht="85.95" customHeight="1" x14ac:dyDescent="0.3">
      <c r="A86" s="100">
        <v>80</v>
      </c>
      <c r="B86" s="948" t="s">
        <v>1891</v>
      </c>
      <c r="C86" s="4" t="s">
        <v>705</v>
      </c>
      <c r="D86" s="21" t="s">
        <v>706</v>
      </c>
      <c r="E86" s="371" t="e">
        <f>INDEX('PY1 Data(H)'!$A$1:$BV$265,MATCH('Unit Data from Audit Worksheet'!$A86,'PY1 Data(H)'!$A$1:$A$258,0),MATCH('Unit Data from Audit Worksheet'!$D$2,'PY1 Data(H)'!$A$1:$BV$1,0))</f>
        <v>#N/A</v>
      </c>
      <c r="F86" s="802">
        <v>0</v>
      </c>
      <c r="G86" s="780" t="e">
        <f>INDEX('PY1 Data(H)'!$A$1:$BV$277,MATCH('PY1 Data(H)'!$A263,'PY1 Data(H)'!$A$1:$A$277,0),MATCH('Unit Data from Audit Worksheet'!$D$2,'PY1 Data(H)'!$A$1:$BV$1,0))</f>
        <v>#N/A</v>
      </c>
      <c r="H86" s="410"/>
      <c r="I86" s="17"/>
      <c r="J86" s="72"/>
      <c r="K86"/>
      <c r="L86" s="547"/>
    </row>
    <row r="87" spans="1:12" ht="69" customHeight="1" x14ac:dyDescent="0.3">
      <c r="A87" s="100">
        <v>81</v>
      </c>
      <c r="B87" s="4" t="s">
        <v>61</v>
      </c>
      <c r="C87" s="4" t="s">
        <v>705</v>
      </c>
      <c r="D87" s="21" t="s">
        <v>707</v>
      </c>
      <c r="E87" s="371" t="e">
        <f>INDEX('PY1 Data(H)'!$A$1:$BV$265,MATCH('Unit Data from Audit Worksheet'!$A87,'PY1 Data(H)'!$A$1:$A$258,0),MATCH('Unit Data from Audit Worksheet'!$D$2,'PY1 Data(H)'!$A$1:$BV$1,0))</f>
        <v>#N/A</v>
      </c>
      <c r="F87" s="793">
        <v>0</v>
      </c>
      <c r="G87" s="407"/>
      <c r="H87" s="17"/>
      <c r="I87" s="17"/>
      <c r="J87" s="72"/>
      <c r="K87"/>
      <c r="L87" s="547"/>
    </row>
    <row r="88" spans="1:12" ht="84" customHeight="1" x14ac:dyDescent="0.3">
      <c r="A88" s="100">
        <v>579</v>
      </c>
      <c r="B88" s="949" t="s">
        <v>1903</v>
      </c>
      <c r="C88" s="373" t="s">
        <v>705</v>
      </c>
      <c r="D88" s="459" t="s">
        <v>708</v>
      </c>
      <c r="E88" s="371" t="e">
        <f>INDEX('PY1 Data(H)'!$A$1:$BV$265,MATCH('Unit Data from Audit Worksheet'!$A88,'PY1 Data(H)'!$A$1:$A$258,0),MATCH('Unit Data from Audit Worksheet'!$D$2,'PY1 Data(H)'!$A$1:$BV$1,0))</f>
        <v>#N/A</v>
      </c>
      <c r="F88" s="793">
        <v>0</v>
      </c>
      <c r="G88" s="401"/>
      <c r="H88" s="17"/>
      <c r="I88" s="402"/>
      <c r="J88" s="402"/>
      <c r="K88"/>
      <c r="L88" s="547"/>
    </row>
    <row r="89" spans="1:12" ht="78.599999999999994" customHeight="1" x14ac:dyDescent="0.3">
      <c r="A89" s="100">
        <v>510</v>
      </c>
      <c r="B89" s="948" t="s">
        <v>1891</v>
      </c>
      <c r="C89" s="4" t="s">
        <v>705</v>
      </c>
      <c r="D89" s="26" t="s">
        <v>287</v>
      </c>
      <c r="E89" s="371" t="e">
        <f>INDEX('PY1 Data(H)'!$A$1:$BV$265,MATCH('Unit Data from Audit Worksheet'!$A89,'PY1 Data(H)'!$A$1:$A$258,0),MATCH('Unit Data from Audit Worksheet'!$D$2,'PY1 Data(H)'!$A$1:$BV$1,0))</f>
        <v>#N/A</v>
      </c>
      <c r="F89" s="793">
        <v>0</v>
      </c>
      <c r="G89" s="407"/>
      <c r="H89" s="17"/>
      <c r="I89" s="524"/>
      <c r="J89" s="72"/>
      <c r="K89"/>
      <c r="L89" s="547"/>
    </row>
    <row r="90" spans="1:12" ht="68.25" customHeight="1" x14ac:dyDescent="0.3">
      <c r="A90" s="189">
        <v>654</v>
      </c>
      <c r="B90" s="952" t="s">
        <v>1902</v>
      </c>
      <c r="C90" s="460" t="s">
        <v>705</v>
      </c>
      <c r="D90" s="214" t="s">
        <v>709</v>
      </c>
      <c r="E90" s="371" t="e">
        <f>INDEX('PY1 Data(H)'!$A$1:$BV$265,MATCH('Unit Data from Audit Worksheet'!$A90,'PY1 Data(H)'!$A$1:$A$258,0),MATCH('Unit Data from Audit Worksheet'!$D$2,'PY1 Data(H)'!$A$1:$BV$1,0))</f>
        <v>#N/A</v>
      </c>
      <c r="F90" s="793">
        <v>0</v>
      </c>
      <c r="G90" s="401">
        <f>IF((F86+F87+F89)&gt;F90,"Error: Please review components of current assets above.  Account numbers (80+81+510)&gt;654",)</f>
        <v>0</v>
      </c>
      <c r="H90" s="17"/>
      <c r="I90" s="17"/>
      <c r="J90" s="72"/>
      <c r="K90"/>
      <c r="L90" s="547"/>
    </row>
    <row r="91" spans="1:12" ht="75.75" customHeight="1" x14ac:dyDescent="0.3">
      <c r="A91" s="189">
        <v>655</v>
      </c>
      <c r="B91" s="952" t="s">
        <v>1902</v>
      </c>
      <c r="C91" s="460" t="s">
        <v>705</v>
      </c>
      <c r="D91" s="191" t="s">
        <v>443</v>
      </c>
      <c r="E91" s="371" t="e">
        <f>INDEX('PY1 Data(H)'!$A$1:$BV$265,MATCH('Unit Data from Audit Worksheet'!$A91,'PY1 Data(H)'!$A$1:$A$258,0),MATCH('Unit Data from Audit Worksheet'!$D$2,'PY1 Data(H)'!$A$1:$BV$1,0))</f>
        <v>#N/A</v>
      </c>
      <c r="F91" s="793">
        <v>0</v>
      </c>
      <c r="G91" s="407"/>
      <c r="H91" s="17"/>
      <c r="I91" s="17"/>
      <c r="J91" s="72"/>
      <c r="K91"/>
      <c r="L91" s="547"/>
    </row>
    <row r="92" spans="1:12" ht="106.2" customHeight="1" x14ac:dyDescent="0.3">
      <c r="A92" s="100">
        <v>381</v>
      </c>
      <c r="B92" s="4" t="s">
        <v>36</v>
      </c>
      <c r="C92" s="4" t="s">
        <v>705</v>
      </c>
      <c r="D92" s="98" t="s">
        <v>122</v>
      </c>
      <c r="E92" s="371" t="e">
        <f>INDEX('PY1 Data(H)'!$A$1:$BV$265,MATCH('Unit Data from Audit Worksheet'!$A92,'PY1 Data(H)'!$A$1:$A$258,0),MATCH('Unit Data from Audit Worksheet'!$D$2,'PY1 Data(H)'!$A$1:$BV$1,0))</f>
        <v>#N/A</v>
      </c>
      <c r="F92" s="793">
        <v>0</v>
      </c>
      <c r="G92" s="401">
        <f>IF(F90&gt;F92,"Error: Please review components of current assets above. Account numbers 654&gt;381",)</f>
        <v>0</v>
      </c>
      <c r="H92" s="17"/>
      <c r="I92" s="17"/>
      <c r="J92" s="72"/>
      <c r="K92"/>
      <c r="L92" s="547"/>
    </row>
    <row r="93" spans="1:12" ht="63" customHeight="1" x14ac:dyDescent="0.3">
      <c r="A93" s="100">
        <v>578</v>
      </c>
      <c r="B93" s="948" t="s">
        <v>1903</v>
      </c>
      <c r="C93" s="373" t="s">
        <v>705</v>
      </c>
      <c r="D93" s="459" t="s">
        <v>710</v>
      </c>
      <c r="E93" s="371" t="e">
        <f>INDEX('PY1 Data(H)'!$A$1:$BV$265,MATCH('Unit Data from Audit Worksheet'!$A93,'PY1 Data(H)'!$A$1:$A$258,0),MATCH('Unit Data from Audit Worksheet'!$D$2,'PY1 Data(H)'!$A$1:$BV$1,0))</f>
        <v>#N/A</v>
      </c>
      <c r="F93" s="793">
        <v>0</v>
      </c>
      <c r="G93" s="401"/>
      <c r="H93" s="402"/>
      <c r="I93" s="402"/>
      <c r="J93" s="403"/>
      <c r="K93"/>
      <c r="L93" s="547"/>
    </row>
    <row r="94" spans="1:12" ht="113.4" customHeight="1" x14ac:dyDescent="0.3">
      <c r="A94" s="190">
        <v>633</v>
      </c>
      <c r="B94" s="952" t="s">
        <v>1894</v>
      </c>
      <c r="C94" s="460" t="s">
        <v>361</v>
      </c>
      <c r="D94" s="214" t="s">
        <v>776</v>
      </c>
      <c r="E94" s="371" t="e">
        <f>INDEX('PY1 Data(H)'!$A$1:$BV$265,MATCH('Unit Data from Audit Worksheet'!$A94,'PY1 Data(H)'!$A$1:$A$258,0),MATCH('Unit Data from Audit Worksheet'!$D$2,'PY1 Data(H)'!$A$1:$BV$1,0))</f>
        <v>#N/A</v>
      </c>
      <c r="F94" s="793">
        <v>0</v>
      </c>
      <c r="G94" s="725" t="str">
        <f>IF(F94&gt;=(F95+F96+F97+F98+F99+F100),"","Account 633 is less than the total sum of accounts 634 through 638 + 383")</f>
        <v/>
      </c>
      <c r="H94" s="412"/>
      <c r="I94" s="406"/>
      <c r="J94" s="761"/>
      <c r="K94"/>
      <c r="L94" s="547"/>
    </row>
    <row r="95" spans="1:12" ht="101.4" customHeight="1" x14ac:dyDescent="0.3">
      <c r="A95" s="189">
        <v>634</v>
      </c>
      <c r="B95" s="950" t="s">
        <v>1895</v>
      </c>
      <c r="C95" s="460" t="s">
        <v>361</v>
      </c>
      <c r="D95" s="214" t="s">
        <v>778</v>
      </c>
      <c r="E95" s="371" t="e">
        <f>INDEX('PY1 Data(H)'!$A$1:$BV$265,MATCH('Unit Data from Audit Worksheet'!$A95,'PY1 Data(H)'!$A$1:$A$258,0),MATCH('Unit Data from Audit Worksheet'!$D$2,'PY1 Data(H)'!$A$1:$BV$1,0))</f>
        <v>#N/A</v>
      </c>
      <c r="F95" s="793">
        <v>0</v>
      </c>
      <c r="G95" s="726">
        <f>IF(F95&gt;F94,"Please review account numbers 634&gt;633",)</f>
        <v>0</v>
      </c>
      <c r="H95" s="406"/>
      <c r="I95" s="406"/>
      <c r="J95" s="761"/>
      <c r="K95"/>
      <c r="L95" s="547"/>
    </row>
    <row r="96" spans="1:12" ht="107.4" customHeight="1" x14ac:dyDescent="0.3">
      <c r="A96" s="189">
        <v>635</v>
      </c>
      <c r="B96" s="950" t="s">
        <v>1895</v>
      </c>
      <c r="C96" s="460" t="s">
        <v>361</v>
      </c>
      <c r="D96" s="214" t="s">
        <v>777</v>
      </c>
      <c r="E96" s="371" t="e">
        <f>INDEX('PY1 Data(H)'!$A$1:$BV$265,MATCH('Unit Data from Audit Worksheet'!$A96,'PY1 Data(H)'!$A$1:$A$258,0),MATCH('Unit Data from Audit Worksheet'!$D$2,'PY1 Data(H)'!$A$1:$BV$1,0))</f>
        <v>#N/A</v>
      </c>
      <c r="F96" s="793">
        <v>0</v>
      </c>
      <c r="G96" s="726">
        <f>IF(F96&gt;F94,"Please review account numbers 635&gt;633",)</f>
        <v>0</v>
      </c>
      <c r="H96" s="406"/>
      <c r="I96" s="406"/>
      <c r="J96" s="761"/>
      <c r="K96"/>
      <c r="L96" s="547"/>
    </row>
    <row r="97" spans="1:12" ht="106.5" customHeight="1" x14ac:dyDescent="0.3">
      <c r="A97" s="189">
        <v>636</v>
      </c>
      <c r="B97" s="950" t="s">
        <v>1895</v>
      </c>
      <c r="C97" s="460" t="s">
        <v>361</v>
      </c>
      <c r="D97" s="214" t="s">
        <v>782</v>
      </c>
      <c r="E97" s="371" t="e">
        <f>INDEX('PY1 Data(H)'!$A$1:$BV$265,MATCH('Unit Data from Audit Worksheet'!$A97,'PY1 Data(H)'!$A$1:$A$258,0),MATCH('Unit Data from Audit Worksheet'!$D$2,'PY1 Data(H)'!$A$1:$BV$1,0))</f>
        <v>#N/A</v>
      </c>
      <c r="F97" s="793">
        <v>0</v>
      </c>
      <c r="G97" s="726">
        <f>IF(F97&gt;F94,"Please review account numbers 636&gt;633",)</f>
        <v>0</v>
      </c>
      <c r="H97" s="406"/>
      <c r="I97" s="406"/>
      <c r="J97" s="761"/>
      <c r="K97"/>
      <c r="L97" s="547"/>
    </row>
    <row r="98" spans="1:12" ht="80.25" customHeight="1" x14ac:dyDescent="0.3">
      <c r="A98" s="189">
        <v>637</v>
      </c>
      <c r="B98" s="950" t="s">
        <v>1895</v>
      </c>
      <c r="C98" s="460" t="s">
        <v>361</v>
      </c>
      <c r="D98" s="214" t="s">
        <v>781</v>
      </c>
      <c r="E98" s="371" t="e">
        <f>INDEX('PY1 Data(H)'!$A$1:$BV$265,MATCH('Unit Data from Audit Worksheet'!$A98,'PY1 Data(H)'!$A$1:$A$258,0),MATCH('Unit Data from Audit Worksheet'!$D$2,'PY1 Data(H)'!$A$1:$BV$1,0))</f>
        <v>#N/A</v>
      </c>
      <c r="F98" s="793">
        <v>0</v>
      </c>
      <c r="G98" s="726">
        <f>IF(F98&gt;F94,"Please review account numbers 637&gt;633",)</f>
        <v>0</v>
      </c>
      <c r="H98" s="406"/>
      <c r="I98" s="406"/>
      <c r="J98" s="761"/>
      <c r="K98"/>
      <c r="L98" s="547"/>
    </row>
    <row r="99" spans="1:12" ht="106.2" customHeight="1" x14ac:dyDescent="0.3">
      <c r="A99" s="189">
        <v>638</v>
      </c>
      <c r="B99" s="950" t="s">
        <v>1895</v>
      </c>
      <c r="C99" s="460" t="s">
        <v>361</v>
      </c>
      <c r="D99" s="214" t="s">
        <v>780</v>
      </c>
      <c r="E99" s="371" t="e">
        <f>INDEX('PY1 Data(H)'!$A$1:$BV$265,MATCH('Unit Data from Audit Worksheet'!$A99,'PY1 Data(H)'!$A$1:$A$258,0),MATCH('Unit Data from Audit Worksheet'!$D$2,'PY1 Data(H)'!$A$1:$BV$1,0))</f>
        <v>#N/A</v>
      </c>
      <c r="F99" s="793">
        <v>0</v>
      </c>
      <c r="G99" s="726">
        <f>IF(F99&gt;F94,"Please review account numbers 638&gt;633",)</f>
        <v>0</v>
      </c>
      <c r="H99" s="406"/>
      <c r="I99" s="406"/>
      <c r="J99" s="761"/>
      <c r="K99"/>
      <c r="L99" s="547"/>
    </row>
    <row r="100" spans="1:12" ht="93.75" customHeight="1" x14ac:dyDescent="0.3">
      <c r="A100" s="100">
        <v>383</v>
      </c>
      <c r="B100" s="4" t="s">
        <v>61</v>
      </c>
      <c r="C100" s="4" t="s">
        <v>705</v>
      </c>
      <c r="D100" s="26" t="s">
        <v>779</v>
      </c>
      <c r="E100" s="371" t="e">
        <f>INDEX('PY1 Data(H)'!$A$1:$BV$265,MATCH('Unit Data from Audit Worksheet'!$A100,'PY1 Data(H)'!$A$1:$A$258,0),MATCH('Unit Data from Audit Worksheet'!$D$2,'PY1 Data(H)'!$A$1:$BV$1,0))</f>
        <v>#N/A</v>
      </c>
      <c r="F100" s="793">
        <v>0</v>
      </c>
      <c r="G100" s="727">
        <f>IF(F100&gt;F94,"Error: Please review account numbers 383&gt;633",)</f>
        <v>0</v>
      </c>
      <c r="H100" s="411"/>
      <c r="I100" s="17"/>
      <c r="J100" s="72"/>
      <c r="K100"/>
      <c r="L100" s="547"/>
    </row>
    <row r="101" spans="1:12" ht="61.5" customHeight="1" x14ac:dyDescent="0.3">
      <c r="A101" s="100">
        <v>349</v>
      </c>
      <c r="B101" s="4" t="s">
        <v>61</v>
      </c>
      <c r="C101" s="4" t="s">
        <v>705</v>
      </c>
      <c r="D101" s="99" t="s">
        <v>145</v>
      </c>
      <c r="E101" s="371" t="e">
        <f>INDEX('PY1 Data(H)'!$A$1:$BV$265,MATCH('Unit Data from Audit Worksheet'!$A101,'PY1 Data(H)'!$A$1:$A$258,0),MATCH('Unit Data from Audit Worksheet'!$D$2,'PY1 Data(H)'!$A$1:$BV$1,0))</f>
        <v>#N/A</v>
      </c>
      <c r="F101" s="793">
        <v>0</v>
      </c>
      <c r="G101" s="401" t="str">
        <f>IF(F94&gt;F101,"Error: Please review accts 633&gt;349","")</f>
        <v/>
      </c>
      <c r="H101" s="17"/>
      <c r="I101" s="17"/>
      <c r="J101" s="72"/>
      <c r="K101"/>
      <c r="L101" s="547"/>
    </row>
    <row r="102" spans="1:12" ht="72" customHeight="1" x14ac:dyDescent="0.3">
      <c r="A102" s="100">
        <v>375</v>
      </c>
      <c r="B102" s="4" t="s">
        <v>61</v>
      </c>
      <c r="C102" s="4" t="s">
        <v>705</v>
      </c>
      <c r="D102" s="383" t="s">
        <v>711</v>
      </c>
      <c r="E102" s="371" t="e">
        <f>INDEX('PY1 Data(H)'!$A$1:$BV$265,MATCH('Unit Data from Audit Worksheet'!$A102,'PY1 Data(H)'!$A$1:$A$258,0),MATCH('Unit Data from Audit Worksheet'!$D$2,'PY1 Data(H)'!$A$1:$BV$1,0))</f>
        <v>#N/A</v>
      </c>
      <c r="F102" s="793">
        <v>0</v>
      </c>
      <c r="G102" s="407"/>
      <c r="H102" s="17"/>
      <c r="I102" s="17"/>
      <c r="J102" s="72"/>
      <c r="K102"/>
      <c r="L102" s="547"/>
    </row>
    <row r="103" spans="1:12" ht="138" customHeight="1" x14ac:dyDescent="0.3">
      <c r="A103" s="100">
        <v>83</v>
      </c>
      <c r="B103" s="4" t="s">
        <v>60</v>
      </c>
      <c r="C103" s="4" t="s">
        <v>705</v>
      </c>
      <c r="D103" s="99" t="s">
        <v>146</v>
      </c>
      <c r="E103" s="371" t="e">
        <f>INDEX('PY1 Data(H)'!$A$1:$BV$265,MATCH('Unit Data from Audit Worksheet'!$A103,'PY1 Data(H)'!$A$1:$A$258,0),MATCH('Unit Data from Audit Worksheet'!$D$2,'PY1 Data(H)'!$A$1:$BV$1,0))</f>
        <v>#N/A</v>
      </c>
      <c r="F103" s="793">
        <v>0</v>
      </c>
      <c r="G103" s="401">
        <f>IF(F92-F101-F103=0,,"Error: Total assets less total liabilities do not equal total net assets.  Account numbers 381-349-83=0  The amount of the formula is in the cell to the right")</f>
        <v>0</v>
      </c>
      <c r="H103" s="404">
        <f>F92-F101-F103</f>
        <v>0</v>
      </c>
      <c r="I103" s="17"/>
      <c r="J103" s="72"/>
      <c r="K103"/>
      <c r="L103" s="547"/>
    </row>
    <row r="104" spans="1:12" ht="40.5" customHeight="1" x14ac:dyDescent="0.3">
      <c r="A104" s="100"/>
      <c r="B104" s="489" t="s">
        <v>147</v>
      </c>
      <c r="C104" s="499"/>
      <c r="D104" s="467"/>
      <c r="E104" s="485"/>
      <c r="F104" s="485"/>
      <c r="G104" s="486"/>
      <c r="H104" s="409"/>
      <c r="I104" s="17"/>
      <c r="J104" s="72"/>
      <c r="K104"/>
      <c r="L104" s="547"/>
    </row>
    <row r="105" spans="1:12" ht="59.25" customHeight="1" x14ac:dyDescent="0.3">
      <c r="A105" s="100">
        <v>90</v>
      </c>
      <c r="B105" s="948" t="s">
        <v>1898</v>
      </c>
      <c r="C105" s="4" t="s">
        <v>712</v>
      </c>
      <c r="D105" s="21" t="s">
        <v>713</v>
      </c>
      <c r="E105" s="371" t="e">
        <f>INDEX('PY1 Data(H)'!$A$1:$BV$265,MATCH('Unit Data from Audit Worksheet'!$A105,'PY1 Data(H)'!$A$1:$A$258,0),MATCH('Unit Data from Audit Worksheet'!$D$2,'PY1 Data(H)'!$A$1:$BV$1,0))</f>
        <v>#N/A</v>
      </c>
      <c r="F105" s="793">
        <v>0</v>
      </c>
      <c r="G105" s="401">
        <f>IF(F105&lt;0,"Note: Number is normally positive.",)</f>
        <v>0</v>
      </c>
      <c r="H105" s="404"/>
      <c r="I105" s="17"/>
      <c r="J105" s="72"/>
      <c r="K105"/>
      <c r="L105" s="547"/>
    </row>
    <row r="106" spans="1:12" ht="75" customHeight="1" x14ac:dyDescent="0.3">
      <c r="A106" s="100">
        <v>91</v>
      </c>
      <c r="B106" s="4" t="s">
        <v>57</v>
      </c>
      <c r="C106" s="4" t="s">
        <v>712</v>
      </c>
      <c r="D106" s="21" t="s">
        <v>714</v>
      </c>
      <c r="E106" s="371" t="e">
        <f>INDEX('PY1 Data(H)'!$A$1:$BV$265,MATCH('Unit Data from Audit Worksheet'!$A106,'PY1 Data(H)'!$A$1:$A$258,0),MATCH('Unit Data from Audit Worksheet'!$D$2,'PY1 Data(H)'!$A$1:$BV$1,0))</f>
        <v>#N/A</v>
      </c>
      <c r="F106" s="793">
        <v>0</v>
      </c>
      <c r="G106" s="401">
        <f>IF(F106&lt;0,"Note: Number is normally positive.",)</f>
        <v>0</v>
      </c>
      <c r="H106" s="402"/>
      <c r="I106" s="17"/>
      <c r="J106" s="72"/>
      <c r="K106"/>
      <c r="L106" s="547"/>
    </row>
    <row r="107" spans="1:12" ht="66.75" customHeight="1" x14ac:dyDescent="0.3">
      <c r="A107" s="100">
        <v>581</v>
      </c>
      <c r="B107" s="948" t="s">
        <v>1893</v>
      </c>
      <c r="C107" s="373" t="s">
        <v>712</v>
      </c>
      <c r="D107" s="459" t="s">
        <v>715</v>
      </c>
      <c r="E107" s="371" t="e">
        <f>INDEX('PY1 Data(H)'!$A$1:$BV$265,MATCH('Unit Data from Audit Worksheet'!$A107,'PY1 Data(H)'!$A$1:$A$258,0),MATCH('Unit Data from Audit Worksheet'!$D$2,'PY1 Data(H)'!$A$1:$BV$1,0))</f>
        <v>#N/A</v>
      </c>
      <c r="F107" s="793">
        <v>0</v>
      </c>
      <c r="G107" s="401"/>
      <c r="H107" s="402"/>
      <c r="I107" s="17"/>
      <c r="J107" s="72"/>
      <c r="K107"/>
      <c r="L107" s="547"/>
    </row>
    <row r="108" spans="1:12" ht="67.5" customHeight="1" x14ac:dyDescent="0.3">
      <c r="A108" s="100">
        <v>511</v>
      </c>
      <c r="B108" s="948" t="s">
        <v>1893</v>
      </c>
      <c r="C108" s="4" t="s">
        <v>712</v>
      </c>
      <c r="D108" s="22" t="s">
        <v>148</v>
      </c>
      <c r="E108" s="371" t="e">
        <f>INDEX('PY1 Data(H)'!$A$1:$BV$265,MATCH('Unit Data from Audit Worksheet'!$A108,'PY1 Data(H)'!$A$1:$A$258,0),MATCH('Unit Data from Audit Worksheet'!$D$2,'PY1 Data(H)'!$A$1:$BV$1,0))</f>
        <v>#N/A</v>
      </c>
      <c r="F108" s="793">
        <v>0</v>
      </c>
      <c r="G108" s="401">
        <f>IF(F108&lt;0,"Note: Number is normally positive.",)</f>
        <v>0</v>
      </c>
      <c r="H108" s="402"/>
      <c r="I108" s="17"/>
      <c r="J108" s="72"/>
      <c r="K108"/>
      <c r="L108" s="547"/>
    </row>
    <row r="109" spans="1:12" ht="72" customHeight="1" x14ac:dyDescent="0.3">
      <c r="A109" s="189">
        <v>657</v>
      </c>
      <c r="B109" s="948" t="s">
        <v>1893</v>
      </c>
      <c r="C109" s="460" t="s">
        <v>712</v>
      </c>
      <c r="D109" s="214" t="s">
        <v>716</v>
      </c>
      <c r="E109" s="371" t="e">
        <f>INDEX('PY1 Data(H)'!$A$1:$BV$265,MATCH('Unit Data from Audit Worksheet'!$A109,'PY1 Data(H)'!$A$1:$A$258,0),MATCH('Unit Data from Audit Worksheet'!$D$2,'PY1 Data(H)'!$A$1:$BV$1,0))</f>
        <v>#N/A</v>
      </c>
      <c r="F109" s="793">
        <v>0</v>
      </c>
      <c r="G109" s="727">
        <f>IF((F105+F106+F108)&gt;F109,"Error: Please review components of current assets above.  Account numbers (90+91+511)&gt;657",)</f>
        <v>0</v>
      </c>
      <c r="H109" s="402"/>
      <c r="I109" s="17"/>
      <c r="J109" s="72"/>
      <c r="K109"/>
      <c r="L109" s="547"/>
    </row>
    <row r="110" spans="1:12" ht="70.5" customHeight="1" x14ac:dyDescent="0.3">
      <c r="A110" s="189">
        <v>658</v>
      </c>
      <c r="B110" s="948" t="s">
        <v>1893</v>
      </c>
      <c r="C110" s="460" t="s">
        <v>712</v>
      </c>
      <c r="D110" s="191" t="s">
        <v>444</v>
      </c>
      <c r="E110" s="371" t="e">
        <f>INDEX('PY1 Data(H)'!$A$1:$BV$265,MATCH('Unit Data from Audit Worksheet'!$A110,'PY1 Data(H)'!$A$1:$A$258,0),MATCH('Unit Data from Audit Worksheet'!$D$2,'PY1 Data(H)'!$A$1:$BV$1,0))</f>
        <v>#N/A</v>
      </c>
      <c r="F110" s="793">
        <v>0</v>
      </c>
      <c r="G110" s="401"/>
      <c r="H110" s="402"/>
      <c r="I110" s="17"/>
      <c r="J110" s="72"/>
      <c r="K110"/>
      <c r="L110" s="547"/>
    </row>
    <row r="111" spans="1:12" ht="73.8" customHeight="1" x14ac:dyDescent="0.3">
      <c r="A111" s="100">
        <v>382</v>
      </c>
      <c r="B111" s="4" t="s">
        <v>59</v>
      </c>
      <c r="C111" s="4" t="s">
        <v>712</v>
      </c>
      <c r="D111" s="98" t="s">
        <v>122</v>
      </c>
      <c r="E111" s="371" t="e">
        <f>INDEX('PY1 Data(H)'!$A$1:$BV$265,MATCH('Unit Data from Audit Worksheet'!$A111,'PY1 Data(H)'!$A$1:$A$258,0),MATCH('Unit Data from Audit Worksheet'!$D$2,'PY1 Data(H)'!$A$1:$BV$1,0))</f>
        <v>#N/A</v>
      </c>
      <c r="F111" s="793">
        <v>0</v>
      </c>
      <c r="G111" s="727">
        <f>IF(F109&gt;F111,"Error: Please review components of current assets above. Account numbers 657&gt;382",)</f>
        <v>0</v>
      </c>
      <c r="H111" s="402"/>
      <c r="I111" s="17"/>
      <c r="J111" s="72"/>
      <c r="K111"/>
      <c r="L111" s="547"/>
    </row>
    <row r="112" spans="1:12" ht="57.75" customHeight="1" x14ac:dyDescent="0.3">
      <c r="A112" s="100">
        <v>360</v>
      </c>
      <c r="B112" s="4" t="s">
        <v>55</v>
      </c>
      <c r="C112" s="4" t="s">
        <v>712</v>
      </c>
      <c r="D112" s="99" t="s">
        <v>149</v>
      </c>
      <c r="E112" s="371" t="e">
        <f>INDEX('PY1 Data(H)'!$A$1:$BV$265,MATCH('Unit Data from Audit Worksheet'!$A112,'PY1 Data(H)'!$A$1:$A$258,0),MATCH('Unit Data from Audit Worksheet'!$D$2,'PY1 Data(H)'!$A$1:$BV$1,0))</f>
        <v>#N/A</v>
      </c>
      <c r="F112" s="793">
        <v>0</v>
      </c>
      <c r="G112" s="725"/>
      <c r="H112" s="402"/>
      <c r="I112" s="17"/>
      <c r="J112" s="72"/>
      <c r="K112"/>
      <c r="L112" s="547"/>
    </row>
    <row r="113" spans="1:123" ht="62.25" customHeight="1" x14ac:dyDescent="0.3">
      <c r="A113" s="100">
        <v>580</v>
      </c>
      <c r="B113" s="948" t="s">
        <v>1893</v>
      </c>
      <c r="C113" s="373" t="s">
        <v>712</v>
      </c>
      <c r="D113" s="459" t="s">
        <v>717</v>
      </c>
      <c r="E113" s="371" t="e">
        <f>INDEX('PY1 Data(H)'!$A$1:$BV$265,MATCH('Unit Data from Audit Worksheet'!$A113,'PY1 Data(H)'!$A$1:$A$258,0),MATCH('Unit Data from Audit Worksheet'!$D$2,'PY1 Data(H)'!$A$1:$BV$1,0))</f>
        <v>#N/A</v>
      </c>
      <c r="F113" s="793">
        <v>0</v>
      </c>
      <c r="G113" s="725"/>
      <c r="H113" s="402"/>
      <c r="I113" s="17"/>
      <c r="J113" s="72"/>
      <c r="K113"/>
      <c r="L113" s="547"/>
    </row>
    <row r="114" spans="1:123" ht="114" customHeight="1" x14ac:dyDescent="0.3">
      <c r="A114" s="190">
        <v>639</v>
      </c>
      <c r="B114" s="952" t="s">
        <v>1894</v>
      </c>
      <c r="C114" s="460" t="s">
        <v>712</v>
      </c>
      <c r="D114" s="214" t="s">
        <v>783</v>
      </c>
      <c r="E114" s="371" t="e">
        <f>INDEX('PY1 Data(H)'!$A$1:$BV$265,MATCH('Unit Data from Audit Worksheet'!$A114,'PY1 Data(H)'!$A$1:$A$258,0),MATCH('Unit Data from Audit Worksheet'!$D$2,'PY1 Data(H)'!$A$1:$BV$1,0))</f>
        <v>#N/A</v>
      </c>
      <c r="F114" s="793">
        <v>0</v>
      </c>
      <c r="G114" s="725" t="str">
        <f>IF(F114&gt;=(F115+F116+F117+F118+F119+F120),"","Account 639 is less than the total sum of accounts 640 through 644 + 384")</f>
        <v/>
      </c>
      <c r="H114" s="412"/>
      <c r="I114" s="406"/>
      <c r="J114" s="761"/>
      <c r="K114"/>
      <c r="L114" s="547"/>
    </row>
    <row r="115" spans="1:123" ht="111.6" customHeight="1" x14ac:dyDescent="0.3">
      <c r="A115" s="189">
        <v>640</v>
      </c>
      <c r="B115" s="950" t="s">
        <v>1895</v>
      </c>
      <c r="C115" s="460" t="s">
        <v>712</v>
      </c>
      <c r="D115" s="214" t="s">
        <v>784</v>
      </c>
      <c r="E115" s="371" t="e">
        <f>INDEX('PY1 Data(H)'!$A$1:$BV$265,MATCH('Unit Data from Audit Worksheet'!$A115,'PY1 Data(H)'!$A$1:$A$258,0),MATCH('Unit Data from Audit Worksheet'!$D$2,'PY1 Data(H)'!$A$1:$BV$1,0))</f>
        <v>#N/A</v>
      </c>
      <c r="F115" s="793">
        <v>0</v>
      </c>
      <c r="G115" s="727">
        <f>IF(F115&gt;F114,"Error: Please review components of current liabilities above. Account numbers 640&gt;639",)</f>
        <v>0</v>
      </c>
      <c r="H115" s="406"/>
      <c r="I115" s="412"/>
      <c r="J115" s="762"/>
      <c r="K115"/>
      <c r="L115" s="547"/>
    </row>
    <row r="116" spans="1:123" ht="121.2" customHeight="1" x14ac:dyDescent="0.3">
      <c r="A116" s="189">
        <v>641</v>
      </c>
      <c r="B116" s="950" t="s">
        <v>1895</v>
      </c>
      <c r="C116" s="460" t="s">
        <v>712</v>
      </c>
      <c r="D116" s="214" t="s">
        <v>785</v>
      </c>
      <c r="E116" s="371" t="e">
        <f>INDEX('PY1 Data(H)'!$A$1:$BV$265,MATCH('Unit Data from Audit Worksheet'!$A116,'PY1 Data(H)'!$A$1:$A$258,0),MATCH('Unit Data from Audit Worksheet'!$D$2,'PY1 Data(H)'!$A$1:$BV$1,0))</f>
        <v>#N/A</v>
      </c>
      <c r="F116" s="793">
        <v>0</v>
      </c>
      <c r="G116" s="727">
        <f>IF(F116&gt;F114,"Error: Please review components of current liabilities above. Account numbers 641&gt;639",)</f>
        <v>0</v>
      </c>
      <c r="H116" s="406"/>
      <c r="I116" s="406"/>
      <c r="J116" s="761"/>
      <c r="K116"/>
      <c r="L116" s="547"/>
    </row>
    <row r="117" spans="1:123" ht="110.4" customHeight="1" x14ac:dyDescent="0.3">
      <c r="A117" s="189">
        <v>642</v>
      </c>
      <c r="B117" s="950" t="s">
        <v>1895</v>
      </c>
      <c r="C117" s="460" t="s">
        <v>712</v>
      </c>
      <c r="D117" s="214" t="s">
        <v>786</v>
      </c>
      <c r="E117" s="371" t="e">
        <f>INDEX('PY1 Data(H)'!$A$1:$BV$265,MATCH('Unit Data from Audit Worksheet'!$A117,'PY1 Data(H)'!$A$1:$A$258,0),MATCH('Unit Data from Audit Worksheet'!$D$2,'PY1 Data(H)'!$A$1:$BV$1,0))</f>
        <v>#N/A</v>
      </c>
      <c r="F117" s="793">
        <v>0</v>
      </c>
      <c r="G117" s="727">
        <f>IF(F117&gt;F114,"Error: Please review components of current liabilities above. Account numbers  642&gt;639",)</f>
        <v>0</v>
      </c>
      <c r="H117" s="406"/>
      <c r="I117" s="406"/>
      <c r="J117" s="761"/>
      <c r="K117"/>
      <c r="L117" s="547"/>
    </row>
    <row r="118" spans="1:123" ht="79.95" customHeight="1" x14ac:dyDescent="0.3">
      <c r="A118" s="189">
        <v>643</v>
      </c>
      <c r="B118" s="950" t="s">
        <v>1895</v>
      </c>
      <c r="C118" s="460" t="s">
        <v>712</v>
      </c>
      <c r="D118" s="214" t="s">
        <v>787</v>
      </c>
      <c r="E118" s="371" t="e">
        <f>INDEX('PY1 Data(H)'!$A$1:$BV$265,MATCH('Unit Data from Audit Worksheet'!$A118,'PY1 Data(H)'!$A$1:$A$258,0),MATCH('Unit Data from Audit Worksheet'!$D$2,'PY1 Data(H)'!$A$1:$BV$1,0))</f>
        <v>#N/A</v>
      </c>
      <c r="F118" s="793">
        <v>0</v>
      </c>
      <c r="G118" s="727">
        <f>IF(F118&gt;F114,"Error: Please review components of current liabilities above. Account numbers 643&gt;639",)</f>
        <v>0</v>
      </c>
      <c r="H118" s="406"/>
      <c r="I118" s="406"/>
      <c r="J118" s="761"/>
      <c r="K118"/>
      <c r="L118" s="547"/>
    </row>
    <row r="119" spans="1:123" ht="105" customHeight="1" x14ac:dyDescent="0.3">
      <c r="A119" s="189">
        <v>644</v>
      </c>
      <c r="B119" s="950" t="s">
        <v>1895</v>
      </c>
      <c r="C119" s="460" t="s">
        <v>712</v>
      </c>
      <c r="D119" s="214" t="s">
        <v>788</v>
      </c>
      <c r="E119" s="371" t="e">
        <f>INDEX('PY1 Data(H)'!$A$1:$BV$265,MATCH('Unit Data from Audit Worksheet'!$A119,'PY1 Data(H)'!$A$1:$A$258,0),MATCH('Unit Data from Audit Worksheet'!$D$2,'PY1 Data(H)'!$A$1:$BV$1,0))</f>
        <v>#N/A</v>
      </c>
      <c r="F119" s="793">
        <v>0</v>
      </c>
      <c r="G119" s="727">
        <f>IF(F119&gt;F114,"Error: Please review components of current liabilities above. Account number 644&gt;639",)</f>
        <v>0</v>
      </c>
      <c r="H119" s="406"/>
      <c r="I119" s="406"/>
      <c r="J119" s="761"/>
      <c r="K119"/>
      <c r="L119" s="547"/>
    </row>
    <row r="120" spans="1:123" ht="88.95" customHeight="1" x14ac:dyDescent="0.3">
      <c r="A120" s="100">
        <v>384</v>
      </c>
      <c r="B120" s="4" t="s">
        <v>62</v>
      </c>
      <c r="C120" s="4" t="s">
        <v>712</v>
      </c>
      <c r="D120" s="26" t="s">
        <v>789</v>
      </c>
      <c r="E120" s="371" t="e">
        <f>INDEX('PY1 Data(H)'!$A$1:$BV$265,MATCH('Unit Data from Audit Worksheet'!$A120,'PY1 Data(H)'!$A$1:$A$258,0),MATCH('Unit Data from Audit Worksheet'!$D$2,'PY1 Data(H)'!$A$1:$BV$1,0))</f>
        <v>#N/A</v>
      </c>
      <c r="F120" s="793">
        <v>0</v>
      </c>
      <c r="G120" s="727">
        <f>IF(F120&gt;F114,"Error: Please review components of current liabilities above. Account number 384&gt;639",)</f>
        <v>0</v>
      </c>
      <c r="H120" s="342"/>
      <c r="I120" s="17"/>
      <c r="J120" s="72"/>
      <c r="K120"/>
      <c r="L120" s="547"/>
    </row>
    <row r="121" spans="1:123" ht="92.4" customHeight="1" x14ac:dyDescent="0.3">
      <c r="A121" s="100">
        <v>361</v>
      </c>
      <c r="B121" s="4" t="s">
        <v>55</v>
      </c>
      <c r="C121" s="4" t="s">
        <v>712</v>
      </c>
      <c r="D121" s="383" t="s">
        <v>718</v>
      </c>
      <c r="E121" s="371" t="e">
        <f>INDEX('PY1 Data(H)'!$A$1:$BV$265,MATCH('Unit Data from Audit Worksheet'!$A121,'PY1 Data(H)'!$A$1:$A$258,0),MATCH('Unit Data from Audit Worksheet'!$D$2,'PY1 Data(H)'!$A$1:$BV$1,0))</f>
        <v>#N/A</v>
      </c>
      <c r="F121" s="793">
        <v>0</v>
      </c>
      <c r="G121" s="407"/>
      <c r="H121" s="402"/>
      <c r="I121" s="17"/>
      <c r="J121" s="72"/>
      <c r="K121"/>
      <c r="L121" s="547"/>
    </row>
    <row r="122" spans="1:123" ht="54" customHeight="1" x14ac:dyDescent="0.3">
      <c r="A122" s="100">
        <v>362</v>
      </c>
      <c r="B122" s="4" t="s">
        <v>55</v>
      </c>
      <c r="C122" s="4" t="s">
        <v>712</v>
      </c>
      <c r="D122" s="99" t="s">
        <v>150</v>
      </c>
      <c r="E122" s="371" t="e">
        <f>INDEX('PY1 Data(H)'!$A$1:$BV$265,MATCH('Unit Data from Audit Worksheet'!$A122,'PY1 Data(H)'!$A$1:$A$258,0),MATCH('Unit Data from Audit Worksheet'!$D$2,'PY1 Data(H)'!$A$1:$BV$1,0))</f>
        <v>#N/A</v>
      </c>
      <c r="F122" s="793">
        <v>0</v>
      </c>
      <c r="G122" s="401">
        <f>IF(H122=0,,"Error: Total assets less total liabilities do not equal total net position. Account numbers 382-360-362=0  The amount of the formula is in the cell to the right")</f>
        <v>0</v>
      </c>
      <c r="H122" s="404">
        <f>F111-F112-F122</f>
        <v>0</v>
      </c>
      <c r="I122" s="17"/>
      <c r="J122" s="72"/>
      <c r="K122"/>
      <c r="L122" s="547"/>
    </row>
    <row r="123" spans="1:123" ht="26.25" customHeight="1" x14ac:dyDescent="0.3">
      <c r="A123" s="100"/>
      <c r="B123" s="478" t="s">
        <v>174</v>
      </c>
      <c r="C123" s="479"/>
      <c r="D123" s="491"/>
      <c r="E123" s="477"/>
      <c r="F123" s="477"/>
      <c r="G123" s="477"/>
      <c r="H123" s="17"/>
      <c r="I123" s="17"/>
      <c r="J123" s="72"/>
      <c r="K123"/>
      <c r="L123" s="547"/>
    </row>
    <row r="124" spans="1:123" s="18" customFormat="1" ht="84.6" customHeight="1" x14ac:dyDescent="0.3">
      <c r="A124" s="100"/>
      <c r="B124" s="1059" t="s">
        <v>797</v>
      </c>
      <c r="C124" s="1059"/>
      <c r="D124" s="1059"/>
      <c r="E124" s="486"/>
      <c r="F124" s="486"/>
      <c r="G124" s="486"/>
      <c r="H124" s="17"/>
      <c r="I124" s="17"/>
      <c r="J124" s="72"/>
      <c r="K124"/>
      <c r="L124" s="547"/>
      <c r="M124"/>
      <c r="O124" s="186"/>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row>
    <row r="125" spans="1:123" ht="87" customHeight="1" x14ac:dyDescent="0.3">
      <c r="A125" s="100">
        <v>88</v>
      </c>
      <c r="B125" s="4" t="s">
        <v>60</v>
      </c>
      <c r="C125" s="4" t="s">
        <v>719</v>
      </c>
      <c r="D125" s="21" t="s">
        <v>720</v>
      </c>
      <c r="E125" s="371" t="e">
        <f>INDEX('PY1 Data(H)'!$A$1:$BV$265,MATCH('Unit Data from Audit Worksheet'!$A125,'PY1 Data(H)'!$A$1:$A$258,0),MATCH('Unit Data from Audit Worksheet'!$D$2,'PY1 Data(H)'!$A$1:$BV$1,0))</f>
        <v>#N/A</v>
      </c>
      <c r="F125" s="793">
        <v>0</v>
      </c>
      <c r="G125" s="407"/>
      <c r="H125" s="17"/>
      <c r="I125" s="17"/>
      <c r="J125" s="72"/>
      <c r="K125"/>
      <c r="L125" s="547"/>
    </row>
    <row r="126" spans="1:123" ht="81" customHeight="1" x14ac:dyDescent="0.3">
      <c r="A126" s="100">
        <v>84</v>
      </c>
      <c r="B126" s="948" t="s">
        <v>1891</v>
      </c>
      <c r="C126" s="4" t="s">
        <v>719</v>
      </c>
      <c r="D126" s="26" t="s">
        <v>151</v>
      </c>
      <c r="E126" s="371" t="e">
        <f>INDEX('PY1 Data(H)'!$A$1:$BV$265,MATCH('Unit Data from Audit Worksheet'!$A126,'PY1 Data(H)'!$A$1:$A$258,0),MATCH('Unit Data from Audit Worksheet'!$D$2,'PY1 Data(H)'!$A$1:$BV$1,0))</f>
        <v>#N/A</v>
      </c>
      <c r="F126" s="793">
        <v>0</v>
      </c>
      <c r="G126" s="401">
        <f>IF(F126&gt;=F125,,"Error: Charges for services exceed total operating revenues. Account numbers 88&gt;84")</f>
        <v>0</v>
      </c>
      <c r="H126" s="17"/>
      <c r="I126" s="17"/>
      <c r="J126" s="72"/>
      <c r="K126"/>
      <c r="L126" s="547"/>
    </row>
    <row r="127" spans="1:123" ht="78" customHeight="1" x14ac:dyDescent="0.3">
      <c r="A127" s="100">
        <v>49</v>
      </c>
      <c r="B127" s="948" t="s">
        <v>1891</v>
      </c>
      <c r="C127" s="4" t="s">
        <v>719</v>
      </c>
      <c r="D127" s="26" t="s">
        <v>152</v>
      </c>
      <c r="E127" s="371" t="e">
        <f>INDEX('PY1 Data(H)'!$A$1:$BV$265,MATCH('Unit Data from Audit Worksheet'!$A127,'PY1 Data(H)'!$A$1:$A$258,0),MATCH('Unit Data from Audit Worksheet'!$D$2,'PY1 Data(H)'!$A$1:$BV$1,0))</f>
        <v>#N/A</v>
      </c>
      <c r="F127" s="793">
        <v>0</v>
      </c>
      <c r="G127" s="401">
        <f>IF(F127&lt;0,"Error: Enter as positive.",)</f>
        <v>0</v>
      </c>
      <c r="H127" s="17"/>
      <c r="I127" s="17"/>
      <c r="J127" s="72"/>
      <c r="K127"/>
      <c r="L127" s="547"/>
    </row>
    <row r="128" spans="1:123" ht="87.6" customHeight="1" x14ac:dyDescent="0.3">
      <c r="A128" s="100">
        <v>85</v>
      </c>
      <c r="B128" s="948" t="s">
        <v>1891</v>
      </c>
      <c r="C128" s="4" t="s">
        <v>719</v>
      </c>
      <c r="D128" s="26" t="s">
        <v>153</v>
      </c>
      <c r="E128" s="371" t="e">
        <f>INDEX('PY1 Data(H)'!$A$1:$BV$265,MATCH('Unit Data from Audit Worksheet'!$A128,'PY1 Data(H)'!$A$1:$A$258,0),MATCH('Unit Data from Audit Worksheet'!$D$2,'PY1 Data(H)'!$A$1:$BV$1,0))</f>
        <v>#N/A</v>
      </c>
      <c r="F128" s="793">
        <v>0</v>
      </c>
      <c r="G128" s="401">
        <f>IF(F128&lt;0,"Error: Enter as positive.",)</f>
        <v>0</v>
      </c>
      <c r="H128" s="17"/>
      <c r="I128" s="17"/>
      <c r="J128" s="72"/>
      <c r="K128"/>
      <c r="L128" s="547"/>
    </row>
    <row r="129" spans="1:123" ht="75.599999999999994" customHeight="1" x14ac:dyDescent="0.3">
      <c r="A129" s="100">
        <v>89</v>
      </c>
      <c r="B129" s="948" t="s">
        <v>1891</v>
      </c>
      <c r="C129" s="4" t="s">
        <v>719</v>
      </c>
      <c r="D129" s="26" t="s">
        <v>154</v>
      </c>
      <c r="E129" s="371" t="e">
        <f>INDEX('PY1 Data(H)'!$A$1:$BV$265,MATCH('Unit Data from Audit Worksheet'!$A129,'PY1 Data(H)'!$A$1:$A$258,0),MATCH('Unit Data from Audit Worksheet'!$D$2,'PY1 Data(H)'!$A$1:$BV$1,0))</f>
        <v>#N/A</v>
      </c>
      <c r="F129" s="793">
        <v>0</v>
      </c>
      <c r="G129" s="401">
        <f>IF(F129&lt;0,"Error: Enter as positive.",)</f>
        <v>0</v>
      </c>
      <c r="H129" s="402"/>
      <c r="I129" s="17"/>
      <c r="J129" s="72"/>
      <c r="K129"/>
      <c r="L129" s="547"/>
    </row>
    <row r="130" spans="1:123" ht="79.2" customHeight="1" x14ac:dyDescent="0.3">
      <c r="A130" s="100">
        <v>350</v>
      </c>
      <c r="B130" s="4" t="s">
        <v>55</v>
      </c>
      <c r="C130" s="4" t="s">
        <v>719</v>
      </c>
      <c r="D130" s="21" t="s">
        <v>721</v>
      </c>
      <c r="E130" s="371" t="e">
        <f>INDEX('PY1 Data(H)'!$A$1:$BV$265,MATCH('Unit Data from Audit Worksheet'!$A130,'PY1 Data(H)'!$A$1:$A$258,0),MATCH('Unit Data from Audit Worksheet'!$D$2,'PY1 Data(H)'!$A$1:$BV$1,0))</f>
        <v>#N/A</v>
      </c>
      <c r="F130" s="793">
        <v>0</v>
      </c>
      <c r="G130" s="407"/>
      <c r="H130" s="402"/>
      <c r="I130" s="17"/>
      <c r="J130" s="72"/>
      <c r="K130"/>
      <c r="L130" s="547"/>
    </row>
    <row r="131" spans="1:123" ht="66" customHeight="1" x14ac:dyDescent="0.3">
      <c r="A131" s="100">
        <v>351</v>
      </c>
      <c r="B131" s="948" t="s">
        <v>1891</v>
      </c>
      <c r="C131" s="4" t="s">
        <v>719</v>
      </c>
      <c r="D131" s="21" t="s">
        <v>722</v>
      </c>
      <c r="E131" s="371" t="e">
        <f>INDEX('PY1 Data(H)'!$A$1:$BV$265,MATCH('Unit Data from Audit Worksheet'!$A131,'PY1 Data(H)'!$A$1:$A$258,0),MATCH('Unit Data from Audit Worksheet'!$D$2,'PY1 Data(H)'!$A$1:$BV$1,0))</f>
        <v>#N/A</v>
      </c>
      <c r="F131" s="793">
        <v>0</v>
      </c>
      <c r="G131" s="401">
        <f t="shared" ref="G131:G136" si="2">IF(F131&lt;0,"Error: Enter as positive.",)</f>
        <v>0</v>
      </c>
      <c r="H131" s="402"/>
      <c r="I131" s="17"/>
      <c r="J131" s="72"/>
      <c r="K131"/>
      <c r="L131" s="547"/>
    </row>
    <row r="132" spans="1:123" ht="93.75" customHeight="1" x14ac:dyDescent="0.3">
      <c r="A132" s="100">
        <v>191</v>
      </c>
      <c r="B132" s="4" t="s">
        <v>56</v>
      </c>
      <c r="C132" s="4" t="s">
        <v>719</v>
      </c>
      <c r="D132" s="21" t="s">
        <v>723</v>
      </c>
      <c r="E132" s="371" t="e">
        <f>INDEX('PY1 Data(H)'!$A$1:$BV$265,MATCH('Unit Data from Audit Worksheet'!$A132,'PY1 Data(H)'!$A$1:$A$258,0),MATCH('Unit Data from Audit Worksheet'!$D$2,'PY1 Data(H)'!$A$1:$BV$1,0))</f>
        <v>#N/A</v>
      </c>
      <c r="F132" s="793">
        <v>0</v>
      </c>
      <c r="G132" s="401">
        <f t="shared" si="2"/>
        <v>0</v>
      </c>
      <c r="H132" s="402"/>
      <c r="I132" s="17"/>
      <c r="J132" s="72"/>
      <c r="K132"/>
      <c r="L132" s="547"/>
    </row>
    <row r="133" spans="1:123" ht="81.599999999999994" customHeight="1" x14ac:dyDescent="0.3">
      <c r="A133" s="100">
        <v>1053</v>
      </c>
      <c r="B133" s="778" t="s">
        <v>578</v>
      </c>
      <c r="C133" s="778" t="s">
        <v>1439</v>
      </c>
      <c r="D133" s="779" t="s">
        <v>1477</v>
      </c>
      <c r="E133" s="371" t="e">
        <f>INDEX('PY1 Data(H)'!$A$1:$BV$265,MATCH('Unit Data from Audit Worksheet'!$A133,'PY1 Data(H)'!$A$1:$A$258,0),MATCH('Unit Data from Audit Worksheet'!$D$2,'PY1 Data(H)'!$A$1:$BV$1,0))</f>
        <v>#N/A</v>
      </c>
      <c r="F133" s="793">
        <v>0</v>
      </c>
      <c r="G133" s="401"/>
      <c r="H133" s="402"/>
      <c r="I133" s="17"/>
      <c r="J133" s="72"/>
      <c r="K133" s="180"/>
      <c r="L133" s="547"/>
      <c r="M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c r="BI133" s="180"/>
      <c r="BJ133" s="180"/>
      <c r="BK133" s="180"/>
      <c r="BL133" s="180"/>
      <c r="BM133" s="180"/>
      <c r="BN133" s="180"/>
      <c r="BO133" s="180"/>
      <c r="BP133" s="180"/>
      <c r="BQ133" s="180"/>
      <c r="BR133" s="180"/>
      <c r="BS133" s="180"/>
      <c r="BT133" s="180"/>
      <c r="BU133" s="180"/>
      <c r="BV133" s="180"/>
      <c r="BW133" s="180"/>
      <c r="BX133" s="180"/>
      <c r="BY133" s="180"/>
      <c r="BZ133" s="180"/>
      <c r="CA133" s="180"/>
      <c r="CB133" s="180"/>
      <c r="CC133" s="180"/>
      <c r="CD133" s="180"/>
      <c r="CE133" s="180"/>
      <c r="CF133" s="180"/>
      <c r="CG133" s="180"/>
      <c r="CH133" s="180"/>
      <c r="CI133" s="180"/>
      <c r="CJ133" s="180"/>
      <c r="CK133" s="180"/>
      <c r="CL133" s="180"/>
      <c r="CM133" s="180"/>
      <c r="CN133" s="180"/>
      <c r="CO133" s="180"/>
      <c r="CP133" s="180"/>
      <c r="CQ133" s="180"/>
      <c r="CR133" s="180"/>
      <c r="CS133" s="180"/>
      <c r="CT133" s="180"/>
      <c r="CU133" s="180"/>
      <c r="CV133" s="180"/>
      <c r="CW133" s="180"/>
      <c r="CX133" s="180"/>
      <c r="CY133" s="180"/>
      <c r="CZ133" s="180"/>
      <c r="DA133" s="180"/>
      <c r="DB133" s="180"/>
      <c r="DC133" s="180"/>
      <c r="DD133" s="180"/>
      <c r="DE133" s="180"/>
      <c r="DF133" s="180"/>
      <c r="DG133" s="180"/>
      <c r="DH133" s="180"/>
      <c r="DI133" s="180"/>
      <c r="DJ133" s="180"/>
      <c r="DK133" s="180"/>
      <c r="DL133" s="180"/>
      <c r="DM133" s="180"/>
      <c r="DN133" s="180"/>
      <c r="DO133" s="180"/>
      <c r="DP133" s="180"/>
      <c r="DQ133" s="180"/>
      <c r="DR133" s="180"/>
      <c r="DS133" s="180"/>
    </row>
    <row r="134" spans="1:123" ht="78.599999999999994" customHeight="1" x14ac:dyDescent="0.3">
      <c r="A134" s="100">
        <v>352</v>
      </c>
      <c r="B134" s="4" t="s">
        <v>67</v>
      </c>
      <c r="C134" s="4" t="s">
        <v>719</v>
      </c>
      <c r="D134" s="26" t="s">
        <v>647</v>
      </c>
      <c r="E134" s="371" t="e">
        <f>INDEX('PY1 Data(H)'!$A$1:$BV$265,MATCH('Unit Data from Audit Worksheet'!$A134,'PY1 Data(H)'!$A$1:$A$258,0),MATCH('Unit Data from Audit Worksheet'!$D$2,'PY1 Data(H)'!$A$1:$BV$1,0))</f>
        <v>#N/A</v>
      </c>
      <c r="F134" s="793">
        <v>0</v>
      </c>
      <c r="G134" s="401">
        <f t="shared" si="2"/>
        <v>0</v>
      </c>
      <c r="H134" s="18"/>
      <c r="I134" s="17"/>
      <c r="J134" s="17"/>
      <c r="K134"/>
      <c r="L134" s="547"/>
    </row>
    <row r="135" spans="1:123" ht="79.95" customHeight="1" x14ac:dyDescent="0.3">
      <c r="A135" s="100">
        <v>986</v>
      </c>
      <c r="B135" s="948" t="s">
        <v>1892</v>
      </c>
      <c r="C135" s="373" t="s">
        <v>719</v>
      </c>
      <c r="D135" s="26" t="s">
        <v>584</v>
      </c>
      <c r="E135" s="371" t="e">
        <f>INDEX('PY1 Data(H)'!$A$1:$BV$265,MATCH('Unit Data from Audit Worksheet'!$A135,'PY1 Data(H)'!$A$1:$A$258,0),MATCH('Unit Data from Audit Worksheet'!$D$2,'PY1 Data(H)'!$A$1:$BV$1,0))</f>
        <v>#N/A</v>
      </c>
      <c r="F135" s="793">
        <v>0</v>
      </c>
      <c r="G135" s="401">
        <f t="shared" si="2"/>
        <v>0</v>
      </c>
      <c r="H135" s="402"/>
      <c r="I135" s="17"/>
      <c r="J135" s="72"/>
      <c r="K135"/>
      <c r="L135" s="547"/>
    </row>
    <row r="136" spans="1:123" ht="79.2" customHeight="1" x14ac:dyDescent="0.3">
      <c r="A136" s="100">
        <v>353</v>
      </c>
      <c r="B136" s="4" t="s">
        <v>67</v>
      </c>
      <c r="C136" s="4" t="s">
        <v>719</v>
      </c>
      <c r="D136" s="26" t="s">
        <v>135</v>
      </c>
      <c r="E136" s="371" t="e">
        <f>INDEX('PY1 Data(H)'!$A$1:$BV$265,MATCH('Unit Data from Audit Worksheet'!$A136,'PY1 Data(H)'!$A$1:$A$258,0),MATCH('Unit Data from Audit Worksheet'!$D$2,'PY1 Data(H)'!$A$1:$BV$1,0))</f>
        <v>#N/A</v>
      </c>
      <c r="F136" s="793">
        <v>0</v>
      </c>
      <c r="G136" s="401">
        <f t="shared" si="2"/>
        <v>0</v>
      </c>
      <c r="H136" s="402"/>
      <c r="I136" s="17"/>
      <c r="J136" s="72"/>
      <c r="K136"/>
      <c r="L136" s="547"/>
    </row>
    <row r="137" spans="1:123" ht="138" customHeight="1" x14ac:dyDescent="0.3">
      <c r="A137" s="100">
        <v>50</v>
      </c>
      <c r="B137" s="4" t="s">
        <v>63</v>
      </c>
      <c r="C137" s="4" t="s">
        <v>719</v>
      </c>
      <c r="D137" s="383" t="s">
        <v>724</v>
      </c>
      <c r="E137" s="371" t="e">
        <f>INDEX('PY1 Data(H)'!$A$1:$BV$265,MATCH('Unit Data from Audit Worksheet'!$A137,'PY1 Data(H)'!$A$1:$A$258,0),MATCH('Unit Data from Audit Worksheet'!$D$2,'PY1 Data(H)'!$A$1:$BV$1,0))</f>
        <v>#N/A</v>
      </c>
      <c r="F137" s="793">
        <v>0</v>
      </c>
      <c r="G137" s="401">
        <f>IF(H137=0,,"Error: Total revenues less total expenses do not equal total change in net position. Account number 84-85+350-351+191+352-353-50=0  The amount of the formula is in the cell to the right")</f>
        <v>0</v>
      </c>
      <c r="H137" s="404">
        <f>F126-F128+F130-F131+F132+F134-F136-F137</f>
        <v>0</v>
      </c>
      <c r="I137" s="17"/>
      <c r="J137" s="72"/>
      <c r="K137"/>
      <c r="L137" s="547"/>
    </row>
    <row r="138" spans="1:123" ht="138" customHeight="1" x14ac:dyDescent="0.3">
      <c r="A138" s="100">
        <v>377</v>
      </c>
      <c r="B138" s="4" t="s">
        <v>67</v>
      </c>
      <c r="C138" s="4" t="s">
        <v>719</v>
      </c>
      <c r="D138" s="383" t="s">
        <v>725</v>
      </c>
      <c r="E138" s="371" t="e">
        <f>INDEX('PY1 Data(H)'!$A$1:$BV$265,MATCH('Unit Data from Audit Worksheet'!$A138,'PY1 Data(H)'!$A$1:$A$258,0),MATCH('Unit Data from Audit Worksheet'!$D$2,'PY1 Data(H)'!$A$1:$BV$1,0))</f>
        <v>#N/A</v>
      </c>
      <c r="F138" s="793">
        <v>0</v>
      </c>
      <c r="G138" s="754" t="e">
        <f>IF(F103-F137-F138=E103,,"Error: Beginning Balance does not agree with our records.  Acct #s (83-50-377)=prior year 83 The amount of the formula is in the cell to the right")</f>
        <v>#N/A</v>
      </c>
      <c r="H138" s="755" t="e">
        <f>+F103-F137-F138-E103</f>
        <v>#N/A</v>
      </c>
      <c r="I138" s="1008" t="e">
        <f>IF(H138=0," ","If the out of balance is because prior years data is not populated in cell E103, disregard the error message. Do not include prior year's ending balance in cell F138.")</f>
        <v>#N/A</v>
      </c>
      <c r="J138" s="763"/>
      <c r="K138"/>
      <c r="L138" s="547"/>
    </row>
    <row r="139" spans="1:123" ht="78.599999999999994" customHeight="1" x14ac:dyDescent="0.3">
      <c r="A139" s="100">
        <v>537</v>
      </c>
      <c r="B139" s="373" t="s">
        <v>58</v>
      </c>
      <c r="C139" s="373" t="s">
        <v>719</v>
      </c>
      <c r="D139" s="370" t="s">
        <v>1457</v>
      </c>
      <c r="E139" s="792" t="e">
        <f>INDEX('PY1 Data(H)'!$A$1:$BV$265,MATCH('Unit Data from Audit Worksheet'!$A139,'PY1 Data(H)'!$A$1:$A$258,0),MATCH('Unit Data from Audit Worksheet'!$D$2,'PY1 Data(H)'!$A$1:$BV$1,0))</f>
        <v>#N/A</v>
      </c>
      <c r="F139" s="184"/>
      <c r="G139" s="401"/>
      <c r="H139" s="402"/>
      <c r="I139" s="402"/>
      <c r="J139" s="403"/>
      <c r="K139"/>
      <c r="L139" s="547"/>
    </row>
    <row r="140" spans="1:123" ht="96.75" customHeight="1" x14ac:dyDescent="0.3">
      <c r="A140" s="100">
        <v>538</v>
      </c>
      <c r="B140" s="373" t="s">
        <v>58</v>
      </c>
      <c r="C140" s="373" t="s">
        <v>719</v>
      </c>
      <c r="D140" s="370" t="s">
        <v>1458</v>
      </c>
      <c r="E140" s="792" t="e">
        <f>INDEX('PY1 Data(H)'!$A$1:$BV$265,MATCH('Unit Data from Audit Worksheet'!$A140,'PY1 Data(H)'!$A$1:$A$258,0),MATCH('Unit Data from Audit Worksheet'!$D$2,'PY1 Data(H)'!$A$1:$BV$1,0))</f>
        <v>#N/A</v>
      </c>
      <c r="F140" s="184"/>
      <c r="G140" s="401"/>
      <c r="H140" s="402"/>
      <c r="I140" s="402"/>
      <c r="J140" s="403"/>
      <c r="K140"/>
      <c r="L140" s="547"/>
    </row>
    <row r="141" spans="1:123" ht="26.25" customHeight="1" x14ac:dyDescent="0.3">
      <c r="A141" s="100"/>
      <c r="B141" s="704" t="s">
        <v>6</v>
      </c>
      <c r="C141" s="499"/>
      <c r="D141" s="467"/>
      <c r="E141" s="485"/>
      <c r="F141" s="485"/>
      <c r="G141" s="486"/>
      <c r="H141" s="17"/>
      <c r="I141" s="17"/>
      <c r="J141" s="72"/>
      <c r="K141"/>
      <c r="L141" s="547"/>
    </row>
    <row r="142" spans="1:123" ht="91.95" customHeight="1" x14ac:dyDescent="0.3">
      <c r="A142" s="100">
        <v>97</v>
      </c>
      <c r="B142" s="4" t="s">
        <v>67</v>
      </c>
      <c r="C142" s="4" t="s">
        <v>726</v>
      </c>
      <c r="D142" s="26" t="s">
        <v>155</v>
      </c>
      <c r="E142" s="371" t="e">
        <f>INDEX('PY1 Data(H)'!$A$1:$BV$265,MATCH('Unit Data from Audit Worksheet'!$A142,'PY1 Data(H)'!$A$1:$A$258,0),MATCH('Unit Data from Audit Worksheet'!$D$2,'PY1 Data(H)'!$A$1:$BV$1,0))</f>
        <v>#N/A</v>
      </c>
      <c r="F142" s="793">
        <v>0</v>
      </c>
      <c r="G142" s="407"/>
      <c r="H142" s="17"/>
      <c r="I142" s="17"/>
      <c r="J142" s="72"/>
      <c r="K142"/>
      <c r="L142" s="547"/>
    </row>
    <row r="143" spans="1:123" ht="72.599999999999994" customHeight="1" x14ac:dyDescent="0.3">
      <c r="A143" s="100">
        <v>93</v>
      </c>
      <c r="B143" s="948" t="s">
        <v>1896</v>
      </c>
      <c r="C143" s="4" t="s">
        <v>726</v>
      </c>
      <c r="D143" s="26" t="s">
        <v>151</v>
      </c>
      <c r="E143" s="371" t="e">
        <f>INDEX('PY1 Data(H)'!$A$1:$BV$265,MATCH('Unit Data from Audit Worksheet'!$A143,'PY1 Data(H)'!$A$1:$A$258,0),MATCH('Unit Data from Audit Worksheet'!$D$2,'PY1 Data(H)'!$A$1:$BV$1,0))</f>
        <v>#N/A</v>
      </c>
      <c r="F143" s="793">
        <v>0</v>
      </c>
      <c r="G143" s="401">
        <f>IF(F142&gt;F143,"Error: Charges for services exceed total operating revenues. Account number 97&gt;93",)</f>
        <v>0</v>
      </c>
      <c r="H143" s="402"/>
      <c r="I143" s="17"/>
      <c r="J143" s="72"/>
      <c r="K143"/>
      <c r="L143" s="547"/>
    </row>
    <row r="144" spans="1:123" ht="76.2" customHeight="1" x14ac:dyDescent="0.3">
      <c r="A144" s="100">
        <v>99</v>
      </c>
      <c r="B144" s="4" t="s">
        <v>57</v>
      </c>
      <c r="C144" s="4" t="s">
        <v>726</v>
      </c>
      <c r="D144" s="26" t="s">
        <v>156</v>
      </c>
      <c r="E144" s="371" t="e">
        <f>INDEX('PY1 Data(H)'!$A$1:$BV$265,MATCH('Unit Data from Audit Worksheet'!$A144,'PY1 Data(H)'!$A$1:$A$258,0),MATCH('Unit Data from Audit Worksheet'!$D$2,'PY1 Data(H)'!$A$1:$BV$1,0))</f>
        <v>#N/A</v>
      </c>
      <c r="F144" s="793">
        <v>0</v>
      </c>
      <c r="G144" s="401">
        <f t="shared" ref="G144:G153" si="3">IF(F144&lt;0,"Error: Enter as positive.",)</f>
        <v>0</v>
      </c>
      <c r="H144" s="402"/>
      <c r="I144" s="17"/>
      <c r="J144" s="72"/>
      <c r="K144"/>
      <c r="L144" s="547"/>
    </row>
    <row r="145" spans="1:123" ht="73.2" customHeight="1" x14ac:dyDescent="0.3">
      <c r="A145" s="100">
        <v>52</v>
      </c>
      <c r="B145" s="948" t="s">
        <v>1897</v>
      </c>
      <c r="C145" s="4" t="s">
        <v>726</v>
      </c>
      <c r="D145" s="26" t="s">
        <v>152</v>
      </c>
      <c r="E145" s="371" t="e">
        <f>INDEX('PY1 Data(H)'!$A$1:$BV$265,MATCH('Unit Data from Audit Worksheet'!$A145,'PY1 Data(H)'!$A$1:$A$258,0),MATCH('Unit Data from Audit Worksheet'!$D$2,'PY1 Data(H)'!$A$1:$BV$1,0))</f>
        <v>#N/A</v>
      </c>
      <c r="F145" s="793">
        <v>0</v>
      </c>
      <c r="G145" s="401">
        <f t="shared" si="3"/>
        <v>0</v>
      </c>
      <c r="H145" s="402"/>
      <c r="I145" s="17"/>
      <c r="J145" s="72"/>
      <c r="K145"/>
      <c r="L145" s="547"/>
    </row>
    <row r="146" spans="1:123" ht="81" customHeight="1" x14ac:dyDescent="0.3">
      <c r="A146" s="100">
        <v>94</v>
      </c>
      <c r="B146" s="948" t="s">
        <v>1896</v>
      </c>
      <c r="C146" s="4" t="s">
        <v>726</v>
      </c>
      <c r="D146" s="26" t="s">
        <v>153</v>
      </c>
      <c r="E146" s="371" t="e">
        <f>INDEX('PY1 Data(H)'!$A$1:$BV$265,MATCH('Unit Data from Audit Worksheet'!$A146,'PY1 Data(H)'!$A$1:$A$258,0),MATCH('Unit Data from Audit Worksheet'!$D$2,'PY1 Data(H)'!$A$1:$BV$1,0))</f>
        <v>#N/A</v>
      </c>
      <c r="F146" s="793">
        <v>0</v>
      </c>
      <c r="G146" s="401">
        <f t="shared" si="3"/>
        <v>0</v>
      </c>
      <c r="H146" s="402"/>
      <c r="I146" s="17"/>
      <c r="J146" s="72"/>
      <c r="K146"/>
      <c r="L146" s="547"/>
    </row>
    <row r="147" spans="1:123" ht="85.95" customHeight="1" x14ac:dyDescent="0.3">
      <c r="A147" s="100">
        <v>98</v>
      </c>
      <c r="B147" s="948" t="s">
        <v>1896</v>
      </c>
      <c r="C147" s="4" t="s">
        <v>726</v>
      </c>
      <c r="D147" s="26" t="s">
        <v>154</v>
      </c>
      <c r="E147" s="371" t="e">
        <f>INDEX('PY1 Data(H)'!$A$1:$BV$265,MATCH('Unit Data from Audit Worksheet'!$A147,'PY1 Data(H)'!$A$1:$A$258,0),MATCH('Unit Data from Audit Worksheet'!$D$2,'PY1 Data(H)'!$A$1:$BV$1,0))</f>
        <v>#N/A</v>
      </c>
      <c r="F147" s="793">
        <v>0</v>
      </c>
      <c r="G147" s="401">
        <f t="shared" si="3"/>
        <v>0</v>
      </c>
      <c r="H147" s="402"/>
      <c r="I147" s="17"/>
      <c r="J147" s="72"/>
      <c r="K147"/>
      <c r="L147" s="547"/>
    </row>
    <row r="148" spans="1:123" ht="84" customHeight="1" x14ac:dyDescent="0.3">
      <c r="A148" s="100">
        <v>363</v>
      </c>
      <c r="B148" s="4" t="s">
        <v>55</v>
      </c>
      <c r="C148" s="4" t="s">
        <v>726</v>
      </c>
      <c r="D148" s="21" t="s">
        <v>727</v>
      </c>
      <c r="E148" s="371" t="e">
        <f>INDEX('PY1 Data(H)'!$A$1:$BV$265,MATCH('Unit Data from Audit Worksheet'!$A148,'PY1 Data(H)'!$A$1:$A$258,0),MATCH('Unit Data from Audit Worksheet'!$D$2,'PY1 Data(H)'!$A$1:$BV$1,0))</f>
        <v>#N/A</v>
      </c>
      <c r="F148" s="793">
        <v>0</v>
      </c>
      <c r="G148" s="401">
        <f t="shared" si="3"/>
        <v>0</v>
      </c>
      <c r="H148" s="402"/>
      <c r="I148" s="17"/>
      <c r="J148" s="72"/>
      <c r="K148"/>
      <c r="L148" s="547"/>
    </row>
    <row r="149" spans="1:123" ht="76.95" customHeight="1" x14ac:dyDescent="0.3">
      <c r="A149" s="100">
        <v>364</v>
      </c>
      <c r="B149" s="948" t="s">
        <v>1899</v>
      </c>
      <c r="C149" s="4" t="s">
        <v>726</v>
      </c>
      <c r="D149" s="21" t="s">
        <v>728</v>
      </c>
      <c r="E149" s="371" t="e">
        <f>INDEX('PY1 Data(H)'!$A$1:$BV$265,MATCH('Unit Data from Audit Worksheet'!$A149,'PY1 Data(H)'!$A$1:$A$258,0),MATCH('Unit Data from Audit Worksheet'!$D$2,'PY1 Data(H)'!$A$1:$BV$1,0))</f>
        <v>#N/A</v>
      </c>
      <c r="F149" s="793">
        <v>0</v>
      </c>
      <c r="G149" s="401">
        <f t="shared" si="3"/>
        <v>0</v>
      </c>
      <c r="H149" s="402"/>
      <c r="I149" s="17"/>
      <c r="J149" s="72"/>
      <c r="K149"/>
      <c r="L149" s="547"/>
    </row>
    <row r="150" spans="1:123" ht="86.4" customHeight="1" x14ac:dyDescent="0.3">
      <c r="A150" s="100">
        <v>192</v>
      </c>
      <c r="B150" s="4" t="s">
        <v>57</v>
      </c>
      <c r="C150" s="4" t="s">
        <v>726</v>
      </c>
      <c r="D150" s="21" t="s">
        <v>729</v>
      </c>
      <c r="E150" s="371" t="e">
        <f>INDEX('PY1 Data(H)'!$A$1:$BV$265,MATCH('Unit Data from Audit Worksheet'!$A150,'PY1 Data(H)'!$A$1:$A$258,0),MATCH('Unit Data from Audit Worksheet'!$D$2,'PY1 Data(H)'!$A$1:$BV$1,0))</f>
        <v>#N/A</v>
      </c>
      <c r="F150" s="793">
        <v>0</v>
      </c>
      <c r="G150" s="401">
        <f t="shared" si="3"/>
        <v>0</v>
      </c>
      <c r="H150" s="402"/>
      <c r="I150" s="17"/>
      <c r="J150" s="72"/>
      <c r="K150"/>
      <c r="L150" s="547"/>
    </row>
    <row r="151" spans="1:123" ht="80.400000000000006" customHeight="1" x14ac:dyDescent="0.3">
      <c r="A151" s="100">
        <v>1054</v>
      </c>
      <c r="B151" s="373" t="s">
        <v>578</v>
      </c>
      <c r="C151" s="373" t="s">
        <v>1437</v>
      </c>
      <c r="D151" s="779" t="s">
        <v>1478</v>
      </c>
      <c r="E151" s="371" t="e">
        <f>INDEX('PY1 Data(H)'!$A$1:$BV$265,MATCH('Unit Data from Audit Worksheet'!$A151,'PY1 Data(H)'!$A$1:$A$258,0),MATCH('Unit Data from Audit Worksheet'!$D$2,'PY1 Data(H)'!$A$1:$BV$1,0))</f>
        <v>#N/A</v>
      </c>
      <c r="F151" s="793">
        <v>0</v>
      </c>
      <c r="G151" s="401"/>
      <c r="H151" s="402"/>
      <c r="I151" s="17"/>
      <c r="J151" s="72"/>
      <c r="K151" s="180"/>
      <c r="L151" s="547"/>
      <c r="M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80"/>
      <c r="BP151" s="180"/>
      <c r="BQ151" s="180"/>
      <c r="BR151" s="180"/>
      <c r="BS151" s="180"/>
      <c r="BT151" s="180"/>
      <c r="BU151" s="180"/>
      <c r="BV151" s="180"/>
      <c r="BW151" s="180"/>
      <c r="BX151" s="180"/>
      <c r="BY151" s="180"/>
      <c r="BZ151" s="180"/>
      <c r="CA151" s="180"/>
      <c r="CB151" s="180"/>
      <c r="CC151" s="180"/>
      <c r="CD151" s="180"/>
      <c r="CE151" s="180"/>
      <c r="CF151" s="180"/>
      <c r="CG151" s="180"/>
      <c r="CH151" s="180"/>
      <c r="CI151" s="180"/>
      <c r="CJ151" s="180"/>
      <c r="CK151" s="180"/>
      <c r="CL151" s="180"/>
      <c r="CM151" s="180"/>
      <c r="CN151" s="180"/>
      <c r="CO151" s="180"/>
      <c r="CP151" s="180"/>
      <c r="CQ151" s="180"/>
      <c r="CR151" s="180"/>
      <c r="CS151" s="180"/>
      <c r="CT151" s="180"/>
      <c r="CU151" s="180"/>
      <c r="CV151" s="180"/>
      <c r="CW151" s="180"/>
      <c r="CX151" s="180"/>
      <c r="CY151" s="180"/>
      <c r="CZ151" s="180"/>
      <c r="DA151" s="180"/>
      <c r="DB151" s="180"/>
      <c r="DC151" s="180"/>
      <c r="DD151" s="180"/>
      <c r="DE151" s="180"/>
      <c r="DF151" s="180"/>
      <c r="DG151" s="180"/>
      <c r="DH151" s="180"/>
      <c r="DI151" s="180"/>
      <c r="DJ151" s="180"/>
      <c r="DK151" s="180"/>
      <c r="DL151" s="180"/>
      <c r="DM151" s="180"/>
      <c r="DN151" s="180"/>
      <c r="DO151" s="180"/>
      <c r="DP151" s="180"/>
      <c r="DQ151" s="180"/>
      <c r="DR151" s="180"/>
      <c r="DS151" s="180"/>
    </row>
    <row r="152" spans="1:123" ht="94.2" customHeight="1" x14ac:dyDescent="0.3">
      <c r="A152" s="100">
        <v>365</v>
      </c>
      <c r="B152" s="4" t="s">
        <v>65</v>
      </c>
      <c r="C152" s="4" t="s">
        <v>726</v>
      </c>
      <c r="D152" s="21" t="s">
        <v>730</v>
      </c>
      <c r="E152" s="371" t="e">
        <f>INDEX('PY1 Data(H)'!$A$1:$BV$265,MATCH('Unit Data from Audit Worksheet'!$A152,'PY1 Data(H)'!$A$1:$A$258,0),MATCH('Unit Data from Audit Worksheet'!$D$2,'PY1 Data(H)'!$A$1:$BV$1,0))</f>
        <v>#N/A</v>
      </c>
      <c r="F152" s="793">
        <v>0</v>
      </c>
      <c r="G152" s="401">
        <f t="shared" si="3"/>
        <v>0</v>
      </c>
      <c r="H152" s="402"/>
      <c r="I152" s="17"/>
      <c r="J152" s="72"/>
      <c r="K152"/>
      <c r="L152" s="547"/>
    </row>
    <row r="153" spans="1:123" ht="84.75" customHeight="1" x14ac:dyDescent="0.3">
      <c r="A153" s="100">
        <v>366</v>
      </c>
      <c r="B153" s="948" t="s">
        <v>1896</v>
      </c>
      <c r="C153" s="4" t="s">
        <v>726</v>
      </c>
      <c r="D153" s="21" t="s">
        <v>731</v>
      </c>
      <c r="E153" s="371" t="e">
        <f>INDEX('PY1 Data(H)'!$A$1:$BV$265,MATCH('Unit Data from Audit Worksheet'!$A153,'PY1 Data(H)'!$A$1:$A$258,0),MATCH('Unit Data from Audit Worksheet'!$D$2,'PY1 Data(H)'!$A$1:$BV$1,0))</f>
        <v>#N/A</v>
      </c>
      <c r="F153" s="793">
        <v>0</v>
      </c>
      <c r="G153" s="401">
        <f t="shared" si="3"/>
        <v>0</v>
      </c>
      <c r="H153" s="402"/>
      <c r="I153" s="17"/>
      <c r="J153" s="72"/>
      <c r="K153"/>
      <c r="L153" s="547"/>
    </row>
    <row r="154" spans="1:123" s="18" customFormat="1" ht="138" customHeight="1" x14ac:dyDescent="0.3">
      <c r="A154" s="100">
        <v>53</v>
      </c>
      <c r="B154" s="373" t="s">
        <v>65</v>
      </c>
      <c r="C154" s="373" t="s">
        <v>726</v>
      </c>
      <c r="D154" s="383" t="s">
        <v>732</v>
      </c>
      <c r="E154" s="371" t="e">
        <f>INDEX('PY1 Data(H)'!$A$1:$BV$265,MATCH('Unit Data from Audit Worksheet'!$A154,'PY1 Data(H)'!$A$1:$A$258,0),MATCH('Unit Data from Audit Worksheet'!$D$2,'PY1 Data(H)'!$A$1:$BV$1,0))</f>
        <v>#N/A</v>
      </c>
      <c r="F154" s="793">
        <v>0</v>
      </c>
      <c r="G154" s="401">
        <f>IF(H154=0,,"Error: Total revenues less total expenses do not equal total change in net position. Account number 93-94+363-364+192+365-366-53=0  The amount of the formula is in the cell to the right")</f>
        <v>0</v>
      </c>
      <c r="H154" s="404">
        <f>+F143-F146+F148-F149+F150+F152-F153-F154</f>
        <v>0</v>
      </c>
      <c r="I154" s="17"/>
      <c r="J154" s="72"/>
      <c r="K154"/>
      <c r="L154" s="547"/>
      <c r="M154"/>
      <c r="O154" s="186"/>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row>
    <row r="155" spans="1:123" s="18" customFormat="1" ht="138" customHeight="1" x14ac:dyDescent="0.3">
      <c r="A155" s="100">
        <v>378</v>
      </c>
      <c r="B155" s="277" t="s">
        <v>55</v>
      </c>
      <c r="C155" s="373" t="s">
        <v>726</v>
      </c>
      <c r="D155" s="383" t="s">
        <v>733</v>
      </c>
      <c r="E155" s="371" t="e">
        <f>INDEX('PY1 Data(H)'!$A$1:$BV$265,MATCH('Unit Data from Audit Worksheet'!$A155,'PY1 Data(H)'!$A$1:$A$258,0),MATCH('Unit Data from Audit Worksheet'!$D$2,'PY1 Data(H)'!$A$1:$BV$1,0))</f>
        <v>#N/A</v>
      </c>
      <c r="F155" s="793">
        <v>0</v>
      </c>
      <c r="G155" s="752" t="e">
        <f>IF(F122-F154-F155=E122,,"Error: Beginning Balance does not agree with our records.  Acct #s (362-53-378)=prior year 362  The amount of the formula is in the cell to the right")</f>
        <v>#N/A</v>
      </c>
      <c r="H155" s="755" t="e">
        <f>+F122-F154-F155-E122</f>
        <v>#N/A</v>
      </c>
      <c r="I155" s="804" t="e">
        <f>IF(H155=0," ","If the out of balance is because prior years data is not populated in cell E122, disregard the error message. Do not include prior year's ending balance in cell F155.")</f>
        <v>#N/A</v>
      </c>
      <c r="J155" s="763"/>
      <c r="K155"/>
      <c r="L155" s="547"/>
      <c r="M155"/>
      <c r="O155" s="186"/>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row>
    <row r="156" spans="1:123" ht="30.75" customHeight="1" x14ac:dyDescent="0.3">
      <c r="A156" s="100"/>
      <c r="B156" s="489" t="s">
        <v>424</v>
      </c>
      <c r="C156" s="704"/>
      <c r="D156" s="492"/>
      <c r="E156" s="493"/>
      <c r="F156" s="493"/>
      <c r="G156" s="474"/>
      <c r="H156" s="17"/>
      <c r="I156" s="17"/>
      <c r="J156" s="72"/>
      <c r="K156"/>
      <c r="L156" s="547"/>
    </row>
    <row r="157" spans="1:123" ht="13.5" customHeight="1" x14ac:dyDescent="0.3">
      <c r="A157" s="100"/>
      <c r="B157" s="736" t="s">
        <v>734</v>
      </c>
      <c r="C157" s="499"/>
      <c r="D157" s="467"/>
      <c r="E157" s="494"/>
      <c r="F157" s="494"/>
      <c r="G157" s="486"/>
      <c r="H157" s="17"/>
      <c r="I157" s="17"/>
      <c r="J157" s="72"/>
      <c r="K157"/>
      <c r="L157" s="547"/>
    </row>
    <row r="158" spans="1:123" ht="17.25" customHeight="1" x14ac:dyDescent="0.3">
      <c r="A158" s="100"/>
      <c r="B158" s="490" t="s">
        <v>735</v>
      </c>
      <c r="C158" s="499"/>
      <c r="D158" s="481"/>
      <c r="E158" s="495"/>
      <c r="F158" s="495"/>
      <c r="G158" s="488"/>
      <c r="H158" s="17"/>
      <c r="I158" s="17"/>
      <c r="J158" s="72"/>
      <c r="K158"/>
      <c r="L158" s="547"/>
    </row>
    <row r="159" spans="1:123" ht="13.5" customHeight="1" x14ac:dyDescent="0.3">
      <c r="A159" s="100"/>
      <c r="B159" s="490" t="s">
        <v>23</v>
      </c>
      <c r="C159" s="499"/>
      <c r="D159" s="481"/>
      <c r="E159" s="495"/>
      <c r="F159" s="495"/>
      <c r="G159" s="488"/>
      <c r="H159" s="17"/>
      <c r="I159" s="17"/>
      <c r="J159" s="72"/>
      <c r="K159"/>
      <c r="L159" s="547"/>
    </row>
    <row r="160" spans="1:123" ht="59.25" customHeight="1" x14ac:dyDescent="0.3">
      <c r="A160" s="100">
        <v>51</v>
      </c>
      <c r="B160" s="4" t="s">
        <v>283</v>
      </c>
      <c r="C160" s="462" t="s">
        <v>736</v>
      </c>
      <c r="D160" s="21" t="s">
        <v>737</v>
      </c>
      <c r="E160" s="371" t="e">
        <f>INDEX('PY1 Data(H)'!$A$1:$BV$265,MATCH('Unit Data from Audit Worksheet'!$A160,'PY1 Data(H)'!$A$1:$A$258,0),MATCH('Unit Data from Audit Worksheet'!$D$2,'PY1 Data(H)'!$A$1:$BV$1,0))</f>
        <v>#N/A</v>
      </c>
      <c r="F160" s="793">
        <v>0</v>
      </c>
      <c r="G160" s="407"/>
      <c r="H160" s="17"/>
      <c r="I160" s="17"/>
      <c r="J160" s="72"/>
      <c r="K160"/>
      <c r="L160" s="547"/>
    </row>
    <row r="161" spans="1:123" ht="45" customHeight="1" x14ac:dyDescent="0.3">
      <c r="A161" s="100">
        <v>332</v>
      </c>
      <c r="B161" s="4" t="s">
        <v>36</v>
      </c>
      <c r="C161" s="462" t="s">
        <v>736</v>
      </c>
      <c r="D161" s="21" t="s">
        <v>738</v>
      </c>
      <c r="E161" s="371" t="e">
        <f>INDEX('PY1 Data(H)'!$A$1:$BV$265,MATCH('Unit Data from Audit Worksheet'!$A161,'PY1 Data(H)'!$A$1:$A$258,0),MATCH('Unit Data from Audit Worksheet'!$D$2,'PY1 Data(H)'!$A$1:$BV$1,0))</f>
        <v>#N/A</v>
      </c>
      <c r="F161" s="793">
        <v>0</v>
      </c>
      <c r="G161" s="401">
        <f>IF(F161&lt;0,"Error: Enter as positive.",)</f>
        <v>0</v>
      </c>
      <c r="H161" s="17"/>
      <c r="I161" s="17"/>
      <c r="J161" s="72"/>
      <c r="K161"/>
      <c r="L161" s="547"/>
    </row>
    <row r="162" spans="1:123" ht="75" customHeight="1" x14ac:dyDescent="0.3">
      <c r="A162" s="100">
        <v>331</v>
      </c>
      <c r="B162" s="948" t="s">
        <v>1891</v>
      </c>
      <c r="C162" s="462" t="s">
        <v>736</v>
      </c>
      <c r="D162" s="21" t="s">
        <v>739</v>
      </c>
      <c r="E162" s="371" t="e">
        <f>INDEX('PY1 Data(H)'!$A$1:$BV$265,MATCH('Unit Data from Audit Worksheet'!$A162,'PY1 Data(H)'!$A$1:$A$258,0),MATCH('Unit Data from Audit Worksheet'!$D$2,'PY1 Data(H)'!$A$1:$BV$1,0))</f>
        <v>#N/A</v>
      </c>
      <c r="F162" s="793">
        <v>0</v>
      </c>
      <c r="G162" s="401">
        <f>IF(F162&lt;0,"Error: Enter as positive.",)</f>
        <v>0</v>
      </c>
      <c r="H162" s="17"/>
      <c r="I162" s="17"/>
      <c r="J162" s="72"/>
      <c r="K162"/>
      <c r="L162" s="547"/>
    </row>
    <row r="163" spans="1:123" ht="17.399999999999999" customHeight="1" x14ac:dyDescent="0.3">
      <c r="A163" s="100"/>
      <c r="B163" s="704" t="s">
        <v>6</v>
      </c>
      <c r="C163" s="499"/>
      <c r="D163" s="490"/>
      <c r="E163" s="494"/>
      <c r="F163" s="494"/>
      <c r="G163" s="496"/>
      <c r="H163" s="17"/>
      <c r="I163" s="17"/>
      <c r="J163" s="72"/>
      <c r="K163"/>
      <c r="L163" s="547"/>
    </row>
    <row r="164" spans="1:123" ht="48" customHeight="1" x14ac:dyDescent="0.3">
      <c r="A164" s="100">
        <v>55</v>
      </c>
      <c r="B164" s="4" t="s">
        <v>58</v>
      </c>
      <c r="C164" s="462" t="s">
        <v>740</v>
      </c>
      <c r="D164" s="21" t="s">
        <v>741</v>
      </c>
      <c r="E164" s="371" t="e">
        <f>INDEX('PY1 Data(H)'!$A$1:$BV$265,MATCH('Unit Data from Audit Worksheet'!$A164,'PY1 Data(H)'!$A$1:$A$258,0),MATCH('Unit Data from Audit Worksheet'!$D$2,'PY1 Data(H)'!$A$1:$BV$1,0))</f>
        <v>#N/A</v>
      </c>
      <c r="F164" s="793">
        <v>0</v>
      </c>
      <c r="G164" s="407"/>
      <c r="H164" s="17"/>
      <c r="I164" s="17"/>
      <c r="J164" s="72"/>
      <c r="K164"/>
      <c r="L164" s="547"/>
    </row>
    <row r="165" spans="1:123" ht="60" customHeight="1" x14ac:dyDescent="0.3">
      <c r="A165" s="100">
        <v>101</v>
      </c>
      <c r="B165" s="4" t="s">
        <v>64</v>
      </c>
      <c r="C165" s="462" t="s">
        <v>740</v>
      </c>
      <c r="D165" s="21" t="s">
        <v>742</v>
      </c>
      <c r="E165" s="371" t="e">
        <f>INDEX('PY1 Data(H)'!$A$1:$BV$265,MATCH('Unit Data from Audit Worksheet'!$A165,'PY1 Data(H)'!$A$1:$A$258,0),MATCH('Unit Data from Audit Worksheet'!$D$2,'PY1 Data(H)'!$A$1:$BV$1,0))</f>
        <v>#N/A</v>
      </c>
      <c r="F165" s="793">
        <v>0</v>
      </c>
      <c r="G165" s="401">
        <f>IF(F165&lt;0,"Error: Enter as positive.",)</f>
        <v>0</v>
      </c>
      <c r="H165" s="17"/>
      <c r="I165" s="17"/>
      <c r="J165" s="72"/>
      <c r="K165"/>
      <c r="L165" s="547"/>
    </row>
    <row r="166" spans="1:123" ht="71.25" customHeight="1" x14ac:dyDescent="0.3">
      <c r="A166" s="100">
        <v>100</v>
      </c>
      <c r="B166" s="948" t="s">
        <v>1896</v>
      </c>
      <c r="C166" s="462" t="s">
        <v>740</v>
      </c>
      <c r="D166" s="21" t="s">
        <v>739</v>
      </c>
      <c r="E166" s="371" t="e">
        <f>INDEX('PY1 Data(H)'!$A$1:$BV$265,MATCH('Unit Data from Audit Worksheet'!$A166,'PY1 Data(H)'!$A$1:$A$258,0),MATCH('Unit Data from Audit Worksheet'!$D$2,'PY1 Data(H)'!$A$1:$BV$1,0))</f>
        <v>#N/A</v>
      </c>
      <c r="F166" s="793">
        <v>0</v>
      </c>
      <c r="G166" s="401">
        <f>IF(F166&lt;0,"Error: Enter as positive.",)</f>
        <v>0</v>
      </c>
      <c r="H166" s="17"/>
      <c r="I166" s="17"/>
      <c r="J166" s="72"/>
      <c r="K166"/>
      <c r="L166" s="547"/>
    </row>
    <row r="167" spans="1:123" ht="31.2" customHeight="1" x14ac:dyDescent="0.3">
      <c r="A167" s="100"/>
      <c r="B167" s="489" t="s">
        <v>1569</v>
      </c>
      <c r="C167" s="704"/>
      <c r="D167" s="489"/>
      <c r="E167" s="489"/>
      <c r="F167" s="489"/>
      <c r="G167" s="489"/>
      <c r="H167" s="17"/>
      <c r="I167" s="17"/>
      <c r="J167" s="72"/>
      <c r="K167" s="180"/>
      <c r="L167" s="547"/>
      <c r="M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0"/>
      <c r="BR167" s="180"/>
      <c r="BS167" s="180"/>
      <c r="BT167" s="180"/>
      <c r="BU167" s="180"/>
      <c r="BV167" s="180"/>
      <c r="BW167" s="180"/>
      <c r="BX167" s="180"/>
      <c r="BY167" s="180"/>
      <c r="BZ167" s="180"/>
      <c r="CA167" s="180"/>
      <c r="CB167" s="180"/>
      <c r="CC167" s="180"/>
      <c r="CD167" s="180"/>
      <c r="CE167" s="180"/>
      <c r="CF167" s="180"/>
      <c r="CG167" s="180"/>
      <c r="CH167" s="180"/>
      <c r="CI167" s="180"/>
      <c r="CJ167" s="180"/>
      <c r="CK167" s="180"/>
      <c r="CL167" s="180"/>
      <c r="CM167" s="180"/>
      <c r="CN167" s="180"/>
      <c r="CO167" s="180"/>
      <c r="CP167" s="180"/>
      <c r="CQ167" s="180"/>
      <c r="CR167" s="180"/>
      <c r="CS167" s="180"/>
      <c r="CT167" s="180"/>
      <c r="CU167" s="180"/>
      <c r="CV167" s="180"/>
      <c r="CW167" s="180"/>
      <c r="CX167" s="180"/>
      <c r="CY167" s="180"/>
      <c r="CZ167" s="180"/>
      <c r="DA167" s="180"/>
      <c r="DB167" s="180"/>
      <c r="DC167" s="180"/>
      <c r="DD167" s="180"/>
      <c r="DE167" s="180"/>
      <c r="DF167" s="180"/>
      <c r="DG167" s="180"/>
      <c r="DH167" s="180"/>
      <c r="DI167" s="180"/>
      <c r="DJ167" s="180"/>
      <c r="DK167" s="180"/>
      <c r="DL167" s="180"/>
      <c r="DM167" s="180"/>
      <c r="DN167" s="180"/>
      <c r="DO167" s="180"/>
      <c r="DP167" s="180"/>
      <c r="DQ167" s="180"/>
      <c r="DR167" s="180"/>
      <c r="DS167" s="180"/>
    </row>
    <row r="168" spans="1:123" ht="71.25" customHeight="1" x14ac:dyDescent="0.3">
      <c r="A168" s="773">
        <v>1060</v>
      </c>
      <c r="B168" s="373" t="s">
        <v>1448</v>
      </c>
      <c r="C168" s="409"/>
      <c r="D168" s="774" t="s">
        <v>1469</v>
      </c>
      <c r="E168" s="371" t="e">
        <f>INDEX('PY1 Data(H)'!$A$1:$BV$265,MATCH('Unit Data from Audit Worksheet'!$A168,'PY1 Data(H)'!$A$1:$A$258,0),MATCH('Unit Data from Audit Worksheet'!$D$2,'PY1 Data(H)'!$A$1:$BV$1,0))</f>
        <v>#N/A</v>
      </c>
      <c r="F168" s="793">
        <v>0</v>
      </c>
      <c r="G168" s="401"/>
      <c r="H168" s="17"/>
      <c r="I168" s="17"/>
      <c r="J168" s="72"/>
      <c r="K168" s="180"/>
      <c r="L168" s="547"/>
      <c r="M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80"/>
      <c r="BA168" s="180"/>
      <c r="BB168" s="180"/>
      <c r="BC168" s="180"/>
      <c r="BD168" s="180"/>
      <c r="BE168" s="180"/>
      <c r="BF168" s="180"/>
      <c r="BG168" s="180"/>
      <c r="BH168" s="180"/>
      <c r="BI168" s="180"/>
      <c r="BJ168" s="180"/>
      <c r="BK168" s="180"/>
      <c r="BL168" s="180"/>
      <c r="BM168" s="180"/>
      <c r="BN168" s="180"/>
      <c r="BO168" s="180"/>
      <c r="BP168" s="180"/>
      <c r="BQ168" s="180"/>
      <c r="BR168" s="180"/>
      <c r="BS168" s="180"/>
      <c r="BT168" s="180"/>
      <c r="BU168" s="180"/>
      <c r="BV168" s="180"/>
      <c r="BW168" s="180"/>
      <c r="BX168" s="180"/>
      <c r="BY168" s="180"/>
      <c r="BZ168" s="180"/>
      <c r="CA168" s="180"/>
      <c r="CB168" s="180"/>
      <c r="CC168" s="180"/>
      <c r="CD168" s="180"/>
      <c r="CE168" s="180"/>
      <c r="CF168" s="180"/>
      <c r="CG168" s="180"/>
      <c r="CH168" s="180"/>
      <c r="CI168" s="180"/>
      <c r="CJ168" s="180"/>
      <c r="CK168" s="180"/>
      <c r="CL168" s="180"/>
      <c r="CM168" s="180"/>
      <c r="CN168" s="180"/>
      <c r="CO168" s="180"/>
      <c r="CP168" s="180"/>
      <c r="CQ168" s="180"/>
      <c r="CR168" s="180"/>
      <c r="CS168" s="180"/>
      <c r="CT168" s="180"/>
      <c r="CU168" s="180"/>
      <c r="CV168" s="180"/>
      <c r="CW168" s="180"/>
      <c r="CX168" s="180"/>
      <c r="CY168" s="180"/>
      <c r="CZ168" s="180"/>
      <c r="DA168" s="180"/>
      <c r="DB168" s="180"/>
      <c r="DC168" s="180"/>
      <c r="DD168" s="180"/>
      <c r="DE168" s="180"/>
      <c r="DF168" s="180"/>
      <c r="DG168" s="180"/>
      <c r="DH168" s="180"/>
      <c r="DI168" s="180"/>
      <c r="DJ168" s="180"/>
      <c r="DK168" s="180"/>
      <c r="DL168" s="180"/>
      <c r="DM168" s="180"/>
      <c r="DN168" s="180"/>
      <c r="DO168" s="180"/>
      <c r="DP168" s="180"/>
      <c r="DQ168" s="180"/>
      <c r="DR168" s="180"/>
      <c r="DS168" s="180"/>
    </row>
    <row r="169" spans="1:123" ht="71.25" customHeight="1" x14ac:dyDescent="0.3">
      <c r="A169" s="773">
        <v>1061</v>
      </c>
      <c r="B169" s="373" t="s">
        <v>1448</v>
      </c>
      <c r="C169" s="409"/>
      <c r="D169" s="774" t="s">
        <v>1470</v>
      </c>
      <c r="E169" s="371" t="e">
        <f>INDEX('PY1 Data(H)'!$A$1:$BV$265,MATCH('Unit Data from Audit Worksheet'!$A169,'PY1 Data(H)'!$A$1:$A$258,0),MATCH('Unit Data from Audit Worksheet'!$D$2,'PY1 Data(H)'!$A$1:$BV$1,0))</f>
        <v>#N/A</v>
      </c>
      <c r="F169" s="793">
        <v>0</v>
      </c>
      <c r="G169" s="401"/>
      <c r="H169" s="17"/>
      <c r="I169" s="17"/>
      <c r="J169" s="72"/>
      <c r="K169" s="180"/>
      <c r="L169" s="547"/>
      <c r="M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0"/>
      <c r="AV169" s="180"/>
      <c r="AW169" s="180"/>
      <c r="AX169" s="180"/>
      <c r="AY169" s="180"/>
      <c r="AZ169" s="180"/>
      <c r="BA169" s="180"/>
      <c r="BB169" s="180"/>
      <c r="BC169" s="180"/>
      <c r="BD169" s="180"/>
      <c r="BE169" s="180"/>
      <c r="BF169" s="180"/>
      <c r="BG169" s="180"/>
      <c r="BH169" s="180"/>
      <c r="BI169" s="180"/>
      <c r="BJ169" s="180"/>
      <c r="BK169" s="180"/>
      <c r="BL169" s="180"/>
      <c r="BM169" s="180"/>
      <c r="BN169" s="180"/>
      <c r="BO169" s="180"/>
      <c r="BP169" s="180"/>
      <c r="BQ169" s="180"/>
      <c r="BR169" s="180"/>
      <c r="BS169" s="180"/>
      <c r="BT169" s="180"/>
      <c r="BU169" s="180"/>
      <c r="BV169" s="180"/>
      <c r="BW169" s="180"/>
      <c r="BX169" s="180"/>
      <c r="BY169" s="180"/>
      <c r="BZ169" s="180"/>
      <c r="CA169" s="180"/>
      <c r="CB169" s="180"/>
      <c r="CC169" s="180"/>
      <c r="CD169" s="180"/>
      <c r="CE169" s="180"/>
      <c r="CF169" s="180"/>
      <c r="CG169" s="180"/>
      <c r="CH169" s="180"/>
      <c r="CI169" s="180"/>
      <c r="CJ169" s="180"/>
      <c r="CK169" s="180"/>
      <c r="CL169" s="180"/>
      <c r="CM169" s="180"/>
      <c r="CN169" s="180"/>
      <c r="CO169" s="180"/>
      <c r="CP169" s="180"/>
      <c r="CQ169" s="180"/>
      <c r="CR169" s="180"/>
      <c r="CS169" s="180"/>
      <c r="CT169" s="180"/>
      <c r="CU169" s="180"/>
      <c r="CV169" s="180"/>
      <c r="CW169" s="180"/>
      <c r="CX169" s="180"/>
      <c r="CY169" s="180"/>
      <c r="CZ169" s="180"/>
      <c r="DA169" s="180"/>
      <c r="DB169" s="180"/>
      <c r="DC169" s="180"/>
      <c r="DD169" s="180"/>
      <c r="DE169" s="180"/>
      <c r="DF169" s="180"/>
      <c r="DG169" s="180"/>
      <c r="DH169" s="180"/>
      <c r="DI169" s="180"/>
      <c r="DJ169" s="180"/>
      <c r="DK169" s="180"/>
      <c r="DL169" s="180"/>
      <c r="DM169" s="180"/>
      <c r="DN169" s="180"/>
      <c r="DO169" s="180"/>
      <c r="DP169" s="180"/>
      <c r="DQ169" s="180"/>
      <c r="DR169" s="180"/>
      <c r="DS169" s="180"/>
    </row>
    <row r="170" spans="1:123" ht="98.4" customHeight="1" x14ac:dyDescent="0.3">
      <c r="A170" s="773">
        <v>1062</v>
      </c>
      <c r="B170" s="373" t="s">
        <v>1448</v>
      </c>
      <c r="C170" s="409"/>
      <c r="D170" s="774" t="s">
        <v>1879</v>
      </c>
      <c r="E170" s="371" t="e">
        <f>INDEX('PY1 Data(H)'!$A$1:$BV$265,MATCH('Unit Data from Audit Worksheet'!$A170,'PY1 Data(H)'!$A$1:$A$258,0),MATCH('Unit Data from Audit Worksheet'!$D$2,'PY1 Data(H)'!$A$1:$BV$1,0))</f>
        <v>#N/A</v>
      </c>
      <c r="F170" s="184"/>
      <c r="G170" s="401"/>
      <c r="H170" s="17"/>
      <c r="I170" s="17"/>
      <c r="J170" s="72"/>
      <c r="K170" s="180"/>
      <c r="L170" s="547"/>
      <c r="M170" s="180"/>
      <c r="Z170" s="180"/>
      <c r="AA170" s="180"/>
      <c r="AB170" s="180"/>
      <c r="AC170" s="180"/>
      <c r="AD170" s="180"/>
      <c r="AE170" s="180"/>
      <c r="AF170" s="180"/>
      <c r="AG170" s="180"/>
      <c r="AH170" s="180"/>
      <c r="AI170" s="180"/>
      <c r="AJ170" s="180"/>
      <c r="AK170" s="180"/>
      <c r="AL170" s="180"/>
      <c r="AM170" s="180"/>
      <c r="AN170" s="180"/>
      <c r="AO170" s="180"/>
      <c r="AP170" s="180"/>
      <c r="AQ170" s="180"/>
      <c r="AR170" s="180"/>
      <c r="AS170" s="180"/>
      <c r="AT170" s="180"/>
      <c r="AU170" s="180"/>
      <c r="AV170" s="180"/>
      <c r="AW170" s="180"/>
      <c r="AX170" s="180"/>
      <c r="AY170" s="180"/>
      <c r="AZ170" s="180"/>
      <c r="BA170" s="180"/>
      <c r="BB170" s="180"/>
      <c r="BC170" s="180"/>
      <c r="BD170" s="180"/>
      <c r="BE170" s="180"/>
      <c r="BF170" s="180"/>
      <c r="BG170" s="180"/>
      <c r="BH170" s="180"/>
      <c r="BI170" s="180"/>
      <c r="BJ170" s="180"/>
      <c r="BK170" s="180"/>
      <c r="BL170" s="180"/>
      <c r="BM170" s="180"/>
      <c r="BN170" s="180"/>
      <c r="BO170" s="180"/>
      <c r="BP170" s="180"/>
      <c r="BQ170" s="180"/>
      <c r="BR170" s="180"/>
      <c r="BS170" s="180"/>
      <c r="BT170" s="180"/>
      <c r="BU170" s="180"/>
      <c r="BV170" s="180"/>
      <c r="BW170" s="180"/>
      <c r="BX170" s="180"/>
      <c r="BY170" s="180"/>
      <c r="BZ170" s="180"/>
      <c r="CA170" s="180"/>
      <c r="CB170" s="180"/>
      <c r="CC170" s="180"/>
      <c r="CD170" s="180"/>
      <c r="CE170" s="180"/>
      <c r="CF170" s="180"/>
      <c r="CG170" s="180"/>
      <c r="CH170" s="180"/>
      <c r="CI170" s="180"/>
      <c r="CJ170" s="180"/>
      <c r="CK170" s="180"/>
      <c r="CL170" s="180"/>
      <c r="CM170" s="180"/>
      <c r="CN170" s="180"/>
      <c r="CO170" s="180"/>
      <c r="CP170" s="180"/>
      <c r="CQ170" s="180"/>
      <c r="CR170" s="180"/>
      <c r="CS170" s="180"/>
      <c r="CT170" s="180"/>
      <c r="CU170" s="180"/>
      <c r="CV170" s="180"/>
      <c r="CW170" s="180"/>
      <c r="CX170" s="180"/>
      <c r="CY170" s="180"/>
      <c r="CZ170" s="180"/>
      <c r="DA170" s="180"/>
      <c r="DB170" s="180"/>
      <c r="DC170" s="180"/>
      <c r="DD170" s="180"/>
      <c r="DE170" s="180"/>
      <c r="DF170" s="180"/>
      <c r="DG170" s="180"/>
      <c r="DH170" s="180"/>
      <c r="DI170" s="180"/>
      <c r="DJ170" s="180"/>
      <c r="DK170" s="180"/>
      <c r="DL170" s="180"/>
      <c r="DM170" s="180"/>
      <c r="DN170" s="180"/>
      <c r="DO170" s="180"/>
      <c r="DP170" s="180"/>
      <c r="DQ170" s="180"/>
      <c r="DR170" s="180"/>
      <c r="DS170" s="180"/>
    </row>
    <row r="171" spans="1:123" ht="71.25" customHeight="1" x14ac:dyDescent="0.3">
      <c r="A171" s="773">
        <v>1063</v>
      </c>
      <c r="B171" s="373" t="s">
        <v>1448</v>
      </c>
      <c r="C171" s="409"/>
      <c r="D171" s="774" t="s">
        <v>1880</v>
      </c>
      <c r="E171" s="371" t="e">
        <f>INDEX('PY1 Data(H)'!$A$1:$BV$265,MATCH('Unit Data from Audit Worksheet'!$A171,'PY1 Data(H)'!$A$1:$A$258,0),MATCH('Unit Data from Audit Worksheet'!$D$2,'PY1 Data(H)'!$A$1:$BV$1,0))</f>
        <v>#N/A</v>
      </c>
      <c r="F171" s="184"/>
      <c r="G171" s="401"/>
      <c r="H171" s="17"/>
      <c r="I171" s="17"/>
      <c r="J171" s="72"/>
      <c r="K171" s="180"/>
      <c r="L171" s="547"/>
      <c r="M171" s="180"/>
      <c r="Z171" s="180"/>
      <c r="AA171" s="180"/>
      <c r="AB171" s="180"/>
      <c r="AC171" s="180"/>
      <c r="AD171" s="180"/>
      <c r="AE171" s="180"/>
      <c r="AF171" s="180"/>
      <c r="AG171" s="180"/>
      <c r="AH171" s="180"/>
      <c r="AI171" s="180"/>
      <c r="AJ171" s="180"/>
      <c r="AK171" s="180"/>
      <c r="AL171" s="180"/>
      <c r="AM171" s="180"/>
      <c r="AN171" s="180"/>
      <c r="AO171" s="180"/>
      <c r="AP171" s="180"/>
      <c r="AQ171" s="180"/>
      <c r="AR171" s="180"/>
      <c r="AS171" s="180"/>
      <c r="AT171" s="180"/>
      <c r="AU171" s="180"/>
      <c r="AV171" s="180"/>
      <c r="AW171" s="180"/>
      <c r="AX171" s="180"/>
      <c r="AY171" s="180"/>
      <c r="AZ171" s="180"/>
      <c r="BA171" s="180"/>
      <c r="BB171" s="180"/>
      <c r="BC171" s="180"/>
      <c r="BD171" s="180"/>
      <c r="BE171" s="180"/>
      <c r="BF171" s="180"/>
      <c r="BG171" s="180"/>
      <c r="BH171" s="180"/>
      <c r="BI171" s="180"/>
      <c r="BJ171" s="180"/>
      <c r="BK171" s="180"/>
      <c r="BL171" s="180"/>
      <c r="BM171" s="180"/>
      <c r="BN171" s="180"/>
      <c r="BO171" s="180"/>
      <c r="BP171" s="180"/>
      <c r="BQ171" s="180"/>
      <c r="BR171" s="180"/>
      <c r="BS171" s="180"/>
      <c r="BT171" s="180"/>
      <c r="BU171" s="180"/>
      <c r="BV171" s="180"/>
      <c r="BW171" s="180"/>
      <c r="BX171" s="180"/>
      <c r="BY171" s="180"/>
      <c r="BZ171" s="180"/>
      <c r="CA171" s="180"/>
      <c r="CB171" s="180"/>
      <c r="CC171" s="180"/>
      <c r="CD171" s="180"/>
      <c r="CE171" s="180"/>
      <c r="CF171" s="180"/>
      <c r="CG171" s="180"/>
      <c r="CH171" s="180"/>
      <c r="CI171" s="180"/>
      <c r="CJ171" s="180"/>
      <c r="CK171" s="180"/>
      <c r="CL171" s="180"/>
      <c r="CM171" s="180"/>
      <c r="CN171" s="180"/>
      <c r="CO171" s="180"/>
      <c r="CP171" s="180"/>
      <c r="CQ171" s="180"/>
      <c r="CR171" s="180"/>
      <c r="CS171" s="180"/>
      <c r="CT171" s="180"/>
      <c r="CU171" s="180"/>
      <c r="CV171" s="180"/>
      <c r="CW171" s="180"/>
      <c r="CX171" s="180"/>
      <c r="CY171" s="180"/>
      <c r="CZ171" s="180"/>
      <c r="DA171" s="180"/>
      <c r="DB171" s="180"/>
      <c r="DC171" s="180"/>
      <c r="DD171" s="180"/>
      <c r="DE171" s="180"/>
      <c r="DF171" s="180"/>
      <c r="DG171" s="180"/>
      <c r="DH171" s="180"/>
      <c r="DI171" s="180"/>
      <c r="DJ171" s="180"/>
      <c r="DK171" s="180"/>
      <c r="DL171" s="180"/>
      <c r="DM171" s="180"/>
      <c r="DN171" s="180"/>
      <c r="DO171" s="180"/>
      <c r="DP171" s="180"/>
      <c r="DQ171" s="180"/>
      <c r="DR171" s="180"/>
      <c r="DS171" s="180"/>
    </row>
    <row r="172" spans="1:123" x14ac:dyDescent="0.3">
      <c r="A172" s="100"/>
      <c r="B172" s="704" t="s">
        <v>70</v>
      </c>
      <c r="C172" s="499"/>
      <c r="D172" s="467"/>
      <c r="E172" s="497"/>
      <c r="F172" s="497"/>
      <c r="G172" s="484"/>
      <c r="H172" s="17"/>
      <c r="I172" s="17"/>
      <c r="J172" s="72"/>
      <c r="K172"/>
      <c r="L172" s="547"/>
    </row>
    <row r="173" spans="1:123" ht="90.6" customHeight="1" x14ac:dyDescent="0.3">
      <c r="A173" s="100">
        <v>512</v>
      </c>
      <c r="B173" s="277"/>
      <c r="C173" s="462" t="s">
        <v>157</v>
      </c>
      <c r="D173" s="21" t="s">
        <v>743</v>
      </c>
      <c r="E173" s="371" t="e">
        <f>INDEX('PY1 Data(H)'!$A$1:$BV$265,MATCH('Unit Data from Audit Worksheet'!$A173,'PY1 Data(H)'!$A$1:$A$258,0),MATCH('Unit Data from Audit Worksheet'!$D$2,'PY1 Data(H)'!$A$1:$BV$1,0))</f>
        <v>#N/A</v>
      </c>
      <c r="F173" s="793">
        <v>0</v>
      </c>
      <c r="G173" s="401">
        <f>IF(F173&lt;0,"Error: Enter as positive.",)</f>
        <v>0</v>
      </c>
      <c r="H173" s="17"/>
      <c r="I173" s="17"/>
      <c r="J173" s="72"/>
      <c r="K173"/>
      <c r="L173" s="547"/>
    </row>
    <row r="174" spans="1:123" x14ac:dyDescent="0.3">
      <c r="A174" s="100"/>
      <c r="B174" s="489" t="s">
        <v>414</v>
      </c>
      <c r="C174" s="499"/>
      <c r="D174" s="492"/>
      <c r="E174" s="497"/>
      <c r="F174" s="497"/>
      <c r="G174" s="484"/>
      <c r="H174" s="402"/>
      <c r="I174" s="402"/>
      <c r="J174" s="403"/>
      <c r="K174"/>
      <c r="L174" s="547"/>
    </row>
    <row r="175" spans="1:123" ht="59.25" customHeight="1" x14ac:dyDescent="0.3">
      <c r="A175" s="189">
        <v>656</v>
      </c>
      <c r="B175" s="189"/>
      <c r="C175" s="189"/>
      <c r="D175" s="740" t="s">
        <v>1544</v>
      </c>
      <c r="E175" s="371" t="e">
        <f>INDEX('PY1 Data(H)'!$A$1:$BV$265,MATCH('Unit Data from Audit Worksheet'!$A175,'PY1 Data(H)'!$A$1:$A$258,0),MATCH('Unit Data from Audit Worksheet'!$D$2,'PY1 Data(H)'!$A$1:$BV$1,0))</f>
        <v>#N/A</v>
      </c>
      <c r="F175" s="793"/>
      <c r="G175" s="401"/>
      <c r="H175" s="17"/>
      <c r="I175" s="17"/>
      <c r="J175" s="72"/>
      <c r="K175"/>
      <c r="L175" s="547"/>
    </row>
    <row r="176" spans="1:123" x14ac:dyDescent="0.3">
      <c r="A176" s="100"/>
      <c r="B176" s="489" t="s">
        <v>286</v>
      </c>
      <c r="C176" s="499"/>
      <c r="D176" s="492"/>
      <c r="E176" s="497"/>
      <c r="F176" s="497"/>
      <c r="G176" s="484"/>
      <c r="H176" s="402"/>
      <c r="I176" s="402"/>
      <c r="J176" s="403"/>
      <c r="K176"/>
      <c r="L176" s="547"/>
    </row>
    <row r="177" spans="1:12" ht="106.95" customHeight="1" x14ac:dyDescent="0.3">
      <c r="A177" s="100">
        <v>535</v>
      </c>
      <c r="B177" s="373" t="s">
        <v>54</v>
      </c>
      <c r="C177" s="373" t="s">
        <v>158</v>
      </c>
      <c r="D177" s="21" t="s">
        <v>744</v>
      </c>
      <c r="E177" s="371" t="e">
        <f>INDEX('PY1 Data(H)'!$A$1:$BV$265,MATCH('Unit Data from Audit Worksheet'!$A177,'PY1 Data(H)'!$A$1:$A$258,0),MATCH('Unit Data from Audit Worksheet'!$D$2,'PY1 Data(H)'!$A$1:$BV$1,0))</f>
        <v>#N/A</v>
      </c>
      <c r="F177" s="793">
        <v>0</v>
      </c>
      <c r="G177" s="752" t="str">
        <f>IF(F177&lt;1,"Reminder: Please make sure you have entered all cash and investments from bond/Debt proceeds, if applicable.",)</f>
        <v>Reminder: Please make sure you have entered all cash and investments from bond/Debt proceeds, if applicable.</v>
      </c>
      <c r="H177" s="402"/>
      <c r="I177" s="402"/>
      <c r="J177" s="403"/>
      <c r="K177"/>
      <c r="L177" s="547"/>
    </row>
    <row r="178" spans="1:12" x14ac:dyDescent="0.3">
      <c r="A178" s="100"/>
      <c r="B178" s="489" t="s">
        <v>29</v>
      </c>
      <c r="C178" s="499"/>
      <c r="D178" s="468"/>
      <c r="E178" s="494"/>
      <c r="F178" s="494"/>
      <c r="G178" s="486"/>
      <c r="H178" s="17"/>
      <c r="I178" s="17"/>
      <c r="J178" s="72"/>
      <c r="K178"/>
      <c r="L178" s="547"/>
    </row>
    <row r="179" spans="1:12" x14ac:dyDescent="0.3">
      <c r="A179" s="100"/>
      <c r="B179" s="277"/>
      <c r="C179" s="277"/>
      <c r="D179" s="415" t="s">
        <v>2</v>
      </c>
      <c r="E179" s="371"/>
      <c r="F179" s="154"/>
      <c r="G179" s="407"/>
      <c r="H179" s="17"/>
      <c r="I179" s="17"/>
      <c r="J179" s="72"/>
      <c r="K179"/>
      <c r="L179" s="547"/>
    </row>
    <row r="180" spans="1:12" ht="36" customHeight="1" x14ac:dyDescent="0.3">
      <c r="A180" s="100"/>
      <c r="B180" s="277"/>
      <c r="C180" s="277"/>
      <c r="D180" s="372" t="s">
        <v>745</v>
      </c>
      <c r="E180" s="371"/>
      <c r="F180" s="154"/>
      <c r="G180" s="407"/>
      <c r="H180" s="17"/>
      <c r="I180" s="17"/>
      <c r="J180" s="72"/>
      <c r="K180"/>
      <c r="L180" s="547"/>
    </row>
    <row r="181" spans="1:12" ht="51" customHeight="1" x14ac:dyDescent="0.3">
      <c r="A181" s="100">
        <v>334</v>
      </c>
      <c r="B181" s="4" t="s">
        <v>55</v>
      </c>
      <c r="C181" s="4" t="s">
        <v>165</v>
      </c>
      <c r="D181" s="21" t="s">
        <v>746</v>
      </c>
      <c r="E181" s="371" t="e">
        <f>INDEX('PY1 Data(H)'!$A$1:$BV$265,MATCH('Unit Data from Audit Worksheet'!$A181,'PY1 Data(H)'!$A$1:$A$258,0),MATCH('Unit Data from Audit Worksheet'!$D$2,'PY1 Data(H)'!$A$1:$BV$1,0))</f>
        <v>#N/A</v>
      </c>
      <c r="F181" s="793">
        <v>0</v>
      </c>
      <c r="G181" s="407"/>
      <c r="H181" s="17"/>
      <c r="I181" s="17"/>
      <c r="J181" s="72"/>
      <c r="K181"/>
      <c r="L181" s="547"/>
    </row>
    <row r="182" spans="1:12" ht="45.6" customHeight="1" x14ac:dyDescent="0.3">
      <c r="A182" s="100">
        <v>373</v>
      </c>
      <c r="B182" s="4" t="s">
        <v>55</v>
      </c>
      <c r="C182" s="4" t="s">
        <v>165</v>
      </c>
      <c r="D182" s="26" t="s">
        <v>164</v>
      </c>
      <c r="E182" s="371" t="e">
        <f>INDEX('PY1 Data(H)'!$A$1:$BV$265,MATCH('Unit Data from Audit Worksheet'!$A182,'PY1 Data(H)'!$A$1:$A$258,0),MATCH('Unit Data from Audit Worksheet'!$D$2,'PY1 Data(H)'!$A$1:$BV$1,0))</f>
        <v>#N/A</v>
      </c>
      <c r="F182" s="793">
        <v>0</v>
      </c>
      <c r="G182" s="401">
        <f>IF(F182&lt;0,"Error: Enter as positive.",)</f>
        <v>0</v>
      </c>
      <c r="H182" s="17"/>
      <c r="I182" s="17"/>
      <c r="J182" s="72"/>
      <c r="K182"/>
      <c r="L182" s="547"/>
    </row>
    <row r="183" spans="1:12" ht="92.25" customHeight="1" x14ac:dyDescent="0.3">
      <c r="A183" s="100">
        <v>987</v>
      </c>
      <c r="B183" s="373" t="s">
        <v>1937</v>
      </c>
      <c r="C183" s="373"/>
      <c r="D183" s="21" t="s">
        <v>634</v>
      </c>
      <c r="E183" s="371" t="e">
        <f>INDEX('PY1 Data(H)'!$A$1:$BV$265,MATCH('Unit Data from Audit Worksheet'!$A183,'PY1 Data(H)'!$A$1:$A$258,0),MATCH('Unit Data from Audit Worksheet'!$D$2,'PY1 Data(H)'!$A$1:$BV$1,0))</f>
        <v>#N/A</v>
      </c>
      <c r="F183" s="793">
        <v>0</v>
      </c>
      <c r="G183" s="416" t="str">
        <f>IF(F183="","If this question is not applicable please place a zero in the cell to the left","")</f>
        <v/>
      </c>
      <c r="H183" s="384"/>
      <c r="I183" s="17"/>
      <c r="J183" s="72"/>
      <c r="K183"/>
      <c r="L183" s="547"/>
    </row>
    <row r="184" spans="1:12" ht="66.75" customHeight="1" x14ac:dyDescent="0.3">
      <c r="A184" s="100">
        <v>988</v>
      </c>
      <c r="B184" s="373" t="s">
        <v>1937</v>
      </c>
      <c r="C184" s="373"/>
      <c r="D184" s="21" t="s">
        <v>633</v>
      </c>
      <c r="E184" s="371" t="e">
        <f>INDEX('PY1 Data(H)'!$A$1:$BV$265,MATCH('Unit Data from Audit Worksheet'!$A184,'PY1 Data(H)'!$A$1:$A$258,0),MATCH('Unit Data from Audit Worksheet'!$D$2,'PY1 Data(H)'!$A$1:$BV$1,0))</f>
        <v>#N/A</v>
      </c>
      <c r="F184" s="185"/>
      <c r="G184" s="401"/>
      <c r="H184" s="17"/>
      <c r="I184" s="17"/>
      <c r="J184" s="72"/>
      <c r="K184"/>
      <c r="L184" s="547"/>
    </row>
    <row r="185" spans="1:12" ht="90" customHeight="1" x14ac:dyDescent="0.3">
      <c r="A185" s="100">
        <v>989</v>
      </c>
      <c r="B185" s="373" t="s">
        <v>1937</v>
      </c>
      <c r="C185" s="373"/>
      <c r="D185" s="21" t="s">
        <v>790</v>
      </c>
      <c r="E185" s="371" t="e">
        <f>INDEX('PY1 Data(H)'!$A$1:$BV$265,MATCH('Unit Data from Audit Worksheet'!$A185,'PY1 Data(H)'!$A$1:$A$258,0),MATCH('Unit Data from Audit Worksheet'!$D$2,'PY1 Data(H)'!$A$1:$BV$1,0))</f>
        <v>#N/A</v>
      </c>
      <c r="F185" s="185"/>
      <c r="G185" s="401"/>
      <c r="H185" s="17"/>
      <c r="I185" s="17"/>
      <c r="J185" s="72"/>
      <c r="K185"/>
      <c r="L185" s="547"/>
    </row>
    <row r="186" spans="1:12" ht="72" x14ac:dyDescent="0.3">
      <c r="A186" s="100"/>
      <c r="B186" s="499"/>
      <c r="C186" s="499"/>
      <c r="D186" s="500" t="s">
        <v>1562</v>
      </c>
      <c r="E186" s="502"/>
      <c r="F186" s="502"/>
      <c r="G186" s="503"/>
      <c r="H186" s="17"/>
      <c r="I186" s="17"/>
      <c r="J186" s="72"/>
      <c r="K186"/>
      <c r="L186" s="547"/>
    </row>
    <row r="187" spans="1:12" ht="23.4" customHeight="1" x14ac:dyDescent="0.3">
      <c r="A187" s="100"/>
      <c r="B187" s="277"/>
      <c r="C187" s="277"/>
      <c r="D187" s="417" t="s">
        <v>1945</v>
      </c>
      <c r="E187" s="371"/>
      <c r="F187" s="243"/>
      <c r="G187" s="407"/>
      <c r="H187" s="17"/>
      <c r="I187" s="17"/>
      <c r="J187" s="72"/>
      <c r="K187"/>
      <c r="L187" s="547"/>
    </row>
    <row r="188" spans="1:12" ht="48.75" customHeight="1" x14ac:dyDescent="0.3">
      <c r="A188" s="100"/>
      <c r="B188" s="277"/>
      <c r="C188" s="277"/>
      <c r="D188" s="21" t="s">
        <v>747</v>
      </c>
      <c r="E188" s="371"/>
      <c r="F188" s="243"/>
      <c r="G188" s="407"/>
      <c r="H188" s="17"/>
      <c r="I188" s="17"/>
      <c r="J188" s="72"/>
      <c r="K188"/>
      <c r="L188" s="547"/>
    </row>
    <row r="189" spans="1:12" ht="51.75" customHeight="1" x14ac:dyDescent="0.3">
      <c r="A189" s="100">
        <v>327</v>
      </c>
      <c r="B189" s="373" t="s">
        <v>36</v>
      </c>
      <c r="C189" s="373" t="s">
        <v>166</v>
      </c>
      <c r="D189" s="418" t="s">
        <v>748</v>
      </c>
      <c r="E189" s="371" t="e">
        <f>INDEX('PY1 Data(H)'!$A$1:$BV$265,MATCH('Unit Data from Audit Worksheet'!$A189,'PY1 Data(H)'!$A$1:$A$258,0),MATCH('Unit Data from Audit Worksheet'!$D$2,'PY1 Data(H)'!$A$1:$BV$1,0))</f>
        <v>#N/A</v>
      </c>
      <c r="F189" s="793">
        <v>0</v>
      </c>
      <c r="G189" s="407"/>
      <c r="H189" s="17"/>
      <c r="I189" s="402"/>
      <c r="J189" s="403"/>
      <c r="K189"/>
      <c r="L189" s="547"/>
    </row>
    <row r="190" spans="1:12" ht="51.75" customHeight="1" x14ac:dyDescent="0.3">
      <c r="A190" s="100">
        <v>328</v>
      </c>
      <c r="B190" s="373" t="s">
        <v>36</v>
      </c>
      <c r="C190" s="373" t="s">
        <v>166</v>
      </c>
      <c r="D190" s="27" t="s">
        <v>7</v>
      </c>
      <c r="E190" s="371" t="e">
        <f>INDEX('PY1 Data(H)'!$A$1:$BV$265,MATCH('Unit Data from Audit Worksheet'!$A190,'PY1 Data(H)'!$A$1:$A$258,0),MATCH('Unit Data from Audit Worksheet'!$D$2,'PY1 Data(H)'!$A$1:$BV$1,0))</f>
        <v>#N/A</v>
      </c>
      <c r="F190" s="793">
        <v>0</v>
      </c>
      <c r="G190" s="407"/>
      <c r="H190" s="17"/>
      <c r="I190" s="402"/>
      <c r="J190" s="403"/>
      <c r="K190"/>
      <c r="L190" s="547"/>
    </row>
    <row r="191" spans="1:12" ht="42" customHeight="1" x14ac:dyDescent="0.3">
      <c r="A191" s="100"/>
      <c r="B191" s="277"/>
      <c r="C191" s="277"/>
      <c r="D191" s="28" t="s">
        <v>749</v>
      </c>
      <c r="E191" s="93" t="e">
        <f>E189+E190</f>
        <v>#N/A</v>
      </c>
      <c r="F191" s="93">
        <f>SUM(F189:F190)</f>
        <v>0</v>
      </c>
      <c r="G191" s="407"/>
      <c r="H191" s="17"/>
      <c r="I191" s="17"/>
      <c r="J191" s="72"/>
      <c r="K191"/>
      <c r="L191" s="547"/>
    </row>
    <row r="192" spans="1:12" ht="28.8" x14ac:dyDescent="0.3">
      <c r="A192" s="100"/>
      <c r="B192" s="277"/>
      <c r="C192" s="277"/>
      <c r="D192" s="21" t="s">
        <v>750</v>
      </c>
      <c r="E192" s="1"/>
      <c r="F192" s="243"/>
      <c r="G192" s="407"/>
      <c r="H192" s="17"/>
      <c r="I192" s="17"/>
      <c r="J192" s="72"/>
      <c r="K192"/>
      <c r="L192" s="547"/>
    </row>
    <row r="193" spans="1:20" ht="24" customHeight="1" x14ac:dyDescent="0.3">
      <c r="A193" s="100"/>
      <c r="B193" s="277"/>
      <c r="C193" s="277"/>
      <c r="D193" s="25" t="s">
        <v>9</v>
      </c>
      <c r="F193" s="419"/>
      <c r="G193" s="407"/>
      <c r="H193" s="17"/>
      <c r="I193" s="17"/>
      <c r="J193" s="72"/>
      <c r="K193"/>
      <c r="L193" s="547"/>
    </row>
    <row r="194" spans="1:20" ht="72" customHeight="1" x14ac:dyDescent="0.3">
      <c r="A194" s="100">
        <v>515</v>
      </c>
      <c r="B194" s="948" t="s">
        <v>1891</v>
      </c>
      <c r="C194" s="373" t="s">
        <v>167</v>
      </c>
      <c r="D194" s="29" t="s">
        <v>3</v>
      </c>
      <c r="E194" s="371" t="e">
        <f>INDEX('PY1 Data(H)'!$A$1:$BV$265,MATCH('Unit Data from Audit Worksheet'!$A194,'PY1 Data(H)'!$A$1:$A$258,0),MATCH('Unit Data from Audit Worksheet'!$D$2,'PY1 Data(H)'!$A$1:$BV$1,0))</f>
        <v>#N/A</v>
      </c>
      <c r="F194" s="793">
        <v>0</v>
      </c>
      <c r="G194" s="401"/>
      <c r="H194" s="17"/>
      <c r="I194" s="17"/>
      <c r="J194" s="72"/>
      <c r="K194"/>
      <c r="L194" s="547"/>
    </row>
    <row r="195" spans="1:20" ht="75.599999999999994" customHeight="1" x14ac:dyDescent="0.3">
      <c r="A195" s="100">
        <v>516</v>
      </c>
      <c r="B195" s="948" t="s">
        <v>1891</v>
      </c>
      <c r="C195" s="373" t="s">
        <v>167</v>
      </c>
      <c r="D195" s="29" t="s">
        <v>4</v>
      </c>
      <c r="E195" s="371" t="e">
        <f>INDEX('PY1 Data(H)'!$A$1:$BV$265,MATCH('Unit Data from Audit Worksheet'!$A195,'PY1 Data(H)'!$A$1:$A$258,0),MATCH('Unit Data from Audit Worksheet'!$D$2,'PY1 Data(H)'!$A$1:$BV$1,0))</f>
        <v>#N/A</v>
      </c>
      <c r="F195" s="793">
        <v>0</v>
      </c>
      <c r="G195" s="401"/>
      <c r="H195" s="17"/>
      <c r="I195" s="17"/>
      <c r="J195" s="72"/>
      <c r="K195"/>
      <c r="L195" s="547"/>
    </row>
    <row r="196" spans="1:20" ht="73.2" customHeight="1" x14ac:dyDescent="0.3">
      <c r="A196" s="100">
        <v>517</v>
      </c>
      <c r="B196" s="948" t="s">
        <v>1891</v>
      </c>
      <c r="C196" s="373" t="s">
        <v>167</v>
      </c>
      <c r="D196" s="29" t="s">
        <v>5</v>
      </c>
      <c r="E196" s="371" t="e">
        <f>INDEX('PY1 Data(H)'!$A$1:$BV$265,MATCH('Unit Data from Audit Worksheet'!$A196,'PY1 Data(H)'!$A$1:$A$258,0),MATCH('Unit Data from Audit Worksheet'!$D$2,'PY1 Data(H)'!$A$1:$BV$1,0))</f>
        <v>#N/A</v>
      </c>
      <c r="F196" s="793">
        <v>0</v>
      </c>
      <c r="G196" s="401"/>
      <c r="H196" s="17"/>
      <c r="I196" s="17"/>
      <c r="J196" s="72"/>
      <c r="K196"/>
      <c r="L196" s="547"/>
    </row>
    <row r="197" spans="1:20" ht="78" customHeight="1" x14ac:dyDescent="0.3">
      <c r="A197" s="100">
        <v>518</v>
      </c>
      <c r="B197" s="948" t="s">
        <v>1891</v>
      </c>
      <c r="C197" s="373" t="s">
        <v>167</v>
      </c>
      <c r="D197" s="29" t="s">
        <v>38</v>
      </c>
      <c r="E197" s="371" t="e">
        <f>INDEX('PY1 Data(H)'!$A$1:$BV$265,MATCH('Unit Data from Audit Worksheet'!$A197,'PY1 Data(H)'!$A$1:$A$258,0),MATCH('Unit Data from Audit Worksheet'!$D$2,'PY1 Data(H)'!$A$1:$BV$1,0))</f>
        <v>#N/A</v>
      </c>
      <c r="F197" s="793">
        <v>0</v>
      </c>
      <c r="G197" s="401"/>
      <c r="H197" s="17"/>
      <c r="I197" s="17"/>
      <c r="J197" s="72"/>
      <c r="K197"/>
      <c r="L197" s="547"/>
    </row>
    <row r="198" spans="1:20" ht="51" customHeight="1" x14ac:dyDescent="0.3">
      <c r="A198" s="707"/>
      <c r="B198" s="277"/>
      <c r="C198" s="277"/>
      <c r="D198" s="420" t="s">
        <v>751</v>
      </c>
      <c r="E198" s="93" t="e">
        <f>E194+E195+E196+E197</f>
        <v>#N/A</v>
      </c>
      <c r="F198" s="93">
        <f>SUM(F194:F197)</f>
        <v>0</v>
      </c>
      <c r="G198" s="407"/>
      <c r="H198" s="17"/>
      <c r="I198" s="17"/>
      <c r="J198" s="72"/>
      <c r="K198"/>
      <c r="L198" s="547"/>
    </row>
    <row r="199" spans="1:20" ht="30.75" customHeight="1" x14ac:dyDescent="0.3">
      <c r="A199" s="100"/>
      <c r="B199" s="277"/>
      <c r="C199" s="277"/>
      <c r="D199" s="25" t="s">
        <v>47</v>
      </c>
      <c r="E199" s="1"/>
      <c r="F199" s="243"/>
      <c r="G199" s="407"/>
      <c r="H199" s="17"/>
      <c r="I199" s="17"/>
      <c r="J199" s="72"/>
      <c r="K199"/>
      <c r="L199" s="547"/>
    </row>
    <row r="200" spans="1:20" ht="63" customHeight="1" x14ac:dyDescent="0.3">
      <c r="A200" s="100">
        <v>519</v>
      </c>
      <c r="B200" s="373" t="s">
        <v>36</v>
      </c>
      <c r="C200" s="373" t="s">
        <v>168</v>
      </c>
      <c r="D200" s="29" t="s">
        <v>14</v>
      </c>
      <c r="E200" s="371" t="e">
        <f>INDEX('PY1 Data(H)'!$A$1:$BV$265,MATCH('Unit Data from Audit Worksheet'!$A200,'PY1 Data(H)'!$A$1:$A$258,0),MATCH('Unit Data from Audit Worksheet'!$D$2,'PY1 Data(H)'!$A$1:$BV$1,0))</f>
        <v>#N/A</v>
      </c>
      <c r="F200" s="793">
        <v>0</v>
      </c>
      <c r="G200" s="401">
        <f>IF(F200&lt;0,"Error: Enter as positive.",)</f>
        <v>0</v>
      </c>
      <c r="H200" s="17"/>
      <c r="I200" s="17"/>
      <c r="J200" s="72"/>
      <c r="K200"/>
      <c r="L200" s="547"/>
    </row>
    <row r="201" spans="1:20" ht="69.75" customHeight="1" x14ac:dyDescent="0.3">
      <c r="A201" s="100">
        <v>520</v>
      </c>
      <c r="B201" s="373" t="s">
        <v>36</v>
      </c>
      <c r="C201" s="373" t="s">
        <v>168</v>
      </c>
      <c r="D201" s="29" t="s">
        <v>16</v>
      </c>
      <c r="E201" s="371" t="e">
        <f>INDEX('PY1 Data(H)'!$A$1:$BV$265,MATCH('Unit Data from Audit Worksheet'!$A201,'PY1 Data(H)'!$A$1:$A$258,0),MATCH('Unit Data from Audit Worksheet'!$D$2,'PY1 Data(H)'!$A$1:$BV$1,0))</f>
        <v>#N/A</v>
      </c>
      <c r="F201" s="793">
        <v>0</v>
      </c>
      <c r="G201" s="401">
        <f>IF(F201&lt;0,"Error: Enter as positive.",)</f>
        <v>0</v>
      </c>
      <c r="H201" s="17"/>
      <c r="I201" s="17"/>
      <c r="J201" s="72"/>
      <c r="K201"/>
      <c r="L201" s="547"/>
    </row>
    <row r="202" spans="1:20" ht="72" customHeight="1" x14ac:dyDescent="0.3">
      <c r="A202" s="100">
        <v>521</v>
      </c>
      <c r="B202" s="373" t="s">
        <v>36</v>
      </c>
      <c r="C202" s="373" t="s">
        <v>168</v>
      </c>
      <c r="D202" s="29" t="s">
        <v>18</v>
      </c>
      <c r="E202" s="371" t="e">
        <f>INDEX('PY1 Data(H)'!$A$1:$BV$265,MATCH('Unit Data from Audit Worksheet'!$A202,'PY1 Data(H)'!$A$1:$A$258,0),MATCH('Unit Data from Audit Worksheet'!$D$2,'PY1 Data(H)'!$A$1:$BV$1,0))</f>
        <v>#N/A</v>
      </c>
      <c r="F202" s="793">
        <v>0</v>
      </c>
      <c r="G202" s="401">
        <f>IF(F202&lt;0,"Error: Enter as positive.",)</f>
        <v>0</v>
      </c>
      <c r="H202" s="17"/>
      <c r="I202" s="17"/>
      <c r="J202" s="72"/>
      <c r="K202"/>
      <c r="L202" s="547"/>
    </row>
    <row r="203" spans="1:20" ht="74.25" customHeight="1" x14ac:dyDescent="0.3">
      <c r="A203" s="100">
        <v>522</v>
      </c>
      <c r="B203" s="373" t="s">
        <v>36</v>
      </c>
      <c r="C203" s="373" t="s">
        <v>168</v>
      </c>
      <c r="D203" s="29" t="s">
        <v>39</v>
      </c>
      <c r="E203" s="371" t="e">
        <f>INDEX('PY1 Data(H)'!$A$1:$BV$265,MATCH('Unit Data from Audit Worksheet'!$A203,'PY1 Data(H)'!$A$1:$A$258,0),MATCH('Unit Data from Audit Worksheet'!$D$2,'PY1 Data(H)'!$A$1:$BV$1,0))</f>
        <v>#N/A</v>
      </c>
      <c r="F203" s="793">
        <v>0</v>
      </c>
      <c r="G203" s="401">
        <f>IF(F203&lt;0,"Error: Enter as positive.",)</f>
        <v>0</v>
      </c>
      <c r="H203" s="17"/>
      <c r="I203" s="17"/>
      <c r="J203" s="72"/>
      <c r="K203"/>
      <c r="L203" s="547"/>
    </row>
    <row r="204" spans="1:20" ht="31.5" customHeight="1" x14ac:dyDescent="0.3">
      <c r="A204" s="705"/>
      <c r="B204" s="277"/>
      <c r="C204" s="277"/>
      <c r="D204" s="421" t="s">
        <v>33</v>
      </c>
      <c r="E204" s="93" t="e">
        <f>E200+E201+E202+E203</f>
        <v>#N/A</v>
      </c>
      <c r="F204" s="93">
        <f>SUM(F200:F203)</f>
        <v>0</v>
      </c>
      <c r="G204" s="123"/>
      <c r="H204" s="17"/>
      <c r="I204" s="17"/>
      <c r="J204" s="72"/>
      <c r="K204"/>
      <c r="L204" s="547"/>
    </row>
    <row r="205" spans="1:20" ht="26.25" customHeight="1" x14ac:dyDescent="0.3">
      <c r="A205" s="705"/>
      <c r="B205" s="277"/>
      <c r="C205" s="277"/>
      <c r="D205" s="25" t="s">
        <v>31</v>
      </c>
      <c r="E205" s="6"/>
      <c r="F205" s="422"/>
      <c r="G205" s="123"/>
      <c r="H205" s="17"/>
      <c r="I205" s="524"/>
      <c r="J205"/>
      <c r="K205"/>
      <c r="L205"/>
      <c r="N205"/>
      <c r="O205"/>
      <c r="P205"/>
      <c r="Q205"/>
      <c r="R205"/>
      <c r="S205"/>
      <c r="T205"/>
    </row>
    <row r="206" spans="1:20" ht="89.25" customHeight="1" x14ac:dyDescent="0.3">
      <c r="A206" s="100">
        <v>523</v>
      </c>
      <c r="B206" s="948" t="s">
        <v>1891</v>
      </c>
      <c r="C206" s="373" t="s">
        <v>169</v>
      </c>
      <c r="D206" s="29" t="s">
        <v>15</v>
      </c>
      <c r="E206" s="371" t="e">
        <f>INDEX('PY1 Data(H)'!$A$1:$BV$265,MATCH('Unit Data from Audit Worksheet'!$A206,'PY1 Data(H)'!$A$1:$A$258,0),MATCH('Unit Data from Audit Worksheet'!$D$2,'PY1 Data(H)'!$A$1:$BV$1,0))</f>
        <v>#N/A</v>
      </c>
      <c r="F206" s="793">
        <v>0</v>
      </c>
      <c r="G206" s="401">
        <f>IF(F206&lt;0,"Error: Enter as positive.",)</f>
        <v>0</v>
      </c>
      <c r="H206" s="17"/>
      <c r="I206" s="524"/>
      <c r="J206"/>
      <c r="K206"/>
      <c r="L206"/>
      <c r="N206"/>
      <c r="O206"/>
      <c r="P206"/>
      <c r="Q206"/>
      <c r="R206"/>
      <c r="S206"/>
      <c r="T206"/>
    </row>
    <row r="207" spans="1:20" ht="75" customHeight="1" x14ac:dyDescent="0.3">
      <c r="A207" s="100">
        <v>524</v>
      </c>
      <c r="B207" s="948" t="s">
        <v>1891</v>
      </c>
      <c r="C207" s="373" t="s">
        <v>169</v>
      </c>
      <c r="D207" s="29" t="s">
        <v>17</v>
      </c>
      <c r="E207" s="371" t="e">
        <f>INDEX('PY1 Data(H)'!$A$1:$BV$265,MATCH('Unit Data from Audit Worksheet'!$A207,'PY1 Data(H)'!$A$1:$A$258,0),MATCH('Unit Data from Audit Worksheet'!$D$2,'PY1 Data(H)'!$A$1:$BV$1,0))</f>
        <v>#N/A</v>
      </c>
      <c r="F207" s="793">
        <v>0</v>
      </c>
      <c r="G207" s="401">
        <f>IF(F207&lt;0,"Error: Enter as positive.",)</f>
        <v>0</v>
      </c>
      <c r="H207" s="17"/>
      <c r="I207" s="524"/>
      <c r="J207"/>
      <c r="K207"/>
      <c r="L207"/>
      <c r="N207"/>
      <c r="O207"/>
      <c r="P207"/>
      <c r="Q207"/>
      <c r="R207"/>
      <c r="S207"/>
      <c r="T207"/>
    </row>
    <row r="208" spans="1:20" ht="75" customHeight="1" x14ac:dyDescent="0.3">
      <c r="A208" s="100">
        <v>525</v>
      </c>
      <c r="B208" s="948" t="s">
        <v>1891</v>
      </c>
      <c r="C208" s="373" t="s">
        <v>169</v>
      </c>
      <c r="D208" s="29" t="s">
        <v>19</v>
      </c>
      <c r="E208" s="371" t="e">
        <f>INDEX('PY1 Data(H)'!$A$1:$BV$265,MATCH('Unit Data from Audit Worksheet'!$A208,'PY1 Data(H)'!$A$1:$A$258,0),MATCH('Unit Data from Audit Worksheet'!$D$2,'PY1 Data(H)'!$A$1:$BV$1,0))</f>
        <v>#N/A</v>
      </c>
      <c r="F208" s="793">
        <v>0</v>
      </c>
      <c r="G208" s="401">
        <f>IF(F208&lt;0,"Error: Enter as positive.",)</f>
        <v>0</v>
      </c>
      <c r="H208" s="17"/>
      <c r="I208" s="524"/>
      <c r="J208"/>
      <c r="K208"/>
      <c r="L208"/>
      <c r="N208"/>
      <c r="O208"/>
      <c r="P208"/>
      <c r="Q208"/>
      <c r="R208"/>
      <c r="S208"/>
      <c r="T208"/>
    </row>
    <row r="209" spans="1:1881" ht="76.5" customHeight="1" x14ac:dyDescent="0.3">
      <c r="A209" s="100">
        <v>526</v>
      </c>
      <c r="B209" s="948" t="s">
        <v>1891</v>
      </c>
      <c r="C209" s="373" t="s">
        <v>169</v>
      </c>
      <c r="D209" s="29" t="s">
        <v>40</v>
      </c>
      <c r="E209" s="371" t="e">
        <f>INDEX('PY1 Data(H)'!$A$1:$BV$265,MATCH('Unit Data from Audit Worksheet'!$A209,'PY1 Data(H)'!$A$1:$A$258,0),MATCH('Unit Data from Audit Worksheet'!$D$2,'PY1 Data(H)'!$A$1:$BV$1,0))</f>
        <v>#N/A</v>
      </c>
      <c r="F209" s="793">
        <v>0</v>
      </c>
      <c r="G209" s="401">
        <f>IF(F209&lt;0,"Error: Enter as positive.",)</f>
        <v>0</v>
      </c>
      <c r="H209" s="17"/>
      <c r="I209" s="524"/>
      <c r="J209"/>
      <c r="K209"/>
      <c r="L209"/>
      <c r="N209"/>
      <c r="O209"/>
      <c r="P209"/>
      <c r="Q209"/>
      <c r="R209"/>
      <c r="S209"/>
      <c r="T209"/>
    </row>
    <row r="210" spans="1:1881" ht="24.75" customHeight="1" x14ac:dyDescent="0.3">
      <c r="A210" s="100"/>
      <c r="B210" s="463"/>
      <c r="C210" s="463"/>
      <c r="D210" s="421" t="s">
        <v>32</v>
      </c>
      <c r="E210" s="93" t="e">
        <f>E206+E207+E208+E209</f>
        <v>#N/A</v>
      </c>
      <c r="F210" s="93">
        <f>SUM(F206:F209)</f>
        <v>0</v>
      </c>
      <c r="G210" s="407"/>
      <c r="H210" s="17"/>
      <c r="I210" s="17"/>
      <c r="J210" s="72"/>
      <c r="K210"/>
      <c r="L210" s="547"/>
    </row>
    <row r="211" spans="1:1881" ht="61.5" customHeight="1" x14ac:dyDescent="0.3">
      <c r="A211" s="100"/>
      <c r="B211" s="463"/>
      <c r="C211" s="463"/>
      <c r="D211" s="423" t="s">
        <v>34</v>
      </c>
      <c r="E211" s="93" t="e">
        <f>E191+E198-E210</f>
        <v>#N/A</v>
      </c>
      <c r="F211" s="93">
        <f>F191+F198-F210</f>
        <v>0</v>
      </c>
      <c r="G211" s="407"/>
      <c r="H211" s="17"/>
      <c r="I211" s="17"/>
      <c r="J211" s="72"/>
      <c r="K211"/>
      <c r="L211" s="547"/>
    </row>
    <row r="212" spans="1:1881" ht="21.6" customHeight="1" x14ac:dyDescent="0.3">
      <c r="A212" s="100"/>
      <c r="B212" s="277"/>
      <c r="C212" s="277"/>
      <c r="D212" s="415"/>
      <c r="E212" s="1"/>
      <c r="F212" s="243"/>
      <c r="G212" s="407"/>
      <c r="H212" s="17"/>
      <c r="I212" s="17"/>
      <c r="J212" s="72"/>
      <c r="K212"/>
      <c r="L212" s="547"/>
    </row>
    <row r="213" spans="1:1881" ht="34.5" customHeight="1" x14ac:dyDescent="0.3">
      <c r="A213" s="100"/>
      <c r="B213" s="499"/>
      <c r="C213" s="499"/>
      <c r="D213" s="491" t="s">
        <v>8</v>
      </c>
      <c r="E213" s="501"/>
      <c r="F213" s="502"/>
      <c r="G213" s="503"/>
      <c r="H213" s="17"/>
      <c r="I213" s="17"/>
      <c r="J213" s="72"/>
      <c r="K213"/>
      <c r="L213" s="547"/>
    </row>
    <row r="214" spans="1:1881" ht="55.5" customHeight="1" x14ac:dyDescent="0.3">
      <c r="A214" s="100">
        <v>527</v>
      </c>
      <c r="B214" s="948" t="s">
        <v>1897</v>
      </c>
      <c r="C214" s="373" t="s">
        <v>170</v>
      </c>
      <c r="D214" s="26" t="s">
        <v>752</v>
      </c>
      <c r="E214" s="371" t="e">
        <f>INDEX('PY1 Data(H)'!$A$1:$BV$265,MATCH('Unit Data from Audit Worksheet'!$A214,'PY1 Data(H)'!$A$1:$A$258,0),MATCH('Unit Data from Audit Worksheet'!$D$2,'PY1 Data(H)'!$A$1:$BV$1,0))</f>
        <v>#N/A</v>
      </c>
      <c r="F214" s="793">
        <v>0</v>
      </c>
      <c r="G214" s="407"/>
      <c r="H214" s="17"/>
      <c r="I214" s="402"/>
      <c r="J214" s="403"/>
      <c r="K214"/>
      <c r="L214" s="547"/>
    </row>
    <row r="215" spans="1:1881" ht="55.5" customHeight="1" x14ac:dyDescent="0.3">
      <c r="A215" s="100">
        <v>356</v>
      </c>
      <c r="B215" s="948" t="s">
        <v>1896</v>
      </c>
      <c r="C215" s="373" t="s">
        <v>170</v>
      </c>
      <c r="D215" s="99" t="s">
        <v>20</v>
      </c>
      <c r="E215" s="371" t="e">
        <f>INDEX('PY1 Data(H)'!$A$1:$BV$265,MATCH('Unit Data from Audit Worksheet'!$A215,'PY1 Data(H)'!$A$1:$A$258,0),MATCH('Unit Data from Audit Worksheet'!$D$2,'PY1 Data(H)'!$A$1:$BV$1,0))</f>
        <v>#N/A</v>
      </c>
      <c r="F215" s="793">
        <v>0</v>
      </c>
      <c r="G215" s="407"/>
      <c r="H215" s="17"/>
      <c r="I215" s="402"/>
      <c r="J215" s="403"/>
      <c r="K215"/>
      <c r="L215" s="547"/>
    </row>
    <row r="216" spans="1:1881" ht="55.5" customHeight="1" x14ac:dyDescent="0.3">
      <c r="A216" s="100">
        <v>357</v>
      </c>
      <c r="B216" s="373" t="s">
        <v>55</v>
      </c>
      <c r="C216" s="373" t="s">
        <v>171</v>
      </c>
      <c r="D216" s="99" t="s">
        <v>21</v>
      </c>
      <c r="E216" s="371" t="e">
        <f>INDEX('PY1 Data(H)'!$A$1:$BV$265,MATCH('Unit Data from Audit Worksheet'!$A216,'PY1 Data(H)'!$A$1:$A$258,0),MATCH('Unit Data from Audit Worksheet'!$D$2,'PY1 Data(H)'!$A$1:$BV$1,0))</f>
        <v>#N/A</v>
      </c>
      <c r="F216" s="793">
        <v>0</v>
      </c>
      <c r="G216" s="401">
        <f>IF(F216&lt;0,"Error: Enter as positive.",)</f>
        <v>0</v>
      </c>
      <c r="H216" s="17"/>
      <c r="I216" s="402"/>
      <c r="J216" s="403"/>
      <c r="K216"/>
      <c r="L216" s="547"/>
    </row>
    <row r="217" spans="1:1881" s="18" customFormat="1" ht="35.25" customHeight="1" x14ac:dyDescent="0.3">
      <c r="A217" s="100"/>
      <c r="B217" s="489" t="s">
        <v>10</v>
      </c>
      <c r="C217" s="499"/>
      <c r="D217" s="467"/>
      <c r="E217" s="504"/>
      <c r="F217" s="504"/>
      <c r="G217" s="486"/>
      <c r="H217" s="17"/>
      <c r="I217" s="17"/>
      <c r="J217" s="72"/>
      <c r="K217"/>
      <c r="L217" s="547"/>
      <c r="M217"/>
      <c r="O217" s="186"/>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row>
    <row r="218" spans="1:1881" s="18" customFormat="1" ht="253.2" customHeight="1" x14ac:dyDescent="0.3">
      <c r="A218" s="100">
        <v>337</v>
      </c>
      <c r="B218" s="4" t="s">
        <v>55</v>
      </c>
      <c r="C218" s="4" t="s">
        <v>753</v>
      </c>
      <c r="D218" s="21" t="s">
        <v>635</v>
      </c>
      <c r="E218" s="371" t="e">
        <f>INDEX('PY1 Data(H)'!$A$1:$BV$265,MATCH('Unit Data from Audit Worksheet'!$A218,'PY1 Data(H)'!$A$1:$A$258,0),MATCH('Unit Data from Audit Worksheet'!$D$2,'PY1 Data(H)'!$A$1:$BV$1,0))</f>
        <v>#N/A</v>
      </c>
      <c r="F218" s="793">
        <v>0</v>
      </c>
      <c r="G218" s="401">
        <f>IF(F218&lt;0,"Error: Enter as positive.",)</f>
        <v>0</v>
      </c>
      <c r="H218" s="17"/>
      <c r="I218" s="17"/>
      <c r="J218" s="72"/>
      <c r="K218"/>
      <c r="L218" s="547"/>
      <c r="M218"/>
      <c r="O218" s="186"/>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row>
    <row r="219" spans="1:1881" s="18" customFormat="1" ht="81.75" customHeight="1" x14ac:dyDescent="0.3">
      <c r="A219" s="100">
        <v>343</v>
      </c>
      <c r="B219" s="4" t="s">
        <v>55</v>
      </c>
      <c r="C219" s="4" t="s">
        <v>337</v>
      </c>
      <c r="D219" s="26" t="s">
        <v>754</v>
      </c>
      <c r="E219" s="371" t="e">
        <f>INDEX('PY1 Data(H)'!$A$1:$BV$265,MATCH('Unit Data from Audit Worksheet'!$A219,'PY1 Data(H)'!$A$1:$A$258,0),MATCH('Unit Data from Audit Worksheet'!$D$2,'PY1 Data(H)'!$A$1:$BV$1,0))</f>
        <v>#N/A</v>
      </c>
      <c r="F219" s="793">
        <v>0</v>
      </c>
      <c r="G219" s="401">
        <f>IF(F219&lt;0,"Error: Enter as positive.",)</f>
        <v>0</v>
      </c>
      <c r="H219" s="17"/>
      <c r="I219" s="17"/>
      <c r="J219" s="72"/>
      <c r="K219"/>
      <c r="L219" s="547"/>
      <c r="M219"/>
      <c r="N219" s="91"/>
      <c r="O219" s="186"/>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row>
    <row r="220" spans="1:1881" ht="274.5" customHeight="1" x14ac:dyDescent="0.3">
      <c r="A220" s="100">
        <v>82</v>
      </c>
      <c r="B220" s="4" t="s">
        <v>60</v>
      </c>
      <c r="C220" s="4" t="s">
        <v>755</v>
      </c>
      <c r="D220" s="21" t="s">
        <v>451</v>
      </c>
      <c r="E220" s="371" t="e">
        <f>INDEX('PY1 Data(H)'!$A$1:$BV$265,MATCH('Unit Data from Audit Worksheet'!$A220,'PY1 Data(H)'!$A$1:$A$258,0),MATCH('Unit Data from Audit Worksheet'!$D$2,'PY1 Data(H)'!$A$1:$BV$1,0))</f>
        <v>#N/A</v>
      </c>
      <c r="F220" s="802">
        <v>0</v>
      </c>
      <c r="G220" s="401">
        <f>IF(F220&lt;0,"Error: Enter as positive.",)</f>
        <v>0</v>
      </c>
      <c r="H220" s="17"/>
      <c r="I220" s="17"/>
      <c r="J220" s="424"/>
      <c r="K220"/>
      <c r="L220" s="547"/>
    </row>
    <row r="221" spans="1:1881" ht="270.75" customHeight="1" x14ac:dyDescent="0.3">
      <c r="A221" s="100">
        <v>359</v>
      </c>
      <c r="B221" s="4" t="s">
        <v>55</v>
      </c>
      <c r="C221" s="4" t="s">
        <v>756</v>
      </c>
      <c r="D221" s="21" t="s">
        <v>451</v>
      </c>
      <c r="E221" s="371" t="e">
        <f>INDEX('PY1 Data(H)'!$A$1:$BV$265,MATCH('Unit Data from Audit Worksheet'!$A221,'PY1 Data(H)'!$A$1:$A$258,0),MATCH('Unit Data from Audit Worksheet'!$D$2,'PY1 Data(H)'!$A$1:$BV$1,0))</f>
        <v>#N/A</v>
      </c>
      <c r="F221" s="793">
        <v>0</v>
      </c>
      <c r="G221" s="401">
        <f>IF(F221&lt;0,"Error: Enter as positive.",)</f>
        <v>0</v>
      </c>
      <c r="H221" s="17"/>
      <c r="I221" s="17"/>
      <c r="J221" s="424"/>
      <c r="K221"/>
      <c r="L221" s="547"/>
    </row>
    <row r="222" spans="1:1881" s="426" customFormat="1" ht="33" customHeight="1" x14ac:dyDescent="0.3">
      <c r="A222" s="100"/>
      <c r="B222" s="737" t="s">
        <v>353</v>
      </c>
      <c r="C222" s="710"/>
      <c r="D222" s="89"/>
      <c r="E222" s="425"/>
      <c r="F222" s="413"/>
      <c r="G222" s="400"/>
      <c r="H222" s="17"/>
      <c r="I222" s="17"/>
      <c r="J222" s="424"/>
      <c r="K222"/>
      <c r="L222" s="547"/>
      <c r="M222"/>
      <c r="N222" s="18"/>
      <c r="O222" s="186"/>
      <c r="P222" s="18"/>
      <c r="Q222" s="18"/>
      <c r="R222" s="18"/>
      <c r="S222" s="18"/>
      <c r="T222" s="18"/>
      <c r="U222" s="18"/>
      <c r="V222" s="18"/>
      <c r="W222" s="18"/>
      <c r="X222" s="18"/>
      <c r="Y222" s="18"/>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c r="GQ222" s="18"/>
      <c r="GR222" s="18"/>
      <c r="GS222" s="18"/>
      <c r="GT222" s="18"/>
      <c r="GU222" s="18"/>
      <c r="GV222" s="18"/>
      <c r="GW222" s="18"/>
      <c r="GX222" s="18"/>
      <c r="GY222" s="18"/>
      <c r="GZ222" s="18"/>
      <c r="HA222" s="18"/>
      <c r="HB222" s="18"/>
      <c r="HC222" s="18"/>
      <c r="HD222" s="18"/>
      <c r="HE222" s="18"/>
      <c r="HF222" s="18"/>
      <c r="HG222" s="18"/>
      <c r="HH222" s="18"/>
      <c r="HI222" s="18"/>
      <c r="HJ222" s="18"/>
      <c r="HK222" s="18"/>
      <c r="HL222" s="18"/>
      <c r="HM222" s="18"/>
      <c r="HN222" s="18"/>
      <c r="HO222" s="18"/>
      <c r="HP222" s="18"/>
      <c r="HQ222" s="18"/>
      <c r="HR222" s="18"/>
      <c r="HS222" s="18"/>
      <c r="HT222" s="18"/>
      <c r="HU222" s="18"/>
      <c r="HV222" s="18"/>
      <c r="HW222" s="18"/>
      <c r="HX222" s="18"/>
      <c r="HY222" s="18"/>
      <c r="HZ222" s="18"/>
      <c r="IA222" s="18"/>
      <c r="IB222" s="18"/>
      <c r="IC222" s="18"/>
      <c r="ID222" s="18"/>
      <c r="IE222" s="18"/>
      <c r="IF222" s="18"/>
      <c r="IG222" s="18"/>
      <c r="IH222" s="18"/>
      <c r="II222" s="18"/>
      <c r="IJ222" s="18"/>
      <c r="IK222" s="18"/>
      <c r="IL222" s="18"/>
      <c r="IM222" s="18"/>
      <c r="IN222" s="18"/>
      <c r="IO222" s="18"/>
      <c r="IP222" s="18"/>
      <c r="IQ222" s="18"/>
      <c r="IR222" s="18"/>
      <c r="IS222" s="18"/>
      <c r="IT222" s="18"/>
      <c r="IU222" s="18"/>
      <c r="IV222" s="18"/>
      <c r="IW222" s="18"/>
      <c r="IX222" s="18"/>
      <c r="IY222" s="18"/>
      <c r="IZ222" s="18"/>
      <c r="JA222" s="18"/>
      <c r="JB222" s="18"/>
      <c r="JC222" s="18"/>
      <c r="JD222" s="18"/>
      <c r="JE222" s="18"/>
      <c r="JF222" s="18"/>
      <c r="JG222" s="18"/>
      <c r="JH222" s="18"/>
      <c r="JI222" s="18"/>
      <c r="JJ222" s="18"/>
      <c r="JK222" s="18"/>
      <c r="JL222" s="18"/>
      <c r="JM222" s="18"/>
      <c r="JN222" s="18"/>
      <c r="JO222" s="18"/>
      <c r="JP222" s="18"/>
      <c r="JQ222" s="18"/>
      <c r="JR222" s="18"/>
      <c r="JS222" s="18"/>
      <c r="JT222" s="18"/>
      <c r="JU222" s="18"/>
      <c r="JV222" s="18"/>
      <c r="JW222" s="18"/>
      <c r="JX222" s="18"/>
      <c r="JY222" s="18"/>
      <c r="JZ222" s="18"/>
      <c r="KA222" s="18"/>
      <c r="KB222" s="18"/>
      <c r="KC222" s="18"/>
      <c r="KD222" s="18"/>
      <c r="KE222" s="18"/>
      <c r="KF222" s="18"/>
      <c r="KG222" s="18"/>
      <c r="KH222" s="18"/>
      <c r="KI222" s="18"/>
      <c r="KJ222" s="18"/>
      <c r="KK222" s="18"/>
      <c r="KL222" s="18"/>
      <c r="KM222" s="18"/>
      <c r="KN222" s="18"/>
      <c r="KO222" s="18"/>
      <c r="KP222" s="18"/>
      <c r="KQ222" s="18"/>
      <c r="KR222" s="18"/>
      <c r="KS222" s="18"/>
      <c r="KT222" s="18"/>
      <c r="KU222" s="18"/>
      <c r="KV222" s="18"/>
      <c r="KW222" s="18"/>
      <c r="KX222" s="18"/>
      <c r="KY222" s="18"/>
      <c r="KZ222" s="18"/>
      <c r="LA222" s="18"/>
      <c r="LB222" s="18"/>
      <c r="LC222" s="18"/>
      <c r="LD222" s="18"/>
      <c r="LE222" s="18"/>
      <c r="LF222" s="18"/>
      <c r="LG222" s="18"/>
      <c r="LH222" s="18"/>
      <c r="LI222" s="18"/>
      <c r="LJ222" s="18"/>
      <c r="LK222" s="18"/>
      <c r="LL222" s="18"/>
      <c r="LM222" s="18"/>
      <c r="LN222" s="18"/>
      <c r="LO222" s="18"/>
      <c r="LP222" s="18"/>
      <c r="LQ222" s="18"/>
      <c r="LR222" s="18"/>
      <c r="LS222" s="18"/>
      <c r="LT222" s="18"/>
      <c r="LU222" s="18"/>
      <c r="LV222" s="18"/>
      <c r="LW222" s="18"/>
      <c r="LX222" s="18"/>
      <c r="LY222" s="18"/>
      <c r="LZ222" s="18"/>
      <c r="MA222" s="18"/>
      <c r="MB222" s="18"/>
      <c r="MC222" s="18"/>
      <c r="MD222" s="18"/>
      <c r="ME222" s="18"/>
      <c r="MF222" s="18"/>
      <c r="MG222" s="18"/>
      <c r="MH222" s="18"/>
      <c r="MI222" s="18"/>
      <c r="MJ222" s="18"/>
      <c r="MK222" s="18"/>
      <c r="ML222" s="18"/>
      <c r="MM222" s="18"/>
      <c r="MN222" s="18"/>
      <c r="MO222" s="18"/>
      <c r="MP222" s="18"/>
      <c r="MQ222" s="18"/>
      <c r="MR222" s="18"/>
      <c r="MS222" s="18"/>
      <c r="MT222" s="18"/>
      <c r="MU222" s="18"/>
      <c r="MV222" s="18"/>
      <c r="MW222" s="18"/>
      <c r="MX222" s="18"/>
      <c r="MY222" s="18"/>
      <c r="MZ222" s="18"/>
      <c r="NA222" s="18"/>
      <c r="NB222" s="18"/>
      <c r="NC222" s="18"/>
      <c r="ND222" s="18"/>
      <c r="NE222" s="18"/>
      <c r="NF222" s="18"/>
      <c r="NG222" s="18"/>
      <c r="NH222" s="18"/>
      <c r="NI222" s="18"/>
      <c r="NJ222" s="18"/>
      <c r="NK222" s="18"/>
      <c r="NL222" s="18"/>
      <c r="NM222" s="18"/>
      <c r="NN222" s="18"/>
      <c r="NO222" s="18"/>
      <c r="NP222" s="18"/>
      <c r="NQ222" s="18"/>
      <c r="NR222" s="18"/>
      <c r="NS222" s="18"/>
      <c r="NT222" s="18"/>
      <c r="NU222" s="18"/>
      <c r="NV222" s="18"/>
      <c r="NW222" s="18"/>
      <c r="NX222" s="18"/>
      <c r="NY222" s="18"/>
      <c r="NZ222" s="18"/>
      <c r="OA222" s="18"/>
      <c r="OB222" s="18"/>
      <c r="OC222" s="18"/>
      <c r="OD222" s="18"/>
      <c r="OE222" s="18"/>
      <c r="OF222" s="18"/>
      <c r="OG222" s="18"/>
      <c r="OH222" s="18"/>
      <c r="OI222" s="18"/>
      <c r="OJ222" s="18"/>
      <c r="OK222" s="18"/>
      <c r="OL222" s="18"/>
      <c r="OM222" s="18"/>
      <c r="ON222" s="18"/>
      <c r="OO222" s="18"/>
      <c r="OP222" s="18"/>
      <c r="OQ222" s="18"/>
      <c r="OR222" s="18"/>
      <c r="OS222" s="18"/>
      <c r="OT222" s="18"/>
      <c r="OU222" s="18"/>
      <c r="OV222" s="18"/>
      <c r="OW222" s="18"/>
      <c r="OX222" s="18"/>
      <c r="OY222" s="18"/>
      <c r="OZ222" s="18"/>
      <c r="PA222" s="18"/>
      <c r="PB222" s="18"/>
      <c r="PC222" s="18"/>
      <c r="PD222" s="18"/>
      <c r="PE222" s="18"/>
      <c r="PF222" s="18"/>
      <c r="PG222" s="18"/>
      <c r="PH222" s="18"/>
      <c r="PI222" s="18"/>
      <c r="PJ222" s="18"/>
      <c r="PK222" s="18"/>
      <c r="PL222" s="18"/>
      <c r="PM222" s="18"/>
      <c r="PN222" s="18"/>
      <c r="PO222" s="18"/>
      <c r="PP222" s="18"/>
      <c r="PQ222" s="18"/>
      <c r="PR222" s="18"/>
      <c r="PS222" s="18"/>
      <c r="PT222" s="18"/>
      <c r="PU222" s="18"/>
      <c r="PV222" s="18"/>
      <c r="PW222" s="18"/>
      <c r="PX222" s="18"/>
      <c r="PY222" s="18"/>
      <c r="PZ222" s="18"/>
      <c r="QA222" s="18"/>
      <c r="QB222" s="18"/>
      <c r="QC222" s="18"/>
      <c r="QD222" s="18"/>
      <c r="QE222" s="18"/>
      <c r="QF222" s="18"/>
      <c r="QG222" s="18"/>
      <c r="QH222" s="18"/>
      <c r="QI222" s="18"/>
      <c r="QJ222" s="18"/>
      <c r="QK222" s="18"/>
      <c r="QL222" s="18"/>
      <c r="QM222" s="18"/>
      <c r="QN222" s="18"/>
      <c r="QO222" s="18"/>
      <c r="QP222" s="18"/>
      <c r="QQ222" s="18"/>
      <c r="QR222" s="18"/>
      <c r="QS222" s="18"/>
      <c r="QT222" s="18"/>
      <c r="QU222" s="18"/>
      <c r="QV222" s="18"/>
      <c r="QW222" s="18"/>
      <c r="QX222" s="18"/>
      <c r="QY222" s="18"/>
      <c r="QZ222" s="18"/>
      <c r="RA222" s="18"/>
      <c r="RB222" s="18"/>
      <c r="RC222" s="18"/>
      <c r="RD222" s="18"/>
      <c r="RE222" s="18"/>
      <c r="RF222" s="18"/>
      <c r="RG222" s="18"/>
      <c r="RH222" s="18"/>
      <c r="RI222" s="18"/>
      <c r="RJ222" s="18"/>
      <c r="RK222" s="18"/>
      <c r="RL222" s="18"/>
      <c r="RM222" s="18"/>
      <c r="RN222" s="18"/>
      <c r="RO222" s="18"/>
      <c r="RP222" s="18"/>
      <c r="RQ222" s="18"/>
      <c r="RR222" s="18"/>
      <c r="RS222" s="18"/>
      <c r="RT222" s="18"/>
      <c r="RU222" s="18"/>
      <c r="RV222" s="18"/>
      <c r="RW222" s="18"/>
      <c r="RX222" s="18"/>
      <c r="RY222" s="18"/>
      <c r="RZ222" s="18"/>
      <c r="SA222" s="18"/>
      <c r="SB222" s="18"/>
      <c r="SC222" s="18"/>
      <c r="SD222" s="18"/>
      <c r="SE222" s="18"/>
      <c r="SF222" s="18"/>
      <c r="SG222" s="18"/>
      <c r="SH222" s="18"/>
      <c r="SI222" s="18"/>
      <c r="SJ222" s="18"/>
      <c r="SK222" s="18"/>
      <c r="SL222" s="18"/>
      <c r="SM222" s="18"/>
      <c r="SN222" s="18"/>
      <c r="SO222" s="18"/>
      <c r="SP222" s="18"/>
      <c r="SQ222" s="18"/>
      <c r="SR222" s="18"/>
      <c r="SS222" s="18"/>
      <c r="ST222" s="18"/>
      <c r="SU222" s="18"/>
      <c r="SV222" s="18"/>
      <c r="SW222" s="18"/>
      <c r="SX222" s="18"/>
      <c r="SY222" s="18"/>
      <c r="SZ222" s="18"/>
      <c r="TA222" s="18"/>
      <c r="TB222" s="18"/>
      <c r="TC222" s="18"/>
      <c r="TD222" s="18"/>
      <c r="TE222" s="18"/>
      <c r="TF222" s="18"/>
      <c r="TG222" s="18"/>
      <c r="TH222" s="18"/>
      <c r="TI222" s="18"/>
      <c r="TJ222" s="18"/>
      <c r="TK222" s="18"/>
      <c r="TL222" s="18"/>
      <c r="TM222" s="18"/>
      <c r="TN222" s="18"/>
      <c r="TO222" s="18"/>
      <c r="TP222" s="18"/>
      <c r="TQ222" s="18"/>
      <c r="TR222" s="18"/>
      <c r="TS222" s="18"/>
      <c r="TT222" s="18"/>
      <c r="TU222" s="18"/>
      <c r="TV222" s="18"/>
      <c r="TW222" s="18"/>
      <c r="TX222" s="18"/>
      <c r="TY222" s="18"/>
      <c r="TZ222" s="18"/>
      <c r="UA222" s="18"/>
      <c r="UB222" s="18"/>
      <c r="UC222" s="18"/>
      <c r="UD222" s="18"/>
      <c r="UE222" s="18"/>
      <c r="UF222" s="18"/>
      <c r="UG222" s="18"/>
      <c r="UH222" s="18"/>
      <c r="UI222" s="18"/>
      <c r="UJ222" s="18"/>
      <c r="UK222" s="18"/>
      <c r="UL222" s="18"/>
      <c r="UM222" s="18"/>
      <c r="UN222" s="18"/>
      <c r="UO222" s="18"/>
      <c r="UP222" s="18"/>
      <c r="UQ222" s="18"/>
      <c r="UR222" s="18"/>
      <c r="US222" s="18"/>
      <c r="UT222" s="18"/>
      <c r="UU222" s="18"/>
      <c r="UV222" s="18"/>
      <c r="UW222" s="18"/>
      <c r="UX222" s="18"/>
      <c r="UY222" s="18"/>
      <c r="UZ222" s="18"/>
      <c r="VA222" s="18"/>
      <c r="VB222" s="18"/>
      <c r="VC222" s="18"/>
      <c r="VD222" s="18"/>
      <c r="VE222" s="18"/>
      <c r="VF222" s="18"/>
      <c r="VG222" s="18"/>
      <c r="VH222" s="18"/>
      <c r="VI222" s="18"/>
      <c r="VJ222" s="18"/>
      <c r="VK222" s="18"/>
      <c r="VL222" s="18"/>
      <c r="VM222" s="18"/>
      <c r="VN222" s="18"/>
      <c r="VO222" s="18"/>
      <c r="VP222" s="18"/>
      <c r="VQ222" s="18"/>
      <c r="VR222" s="18"/>
      <c r="VS222" s="18"/>
      <c r="VT222" s="18"/>
      <c r="VU222" s="18"/>
      <c r="VV222" s="18"/>
      <c r="VW222" s="18"/>
      <c r="VX222" s="18"/>
      <c r="VY222" s="18"/>
      <c r="VZ222" s="18"/>
      <c r="WA222" s="18"/>
      <c r="WB222" s="18"/>
      <c r="WC222" s="18"/>
      <c r="WD222" s="18"/>
      <c r="WE222" s="18"/>
      <c r="WF222" s="18"/>
      <c r="WG222" s="18"/>
      <c r="WH222" s="18"/>
      <c r="WI222" s="18"/>
      <c r="WJ222" s="18"/>
      <c r="WK222" s="18"/>
      <c r="WL222" s="18"/>
      <c r="WM222" s="18"/>
      <c r="WN222" s="18"/>
      <c r="WO222" s="18"/>
      <c r="WP222" s="18"/>
      <c r="WQ222" s="18"/>
      <c r="WR222" s="18"/>
      <c r="WS222" s="18"/>
      <c r="WT222" s="18"/>
      <c r="WU222" s="18"/>
      <c r="WV222" s="18"/>
      <c r="WW222" s="18"/>
      <c r="WX222" s="18"/>
      <c r="WY222" s="18"/>
      <c r="WZ222" s="18"/>
      <c r="XA222" s="18"/>
      <c r="XB222" s="18"/>
      <c r="XC222" s="18"/>
      <c r="XD222" s="18"/>
      <c r="XE222" s="18"/>
      <c r="XF222" s="18"/>
      <c r="XG222" s="18"/>
      <c r="XH222" s="18"/>
      <c r="XI222" s="18"/>
      <c r="XJ222" s="18"/>
      <c r="XK222" s="18"/>
      <c r="XL222" s="18"/>
      <c r="XM222" s="18"/>
      <c r="XN222" s="18"/>
      <c r="XO222" s="18"/>
      <c r="XP222" s="18"/>
      <c r="XQ222" s="18"/>
      <c r="XR222" s="18"/>
      <c r="XS222" s="18"/>
      <c r="XT222" s="18"/>
      <c r="XU222" s="18"/>
      <c r="XV222" s="18"/>
      <c r="XW222" s="18"/>
      <c r="XX222" s="18"/>
      <c r="XY222" s="18"/>
      <c r="XZ222" s="18"/>
      <c r="YA222" s="18"/>
      <c r="YB222" s="18"/>
      <c r="YC222" s="18"/>
      <c r="YD222" s="18"/>
      <c r="YE222" s="18"/>
      <c r="YF222" s="18"/>
      <c r="YG222" s="18"/>
      <c r="YH222" s="18"/>
      <c r="YI222" s="18"/>
      <c r="YJ222" s="18"/>
      <c r="YK222" s="18"/>
      <c r="YL222" s="18"/>
      <c r="YM222" s="18"/>
      <c r="YN222" s="18"/>
      <c r="YO222" s="18"/>
      <c r="YP222" s="18"/>
      <c r="YQ222" s="18"/>
      <c r="YR222" s="18"/>
      <c r="YS222" s="18"/>
      <c r="YT222" s="18"/>
      <c r="YU222" s="18"/>
      <c r="YV222" s="18"/>
      <c r="YW222" s="18"/>
      <c r="YX222" s="18"/>
      <c r="YY222" s="18"/>
      <c r="YZ222" s="18"/>
      <c r="ZA222" s="18"/>
      <c r="ZB222" s="18"/>
      <c r="ZC222" s="18"/>
      <c r="ZD222" s="18"/>
      <c r="ZE222" s="18"/>
      <c r="ZF222" s="18"/>
      <c r="ZG222" s="18"/>
      <c r="ZH222" s="18"/>
      <c r="ZI222" s="18"/>
      <c r="ZJ222" s="18"/>
      <c r="ZK222" s="18"/>
      <c r="ZL222" s="18"/>
      <c r="ZM222" s="18"/>
      <c r="ZN222" s="18"/>
      <c r="ZO222" s="18"/>
      <c r="ZP222" s="18"/>
      <c r="ZQ222" s="18"/>
      <c r="ZR222" s="18"/>
      <c r="ZS222" s="18"/>
      <c r="ZT222" s="18"/>
      <c r="ZU222" s="18"/>
      <c r="ZV222" s="18"/>
      <c r="ZW222" s="18"/>
      <c r="ZX222" s="18"/>
      <c r="ZY222" s="18"/>
      <c r="ZZ222" s="18"/>
      <c r="AAA222" s="18"/>
      <c r="AAB222" s="18"/>
      <c r="AAC222" s="18"/>
      <c r="AAD222" s="18"/>
      <c r="AAE222" s="18"/>
      <c r="AAF222" s="18"/>
      <c r="AAG222" s="18"/>
      <c r="AAH222" s="18"/>
      <c r="AAI222" s="18"/>
      <c r="AAJ222" s="18"/>
      <c r="AAK222" s="18"/>
      <c r="AAL222" s="18"/>
      <c r="AAM222" s="18"/>
      <c r="AAN222" s="18"/>
      <c r="AAO222" s="18"/>
      <c r="AAP222" s="18"/>
      <c r="AAQ222" s="18"/>
      <c r="AAR222" s="18"/>
      <c r="AAS222" s="18"/>
      <c r="AAT222" s="18"/>
      <c r="AAU222" s="18"/>
      <c r="AAV222" s="18"/>
      <c r="AAW222" s="18"/>
      <c r="AAX222" s="18"/>
      <c r="AAY222" s="18"/>
      <c r="AAZ222" s="18"/>
      <c r="ABA222" s="18"/>
      <c r="ABB222" s="18"/>
      <c r="ABC222" s="18"/>
      <c r="ABD222" s="18"/>
      <c r="ABE222" s="18"/>
      <c r="ABF222" s="18"/>
      <c r="ABG222" s="18"/>
      <c r="ABH222" s="18"/>
      <c r="ABI222" s="18"/>
      <c r="ABJ222" s="18"/>
      <c r="ABK222" s="18"/>
      <c r="ABL222" s="18"/>
      <c r="ABM222" s="18"/>
      <c r="ABN222" s="18"/>
      <c r="ABO222" s="18"/>
      <c r="ABP222" s="18"/>
      <c r="ABQ222" s="18"/>
      <c r="ABR222" s="18"/>
      <c r="ABS222" s="18"/>
      <c r="ABT222" s="18"/>
      <c r="ABU222" s="18"/>
      <c r="ABV222" s="18"/>
      <c r="ABW222" s="18"/>
      <c r="ABX222" s="18"/>
      <c r="ABY222" s="18"/>
      <c r="ABZ222" s="18"/>
      <c r="ACA222" s="18"/>
      <c r="ACB222" s="18"/>
      <c r="ACC222" s="18"/>
      <c r="ACD222" s="18"/>
      <c r="ACE222" s="18"/>
      <c r="ACF222" s="18"/>
      <c r="ACG222" s="18"/>
      <c r="ACH222" s="18"/>
      <c r="ACI222" s="18"/>
      <c r="ACJ222" s="18"/>
      <c r="ACK222" s="18"/>
      <c r="ACL222" s="18"/>
      <c r="ACM222" s="18"/>
      <c r="ACN222" s="18"/>
      <c r="ACO222" s="18"/>
      <c r="ACP222" s="18"/>
      <c r="ACQ222" s="18"/>
      <c r="ACR222" s="18"/>
      <c r="ACS222" s="18"/>
      <c r="ACT222" s="18"/>
      <c r="ACU222" s="18"/>
      <c r="ACV222" s="18"/>
      <c r="ACW222" s="18"/>
      <c r="ACX222" s="18"/>
      <c r="ACY222" s="18"/>
      <c r="ACZ222" s="18"/>
      <c r="ADA222" s="18"/>
      <c r="ADB222" s="18"/>
      <c r="ADC222" s="18"/>
      <c r="ADD222" s="18"/>
      <c r="ADE222" s="18"/>
      <c r="ADF222" s="18"/>
      <c r="ADG222" s="18"/>
      <c r="ADH222" s="18"/>
      <c r="ADI222" s="18"/>
      <c r="ADJ222" s="18"/>
      <c r="ADK222" s="18"/>
      <c r="ADL222" s="18"/>
      <c r="ADM222" s="18"/>
      <c r="ADN222" s="18"/>
      <c r="ADO222" s="18"/>
      <c r="ADP222" s="18"/>
      <c r="ADQ222" s="18"/>
      <c r="ADR222" s="18"/>
      <c r="ADS222" s="18"/>
      <c r="ADT222" s="18"/>
      <c r="ADU222" s="18"/>
      <c r="ADV222" s="18"/>
      <c r="ADW222" s="18"/>
      <c r="ADX222" s="18"/>
      <c r="ADY222" s="18"/>
      <c r="ADZ222" s="18"/>
      <c r="AEA222" s="18"/>
      <c r="AEB222" s="18"/>
      <c r="AEC222" s="18"/>
      <c r="AED222" s="18"/>
      <c r="AEE222" s="18"/>
      <c r="AEF222" s="18"/>
      <c r="AEG222" s="18"/>
      <c r="AEH222" s="18"/>
      <c r="AEI222" s="18"/>
      <c r="AEJ222" s="18"/>
      <c r="AEK222" s="18"/>
      <c r="AEL222" s="18"/>
      <c r="AEM222" s="18"/>
      <c r="AEN222" s="18"/>
      <c r="AEO222" s="18"/>
      <c r="AEP222" s="18"/>
      <c r="AEQ222" s="18"/>
      <c r="AER222" s="18"/>
      <c r="AES222" s="18"/>
      <c r="AET222" s="18"/>
      <c r="AEU222" s="18"/>
      <c r="AEV222" s="18"/>
      <c r="AEW222" s="18"/>
      <c r="AEX222" s="18"/>
      <c r="AEY222" s="18"/>
      <c r="AEZ222" s="18"/>
      <c r="AFA222" s="18"/>
      <c r="AFB222" s="18"/>
      <c r="AFC222" s="18"/>
      <c r="AFD222" s="18"/>
      <c r="AFE222" s="18"/>
      <c r="AFF222" s="18"/>
      <c r="AFG222" s="18"/>
      <c r="AFH222" s="18"/>
      <c r="AFI222" s="18"/>
      <c r="AFJ222" s="18"/>
      <c r="AFK222" s="18"/>
      <c r="AFL222" s="18"/>
      <c r="AFM222" s="18"/>
      <c r="AFN222" s="18"/>
      <c r="AFO222" s="18"/>
      <c r="AFP222" s="18"/>
      <c r="AFQ222" s="18"/>
      <c r="AFR222" s="18"/>
      <c r="AFS222" s="18"/>
      <c r="AFT222" s="18"/>
      <c r="AFU222" s="18"/>
      <c r="AFV222" s="18"/>
      <c r="AFW222" s="18"/>
      <c r="AFX222" s="18"/>
      <c r="AFY222" s="18"/>
      <c r="AFZ222" s="18"/>
      <c r="AGA222" s="18"/>
      <c r="AGB222" s="18"/>
      <c r="AGC222" s="18"/>
      <c r="AGD222" s="18"/>
      <c r="AGE222" s="18"/>
      <c r="AGF222" s="18"/>
      <c r="AGG222" s="18"/>
      <c r="AGH222" s="18"/>
      <c r="AGI222" s="18"/>
      <c r="AGJ222" s="18"/>
      <c r="AGK222" s="18"/>
      <c r="AGL222" s="18"/>
      <c r="AGM222" s="18"/>
      <c r="AGN222" s="18"/>
      <c r="AGO222" s="18"/>
      <c r="AGP222" s="18"/>
      <c r="AGQ222" s="18"/>
      <c r="AGR222" s="18"/>
      <c r="AGS222" s="18"/>
      <c r="AGT222" s="18"/>
      <c r="AGU222" s="18"/>
      <c r="AGV222" s="18"/>
      <c r="AGW222" s="18"/>
      <c r="AGX222" s="18"/>
      <c r="AGY222" s="18"/>
      <c r="AGZ222" s="18"/>
      <c r="AHA222" s="18"/>
      <c r="AHB222" s="18"/>
      <c r="AHC222" s="18"/>
      <c r="AHD222" s="18"/>
      <c r="AHE222" s="18"/>
      <c r="AHF222" s="18"/>
      <c r="AHG222" s="18"/>
      <c r="AHH222" s="18"/>
      <c r="AHI222" s="18"/>
      <c r="AHJ222" s="18"/>
      <c r="AHK222" s="18"/>
      <c r="AHL222" s="18"/>
      <c r="AHM222" s="18"/>
      <c r="AHN222" s="18"/>
      <c r="AHO222" s="18"/>
      <c r="AHP222" s="18"/>
      <c r="AHQ222" s="18"/>
      <c r="AHR222" s="18"/>
      <c r="AHS222" s="18"/>
      <c r="AHT222" s="18"/>
      <c r="AHU222" s="18"/>
      <c r="AHV222" s="18"/>
      <c r="AHW222" s="18"/>
      <c r="AHX222" s="18"/>
      <c r="AHY222" s="18"/>
      <c r="AHZ222" s="18"/>
      <c r="AIA222" s="18"/>
      <c r="AIB222" s="18"/>
      <c r="AIC222" s="18"/>
      <c r="AID222" s="18"/>
      <c r="AIE222" s="18"/>
      <c r="AIF222" s="18"/>
      <c r="AIG222" s="18"/>
      <c r="AIH222" s="18"/>
      <c r="AII222" s="18"/>
      <c r="AIJ222" s="18"/>
      <c r="AIK222" s="18"/>
      <c r="AIL222" s="18"/>
      <c r="AIM222" s="18"/>
      <c r="AIN222" s="18"/>
      <c r="AIO222" s="18"/>
      <c r="AIP222" s="18"/>
      <c r="AIQ222" s="18"/>
      <c r="AIR222" s="18"/>
      <c r="AIS222" s="18"/>
      <c r="AIT222" s="18"/>
      <c r="AIU222" s="18"/>
      <c r="AIV222" s="18"/>
      <c r="AIW222" s="18"/>
      <c r="AIX222" s="18"/>
      <c r="AIY222" s="18"/>
      <c r="AIZ222" s="18"/>
      <c r="AJA222" s="18"/>
      <c r="AJB222" s="18"/>
      <c r="AJC222" s="18"/>
      <c r="AJD222" s="18"/>
      <c r="AJE222" s="18"/>
      <c r="AJF222" s="18"/>
      <c r="AJG222" s="18"/>
      <c r="AJH222" s="18"/>
      <c r="AJI222" s="18"/>
      <c r="AJJ222" s="18"/>
      <c r="AJK222" s="18"/>
      <c r="AJL222" s="18"/>
      <c r="AJM222" s="18"/>
      <c r="AJN222" s="18"/>
      <c r="AJO222" s="18"/>
      <c r="AJP222" s="18"/>
      <c r="AJQ222" s="18"/>
      <c r="AJR222" s="18"/>
      <c r="AJS222" s="18"/>
      <c r="AJT222" s="18"/>
      <c r="AJU222" s="18"/>
      <c r="AJV222" s="18"/>
      <c r="AJW222" s="18"/>
      <c r="AJX222" s="18"/>
      <c r="AJY222" s="18"/>
      <c r="AJZ222" s="18"/>
      <c r="AKA222" s="18"/>
      <c r="AKB222" s="18"/>
      <c r="AKC222" s="18"/>
      <c r="AKD222" s="18"/>
      <c r="AKE222" s="18"/>
      <c r="AKF222" s="18"/>
      <c r="AKG222" s="18"/>
      <c r="AKH222" s="18"/>
      <c r="AKI222" s="18"/>
      <c r="AKJ222" s="18"/>
      <c r="AKK222" s="18"/>
      <c r="AKL222" s="18"/>
      <c r="AKM222" s="18"/>
      <c r="AKN222" s="18"/>
      <c r="AKO222" s="18"/>
      <c r="AKP222" s="18"/>
      <c r="AKQ222" s="18"/>
      <c r="AKR222" s="18"/>
      <c r="AKS222" s="18"/>
      <c r="AKT222" s="18"/>
      <c r="AKU222" s="18"/>
      <c r="AKV222" s="18"/>
      <c r="AKW222" s="18"/>
      <c r="AKX222" s="18"/>
      <c r="AKY222" s="18"/>
      <c r="AKZ222" s="18"/>
      <c r="ALA222" s="18"/>
      <c r="ALB222" s="18"/>
      <c r="ALC222" s="18"/>
      <c r="ALD222" s="18"/>
      <c r="ALE222" s="18"/>
      <c r="ALF222" s="18"/>
      <c r="ALG222" s="18"/>
      <c r="ALH222" s="18"/>
      <c r="ALI222" s="18"/>
      <c r="ALJ222" s="18"/>
      <c r="ALK222" s="18"/>
      <c r="ALL222" s="18"/>
      <c r="ALM222" s="18"/>
      <c r="ALN222" s="18"/>
      <c r="ALO222" s="18"/>
      <c r="ALP222" s="18"/>
      <c r="ALQ222" s="18"/>
      <c r="ALR222" s="18"/>
      <c r="ALS222" s="18"/>
      <c r="ALT222" s="18"/>
      <c r="ALU222" s="18"/>
      <c r="ALV222" s="18"/>
      <c r="ALW222" s="18"/>
      <c r="ALX222" s="18"/>
      <c r="ALY222" s="18"/>
      <c r="ALZ222" s="18"/>
      <c r="AMA222" s="18"/>
      <c r="AMB222" s="18"/>
      <c r="AMC222" s="18"/>
      <c r="AMD222" s="18"/>
      <c r="AME222" s="18"/>
      <c r="AMF222" s="18"/>
      <c r="AMG222" s="18"/>
      <c r="AMH222" s="18"/>
      <c r="AMI222" s="18"/>
      <c r="AMJ222" s="18"/>
      <c r="AMK222" s="18"/>
      <c r="AML222" s="18"/>
      <c r="AMM222" s="18"/>
      <c r="AMN222" s="18"/>
      <c r="AMO222" s="18"/>
      <c r="AMP222" s="18"/>
      <c r="AMQ222" s="18"/>
      <c r="AMR222" s="18"/>
      <c r="AMS222" s="18"/>
      <c r="AMT222" s="18"/>
      <c r="AMU222" s="18"/>
      <c r="AMV222" s="18"/>
      <c r="AMW222" s="18"/>
      <c r="AMX222" s="18"/>
      <c r="AMY222" s="18"/>
      <c r="AMZ222" s="18"/>
      <c r="ANA222" s="18"/>
      <c r="ANB222" s="18"/>
      <c r="ANC222" s="18"/>
      <c r="AND222" s="18"/>
      <c r="ANE222" s="18"/>
      <c r="ANF222" s="18"/>
      <c r="ANG222" s="18"/>
      <c r="ANH222" s="18"/>
      <c r="ANI222" s="18"/>
      <c r="ANJ222" s="18"/>
      <c r="ANK222" s="18"/>
      <c r="ANL222" s="18"/>
      <c r="ANM222" s="18"/>
      <c r="ANN222" s="18"/>
      <c r="ANO222" s="18"/>
      <c r="ANP222" s="18"/>
      <c r="ANQ222" s="18"/>
      <c r="ANR222" s="18"/>
      <c r="ANS222" s="18"/>
      <c r="ANT222" s="18"/>
      <c r="ANU222" s="18"/>
      <c r="ANV222" s="18"/>
      <c r="ANW222" s="18"/>
      <c r="ANX222" s="18"/>
      <c r="ANY222" s="18"/>
      <c r="ANZ222" s="18"/>
      <c r="AOA222" s="18"/>
      <c r="AOB222" s="18"/>
      <c r="AOC222" s="18"/>
      <c r="AOD222" s="18"/>
      <c r="AOE222" s="18"/>
      <c r="AOF222" s="18"/>
      <c r="AOG222" s="18"/>
      <c r="AOH222" s="18"/>
      <c r="AOI222" s="18"/>
      <c r="AOJ222" s="18"/>
      <c r="AOK222" s="18"/>
      <c r="AOL222" s="18"/>
      <c r="AOM222" s="18"/>
      <c r="AON222" s="18"/>
      <c r="AOO222" s="18"/>
      <c r="AOP222" s="18"/>
      <c r="AOQ222" s="18"/>
      <c r="AOR222" s="18"/>
      <c r="AOS222" s="18"/>
      <c r="AOT222" s="18"/>
      <c r="AOU222" s="18"/>
      <c r="AOV222" s="18"/>
      <c r="AOW222" s="18"/>
      <c r="AOX222" s="18"/>
      <c r="AOY222" s="18"/>
      <c r="AOZ222" s="18"/>
      <c r="APA222" s="18"/>
      <c r="APB222" s="18"/>
      <c r="APC222" s="18"/>
      <c r="APD222" s="18"/>
      <c r="APE222" s="18"/>
      <c r="APF222" s="18"/>
      <c r="APG222" s="18"/>
      <c r="APH222" s="18"/>
      <c r="API222" s="18"/>
      <c r="APJ222" s="18"/>
      <c r="APK222" s="18"/>
      <c r="APL222" s="18"/>
      <c r="APM222" s="18"/>
      <c r="APN222" s="18"/>
      <c r="APO222" s="18"/>
      <c r="APP222" s="18"/>
      <c r="APQ222" s="18"/>
      <c r="APR222" s="18"/>
      <c r="APS222" s="18"/>
      <c r="APT222" s="18"/>
      <c r="APU222" s="18"/>
      <c r="APV222" s="18"/>
      <c r="APW222" s="18"/>
      <c r="APX222" s="18"/>
      <c r="APY222" s="18"/>
      <c r="APZ222" s="18"/>
      <c r="AQA222" s="18"/>
      <c r="AQB222" s="18"/>
      <c r="AQC222" s="18"/>
      <c r="AQD222" s="18"/>
      <c r="AQE222" s="18"/>
      <c r="AQF222" s="18"/>
      <c r="AQG222" s="18"/>
      <c r="AQH222" s="18"/>
      <c r="AQI222" s="18"/>
      <c r="AQJ222" s="18"/>
      <c r="AQK222" s="18"/>
      <c r="AQL222" s="18"/>
      <c r="AQM222" s="18"/>
      <c r="AQN222" s="18"/>
      <c r="AQO222" s="18"/>
      <c r="AQP222" s="18"/>
      <c r="AQQ222" s="18"/>
      <c r="AQR222" s="18"/>
      <c r="AQS222" s="18"/>
      <c r="AQT222" s="18"/>
      <c r="AQU222" s="18"/>
      <c r="AQV222" s="18"/>
      <c r="AQW222" s="18"/>
      <c r="AQX222" s="18"/>
      <c r="AQY222" s="18"/>
      <c r="AQZ222" s="18"/>
      <c r="ARA222" s="18"/>
      <c r="ARB222" s="18"/>
      <c r="ARC222" s="18"/>
      <c r="ARD222" s="18"/>
      <c r="ARE222" s="18"/>
      <c r="ARF222" s="18"/>
      <c r="ARG222" s="18"/>
      <c r="ARH222" s="18"/>
      <c r="ARI222" s="18"/>
      <c r="ARJ222" s="18"/>
      <c r="ARK222" s="18"/>
      <c r="ARL222" s="18"/>
      <c r="ARM222" s="18"/>
      <c r="ARN222" s="18"/>
      <c r="ARO222" s="18"/>
      <c r="ARP222" s="18"/>
      <c r="ARQ222" s="18"/>
      <c r="ARR222" s="18"/>
      <c r="ARS222" s="18"/>
      <c r="ART222" s="18"/>
      <c r="ARU222" s="18"/>
      <c r="ARV222" s="18"/>
      <c r="ARW222" s="18"/>
      <c r="ARX222" s="18"/>
      <c r="ARY222" s="18"/>
      <c r="ARZ222" s="18"/>
      <c r="ASA222" s="18"/>
      <c r="ASB222" s="18"/>
      <c r="ASC222" s="18"/>
      <c r="ASD222" s="18"/>
      <c r="ASE222" s="18"/>
      <c r="ASF222" s="18"/>
      <c r="ASG222" s="18"/>
      <c r="ASH222" s="18"/>
      <c r="ASI222" s="18"/>
      <c r="ASJ222" s="18"/>
      <c r="ASK222" s="18"/>
      <c r="ASL222" s="18"/>
      <c r="ASM222" s="18"/>
      <c r="ASN222" s="18"/>
      <c r="ASO222" s="18"/>
      <c r="ASP222" s="18"/>
      <c r="ASQ222" s="18"/>
      <c r="ASR222" s="18"/>
      <c r="ASS222" s="18"/>
      <c r="AST222" s="18"/>
      <c r="ASU222" s="18"/>
      <c r="ASV222" s="18"/>
      <c r="ASW222" s="18"/>
      <c r="ASX222" s="18"/>
      <c r="ASY222" s="18"/>
      <c r="ASZ222" s="18"/>
      <c r="ATA222" s="18"/>
      <c r="ATB222" s="18"/>
      <c r="ATC222" s="18"/>
      <c r="ATD222" s="18"/>
      <c r="ATE222" s="18"/>
      <c r="ATF222" s="18"/>
      <c r="ATG222" s="18"/>
      <c r="ATH222" s="18"/>
      <c r="ATI222" s="18"/>
      <c r="ATJ222" s="18"/>
      <c r="ATK222" s="18"/>
      <c r="ATL222" s="18"/>
      <c r="ATM222" s="18"/>
      <c r="ATN222" s="18"/>
      <c r="ATO222" s="18"/>
      <c r="ATP222" s="18"/>
      <c r="ATQ222" s="18"/>
      <c r="ATR222" s="18"/>
      <c r="ATS222" s="18"/>
      <c r="ATT222" s="18"/>
      <c r="ATU222" s="18"/>
      <c r="ATV222" s="18"/>
      <c r="ATW222" s="18"/>
      <c r="ATX222" s="18"/>
      <c r="ATY222" s="18"/>
      <c r="ATZ222" s="18"/>
      <c r="AUA222" s="18"/>
      <c r="AUB222" s="18"/>
      <c r="AUC222" s="18"/>
      <c r="AUD222" s="18"/>
      <c r="AUE222" s="18"/>
      <c r="AUF222" s="18"/>
      <c r="AUG222" s="18"/>
      <c r="AUH222" s="18"/>
      <c r="AUI222" s="18"/>
      <c r="AUJ222" s="18"/>
      <c r="AUK222" s="18"/>
      <c r="AUL222" s="18"/>
      <c r="AUM222" s="18"/>
      <c r="AUN222" s="18"/>
      <c r="AUO222" s="18"/>
      <c r="AUP222" s="18"/>
      <c r="AUQ222" s="18"/>
      <c r="AUR222" s="18"/>
      <c r="AUS222" s="18"/>
      <c r="AUT222" s="18"/>
      <c r="AUU222" s="18"/>
      <c r="AUV222" s="18"/>
      <c r="AUW222" s="18"/>
      <c r="AUX222" s="18"/>
      <c r="AUY222" s="18"/>
      <c r="AUZ222" s="18"/>
      <c r="AVA222" s="18"/>
      <c r="AVB222" s="18"/>
      <c r="AVC222" s="18"/>
      <c r="AVD222" s="18"/>
      <c r="AVE222" s="18"/>
      <c r="AVF222" s="18"/>
      <c r="AVG222" s="18"/>
      <c r="AVH222" s="18"/>
      <c r="AVI222" s="18"/>
      <c r="AVJ222" s="18"/>
      <c r="AVK222" s="18"/>
      <c r="AVL222" s="18"/>
      <c r="AVM222" s="18"/>
      <c r="AVN222" s="18"/>
      <c r="AVO222" s="18"/>
      <c r="AVP222" s="18"/>
      <c r="AVQ222" s="18"/>
      <c r="AVR222" s="18"/>
      <c r="AVS222" s="18"/>
      <c r="AVT222" s="18"/>
      <c r="AVU222" s="18"/>
      <c r="AVV222" s="18"/>
      <c r="AVW222" s="18"/>
      <c r="AVX222" s="18"/>
      <c r="AVY222" s="18"/>
      <c r="AVZ222" s="18"/>
      <c r="AWA222" s="18"/>
      <c r="AWB222" s="18"/>
      <c r="AWC222" s="18"/>
      <c r="AWD222" s="18"/>
      <c r="AWE222" s="18"/>
      <c r="AWF222" s="18"/>
      <c r="AWG222" s="18"/>
      <c r="AWH222" s="18"/>
      <c r="AWI222" s="18"/>
      <c r="AWJ222" s="18"/>
      <c r="AWK222" s="18"/>
      <c r="AWL222" s="18"/>
      <c r="AWM222" s="18"/>
      <c r="AWN222" s="18"/>
      <c r="AWO222" s="18"/>
      <c r="AWP222" s="18"/>
      <c r="AWQ222" s="18"/>
      <c r="AWR222" s="18"/>
      <c r="AWS222" s="18"/>
      <c r="AWT222" s="18"/>
      <c r="AWU222" s="18"/>
      <c r="AWV222" s="18"/>
      <c r="AWW222" s="18"/>
      <c r="AWX222" s="18"/>
      <c r="AWY222" s="18"/>
      <c r="AWZ222" s="18"/>
      <c r="AXA222" s="18"/>
      <c r="AXB222" s="18"/>
      <c r="AXC222" s="18"/>
      <c r="AXD222" s="18"/>
      <c r="AXE222" s="18"/>
      <c r="AXF222" s="18"/>
      <c r="AXG222" s="18"/>
      <c r="AXH222" s="18"/>
      <c r="AXI222" s="18"/>
      <c r="AXJ222" s="18"/>
      <c r="AXK222" s="18"/>
      <c r="AXL222" s="18"/>
      <c r="AXM222" s="18"/>
      <c r="AXN222" s="18"/>
      <c r="AXO222" s="18"/>
      <c r="AXP222" s="18"/>
      <c r="AXQ222" s="18"/>
      <c r="AXR222" s="18"/>
      <c r="AXS222" s="18"/>
      <c r="AXT222" s="18"/>
      <c r="AXU222" s="18"/>
      <c r="AXV222" s="18"/>
      <c r="AXW222" s="18"/>
      <c r="AXX222" s="18"/>
      <c r="AXY222" s="18"/>
      <c r="AXZ222" s="18"/>
      <c r="AYA222" s="18"/>
      <c r="AYB222" s="18"/>
      <c r="AYC222" s="18"/>
      <c r="AYD222" s="18"/>
      <c r="AYE222" s="18"/>
      <c r="AYF222" s="18"/>
      <c r="AYG222" s="18"/>
      <c r="AYH222" s="18"/>
      <c r="AYI222" s="18"/>
      <c r="AYJ222" s="18"/>
      <c r="AYK222" s="18"/>
      <c r="AYL222" s="18"/>
      <c r="AYM222" s="18"/>
      <c r="AYN222" s="18"/>
      <c r="AYO222" s="18"/>
      <c r="AYP222" s="18"/>
      <c r="AYQ222" s="18"/>
      <c r="AYR222" s="18"/>
      <c r="AYS222" s="18"/>
      <c r="AYT222" s="18"/>
      <c r="AYU222" s="18"/>
      <c r="AYV222" s="18"/>
      <c r="AYW222" s="18"/>
      <c r="AYX222" s="18"/>
      <c r="AYY222" s="18"/>
      <c r="AYZ222" s="18"/>
      <c r="AZA222" s="18"/>
      <c r="AZB222" s="18"/>
      <c r="AZC222" s="18"/>
      <c r="AZD222" s="18"/>
      <c r="AZE222" s="18"/>
      <c r="AZF222" s="18"/>
      <c r="AZG222" s="18"/>
      <c r="AZH222" s="18"/>
      <c r="AZI222" s="18"/>
      <c r="AZJ222" s="18"/>
      <c r="AZK222" s="18"/>
      <c r="AZL222" s="18"/>
      <c r="AZM222" s="18"/>
      <c r="AZN222" s="18"/>
      <c r="AZO222" s="18"/>
      <c r="AZP222" s="18"/>
      <c r="AZQ222" s="18"/>
      <c r="AZR222" s="18"/>
      <c r="AZS222" s="18"/>
      <c r="AZT222" s="18"/>
      <c r="AZU222" s="18"/>
      <c r="AZV222" s="18"/>
      <c r="AZW222" s="18"/>
      <c r="AZX222" s="18"/>
      <c r="AZY222" s="18"/>
      <c r="AZZ222" s="18"/>
      <c r="BAA222" s="18"/>
      <c r="BAB222" s="18"/>
      <c r="BAC222" s="18"/>
      <c r="BAD222" s="18"/>
      <c r="BAE222" s="18"/>
      <c r="BAF222" s="18"/>
      <c r="BAG222" s="18"/>
      <c r="BAH222" s="18"/>
      <c r="BAI222" s="18"/>
      <c r="BAJ222" s="18"/>
      <c r="BAK222" s="18"/>
      <c r="BAL222" s="18"/>
      <c r="BAM222" s="18"/>
      <c r="BAN222" s="18"/>
      <c r="BAO222" s="18"/>
      <c r="BAP222" s="18"/>
      <c r="BAQ222" s="18"/>
      <c r="BAR222" s="18"/>
      <c r="BAS222" s="18"/>
      <c r="BAT222" s="18"/>
      <c r="BAU222" s="18"/>
      <c r="BAV222" s="18"/>
      <c r="BAW222" s="18"/>
      <c r="BAX222" s="18"/>
      <c r="BAY222" s="18"/>
      <c r="BAZ222" s="18"/>
      <c r="BBA222" s="18"/>
      <c r="BBB222" s="18"/>
      <c r="BBC222" s="18"/>
      <c r="BBD222" s="18"/>
      <c r="BBE222" s="18"/>
      <c r="BBF222" s="18"/>
      <c r="BBG222" s="18"/>
      <c r="BBH222" s="18"/>
      <c r="BBI222" s="18"/>
      <c r="BBJ222" s="18"/>
      <c r="BBK222" s="18"/>
      <c r="BBL222" s="18"/>
      <c r="BBM222" s="18"/>
      <c r="BBN222" s="18"/>
      <c r="BBO222" s="18"/>
      <c r="BBP222" s="18"/>
      <c r="BBQ222" s="18"/>
      <c r="BBR222" s="18"/>
      <c r="BBS222" s="18"/>
      <c r="BBT222" s="18"/>
      <c r="BBU222" s="18"/>
      <c r="BBV222" s="18"/>
      <c r="BBW222" s="18"/>
      <c r="BBX222" s="18"/>
      <c r="BBY222" s="18"/>
      <c r="BBZ222" s="18"/>
      <c r="BCA222" s="18"/>
      <c r="BCB222" s="18"/>
      <c r="BCC222" s="18"/>
      <c r="BCD222" s="18"/>
      <c r="BCE222" s="18"/>
      <c r="BCF222" s="18"/>
      <c r="BCG222" s="18"/>
      <c r="BCH222" s="18"/>
      <c r="BCI222" s="18"/>
      <c r="BCJ222" s="18"/>
      <c r="BCK222" s="18"/>
      <c r="BCL222" s="18"/>
      <c r="BCM222" s="18"/>
      <c r="BCN222" s="18"/>
      <c r="BCO222" s="18"/>
      <c r="BCP222" s="18"/>
      <c r="BCQ222" s="18"/>
      <c r="BCR222" s="18"/>
      <c r="BCS222" s="18"/>
      <c r="BCT222" s="18"/>
      <c r="BCU222" s="18"/>
      <c r="BCV222" s="18"/>
      <c r="BCW222" s="18"/>
      <c r="BCX222" s="18"/>
      <c r="BCY222" s="18"/>
      <c r="BCZ222" s="18"/>
      <c r="BDA222" s="18"/>
      <c r="BDB222" s="18"/>
      <c r="BDC222" s="18"/>
      <c r="BDD222" s="18"/>
      <c r="BDE222" s="18"/>
      <c r="BDF222" s="18"/>
      <c r="BDG222" s="18"/>
      <c r="BDH222" s="18"/>
      <c r="BDI222" s="18"/>
      <c r="BDJ222" s="18"/>
      <c r="BDK222" s="18"/>
      <c r="BDL222" s="18"/>
      <c r="BDM222" s="18"/>
      <c r="BDN222" s="18"/>
      <c r="BDO222" s="18"/>
      <c r="BDP222" s="18"/>
      <c r="BDQ222" s="18"/>
      <c r="BDR222" s="18"/>
      <c r="BDS222" s="18"/>
      <c r="BDT222" s="18"/>
      <c r="BDU222" s="18"/>
      <c r="BDV222" s="18"/>
      <c r="BDW222" s="18"/>
      <c r="BDX222" s="18"/>
      <c r="BDY222" s="18"/>
      <c r="BDZ222" s="18"/>
      <c r="BEA222" s="18"/>
      <c r="BEB222" s="18"/>
      <c r="BEC222" s="18"/>
      <c r="BED222" s="18"/>
      <c r="BEE222" s="18"/>
      <c r="BEF222" s="18"/>
      <c r="BEG222" s="18"/>
      <c r="BEH222" s="18"/>
      <c r="BEI222" s="18"/>
      <c r="BEJ222" s="18"/>
      <c r="BEK222" s="18"/>
      <c r="BEL222" s="18"/>
      <c r="BEM222" s="18"/>
      <c r="BEN222" s="18"/>
      <c r="BEO222" s="18"/>
      <c r="BEP222" s="18"/>
      <c r="BEQ222" s="18"/>
      <c r="BER222" s="18"/>
      <c r="BES222" s="18"/>
      <c r="BET222" s="18"/>
      <c r="BEU222" s="18"/>
      <c r="BEV222" s="18"/>
      <c r="BEW222" s="18"/>
      <c r="BEX222" s="18"/>
      <c r="BEY222" s="18"/>
      <c r="BEZ222" s="18"/>
      <c r="BFA222" s="18"/>
      <c r="BFB222" s="18"/>
      <c r="BFC222" s="18"/>
      <c r="BFD222" s="18"/>
      <c r="BFE222" s="18"/>
      <c r="BFF222" s="18"/>
      <c r="BFG222" s="18"/>
      <c r="BFH222" s="18"/>
      <c r="BFI222" s="18"/>
      <c r="BFJ222" s="18"/>
      <c r="BFK222" s="18"/>
      <c r="BFL222" s="18"/>
      <c r="BFM222" s="18"/>
      <c r="BFN222" s="18"/>
      <c r="BFO222" s="18"/>
      <c r="BFP222" s="18"/>
      <c r="BFQ222" s="18"/>
      <c r="BFR222" s="18"/>
      <c r="BFS222" s="18"/>
      <c r="BFT222" s="18"/>
      <c r="BFU222" s="18"/>
      <c r="BFV222" s="18"/>
      <c r="BFW222" s="18"/>
      <c r="BFX222" s="18"/>
      <c r="BFY222" s="18"/>
      <c r="BFZ222" s="18"/>
      <c r="BGA222" s="18"/>
      <c r="BGB222" s="18"/>
      <c r="BGC222" s="18"/>
      <c r="BGD222" s="18"/>
      <c r="BGE222" s="18"/>
      <c r="BGF222" s="18"/>
      <c r="BGG222" s="18"/>
      <c r="BGH222" s="18"/>
      <c r="BGI222" s="18"/>
      <c r="BGJ222" s="18"/>
      <c r="BGK222" s="18"/>
      <c r="BGL222" s="18"/>
      <c r="BGM222" s="18"/>
      <c r="BGN222" s="18"/>
      <c r="BGO222" s="18"/>
      <c r="BGP222" s="18"/>
      <c r="BGQ222" s="18"/>
      <c r="BGR222" s="18"/>
      <c r="BGS222" s="18"/>
      <c r="BGT222" s="18"/>
      <c r="BGU222" s="18"/>
      <c r="BGV222" s="18"/>
      <c r="BGW222" s="18"/>
      <c r="BGX222" s="18"/>
      <c r="BGY222" s="18"/>
      <c r="BGZ222" s="18"/>
      <c r="BHA222" s="18"/>
      <c r="BHB222" s="18"/>
      <c r="BHC222" s="18"/>
      <c r="BHD222" s="18"/>
      <c r="BHE222" s="18"/>
      <c r="BHF222" s="18"/>
      <c r="BHG222" s="18"/>
      <c r="BHH222" s="18"/>
      <c r="BHI222" s="18"/>
      <c r="BHJ222" s="18"/>
      <c r="BHK222" s="18"/>
      <c r="BHL222" s="18"/>
      <c r="BHM222" s="18"/>
      <c r="BHN222" s="18"/>
      <c r="BHO222" s="18"/>
      <c r="BHP222" s="18"/>
      <c r="BHQ222" s="18"/>
      <c r="BHR222" s="18"/>
      <c r="BHS222" s="18"/>
      <c r="BHT222" s="18"/>
      <c r="BHU222" s="18"/>
      <c r="BHV222" s="18"/>
      <c r="BHW222" s="18"/>
      <c r="BHX222" s="18"/>
      <c r="BHY222" s="18"/>
      <c r="BHZ222" s="18"/>
      <c r="BIA222" s="18"/>
      <c r="BIB222" s="18"/>
      <c r="BIC222" s="18"/>
      <c r="BID222" s="18"/>
      <c r="BIE222" s="18"/>
      <c r="BIF222" s="18"/>
      <c r="BIG222" s="18"/>
      <c r="BIH222" s="18"/>
      <c r="BII222" s="18"/>
      <c r="BIJ222" s="18"/>
      <c r="BIK222" s="18"/>
      <c r="BIL222" s="18"/>
      <c r="BIM222" s="18"/>
      <c r="BIN222" s="18"/>
      <c r="BIO222" s="18"/>
      <c r="BIP222" s="18"/>
      <c r="BIQ222" s="18"/>
      <c r="BIR222" s="18"/>
      <c r="BIS222" s="18"/>
      <c r="BIT222" s="18"/>
      <c r="BIU222" s="18"/>
      <c r="BIV222" s="18"/>
      <c r="BIW222" s="18"/>
      <c r="BIX222" s="18"/>
      <c r="BIY222" s="18"/>
      <c r="BIZ222" s="18"/>
      <c r="BJA222" s="18"/>
      <c r="BJB222" s="18"/>
      <c r="BJC222" s="18"/>
      <c r="BJD222" s="18"/>
      <c r="BJE222" s="18"/>
      <c r="BJF222" s="18"/>
      <c r="BJG222" s="18"/>
      <c r="BJH222" s="18"/>
      <c r="BJI222" s="18"/>
      <c r="BJJ222" s="18"/>
      <c r="BJK222" s="18"/>
      <c r="BJL222" s="18"/>
      <c r="BJM222" s="18"/>
      <c r="BJN222" s="18"/>
      <c r="BJO222" s="18"/>
      <c r="BJP222" s="18"/>
      <c r="BJQ222" s="18"/>
      <c r="BJR222" s="18"/>
      <c r="BJS222" s="18"/>
      <c r="BJT222" s="18"/>
      <c r="BJU222" s="18"/>
      <c r="BJV222" s="18"/>
      <c r="BJW222" s="18"/>
      <c r="BJX222" s="18"/>
      <c r="BJY222" s="18"/>
      <c r="BJZ222" s="18"/>
      <c r="BKA222" s="18"/>
      <c r="BKB222" s="18"/>
      <c r="BKC222" s="18"/>
      <c r="BKD222" s="18"/>
      <c r="BKE222" s="18"/>
      <c r="BKF222" s="18"/>
      <c r="BKG222" s="18"/>
      <c r="BKH222" s="18"/>
      <c r="BKI222" s="18"/>
      <c r="BKJ222" s="18"/>
      <c r="BKK222" s="18"/>
      <c r="BKL222" s="18"/>
      <c r="BKM222" s="18"/>
      <c r="BKN222" s="18"/>
      <c r="BKO222" s="18"/>
      <c r="BKP222" s="18"/>
      <c r="BKQ222" s="18"/>
      <c r="BKR222" s="18"/>
      <c r="BKS222" s="18"/>
      <c r="BKT222" s="18"/>
      <c r="BKU222" s="18"/>
      <c r="BKV222" s="18"/>
      <c r="BKW222" s="18"/>
      <c r="BKX222" s="18"/>
      <c r="BKY222" s="18"/>
      <c r="BKZ222" s="18"/>
      <c r="BLA222" s="18"/>
      <c r="BLB222" s="18"/>
      <c r="BLC222" s="18"/>
      <c r="BLD222" s="18"/>
      <c r="BLE222" s="18"/>
      <c r="BLF222" s="18"/>
      <c r="BLG222" s="18"/>
      <c r="BLH222" s="18"/>
      <c r="BLI222" s="18"/>
      <c r="BLJ222" s="18"/>
      <c r="BLK222" s="18"/>
      <c r="BLL222" s="18"/>
      <c r="BLM222" s="18"/>
      <c r="BLN222" s="18"/>
      <c r="BLO222" s="18"/>
      <c r="BLP222" s="18"/>
      <c r="BLQ222" s="18"/>
      <c r="BLR222" s="18"/>
      <c r="BLS222" s="18"/>
      <c r="BLT222" s="18"/>
      <c r="BLU222" s="18"/>
      <c r="BLV222" s="18"/>
      <c r="BLW222" s="18"/>
      <c r="BLX222" s="18"/>
      <c r="BLY222" s="18"/>
      <c r="BLZ222" s="18"/>
      <c r="BMA222" s="18"/>
      <c r="BMB222" s="18"/>
      <c r="BMC222" s="18"/>
      <c r="BMD222" s="18"/>
      <c r="BME222" s="18"/>
      <c r="BMF222" s="18"/>
      <c r="BMG222" s="18"/>
      <c r="BMH222" s="18"/>
      <c r="BMI222" s="18"/>
      <c r="BMJ222" s="18"/>
      <c r="BMK222" s="18"/>
      <c r="BML222" s="18"/>
      <c r="BMM222" s="18"/>
      <c r="BMN222" s="18"/>
      <c r="BMO222" s="18"/>
      <c r="BMP222" s="18"/>
      <c r="BMQ222" s="18"/>
      <c r="BMR222" s="18"/>
      <c r="BMS222" s="18"/>
      <c r="BMT222" s="18"/>
      <c r="BMU222" s="18"/>
      <c r="BMV222" s="18"/>
      <c r="BMW222" s="18"/>
      <c r="BMX222" s="18"/>
      <c r="BMY222" s="18"/>
      <c r="BMZ222" s="18"/>
      <c r="BNA222" s="18"/>
      <c r="BNB222" s="18"/>
      <c r="BNC222" s="18"/>
      <c r="BND222" s="18"/>
      <c r="BNE222" s="18"/>
      <c r="BNF222" s="18"/>
      <c r="BNG222" s="18"/>
      <c r="BNH222" s="18"/>
      <c r="BNI222" s="18"/>
      <c r="BNJ222" s="18"/>
      <c r="BNK222" s="18"/>
      <c r="BNL222" s="18"/>
      <c r="BNM222" s="18"/>
      <c r="BNN222" s="18"/>
      <c r="BNO222" s="18"/>
      <c r="BNP222" s="18"/>
      <c r="BNQ222" s="18"/>
      <c r="BNR222" s="18"/>
      <c r="BNS222" s="18"/>
      <c r="BNT222" s="18"/>
      <c r="BNU222" s="18"/>
      <c r="BNV222" s="18"/>
      <c r="BNW222" s="18"/>
      <c r="BNX222" s="18"/>
      <c r="BNY222" s="18"/>
      <c r="BNZ222" s="18"/>
      <c r="BOA222" s="18"/>
      <c r="BOB222" s="18"/>
      <c r="BOC222" s="18"/>
      <c r="BOD222" s="18"/>
      <c r="BOE222" s="18"/>
      <c r="BOF222" s="18"/>
      <c r="BOG222" s="18"/>
      <c r="BOH222" s="18"/>
      <c r="BOI222" s="18"/>
      <c r="BOJ222" s="18"/>
      <c r="BOK222" s="18"/>
      <c r="BOL222" s="18"/>
      <c r="BOM222" s="18"/>
      <c r="BON222" s="18"/>
      <c r="BOO222" s="18"/>
      <c r="BOP222" s="18"/>
      <c r="BOQ222" s="18"/>
      <c r="BOR222" s="18"/>
      <c r="BOS222" s="18"/>
      <c r="BOT222" s="18"/>
      <c r="BOU222" s="18"/>
      <c r="BOV222" s="18"/>
      <c r="BOW222" s="18"/>
      <c r="BOX222" s="18"/>
      <c r="BOY222" s="18"/>
      <c r="BOZ222" s="18"/>
      <c r="BPA222" s="18"/>
      <c r="BPB222" s="18"/>
      <c r="BPC222" s="18"/>
      <c r="BPD222" s="18"/>
      <c r="BPE222" s="18"/>
      <c r="BPF222" s="18"/>
      <c r="BPG222" s="18"/>
      <c r="BPH222" s="18"/>
      <c r="BPI222" s="18"/>
      <c r="BPJ222" s="18"/>
      <c r="BPK222" s="18"/>
      <c r="BPL222" s="18"/>
      <c r="BPM222" s="18"/>
      <c r="BPN222" s="18"/>
      <c r="BPO222" s="18"/>
      <c r="BPP222" s="18"/>
      <c r="BPQ222" s="18"/>
      <c r="BPR222" s="18"/>
      <c r="BPS222" s="18"/>
      <c r="BPT222" s="18"/>
      <c r="BPU222" s="18"/>
      <c r="BPV222" s="18"/>
      <c r="BPW222" s="18"/>
      <c r="BPX222" s="18"/>
      <c r="BPY222" s="18"/>
      <c r="BPZ222" s="18"/>
      <c r="BQA222" s="18"/>
      <c r="BQB222" s="18"/>
      <c r="BQC222" s="18"/>
      <c r="BQD222" s="18"/>
      <c r="BQE222" s="18"/>
      <c r="BQF222" s="18"/>
      <c r="BQG222" s="18"/>
      <c r="BQH222" s="18"/>
      <c r="BQI222" s="18"/>
      <c r="BQJ222" s="18"/>
      <c r="BQK222" s="18"/>
      <c r="BQL222" s="18"/>
      <c r="BQM222" s="18"/>
      <c r="BQN222" s="18"/>
      <c r="BQO222" s="18"/>
      <c r="BQP222" s="18"/>
      <c r="BQQ222" s="18"/>
      <c r="BQR222" s="18"/>
      <c r="BQS222" s="18"/>
      <c r="BQT222" s="18"/>
      <c r="BQU222" s="18"/>
      <c r="BQV222" s="18"/>
      <c r="BQW222" s="18"/>
      <c r="BQX222" s="18"/>
      <c r="BQY222" s="18"/>
      <c r="BQZ222" s="18"/>
      <c r="BRA222" s="18"/>
      <c r="BRB222" s="18"/>
      <c r="BRC222" s="18"/>
      <c r="BRD222" s="18"/>
      <c r="BRE222" s="18"/>
      <c r="BRF222" s="18"/>
      <c r="BRG222" s="18"/>
      <c r="BRH222" s="18"/>
      <c r="BRI222" s="18"/>
      <c r="BRJ222" s="18"/>
      <c r="BRK222" s="18"/>
      <c r="BRL222" s="18"/>
      <c r="BRM222" s="18"/>
      <c r="BRN222" s="18"/>
      <c r="BRO222" s="18"/>
      <c r="BRP222" s="18"/>
      <c r="BRQ222" s="18"/>
      <c r="BRR222" s="18"/>
      <c r="BRS222" s="18"/>
      <c r="BRT222" s="18"/>
      <c r="BRU222" s="18"/>
      <c r="BRV222" s="18"/>
      <c r="BRW222" s="18"/>
      <c r="BRX222" s="18"/>
      <c r="BRY222" s="18"/>
      <c r="BRZ222" s="18"/>
      <c r="BSA222" s="18"/>
      <c r="BSB222" s="18"/>
      <c r="BSC222" s="18"/>
      <c r="BSD222" s="18"/>
      <c r="BSE222" s="18"/>
      <c r="BSF222" s="18"/>
      <c r="BSG222" s="18"/>
      <c r="BSH222" s="18"/>
      <c r="BSI222" s="18"/>
      <c r="BSJ222" s="18"/>
      <c r="BSK222" s="18"/>
      <c r="BSL222" s="18"/>
      <c r="BSM222" s="18"/>
      <c r="BSN222" s="18"/>
      <c r="BSO222" s="18"/>
      <c r="BSP222" s="18"/>
      <c r="BSQ222" s="18"/>
      <c r="BSR222" s="18"/>
      <c r="BSS222" s="18"/>
      <c r="BST222" s="18"/>
      <c r="BSU222" s="18"/>
      <c r="BSV222" s="18"/>
      <c r="BSW222" s="18"/>
      <c r="BSX222" s="18"/>
      <c r="BSY222" s="18"/>
      <c r="BSZ222" s="18"/>
      <c r="BTA222" s="18"/>
      <c r="BTB222" s="18"/>
      <c r="BTC222" s="18"/>
      <c r="BTD222" s="18"/>
      <c r="BTE222" s="18"/>
      <c r="BTF222" s="18"/>
      <c r="BTG222" s="18"/>
      <c r="BTH222" s="18"/>
      <c r="BTI222" s="18"/>
    </row>
    <row r="223" spans="1:1881" s="426" customFormat="1" ht="110.25" customHeight="1" x14ac:dyDescent="0.3">
      <c r="A223" s="100">
        <v>622</v>
      </c>
      <c r="B223" s="427" t="s">
        <v>324</v>
      </c>
      <c r="C223" s="117" t="s">
        <v>352</v>
      </c>
      <c r="D223" s="116" t="s">
        <v>658</v>
      </c>
      <c r="E223" s="371" t="e">
        <f>INDEX('PY1 Data(H)'!$A$1:$BV$265,MATCH('Unit Data from Audit Worksheet'!$A223,'PY1 Data(H)'!$A$1:$A$258,0),MATCH('Unit Data from Audit Worksheet'!$D$2,'PY1 Data(H)'!$A$1:$BV$1,0))</f>
        <v>#N/A</v>
      </c>
      <c r="F223" s="802">
        <v>0</v>
      </c>
      <c r="G223" s="401"/>
      <c r="H223" s="17"/>
      <c r="I223" s="17"/>
      <c r="J223" s="424"/>
      <c r="K223"/>
      <c r="L223" s="547"/>
      <c r="M223"/>
      <c r="N223" s="18"/>
      <c r="O223" s="186"/>
      <c r="P223" s="18"/>
      <c r="Q223" s="18"/>
      <c r="R223" s="18"/>
      <c r="S223" s="18"/>
      <c r="T223" s="18"/>
      <c r="U223" s="18"/>
      <c r="V223" s="18"/>
      <c r="W223" s="18"/>
      <c r="X223" s="18"/>
      <c r="Y223" s="18"/>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c r="GQ223" s="18"/>
      <c r="GR223" s="18"/>
      <c r="GS223" s="18"/>
      <c r="GT223" s="18"/>
      <c r="GU223" s="18"/>
      <c r="GV223" s="18"/>
      <c r="GW223" s="18"/>
      <c r="GX223" s="18"/>
      <c r="GY223" s="18"/>
      <c r="GZ223" s="18"/>
      <c r="HA223" s="18"/>
      <c r="HB223" s="18"/>
      <c r="HC223" s="18"/>
      <c r="HD223" s="18"/>
      <c r="HE223" s="18"/>
      <c r="HF223" s="18"/>
      <c r="HG223" s="18"/>
      <c r="HH223" s="18"/>
      <c r="HI223" s="18"/>
      <c r="HJ223" s="18"/>
      <c r="HK223" s="18"/>
      <c r="HL223" s="18"/>
      <c r="HM223" s="18"/>
      <c r="HN223" s="18"/>
      <c r="HO223" s="18"/>
      <c r="HP223" s="18"/>
      <c r="HQ223" s="18"/>
      <c r="HR223" s="18"/>
      <c r="HS223" s="18"/>
      <c r="HT223" s="18"/>
      <c r="HU223" s="18"/>
      <c r="HV223" s="18"/>
      <c r="HW223" s="18"/>
      <c r="HX223" s="18"/>
      <c r="HY223" s="18"/>
      <c r="HZ223" s="18"/>
      <c r="IA223" s="18"/>
      <c r="IB223" s="18"/>
      <c r="IC223" s="18"/>
      <c r="ID223" s="18"/>
      <c r="IE223" s="18"/>
      <c r="IF223" s="18"/>
      <c r="IG223" s="18"/>
      <c r="IH223" s="18"/>
      <c r="II223" s="18"/>
      <c r="IJ223" s="18"/>
      <c r="IK223" s="18"/>
      <c r="IL223" s="18"/>
      <c r="IM223" s="18"/>
      <c r="IN223" s="18"/>
      <c r="IO223" s="18"/>
      <c r="IP223" s="18"/>
      <c r="IQ223" s="18"/>
      <c r="IR223" s="18"/>
      <c r="IS223" s="18"/>
      <c r="IT223" s="18"/>
      <c r="IU223" s="18"/>
      <c r="IV223" s="18"/>
      <c r="IW223" s="18"/>
      <c r="IX223" s="18"/>
      <c r="IY223" s="18"/>
      <c r="IZ223" s="18"/>
      <c r="JA223" s="18"/>
      <c r="JB223" s="18"/>
      <c r="JC223" s="18"/>
      <c r="JD223" s="18"/>
      <c r="JE223" s="18"/>
      <c r="JF223" s="18"/>
      <c r="JG223" s="18"/>
      <c r="JH223" s="18"/>
      <c r="JI223" s="18"/>
      <c r="JJ223" s="18"/>
      <c r="JK223" s="18"/>
      <c r="JL223" s="18"/>
      <c r="JM223" s="18"/>
      <c r="JN223" s="18"/>
      <c r="JO223" s="18"/>
      <c r="JP223" s="18"/>
      <c r="JQ223" s="18"/>
      <c r="JR223" s="18"/>
      <c r="JS223" s="18"/>
      <c r="JT223" s="18"/>
      <c r="JU223" s="18"/>
      <c r="JV223" s="18"/>
      <c r="JW223" s="18"/>
      <c r="JX223" s="18"/>
      <c r="JY223" s="18"/>
      <c r="JZ223" s="18"/>
      <c r="KA223" s="18"/>
      <c r="KB223" s="18"/>
      <c r="KC223" s="18"/>
      <c r="KD223" s="18"/>
      <c r="KE223" s="18"/>
      <c r="KF223" s="18"/>
      <c r="KG223" s="18"/>
      <c r="KH223" s="18"/>
      <c r="KI223" s="18"/>
      <c r="KJ223" s="18"/>
      <c r="KK223" s="18"/>
      <c r="KL223" s="18"/>
      <c r="KM223" s="18"/>
      <c r="KN223" s="18"/>
      <c r="KO223" s="18"/>
      <c r="KP223" s="18"/>
      <c r="KQ223" s="18"/>
      <c r="KR223" s="18"/>
      <c r="KS223" s="18"/>
      <c r="KT223" s="18"/>
      <c r="KU223" s="18"/>
      <c r="KV223" s="18"/>
      <c r="KW223" s="18"/>
      <c r="KX223" s="18"/>
      <c r="KY223" s="18"/>
      <c r="KZ223" s="18"/>
      <c r="LA223" s="18"/>
      <c r="LB223" s="18"/>
      <c r="LC223" s="18"/>
      <c r="LD223" s="18"/>
      <c r="LE223" s="18"/>
      <c r="LF223" s="18"/>
      <c r="LG223" s="18"/>
      <c r="LH223" s="18"/>
      <c r="LI223" s="18"/>
      <c r="LJ223" s="18"/>
      <c r="LK223" s="18"/>
      <c r="LL223" s="18"/>
      <c r="LM223" s="18"/>
      <c r="LN223" s="18"/>
      <c r="LO223" s="18"/>
      <c r="LP223" s="18"/>
      <c r="LQ223" s="18"/>
      <c r="LR223" s="18"/>
      <c r="LS223" s="18"/>
      <c r="LT223" s="18"/>
      <c r="LU223" s="18"/>
      <c r="LV223" s="18"/>
      <c r="LW223" s="18"/>
      <c r="LX223" s="18"/>
      <c r="LY223" s="18"/>
      <c r="LZ223" s="18"/>
      <c r="MA223" s="18"/>
      <c r="MB223" s="18"/>
      <c r="MC223" s="18"/>
      <c r="MD223" s="18"/>
      <c r="ME223" s="18"/>
      <c r="MF223" s="18"/>
      <c r="MG223" s="18"/>
      <c r="MH223" s="18"/>
      <c r="MI223" s="18"/>
      <c r="MJ223" s="18"/>
      <c r="MK223" s="18"/>
      <c r="ML223" s="18"/>
      <c r="MM223" s="18"/>
      <c r="MN223" s="18"/>
      <c r="MO223" s="18"/>
      <c r="MP223" s="18"/>
      <c r="MQ223" s="18"/>
      <c r="MR223" s="18"/>
      <c r="MS223" s="18"/>
      <c r="MT223" s="18"/>
      <c r="MU223" s="18"/>
      <c r="MV223" s="18"/>
      <c r="MW223" s="18"/>
      <c r="MX223" s="18"/>
      <c r="MY223" s="18"/>
      <c r="MZ223" s="18"/>
      <c r="NA223" s="18"/>
      <c r="NB223" s="18"/>
      <c r="NC223" s="18"/>
      <c r="ND223" s="18"/>
      <c r="NE223" s="18"/>
      <c r="NF223" s="18"/>
      <c r="NG223" s="18"/>
      <c r="NH223" s="18"/>
      <c r="NI223" s="18"/>
      <c r="NJ223" s="18"/>
      <c r="NK223" s="18"/>
      <c r="NL223" s="18"/>
      <c r="NM223" s="18"/>
      <c r="NN223" s="18"/>
      <c r="NO223" s="18"/>
      <c r="NP223" s="18"/>
      <c r="NQ223" s="18"/>
      <c r="NR223" s="18"/>
      <c r="NS223" s="18"/>
      <c r="NT223" s="18"/>
      <c r="NU223" s="18"/>
      <c r="NV223" s="18"/>
      <c r="NW223" s="18"/>
      <c r="NX223" s="18"/>
      <c r="NY223" s="18"/>
      <c r="NZ223" s="18"/>
      <c r="OA223" s="18"/>
      <c r="OB223" s="18"/>
      <c r="OC223" s="18"/>
      <c r="OD223" s="18"/>
      <c r="OE223" s="18"/>
      <c r="OF223" s="18"/>
      <c r="OG223" s="18"/>
      <c r="OH223" s="18"/>
      <c r="OI223" s="18"/>
      <c r="OJ223" s="18"/>
      <c r="OK223" s="18"/>
      <c r="OL223" s="18"/>
      <c r="OM223" s="18"/>
      <c r="ON223" s="18"/>
      <c r="OO223" s="18"/>
      <c r="OP223" s="18"/>
      <c r="OQ223" s="18"/>
      <c r="OR223" s="18"/>
      <c r="OS223" s="18"/>
      <c r="OT223" s="18"/>
      <c r="OU223" s="18"/>
      <c r="OV223" s="18"/>
      <c r="OW223" s="18"/>
      <c r="OX223" s="18"/>
      <c r="OY223" s="18"/>
      <c r="OZ223" s="18"/>
      <c r="PA223" s="18"/>
      <c r="PB223" s="18"/>
      <c r="PC223" s="18"/>
      <c r="PD223" s="18"/>
      <c r="PE223" s="18"/>
      <c r="PF223" s="18"/>
      <c r="PG223" s="18"/>
      <c r="PH223" s="18"/>
      <c r="PI223" s="18"/>
      <c r="PJ223" s="18"/>
      <c r="PK223" s="18"/>
      <c r="PL223" s="18"/>
      <c r="PM223" s="18"/>
      <c r="PN223" s="18"/>
      <c r="PO223" s="18"/>
      <c r="PP223" s="18"/>
      <c r="PQ223" s="18"/>
      <c r="PR223" s="18"/>
      <c r="PS223" s="18"/>
      <c r="PT223" s="18"/>
      <c r="PU223" s="18"/>
      <c r="PV223" s="18"/>
      <c r="PW223" s="18"/>
      <c r="PX223" s="18"/>
      <c r="PY223" s="18"/>
      <c r="PZ223" s="18"/>
      <c r="QA223" s="18"/>
      <c r="QB223" s="18"/>
      <c r="QC223" s="18"/>
      <c r="QD223" s="18"/>
      <c r="QE223" s="18"/>
      <c r="QF223" s="18"/>
      <c r="QG223" s="18"/>
      <c r="QH223" s="18"/>
      <c r="QI223" s="18"/>
      <c r="QJ223" s="18"/>
      <c r="QK223" s="18"/>
      <c r="QL223" s="18"/>
      <c r="QM223" s="18"/>
      <c r="QN223" s="18"/>
      <c r="QO223" s="18"/>
      <c r="QP223" s="18"/>
      <c r="QQ223" s="18"/>
      <c r="QR223" s="18"/>
      <c r="QS223" s="18"/>
      <c r="QT223" s="18"/>
      <c r="QU223" s="18"/>
      <c r="QV223" s="18"/>
      <c r="QW223" s="18"/>
      <c r="QX223" s="18"/>
      <c r="QY223" s="18"/>
      <c r="QZ223" s="18"/>
      <c r="RA223" s="18"/>
      <c r="RB223" s="18"/>
      <c r="RC223" s="18"/>
      <c r="RD223" s="18"/>
      <c r="RE223" s="18"/>
      <c r="RF223" s="18"/>
      <c r="RG223" s="18"/>
      <c r="RH223" s="18"/>
      <c r="RI223" s="18"/>
      <c r="RJ223" s="18"/>
      <c r="RK223" s="18"/>
      <c r="RL223" s="18"/>
      <c r="RM223" s="18"/>
      <c r="RN223" s="18"/>
      <c r="RO223" s="18"/>
      <c r="RP223" s="18"/>
      <c r="RQ223" s="18"/>
      <c r="RR223" s="18"/>
      <c r="RS223" s="18"/>
      <c r="RT223" s="18"/>
      <c r="RU223" s="18"/>
      <c r="RV223" s="18"/>
      <c r="RW223" s="18"/>
      <c r="RX223" s="18"/>
      <c r="RY223" s="18"/>
      <c r="RZ223" s="18"/>
      <c r="SA223" s="18"/>
      <c r="SB223" s="18"/>
      <c r="SC223" s="18"/>
      <c r="SD223" s="18"/>
      <c r="SE223" s="18"/>
      <c r="SF223" s="18"/>
      <c r="SG223" s="18"/>
      <c r="SH223" s="18"/>
      <c r="SI223" s="18"/>
      <c r="SJ223" s="18"/>
      <c r="SK223" s="18"/>
      <c r="SL223" s="18"/>
      <c r="SM223" s="18"/>
      <c r="SN223" s="18"/>
      <c r="SO223" s="18"/>
      <c r="SP223" s="18"/>
      <c r="SQ223" s="18"/>
      <c r="SR223" s="18"/>
      <c r="SS223" s="18"/>
      <c r="ST223" s="18"/>
      <c r="SU223" s="18"/>
      <c r="SV223" s="18"/>
      <c r="SW223" s="18"/>
      <c r="SX223" s="18"/>
      <c r="SY223" s="18"/>
      <c r="SZ223" s="18"/>
      <c r="TA223" s="18"/>
      <c r="TB223" s="18"/>
      <c r="TC223" s="18"/>
      <c r="TD223" s="18"/>
      <c r="TE223" s="18"/>
      <c r="TF223" s="18"/>
      <c r="TG223" s="18"/>
      <c r="TH223" s="18"/>
      <c r="TI223" s="18"/>
      <c r="TJ223" s="18"/>
      <c r="TK223" s="18"/>
      <c r="TL223" s="18"/>
      <c r="TM223" s="18"/>
      <c r="TN223" s="18"/>
      <c r="TO223" s="18"/>
      <c r="TP223" s="18"/>
      <c r="TQ223" s="18"/>
      <c r="TR223" s="18"/>
      <c r="TS223" s="18"/>
      <c r="TT223" s="18"/>
      <c r="TU223" s="18"/>
      <c r="TV223" s="18"/>
      <c r="TW223" s="18"/>
      <c r="TX223" s="18"/>
      <c r="TY223" s="18"/>
      <c r="TZ223" s="18"/>
      <c r="UA223" s="18"/>
      <c r="UB223" s="18"/>
      <c r="UC223" s="18"/>
      <c r="UD223" s="18"/>
      <c r="UE223" s="18"/>
      <c r="UF223" s="18"/>
      <c r="UG223" s="18"/>
      <c r="UH223" s="18"/>
      <c r="UI223" s="18"/>
      <c r="UJ223" s="18"/>
      <c r="UK223" s="18"/>
      <c r="UL223" s="18"/>
      <c r="UM223" s="18"/>
      <c r="UN223" s="18"/>
      <c r="UO223" s="18"/>
      <c r="UP223" s="18"/>
      <c r="UQ223" s="18"/>
      <c r="UR223" s="18"/>
      <c r="US223" s="18"/>
      <c r="UT223" s="18"/>
      <c r="UU223" s="18"/>
      <c r="UV223" s="18"/>
      <c r="UW223" s="18"/>
      <c r="UX223" s="18"/>
      <c r="UY223" s="18"/>
      <c r="UZ223" s="18"/>
      <c r="VA223" s="18"/>
      <c r="VB223" s="18"/>
      <c r="VC223" s="18"/>
      <c r="VD223" s="18"/>
      <c r="VE223" s="18"/>
      <c r="VF223" s="18"/>
      <c r="VG223" s="18"/>
      <c r="VH223" s="18"/>
      <c r="VI223" s="18"/>
      <c r="VJ223" s="18"/>
      <c r="VK223" s="18"/>
      <c r="VL223" s="18"/>
      <c r="VM223" s="18"/>
      <c r="VN223" s="18"/>
      <c r="VO223" s="18"/>
      <c r="VP223" s="18"/>
      <c r="VQ223" s="18"/>
      <c r="VR223" s="18"/>
      <c r="VS223" s="18"/>
      <c r="VT223" s="18"/>
      <c r="VU223" s="18"/>
      <c r="VV223" s="18"/>
      <c r="VW223" s="18"/>
      <c r="VX223" s="18"/>
      <c r="VY223" s="18"/>
      <c r="VZ223" s="18"/>
      <c r="WA223" s="18"/>
      <c r="WB223" s="18"/>
      <c r="WC223" s="18"/>
      <c r="WD223" s="18"/>
      <c r="WE223" s="18"/>
      <c r="WF223" s="18"/>
      <c r="WG223" s="18"/>
      <c r="WH223" s="18"/>
      <c r="WI223" s="18"/>
      <c r="WJ223" s="18"/>
      <c r="WK223" s="18"/>
      <c r="WL223" s="18"/>
      <c r="WM223" s="18"/>
      <c r="WN223" s="18"/>
      <c r="WO223" s="18"/>
      <c r="WP223" s="18"/>
      <c r="WQ223" s="18"/>
      <c r="WR223" s="18"/>
      <c r="WS223" s="18"/>
      <c r="WT223" s="18"/>
      <c r="WU223" s="18"/>
      <c r="WV223" s="18"/>
      <c r="WW223" s="18"/>
      <c r="WX223" s="18"/>
      <c r="WY223" s="18"/>
      <c r="WZ223" s="18"/>
      <c r="XA223" s="18"/>
      <c r="XB223" s="18"/>
      <c r="XC223" s="18"/>
      <c r="XD223" s="18"/>
      <c r="XE223" s="18"/>
      <c r="XF223" s="18"/>
      <c r="XG223" s="18"/>
      <c r="XH223" s="18"/>
      <c r="XI223" s="18"/>
      <c r="XJ223" s="18"/>
      <c r="XK223" s="18"/>
      <c r="XL223" s="18"/>
      <c r="XM223" s="18"/>
      <c r="XN223" s="18"/>
      <c r="XO223" s="18"/>
      <c r="XP223" s="18"/>
      <c r="XQ223" s="18"/>
      <c r="XR223" s="18"/>
      <c r="XS223" s="18"/>
      <c r="XT223" s="18"/>
      <c r="XU223" s="18"/>
      <c r="XV223" s="18"/>
      <c r="XW223" s="18"/>
      <c r="XX223" s="18"/>
      <c r="XY223" s="18"/>
      <c r="XZ223" s="18"/>
      <c r="YA223" s="18"/>
      <c r="YB223" s="18"/>
      <c r="YC223" s="18"/>
      <c r="YD223" s="18"/>
      <c r="YE223" s="18"/>
      <c r="YF223" s="18"/>
      <c r="YG223" s="18"/>
      <c r="YH223" s="18"/>
      <c r="YI223" s="18"/>
      <c r="YJ223" s="18"/>
      <c r="YK223" s="18"/>
      <c r="YL223" s="18"/>
      <c r="YM223" s="18"/>
      <c r="YN223" s="18"/>
      <c r="YO223" s="18"/>
      <c r="YP223" s="18"/>
      <c r="YQ223" s="18"/>
      <c r="YR223" s="18"/>
      <c r="YS223" s="18"/>
      <c r="YT223" s="18"/>
      <c r="YU223" s="18"/>
      <c r="YV223" s="18"/>
      <c r="YW223" s="18"/>
      <c r="YX223" s="18"/>
      <c r="YY223" s="18"/>
      <c r="YZ223" s="18"/>
      <c r="ZA223" s="18"/>
      <c r="ZB223" s="18"/>
      <c r="ZC223" s="18"/>
      <c r="ZD223" s="18"/>
      <c r="ZE223" s="18"/>
      <c r="ZF223" s="18"/>
      <c r="ZG223" s="18"/>
      <c r="ZH223" s="18"/>
      <c r="ZI223" s="18"/>
      <c r="ZJ223" s="18"/>
      <c r="ZK223" s="18"/>
      <c r="ZL223" s="18"/>
      <c r="ZM223" s="18"/>
      <c r="ZN223" s="18"/>
      <c r="ZO223" s="18"/>
      <c r="ZP223" s="18"/>
      <c r="ZQ223" s="18"/>
      <c r="ZR223" s="18"/>
      <c r="ZS223" s="18"/>
      <c r="ZT223" s="18"/>
      <c r="ZU223" s="18"/>
      <c r="ZV223" s="18"/>
      <c r="ZW223" s="18"/>
      <c r="ZX223" s="18"/>
      <c r="ZY223" s="18"/>
      <c r="ZZ223" s="18"/>
      <c r="AAA223" s="18"/>
      <c r="AAB223" s="18"/>
      <c r="AAC223" s="18"/>
      <c r="AAD223" s="18"/>
      <c r="AAE223" s="18"/>
      <c r="AAF223" s="18"/>
      <c r="AAG223" s="18"/>
      <c r="AAH223" s="18"/>
      <c r="AAI223" s="18"/>
      <c r="AAJ223" s="18"/>
      <c r="AAK223" s="18"/>
      <c r="AAL223" s="18"/>
      <c r="AAM223" s="18"/>
      <c r="AAN223" s="18"/>
      <c r="AAO223" s="18"/>
      <c r="AAP223" s="18"/>
      <c r="AAQ223" s="18"/>
      <c r="AAR223" s="18"/>
      <c r="AAS223" s="18"/>
      <c r="AAT223" s="18"/>
      <c r="AAU223" s="18"/>
      <c r="AAV223" s="18"/>
      <c r="AAW223" s="18"/>
      <c r="AAX223" s="18"/>
      <c r="AAY223" s="18"/>
      <c r="AAZ223" s="18"/>
      <c r="ABA223" s="18"/>
      <c r="ABB223" s="18"/>
      <c r="ABC223" s="18"/>
      <c r="ABD223" s="18"/>
      <c r="ABE223" s="18"/>
      <c r="ABF223" s="18"/>
      <c r="ABG223" s="18"/>
      <c r="ABH223" s="18"/>
      <c r="ABI223" s="18"/>
      <c r="ABJ223" s="18"/>
      <c r="ABK223" s="18"/>
      <c r="ABL223" s="18"/>
      <c r="ABM223" s="18"/>
      <c r="ABN223" s="18"/>
      <c r="ABO223" s="18"/>
      <c r="ABP223" s="18"/>
      <c r="ABQ223" s="18"/>
      <c r="ABR223" s="18"/>
      <c r="ABS223" s="18"/>
      <c r="ABT223" s="18"/>
      <c r="ABU223" s="18"/>
      <c r="ABV223" s="18"/>
      <c r="ABW223" s="18"/>
      <c r="ABX223" s="18"/>
      <c r="ABY223" s="18"/>
      <c r="ABZ223" s="18"/>
      <c r="ACA223" s="18"/>
      <c r="ACB223" s="18"/>
      <c r="ACC223" s="18"/>
      <c r="ACD223" s="18"/>
      <c r="ACE223" s="18"/>
      <c r="ACF223" s="18"/>
      <c r="ACG223" s="18"/>
      <c r="ACH223" s="18"/>
      <c r="ACI223" s="18"/>
      <c r="ACJ223" s="18"/>
      <c r="ACK223" s="18"/>
      <c r="ACL223" s="18"/>
      <c r="ACM223" s="18"/>
      <c r="ACN223" s="18"/>
      <c r="ACO223" s="18"/>
      <c r="ACP223" s="18"/>
      <c r="ACQ223" s="18"/>
      <c r="ACR223" s="18"/>
      <c r="ACS223" s="18"/>
      <c r="ACT223" s="18"/>
      <c r="ACU223" s="18"/>
      <c r="ACV223" s="18"/>
      <c r="ACW223" s="18"/>
      <c r="ACX223" s="18"/>
      <c r="ACY223" s="18"/>
      <c r="ACZ223" s="18"/>
      <c r="ADA223" s="18"/>
      <c r="ADB223" s="18"/>
      <c r="ADC223" s="18"/>
      <c r="ADD223" s="18"/>
      <c r="ADE223" s="18"/>
      <c r="ADF223" s="18"/>
      <c r="ADG223" s="18"/>
      <c r="ADH223" s="18"/>
      <c r="ADI223" s="18"/>
      <c r="ADJ223" s="18"/>
      <c r="ADK223" s="18"/>
      <c r="ADL223" s="18"/>
      <c r="ADM223" s="18"/>
      <c r="ADN223" s="18"/>
      <c r="ADO223" s="18"/>
      <c r="ADP223" s="18"/>
      <c r="ADQ223" s="18"/>
      <c r="ADR223" s="18"/>
      <c r="ADS223" s="18"/>
      <c r="ADT223" s="18"/>
      <c r="ADU223" s="18"/>
      <c r="ADV223" s="18"/>
      <c r="ADW223" s="18"/>
      <c r="ADX223" s="18"/>
      <c r="ADY223" s="18"/>
      <c r="ADZ223" s="18"/>
      <c r="AEA223" s="18"/>
      <c r="AEB223" s="18"/>
      <c r="AEC223" s="18"/>
      <c r="AED223" s="18"/>
      <c r="AEE223" s="18"/>
      <c r="AEF223" s="18"/>
      <c r="AEG223" s="18"/>
      <c r="AEH223" s="18"/>
      <c r="AEI223" s="18"/>
      <c r="AEJ223" s="18"/>
      <c r="AEK223" s="18"/>
      <c r="AEL223" s="18"/>
      <c r="AEM223" s="18"/>
      <c r="AEN223" s="18"/>
      <c r="AEO223" s="18"/>
      <c r="AEP223" s="18"/>
      <c r="AEQ223" s="18"/>
      <c r="AER223" s="18"/>
      <c r="AES223" s="18"/>
      <c r="AET223" s="18"/>
      <c r="AEU223" s="18"/>
      <c r="AEV223" s="18"/>
      <c r="AEW223" s="18"/>
      <c r="AEX223" s="18"/>
      <c r="AEY223" s="18"/>
      <c r="AEZ223" s="18"/>
      <c r="AFA223" s="18"/>
      <c r="AFB223" s="18"/>
      <c r="AFC223" s="18"/>
      <c r="AFD223" s="18"/>
      <c r="AFE223" s="18"/>
      <c r="AFF223" s="18"/>
      <c r="AFG223" s="18"/>
      <c r="AFH223" s="18"/>
      <c r="AFI223" s="18"/>
      <c r="AFJ223" s="18"/>
      <c r="AFK223" s="18"/>
      <c r="AFL223" s="18"/>
      <c r="AFM223" s="18"/>
      <c r="AFN223" s="18"/>
      <c r="AFO223" s="18"/>
      <c r="AFP223" s="18"/>
      <c r="AFQ223" s="18"/>
      <c r="AFR223" s="18"/>
      <c r="AFS223" s="18"/>
      <c r="AFT223" s="18"/>
      <c r="AFU223" s="18"/>
      <c r="AFV223" s="18"/>
      <c r="AFW223" s="18"/>
      <c r="AFX223" s="18"/>
      <c r="AFY223" s="18"/>
      <c r="AFZ223" s="18"/>
      <c r="AGA223" s="18"/>
      <c r="AGB223" s="18"/>
      <c r="AGC223" s="18"/>
      <c r="AGD223" s="18"/>
      <c r="AGE223" s="18"/>
      <c r="AGF223" s="18"/>
      <c r="AGG223" s="18"/>
      <c r="AGH223" s="18"/>
      <c r="AGI223" s="18"/>
      <c r="AGJ223" s="18"/>
      <c r="AGK223" s="18"/>
      <c r="AGL223" s="18"/>
      <c r="AGM223" s="18"/>
      <c r="AGN223" s="18"/>
      <c r="AGO223" s="18"/>
      <c r="AGP223" s="18"/>
      <c r="AGQ223" s="18"/>
      <c r="AGR223" s="18"/>
      <c r="AGS223" s="18"/>
      <c r="AGT223" s="18"/>
      <c r="AGU223" s="18"/>
      <c r="AGV223" s="18"/>
      <c r="AGW223" s="18"/>
      <c r="AGX223" s="18"/>
      <c r="AGY223" s="18"/>
      <c r="AGZ223" s="18"/>
      <c r="AHA223" s="18"/>
      <c r="AHB223" s="18"/>
      <c r="AHC223" s="18"/>
      <c r="AHD223" s="18"/>
      <c r="AHE223" s="18"/>
      <c r="AHF223" s="18"/>
      <c r="AHG223" s="18"/>
      <c r="AHH223" s="18"/>
      <c r="AHI223" s="18"/>
      <c r="AHJ223" s="18"/>
      <c r="AHK223" s="18"/>
      <c r="AHL223" s="18"/>
      <c r="AHM223" s="18"/>
      <c r="AHN223" s="18"/>
      <c r="AHO223" s="18"/>
      <c r="AHP223" s="18"/>
      <c r="AHQ223" s="18"/>
      <c r="AHR223" s="18"/>
      <c r="AHS223" s="18"/>
      <c r="AHT223" s="18"/>
      <c r="AHU223" s="18"/>
      <c r="AHV223" s="18"/>
      <c r="AHW223" s="18"/>
      <c r="AHX223" s="18"/>
      <c r="AHY223" s="18"/>
      <c r="AHZ223" s="18"/>
      <c r="AIA223" s="18"/>
      <c r="AIB223" s="18"/>
      <c r="AIC223" s="18"/>
      <c r="AID223" s="18"/>
      <c r="AIE223" s="18"/>
      <c r="AIF223" s="18"/>
      <c r="AIG223" s="18"/>
      <c r="AIH223" s="18"/>
      <c r="AII223" s="18"/>
      <c r="AIJ223" s="18"/>
      <c r="AIK223" s="18"/>
      <c r="AIL223" s="18"/>
      <c r="AIM223" s="18"/>
      <c r="AIN223" s="18"/>
      <c r="AIO223" s="18"/>
      <c r="AIP223" s="18"/>
      <c r="AIQ223" s="18"/>
      <c r="AIR223" s="18"/>
      <c r="AIS223" s="18"/>
      <c r="AIT223" s="18"/>
      <c r="AIU223" s="18"/>
      <c r="AIV223" s="18"/>
      <c r="AIW223" s="18"/>
      <c r="AIX223" s="18"/>
      <c r="AIY223" s="18"/>
      <c r="AIZ223" s="18"/>
      <c r="AJA223" s="18"/>
      <c r="AJB223" s="18"/>
      <c r="AJC223" s="18"/>
      <c r="AJD223" s="18"/>
      <c r="AJE223" s="18"/>
      <c r="AJF223" s="18"/>
      <c r="AJG223" s="18"/>
      <c r="AJH223" s="18"/>
      <c r="AJI223" s="18"/>
      <c r="AJJ223" s="18"/>
      <c r="AJK223" s="18"/>
      <c r="AJL223" s="18"/>
      <c r="AJM223" s="18"/>
      <c r="AJN223" s="18"/>
      <c r="AJO223" s="18"/>
      <c r="AJP223" s="18"/>
      <c r="AJQ223" s="18"/>
      <c r="AJR223" s="18"/>
      <c r="AJS223" s="18"/>
      <c r="AJT223" s="18"/>
      <c r="AJU223" s="18"/>
      <c r="AJV223" s="18"/>
      <c r="AJW223" s="18"/>
      <c r="AJX223" s="18"/>
      <c r="AJY223" s="18"/>
      <c r="AJZ223" s="18"/>
      <c r="AKA223" s="18"/>
      <c r="AKB223" s="18"/>
      <c r="AKC223" s="18"/>
      <c r="AKD223" s="18"/>
      <c r="AKE223" s="18"/>
      <c r="AKF223" s="18"/>
      <c r="AKG223" s="18"/>
      <c r="AKH223" s="18"/>
      <c r="AKI223" s="18"/>
      <c r="AKJ223" s="18"/>
      <c r="AKK223" s="18"/>
      <c r="AKL223" s="18"/>
      <c r="AKM223" s="18"/>
      <c r="AKN223" s="18"/>
      <c r="AKO223" s="18"/>
      <c r="AKP223" s="18"/>
      <c r="AKQ223" s="18"/>
      <c r="AKR223" s="18"/>
      <c r="AKS223" s="18"/>
      <c r="AKT223" s="18"/>
      <c r="AKU223" s="18"/>
      <c r="AKV223" s="18"/>
      <c r="AKW223" s="18"/>
      <c r="AKX223" s="18"/>
      <c r="AKY223" s="18"/>
      <c r="AKZ223" s="18"/>
      <c r="ALA223" s="18"/>
      <c r="ALB223" s="18"/>
      <c r="ALC223" s="18"/>
      <c r="ALD223" s="18"/>
      <c r="ALE223" s="18"/>
      <c r="ALF223" s="18"/>
      <c r="ALG223" s="18"/>
      <c r="ALH223" s="18"/>
      <c r="ALI223" s="18"/>
      <c r="ALJ223" s="18"/>
      <c r="ALK223" s="18"/>
      <c r="ALL223" s="18"/>
      <c r="ALM223" s="18"/>
      <c r="ALN223" s="18"/>
      <c r="ALO223" s="18"/>
      <c r="ALP223" s="18"/>
      <c r="ALQ223" s="18"/>
      <c r="ALR223" s="18"/>
      <c r="ALS223" s="18"/>
      <c r="ALT223" s="18"/>
      <c r="ALU223" s="18"/>
      <c r="ALV223" s="18"/>
      <c r="ALW223" s="18"/>
      <c r="ALX223" s="18"/>
      <c r="ALY223" s="18"/>
      <c r="ALZ223" s="18"/>
      <c r="AMA223" s="18"/>
      <c r="AMB223" s="18"/>
      <c r="AMC223" s="18"/>
      <c r="AMD223" s="18"/>
      <c r="AME223" s="18"/>
      <c r="AMF223" s="18"/>
      <c r="AMG223" s="18"/>
      <c r="AMH223" s="18"/>
      <c r="AMI223" s="18"/>
      <c r="AMJ223" s="18"/>
      <c r="AMK223" s="18"/>
      <c r="AML223" s="18"/>
      <c r="AMM223" s="18"/>
      <c r="AMN223" s="18"/>
      <c r="AMO223" s="18"/>
      <c r="AMP223" s="18"/>
      <c r="AMQ223" s="18"/>
      <c r="AMR223" s="18"/>
      <c r="AMS223" s="18"/>
      <c r="AMT223" s="18"/>
      <c r="AMU223" s="18"/>
      <c r="AMV223" s="18"/>
      <c r="AMW223" s="18"/>
      <c r="AMX223" s="18"/>
      <c r="AMY223" s="18"/>
      <c r="AMZ223" s="18"/>
      <c r="ANA223" s="18"/>
      <c r="ANB223" s="18"/>
      <c r="ANC223" s="18"/>
      <c r="AND223" s="18"/>
      <c r="ANE223" s="18"/>
      <c r="ANF223" s="18"/>
      <c r="ANG223" s="18"/>
      <c r="ANH223" s="18"/>
      <c r="ANI223" s="18"/>
      <c r="ANJ223" s="18"/>
      <c r="ANK223" s="18"/>
      <c r="ANL223" s="18"/>
      <c r="ANM223" s="18"/>
      <c r="ANN223" s="18"/>
      <c r="ANO223" s="18"/>
      <c r="ANP223" s="18"/>
      <c r="ANQ223" s="18"/>
      <c r="ANR223" s="18"/>
      <c r="ANS223" s="18"/>
      <c r="ANT223" s="18"/>
      <c r="ANU223" s="18"/>
      <c r="ANV223" s="18"/>
      <c r="ANW223" s="18"/>
      <c r="ANX223" s="18"/>
      <c r="ANY223" s="18"/>
      <c r="ANZ223" s="18"/>
      <c r="AOA223" s="18"/>
      <c r="AOB223" s="18"/>
      <c r="AOC223" s="18"/>
      <c r="AOD223" s="18"/>
      <c r="AOE223" s="18"/>
      <c r="AOF223" s="18"/>
      <c r="AOG223" s="18"/>
      <c r="AOH223" s="18"/>
      <c r="AOI223" s="18"/>
      <c r="AOJ223" s="18"/>
      <c r="AOK223" s="18"/>
      <c r="AOL223" s="18"/>
      <c r="AOM223" s="18"/>
      <c r="AON223" s="18"/>
      <c r="AOO223" s="18"/>
      <c r="AOP223" s="18"/>
      <c r="AOQ223" s="18"/>
      <c r="AOR223" s="18"/>
      <c r="AOS223" s="18"/>
      <c r="AOT223" s="18"/>
      <c r="AOU223" s="18"/>
      <c r="AOV223" s="18"/>
      <c r="AOW223" s="18"/>
      <c r="AOX223" s="18"/>
      <c r="AOY223" s="18"/>
      <c r="AOZ223" s="18"/>
      <c r="APA223" s="18"/>
      <c r="APB223" s="18"/>
      <c r="APC223" s="18"/>
      <c r="APD223" s="18"/>
      <c r="APE223" s="18"/>
      <c r="APF223" s="18"/>
      <c r="APG223" s="18"/>
      <c r="APH223" s="18"/>
      <c r="API223" s="18"/>
      <c r="APJ223" s="18"/>
      <c r="APK223" s="18"/>
      <c r="APL223" s="18"/>
      <c r="APM223" s="18"/>
      <c r="APN223" s="18"/>
      <c r="APO223" s="18"/>
      <c r="APP223" s="18"/>
      <c r="APQ223" s="18"/>
      <c r="APR223" s="18"/>
      <c r="APS223" s="18"/>
      <c r="APT223" s="18"/>
      <c r="APU223" s="18"/>
      <c r="APV223" s="18"/>
      <c r="APW223" s="18"/>
      <c r="APX223" s="18"/>
      <c r="APY223" s="18"/>
      <c r="APZ223" s="18"/>
      <c r="AQA223" s="18"/>
      <c r="AQB223" s="18"/>
      <c r="AQC223" s="18"/>
      <c r="AQD223" s="18"/>
      <c r="AQE223" s="18"/>
      <c r="AQF223" s="18"/>
      <c r="AQG223" s="18"/>
      <c r="AQH223" s="18"/>
      <c r="AQI223" s="18"/>
      <c r="AQJ223" s="18"/>
      <c r="AQK223" s="18"/>
      <c r="AQL223" s="18"/>
      <c r="AQM223" s="18"/>
      <c r="AQN223" s="18"/>
      <c r="AQO223" s="18"/>
      <c r="AQP223" s="18"/>
      <c r="AQQ223" s="18"/>
      <c r="AQR223" s="18"/>
      <c r="AQS223" s="18"/>
      <c r="AQT223" s="18"/>
      <c r="AQU223" s="18"/>
      <c r="AQV223" s="18"/>
      <c r="AQW223" s="18"/>
      <c r="AQX223" s="18"/>
      <c r="AQY223" s="18"/>
      <c r="AQZ223" s="18"/>
      <c r="ARA223" s="18"/>
      <c r="ARB223" s="18"/>
      <c r="ARC223" s="18"/>
      <c r="ARD223" s="18"/>
      <c r="ARE223" s="18"/>
      <c r="ARF223" s="18"/>
      <c r="ARG223" s="18"/>
      <c r="ARH223" s="18"/>
      <c r="ARI223" s="18"/>
      <c r="ARJ223" s="18"/>
      <c r="ARK223" s="18"/>
      <c r="ARL223" s="18"/>
      <c r="ARM223" s="18"/>
      <c r="ARN223" s="18"/>
      <c r="ARO223" s="18"/>
      <c r="ARP223" s="18"/>
      <c r="ARQ223" s="18"/>
      <c r="ARR223" s="18"/>
      <c r="ARS223" s="18"/>
      <c r="ART223" s="18"/>
      <c r="ARU223" s="18"/>
      <c r="ARV223" s="18"/>
      <c r="ARW223" s="18"/>
      <c r="ARX223" s="18"/>
      <c r="ARY223" s="18"/>
      <c r="ARZ223" s="18"/>
      <c r="ASA223" s="18"/>
      <c r="ASB223" s="18"/>
      <c r="ASC223" s="18"/>
      <c r="ASD223" s="18"/>
      <c r="ASE223" s="18"/>
      <c r="ASF223" s="18"/>
      <c r="ASG223" s="18"/>
      <c r="ASH223" s="18"/>
      <c r="ASI223" s="18"/>
      <c r="ASJ223" s="18"/>
      <c r="ASK223" s="18"/>
      <c r="ASL223" s="18"/>
      <c r="ASM223" s="18"/>
      <c r="ASN223" s="18"/>
      <c r="ASO223" s="18"/>
      <c r="ASP223" s="18"/>
      <c r="ASQ223" s="18"/>
      <c r="ASR223" s="18"/>
      <c r="ASS223" s="18"/>
      <c r="AST223" s="18"/>
      <c r="ASU223" s="18"/>
      <c r="ASV223" s="18"/>
      <c r="ASW223" s="18"/>
      <c r="ASX223" s="18"/>
      <c r="ASY223" s="18"/>
      <c r="ASZ223" s="18"/>
      <c r="ATA223" s="18"/>
      <c r="ATB223" s="18"/>
      <c r="ATC223" s="18"/>
      <c r="ATD223" s="18"/>
      <c r="ATE223" s="18"/>
      <c r="ATF223" s="18"/>
      <c r="ATG223" s="18"/>
      <c r="ATH223" s="18"/>
      <c r="ATI223" s="18"/>
      <c r="ATJ223" s="18"/>
      <c r="ATK223" s="18"/>
      <c r="ATL223" s="18"/>
      <c r="ATM223" s="18"/>
      <c r="ATN223" s="18"/>
      <c r="ATO223" s="18"/>
      <c r="ATP223" s="18"/>
      <c r="ATQ223" s="18"/>
      <c r="ATR223" s="18"/>
      <c r="ATS223" s="18"/>
      <c r="ATT223" s="18"/>
      <c r="ATU223" s="18"/>
      <c r="ATV223" s="18"/>
      <c r="ATW223" s="18"/>
      <c r="ATX223" s="18"/>
      <c r="ATY223" s="18"/>
      <c r="ATZ223" s="18"/>
      <c r="AUA223" s="18"/>
      <c r="AUB223" s="18"/>
      <c r="AUC223" s="18"/>
      <c r="AUD223" s="18"/>
      <c r="AUE223" s="18"/>
      <c r="AUF223" s="18"/>
      <c r="AUG223" s="18"/>
      <c r="AUH223" s="18"/>
      <c r="AUI223" s="18"/>
      <c r="AUJ223" s="18"/>
      <c r="AUK223" s="18"/>
      <c r="AUL223" s="18"/>
      <c r="AUM223" s="18"/>
      <c r="AUN223" s="18"/>
      <c r="AUO223" s="18"/>
      <c r="AUP223" s="18"/>
      <c r="AUQ223" s="18"/>
      <c r="AUR223" s="18"/>
      <c r="AUS223" s="18"/>
      <c r="AUT223" s="18"/>
      <c r="AUU223" s="18"/>
      <c r="AUV223" s="18"/>
      <c r="AUW223" s="18"/>
      <c r="AUX223" s="18"/>
      <c r="AUY223" s="18"/>
      <c r="AUZ223" s="18"/>
      <c r="AVA223" s="18"/>
      <c r="AVB223" s="18"/>
      <c r="AVC223" s="18"/>
      <c r="AVD223" s="18"/>
      <c r="AVE223" s="18"/>
      <c r="AVF223" s="18"/>
      <c r="AVG223" s="18"/>
      <c r="AVH223" s="18"/>
      <c r="AVI223" s="18"/>
      <c r="AVJ223" s="18"/>
      <c r="AVK223" s="18"/>
      <c r="AVL223" s="18"/>
      <c r="AVM223" s="18"/>
      <c r="AVN223" s="18"/>
      <c r="AVO223" s="18"/>
      <c r="AVP223" s="18"/>
      <c r="AVQ223" s="18"/>
      <c r="AVR223" s="18"/>
      <c r="AVS223" s="18"/>
      <c r="AVT223" s="18"/>
      <c r="AVU223" s="18"/>
      <c r="AVV223" s="18"/>
      <c r="AVW223" s="18"/>
      <c r="AVX223" s="18"/>
      <c r="AVY223" s="18"/>
      <c r="AVZ223" s="18"/>
      <c r="AWA223" s="18"/>
      <c r="AWB223" s="18"/>
      <c r="AWC223" s="18"/>
      <c r="AWD223" s="18"/>
      <c r="AWE223" s="18"/>
      <c r="AWF223" s="18"/>
      <c r="AWG223" s="18"/>
      <c r="AWH223" s="18"/>
      <c r="AWI223" s="18"/>
      <c r="AWJ223" s="18"/>
      <c r="AWK223" s="18"/>
      <c r="AWL223" s="18"/>
      <c r="AWM223" s="18"/>
      <c r="AWN223" s="18"/>
      <c r="AWO223" s="18"/>
      <c r="AWP223" s="18"/>
      <c r="AWQ223" s="18"/>
      <c r="AWR223" s="18"/>
      <c r="AWS223" s="18"/>
      <c r="AWT223" s="18"/>
      <c r="AWU223" s="18"/>
      <c r="AWV223" s="18"/>
      <c r="AWW223" s="18"/>
      <c r="AWX223" s="18"/>
      <c r="AWY223" s="18"/>
      <c r="AWZ223" s="18"/>
      <c r="AXA223" s="18"/>
      <c r="AXB223" s="18"/>
      <c r="AXC223" s="18"/>
      <c r="AXD223" s="18"/>
      <c r="AXE223" s="18"/>
      <c r="AXF223" s="18"/>
      <c r="AXG223" s="18"/>
      <c r="AXH223" s="18"/>
      <c r="AXI223" s="18"/>
      <c r="AXJ223" s="18"/>
      <c r="AXK223" s="18"/>
      <c r="AXL223" s="18"/>
      <c r="AXM223" s="18"/>
      <c r="AXN223" s="18"/>
      <c r="AXO223" s="18"/>
      <c r="AXP223" s="18"/>
      <c r="AXQ223" s="18"/>
      <c r="AXR223" s="18"/>
      <c r="AXS223" s="18"/>
      <c r="AXT223" s="18"/>
      <c r="AXU223" s="18"/>
      <c r="AXV223" s="18"/>
      <c r="AXW223" s="18"/>
      <c r="AXX223" s="18"/>
      <c r="AXY223" s="18"/>
      <c r="AXZ223" s="18"/>
      <c r="AYA223" s="18"/>
      <c r="AYB223" s="18"/>
      <c r="AYC223" s="18"/>
      <c r="AYD223" s="18"/>
      <c r="AYE223" s="18"/>
      <c r="AYF223" s="18"/>
      <c r="AYG223" s="18"/>
      <c r="AYH223" s="18"/>
      <c r="AYI223" s="18"/>
      <c r="AYJ223" s="18"/>
      <c r="AYK223" s="18"/>
      <c r="AYL223" s="18"/>
      <c r="AYM223" s="18"/>
      <c r="AYN223" s="18"/>
      <c r="AYO223" s="18"/>
      <c r="AYP223" s="18"/>
      <c r="AYQ223" s="18"/>
      <c r="AYR223" s="18"/>
      <c r="AYS223" s="18"/>
      <c r="AYT223" s="18"/>
      <c r="AYU223" s="18"/>
      <c r="AYV223" s="18"/>
      <c r="AYW223" s="18"/>
      <c r="AYX223" s="18"/>
      <c r="AYY223" s="18"/>
      <c r="AYZ223" s="18"/>
      <c r="AZA223" s="18"/>
      <c r="AZB223" s="18"/>
      <c r="AZC223" s="18"/>
      <c r="AZD223" s="18"/>
      <c r="AZE223" s="18"/>
      <c r="AZF223" s="18"/>
      <c r="AZG223" s="18"/>
      <c r="AZH223" s="18"/>
      <c r="AZI223" s="18"/>
      <c r="AZJ223" s="18"/>
      <c r="AZK223" s="18"/>
      <c r="AZL223" s="18"/>
      <c r="AZM223" s="18"/>
      <c r="AZN223" s="18"/>
      <c r="AZO223" s="18"/>
      <c r="AZP223" s="18"/>
      <c r="AZQ223" s="18"/>
      <c r="AZR223" s="18"/>
      <c r="AZS223" s="18"/>
      <c r="AZT223" s="18"/>
      <c r="AZU223" s="18"/>
      <c r="AZV223" s="18"/>
      <c r="AZW223" s="18"/>
      <c r="AZX223" s="18"/>
      <c r="AZY223" s="18"/>
      <c r="AZZ223" s="18"/>
      <c r="BAA223" s="18"/>
      <c r="BAB223" s="18"/>
      <c r="BAC223" s="18"/>
      <c r="BAD223" s="18"/>
      <c r="BAE223" s="18"/>
      <c r="BAF223" s="18"/>
      <c r="BAG223" s="18"/>
      <c r="BAH223" s="18"/>
      <c r="BAI223" s="18"/>
      <c r="BAJ223" s="18"/>
      <c r="BAK223" s="18"/>
      <c r="BAL223" s="18"/>
      <c r="BAM223" s="18"/>
      <c r="BAN223" s="18"/>
      <c r="BAO223" s="18"/>
      <c r="BAP223" s="18"/>
      <c r="BAQ223" s="18"/>
      <c r="BAR223" s="18"/>
      <c r="BAS223" s="18"/>
      <c r="BAT223" s="18"/>
      <c r="BAU223" s="18"/>
      <c r="BAV223" s="18"/>
      <c r="BAW223" s="18"/>
      <c r="BAX223" s="18"/>
      <c r="BAY223" s="18"/>
      <c r="BAZ223" s="18"/>
      <c r="BBA223" s="18"/>
      <c r="BBB223" s="18"/>
      <c r="BBC223" s="18"/>
      <c r="BBD223" s="18"/>
      <c r="BBE223" s="18"/>
      <c r="BBF223" s="18"/>
      <c r="BBG223" s="18"/>
      <c r="BBH223" s="18"/>
      <c r="BBI223" s="18"/>
      <c r="BBJ223" s="18"/>
      <c r="BBK223" s="18"/>
      <c r="BBL223" s="18"/>
      <c r="BBM223" s="18"/>
      <c r="BBN223" s="18"/>
      <c r="BBO223" s="18"/>
      <c r="BBP223" s="18"/>
      <c r="BBQ223" s="18"/>
      <c r="BBR223" s="18"/>
      <c r="BBS223" s="18"/>
      <c r="BBT223" s="18"/>
      <c r="BBU223" s="18"/>
      <c r="BBV223" s="18"/>
      <c r="BBW223" s="18"/>
      <c r="BBX223" s="18"/>
      <c r="BBY223" s="18"/>
      <c r="BBZ223" s="18"/>
      <c r="BCA223" s="18"/>
      <c r="BCB223" s="18"/>
      <c r="BCC223" s="18"/>
      <c r="BCD223" s="18"/>
      <c r="BCE223" s="18"/>
      <c r="BCF223" s="18"/>
      <c r="BCG223" s="18"/>
      <c r="BCH223" s="18"/>
      <c r="BCI223" s="18"/>
      <c r="BCJ223" s="18"/>
      <c r="BCK223" s="18"/>
      <c r="BCL223" s="18"/>
      <c r="BCM223" s="18"/>
      <c r="BCN223" s="18"/>
      <c r="BCO223" s="18"/>
      <c r="BCP223" s="18"/>
      <c r="BCQ223" s="18"/>
      <c r="BCR223" s="18"/>
      <c r="BCS223" s="18"/>
      <c r="BCT223" s="18"/>
      <c r="BCU223" s="18"/>
      <c r="BCV223" s="18"/>
      <c r="BCW223" s="18"/>
      <c r="BCX223" s="18"/>
      <c r="BCY223" s="18"/>
      <c r="BCZ223" s="18"/>
      <c r="BDA223" s="18"/>
      <c r="BDB223" s="18"/>
      <c r="BDC223" s="18"/>
      <c r="BDD223" s="18"/>
      <c r="BDE223" s="18"/>
      <c r="BDF223" s="18"/>
      <c r="BDG223" s="18"/>
      <c r="BDH223" s="18"/>
      <c r="BDI223" s="18"/>
      <c r="BDJ223" s="18"/>
      <c r="BDK223" s="18"/>
      <c r="BDL223" s="18"/>
      <c r="BDM223" s="18"/>
      <c r="BDN223" s="18"/>
      <c r="BDO223" s="18"/>
      <c r="BDP223" s="18"/>
      <c r="BDQ223" s="18"/>
      <c r="BDR223" s="18"/>
      <c r="BDS223" s="18"/>
      <c r="BDT223" s="18"/>
      <c r="BDU223" s="18"/>
      <c r="BDV223" s="18"/>
      <c r="BDW223" s="18"/>
      <c r="BDX223" s="18"/>
      <c r="BDY223" s="18"/>
      <c r="BDZ223" s="18"/>
      <c r="BEA223" s="18"/>
      <c r="BEB223" s="18"/>
      <c r="BEC223" s="18"/>
      <c r="BED223" s="18"/>
      <c r="BEE223" s="18"/>
      <c r="BEF223" s="18"/>
      <c r="BEG223" s="18"/>
      <c r="BEH223" s="18"/>
      <c r="BEI223" s="18"/>
      <c r="BEJ223" s="18"/>
      <c r="BEK223" s="18"/>
      <c r="BEL223" s="18"/>
      <c r="BEM223" s="18"/>
      <c r="BEN223" s="18"/>
      <c r="BEO223" s="18"/>
      <c r="BEP223" s="18"/>
      <c r="BEQ223" s="18"/>
      <c r="BER223" s="18"/>
      <c r="BES223" s="18"/>
      <c r="BET223" s="18"/>
      <c r="BEU223" s="18"/>
      <c r="BEV223" s="18"/>
      <c r="BEW223" s="18"/>
      <c r="BEX223" s="18"/>
      <c r="BEY223" s="18"/>
      <c r="BEZ223" s="18"/>
      <c r="BFA223" s="18"/>
      <c r="BFB223" s="18"/>
      <c r="BFC223" s="18"/>
      <c r="BFD223" s="18"/>
      <c r="BFE223" s="18"/>
      <c r="BFF223" s="18"/>
      <c r="BFG223" s="18"/>
      <c r="BFH223" s="18"/>
      <c r="BFI223" s="18"/>
      <c r="BFJ223" s="18"/>
      <c r="BFK223" s="18"/>
      <c r="BFL223" s="18"/>
      <c r="BFM223" s="18"/>
      <c r="BFN223" s="18"/>
      <c r="BFO223" s="18"/>
      <c r="BFP223" s="18"/>
      <c r="BFQ223" s="18"/>
      <c r="BFR223" s="18"/>
      <c r="BFS223" s="18"/>
      <c r="BFT223" s="18"/>
      <c r="BFU223" s="18"/>
      <c r="BFV223" s="18"/>
      <c r="BFW223" s="18"/>
      <c r="BFX223" s="18"/>
      <c r="BFY223" s="18"/>
      <c r="BFZ223" s="18"/>
      <c r="BGA223" s="18"/>
      <c r="BGB223" s="18"/>
      <c r="BGC223" s="18"/>
      <c r="BGD223" s="18"/>
      <c r="BGE223" s="18"/>
      <c r="BGF223" s="18"/>
      <c r="BGG223" s="18"/>
      <c r="BGH223" s="18"/>
      <c r="BGI223" s="18"/>
      <c r="BGJ223" s="18"/>
      <c r="BGK223" s="18"/>
      <c r="BGL223" s="18"/>
      <c r="BGM223" s="18"/>
      <c r="BGN223" s="18"/>
      <c r="BGO223" s="18"/>
      <c r="BGP223" s="18"/>
      <c r="BGQ223" s="18"/>
      <c r="BGR223" s="18"/>
      <c r="BGS223" s="18"/>
      <c r="BGT223" s="18"/>
      <c r="BGU223" s="18"/>
      <c r="BGV223" s="18"/>
      <c r="BGW223" s="18"/>
      <c r="BGX223" s="18"/>
      <c r="BGY223" s="18"/>
      <c r="BGZ223" s="18"/>
      <c r="BHA223" s="18"/>
      <c r="BHB223" s="18"/>
      <c r="BHC223" s="18"/>
      <c r="BHD223" s="18"/>
      <c r="BHE223" s="18"/>
      <c r="BHF223" s="18"/>
      <c r="BHG223" s="18"/>
      <c r="BHH223" s="18"/>
      <c r="BHI223" s="18"/>
      <c r="BHJ223" s="18"/>
      <c r="BHK223" s="18"/>
      <c r="BHL223" s="18"/>
      <c r="BHM223" s="18"/>
      <c r="BHN223" s="18"/>
      <c r="BHO223" s="18"/>
      <c r="BHP223" s="18"/>
      <c r="BHQ223" s="18"/>
      <c r="BHR223" s="18"/>
      <c r="BHS223" s="18"/>
      <c r="BHT223" s="18"/>
      <c r="BHU223" s="18"/>
      <c r="BHV223" s="18"/>
      <c r="BHW223" s="18"/>
      <c r="BHX223" s="18"/>
      <c r="BHY223" s="18"/>
      <c r="BHZ223" s="18"/>
      <c r="BIA223" s="18"/>
      <c r="BIB223" s="18"/>
      <c r="BIC223" s="18"/>
      <c r="BID223" s="18"/>
      <c r="BIE223" s="18"/>
      <c r="BIF223" s="18"/>
      <c r="BIG223" s="18"/>
      <c r="BIH223" s="18"/>
      <c r="BII223" s="18"/>
      <c r="BIJ223" s="18"/>
      <c r="BIK223" s="18"/>
      <c r="BIL223" s="18"/>
      <c r="BIM223" s="18"/>
      <c r="BIN223" s="18"/>
      <c r="BIO223" s="18"/>
      <c r="BIP223" s="18"/>
      <c r="BIQ223" s="18"/>
      <c r="BIR223" s="18"/>
      <c r="BIS223" s="18"/>
      <c r="BIT223" s="18"/>
      <c r="BIU223" s="18"/>
      <c r="BIV223" s="18"/>
      <c r="BIW223" s="18"/>
      <c r="BIX223" s="18"/>
      <c r="BIY223" s="18"/>
      <c r="BIZ223" s="18"/>
      <c r="BJA223" s="18"/>
      <c r="BJB223" s="18"/>
      <c r="BJC223" s="18"/>
      <c r="BJD223" s="18"/>
      <c r="BJE223" s="18"/>
      <c r="BJF223" s="18"/>
      <c r="BJG223" s="18"/>
      <c r="BJH223" s="18"/>
      <c r="BJI223" s="18"/>
      <c r="BJJ223" s="18"/>
      <c r="BJK223" s="18"/>
      <c r="BJL223" s="18"/>
      <c r="BJM223" s="18"/>
      <c r="BJN223" s="18"/>
      <c r="BJO223" s="18"/>
      <c r="BJP223" s="18"/>
      <c r="BJQ223" s="18"/>
      <c r="BJR223" s="18"/>
      <c r="BJS223" s="18"/>
      <c r="BJT223" s="18"/>
      <c r="BJU223" s="18"/>
      <c r="BJV223" s="18"/>
      <c r="BJW223" s="18"/>
      <c r="BJX223" s="18"/>
      <c r="BJY223" s="18"/>
      <c r="BJZ223" s="18"/>
      <c r="BKA223" s="18"/>
      <c r="BKB223" s="18"/>
      <c r="BKC223" s="18"/>
      <c r="BKD223" s="18"/>
      <c r="BKE223" s="18"/>
      <c r="BKF223" s="18"/>
      <c r="BKG223" s="18"/>
      <c r="BKH223" s="18"/>
      <c r="BKI223" s="18"/>
      <c r="BKJ223" s="18"/>
      <c r="BKK223" s="18"/>
      <c r="BKL223" s="18"/>
      <c r="BKM223" s="18"/>
      <c r="BKN223" s="18"/>
      <c r="BKO223" s="18"/>
      <c r="BKP223" s="18"/>
      <c r="BKQ223" s="18"/>
      <c r="BKR223" s="18"/>
      <c r="BKS223" s="18"/>
      <c r="BKT223" s="18"/>
      <c r="BKU223" s="18"/>
      <c r="BKV223" s="18"/>
      <c r="BKW223" s="18"/>
      <c r="BKX223" s="18"/>
      <c r="BKY223" s="18"/>
      <c r="BKZ223" s="18"/>
      <c r="BLA223" s="18"/>
      <c r="BLB223" s="18"/>
      <c r="BLC223" s="18"/>
      <c r="BLD223" s="18"/>
      <c r="BLE223" s="18"/>
      <c r="BLF223" s="18"/>
      <c r="BLG223" s="18"/>
      <c r="BLH223" s="18"/>
      <c r="BLI223" s="18"/>
      <c r="BLJ223" s="18"/>
      <c r="BLK223" s="18"/>
      <c r="BLL223" s="18"/>
      <c r="BLM223" s="18"/>
      <c r="BLN223" s="18"/>
      <c r="BLO223" s="18"/>
      <c r="BLP223" s="18"/>
      <c r="BLQ223" s="18"/>
      <c r="BLR223" s="18"/>
      <c r="BLS223" s="18"/>
      <c r="BLT223" s="18"/>
      <c r="BLU223" s="18"/>
      <c r="BLV223" s="18"/>
      <c r="BLW223" s="18"/>
      <c r="BLX223" s="18"/>
      <c r="BLY223" s="18"/>
      <c r="BLZ223" s="18"/>
      <c r="BMA223" s="18"/>
      <c r="BMB223" s="18"/>
      <c r="BMC223" s="18"/>
      <c r="BMD223" s="18"/>
      <c r="BME223" s="18"/>
      <c r="BMF223" s="18"/>
      <c r="BMG223" s="18"/>
      <c r="BMH223" s="18"/>
      <c r="BMI223" s="18"/>
      <c r="BMJ223" s="18"/>
      <c r="BMK223" s="18"/>
      <c r="BML223" s="18"/>
      <c r="BMM223" s="18"/>
      <c r="BMN223" s="18"/>
      <c r="BMO223" s="18"/>
      <c r="BMP223" s="18"/>
      <c r="BMQ223" s="18"/>
      <c r="BMR223" s="18"/>
      <c r="BMS223" s="18"/>
      <c r="BMT223" s="18"/>
      <c r="BMU223" s="18"/>
      <c r="BMV223" s="18"/>
      <c r="BMW223" s="18"/>
      <c r="BMX223" s="18"/>
      <c r="BMY223" s="18"/>
      <c r="BMZ223" s="18"/>
      <c r="BNA223" s="18"/>
      <c r="BNB223" s="18"/>
      <c r="BNC223" s="18"/>
      <c r="BND223" s="18"/>
      <c r="BNE223" s="18"/>
      <c r="BNF223" s="18"/>
      <c r="BNG223" s="18"/>
      <c r="BNH223" s="18"/>
      <c r="BNI223" s="18"/>
      <c r="BNJ223" s="18"/>
      <c r="BNK223" s="18"/>
      <c r="BNL223" s="18"/>
      <c r="BNM223" s="18"/>
      <c r="BNN223" s="18"/>
      <c r="BNO223" s="18"/>
      <c r="BNP223" s="18"/>
      <c r="BNQ223" s="18"/>
      <c r="BNR223" s="18"/>
      <c r="BNS223" s="18"/>
      <c r="BNT223" s="18"/>
      <c r="BNU223" s="18"/>
      <c r="BNV223" s="18"/>
      <c r="BNW223" s="18"/>
      <c r="BNX223" s="18"/>
      <c r="BNY223" s="18"/>
      <c r="BNZ223" s="18"/>
      <c r="BOA223" s="18"/>
      <c r="BOB223" s="18"/>
      <c r="BOC223" s="18"/>
      <c r="BOD223" s="18"/>
      <c r="BOE223" s="18"/>
      <c r="BOF223" s="18"/>
      <c r="BOG223" s="18"/>
      <c r="BOH223" s="18"/>
      <c r="BOI223" s="18"/>
      <c r="BOJ223" s="18"/>
      <c r="BOK223" s="18"/>
      <c r="BOL223" s="18"/>
      <c r="BOM223" s="18"/>
      <c r="BON223" s="18"/>
      <c r="BOO223" s="18"/>
      <c r="BOP223" s="18"/>
      <c r="BOQ223" s="18"/>
      <c r="BOR223" s="18"/>
      <c r="BOS223" s="18"/>
      <c r="BOT223" s="18"/>
      <c r="BOU223" s="18"/>
      <c r="BOV223" s="18"/>
      <c r="BOW223" s="18"/>
      <c r="BOX223" s="18"/>
      <c r="BOY223" s="18"/>
      <c r="BOZ223" s="18"/>
      <c r="BPA223" s="18"/>
      <c r="BPB223" s="18"/>
      <c r="BPC223" s="18"/>
      <c r="BPD223" s="18"/>
      <c r="BPE223" s="18"/>
      <c r="BPF223" s="18"/>
      <c r="BPG223" s="18"/>
      <c r="BPH223" s="18"/>
      <c r="BPI223" s="18"/>
      <c r="BPJ223" s="18"/>
      <c r="BPK223" s="18"/>
      <c r="BPL223" s="18"/>
      <c r="BPM223" s="18"/>
      <c r="BPN223" s="18"/>
      <c r="BPO223" s="18"/>
      <c r="BPP223" s="18"/>
      <c r="BPQ223" s="18"/>
      <c r="BPR223" s="18"/>
      <c r="BPS223" s="18"/>
      <c r="BPT223" s="18"/>
      <c r="BPU223" s="18"/>
      <c r="BPV223" s="18"/>
      <c r="BPW223" s="18"/>
      <c r="BPX223" s="18"/>
      <c r="BPY223" s="18"/>
      <c r="BPZ223" s="18"/>
      <c r="BQA223" s="18"/>
      <c r="BQB223" s="18"/>
      <c r="BQC223" s="18"/>
      <c r="BQD223" s="18"/>
      <c r="BQE223" s="18"/>
      <c r="BQF223" s="18"/>
      <c r="BQG223" s="18"/>
      <c r="BQH223" s="18"/>
      <c r="BQI223" s="18"/>
      <c r="BQJ223" s="18"/>
      <c r="BQK223" s="18"/>
      <c r="BQL223" s="18"/>
      <c r="BQM223" s="18"/>
      <c r="BQN223" s="18"/>
      <c r="BQO223" s="18"/>
      <c r="BQP223" s="18"/>
      <c r="BQQ223" s="18"/>
      <c r="BQR223" s="18"/>
      <c r="BQS223" s="18"/>
      <c r="BQT223" s="18"/>
      <c r="BQU223" s="18"/>
      <c r="BQV223" s="18"/>
      <c r="BQW223" s="18"/>
      <c r="BQX223" s="18"/>
      <c r="BQY223" s="18"/>
      <c r="BQZ223" s="18"/>
      <c r="BRA223" s="18"/>
      <c r="BRB223" s="18"/>
      <c r="BRC223" s="18"/>
      <c r="BRD223" s="18"/>
      <c r="BRE223" s="18"/>
      <c r="BRF223" s="18"/>
      <c r="BRG223" s="18"/>
      <c r="BRH223" s="18"/>
      <c r="BRI223" s="18"/>
      <c r="BRJ223" s="18"/>
      <c r="BRK223" s="18"/>
      <c r="BRL223" s="18"/>
      <c r="BRM223" s="18"/>
      <c r="BRN223" s="18"/>
      <c r="BRO223" s="18"/>
      <c r="BRP223" s="18"/>
      <c r="BRQ223" s="18"/>
      <c r="BRR223" s="18"/>
      <c r="BRS223" s="18"/>
      <c r="BRT223" s="18"/>
      <c r="BRU223" s="18"/>
      <c r="BRV223" s="18"/>
      <c r="BRW223" s="18"/>
      <c r="BRX223" s="18"/>
      <c r="BRY223" s="18"/>
      <c r="BRZ223" s="18"/>
      <c r="BSA223" s="18"/>
      <c r="BSB223" s="18"/>
      <c r="BSC223" s="18"/>
      <c r="BSD223" s="18"/>
      <c r="BSE223" s="18"/>
      <c r="BSF223" s="18"/>
      <c r="BSG223" s="18"/>
      <c r="BSH223" s="18"/>
      <c r="BSI223" s="18"/>
      <c r="BSJ223" s="18"/>
      <c r="BSK223" s="18"/>
      <c r="BSL223" s="18"/>
      <c r="BSM223" s="18"/>
      <c r="BSN223" s="18"/>
      <c r="BSO223" s="18"/>
      <c r="BSP223" s="18"/>
      <c r="BSQ223" s="18"/>
      <c r="BSR223" s="18"/>
      <c r="BSS223" s="18"/>
      <c r="BST223" s="18"/>
      <c r="BSU223" s="18"/>
      <c r="BSV223" s="18"/>
      <c r="BSW223" s="18"/>
      <c r="BSX223" s="18"/>
      <c r="BSY223" s="18"/>
      <c r="BSZ223" s="18"/>
      <c r="BTA223" s="18"/>
      <c r="BTB223" s="18"/>
      <c r="BTC223" s="18"/>
      <c r="BTD223" s="18"/>
      <c r="BTE223" s="18"/>
      <c r="BTF223" s="18"/>
      <c r="BTG223" s="18"/>
      <c r="BTH223" s="18"/>
      <c r="BTI223" s="18"/>
    </row>
    <row r="224" spans="1:1881" s="426" customFormat="1" ht="191.4" customHeight="1" x14ac:dyDescent="0.3">
      <c r="A224" s="100">
        <v>577</v>
      </c>
      <c r="B224" s="427" t="s">
        <v>324</v>
      </c>
      <c r="C224" s="373" t="s">
        <v>296</v>
      </c>
      <c r="D224" s="226" t="s">
        <v>1459</v>
      </c>
      <c r="E224" s="528"/>
      <c r="F224" s="793"/>
      <c r="G224" s="530" t="str">
        <f>IF(F224="Yes","In this cell - Please include the name of the plan, a brief description of the benefit and the population group that received the benefits."," ")</f>
        <v xml:space="preserve"> </v>
      </c>
      <c r="H224" s="17"/>
      <c r="I224" s="17"/>
      <c r="J224" s="424"/>
      <c r="K224"/>
      <c r="L224" s="547"/>
      <c r="M224"/>
      <c r="N224" s="18"/>
      <c r="O224" s="186"/>
      <c r="P224" s="18"/>
      <c r="Q224" s="18"/>
      <c r="R224" s="18"/>
      <c r="S224" s="18"/>
      <c r="T224" s="18"/>
      <c r="U224" s="18"/>
      <c r="V224" s="18"/>
      <c r="W224" s="18"/>
      <c r="X224" s="18"/>
      <c r="Y224" s="18"/>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c r="GQ224" s="18"/>
      <c r="GR224" s="18"/>
      <c r="GS224" s="18"/>
      <c r="GT224" s="18"/>
      <c r="GU224" s="18"/>
      <c r="GV224" s="18"/>
      <c r="GW224" s="18"/>
      <c r="GX224" s="18"/>
      <c r="GY224" s="18"/>
      <c r="GZ224" s="18"/>
      <c r="HA224" s="18"/>
      <c r="HB224" s="18"/>
      <c r="HC224" s="18"/>
      <c r="HD224" s="18"/>
      <c r="HE224" s="18"/>
      <c r="HF224" s="18"/>
      <c r="HG224" s="18"/>
      <c r="HH224" s="18"/>
      <c r="HI224" s="18"/>
      <c r="HJ224" s="18"/>
      <c r="HK224" s="18"/>
      <c r="HL224" s="18"/>
      <c r="HM224" s="18"/>
      <c r="HN224" s="18"/>
      <c r="HO224" s="18"/>
      <c r="HP224" s="18"/>
      <c r="HQ224" s="18"/>
      <c r="HR224" s="18"/>
      <c r="HS224" s="18"/>
      <c r="HT224" s="18"/>
      <c r="HU224" s="18"/>
      <c r="HV224" s="18"/>
      <c r="HW224" s="18"/>
      <c r="HX224" s="18"/>
      <c r="HY224" s="18"/>
      <c r="HZ224" s="18"/>
      <c r="IA224" s="18"/>
      <c r="IB224" s="18"/>
      <c r="IC224" s="18"/>
      <c r="ID224" s="18"/>
      <c r="IE224" s="18"/>
      <c r="IF224" s="18"/>
      <c r="IG224" s="18"/>
      <c r="IH224" s="18"/>
      <c r="II224" s="18"/>
      <c r="IJ224" s="18"/>
      <c r="IK224" s="18"/>
      <c r="IL224" s="18"/>
      <c r="IM224" s="18"/>
      <c r="IN224" s="18"/>
      <c r="IO224" s="18"/>
      <c r="IP224" s="18"/>
      <c r="IQ224" s="18"/>
      <c r="IR224" s="18"/>
      <c r="IS224" s="18"/>
      <c r="IT224" s="18"/>
      <c r="IU224" s="18"/>
      <c r="IV224" s="18"/>
      <c r="IW224" s="18"/>
      <c r="IX224" s="18"/>
      <c r="IY224" s="18"/>
      <c r="IZ224" s="18"/>
      <c r="JA224" s="18"/>
      <c r="JB224" s="18"/>
      <c r="JC224" s="18"/>
      <c r="JD224" s="18"/>
      <c r="JE224" s="18"/>
      <c r="JF224" s="18"/>
      <c r="JG224" s="18"/>
      <c r="JH224" s="18"/>
      <c r="JI224" s="18"/>
      <c r="JJ224" s="18"/>
      <c r="JK224" s="18"/>
      <c r="JL224" s="18"/>
      <c r="JM224" s="18"/>
      <c r="JN224" s="18"/>
      <c r="JO224" s="18"/>
      <c r="JP224" s="18"/>
      <c r="JQ224" s="18"/>
      <c r="JR224" s="18"/>
      <c r="JS224" s="18"/>
      <c r="JT224" s="18"/>
      <c r="JU224" s="18"/>
      <c r="JV224" s="18"/>
      <c r="JW224" s="18"/>
      <c r="JX224" s="18"/>
      <c r="JY224" s="18"/>
      <c r="JZ224" s="18"/>
      <c r="KA224" s="18"/>
      <c r="KB224" s="18"/>
      <c r="KC224" s="18"/>
      <c r="KD224" s="18"/>
      <c r="KE224" s="18"/>
      <c r="KF224" s="18"/>
      <c r="KG224" s="18"/>
      <c r="KH224" s="18"/>
      <c r="KI224" s="18"/>
      <c r="KJ224" s="18"/>
      <c r="KK224" s="18"/>
      <c r="KL224" s="18"/>
      <c r="KM224" s="18"/>
      <c r="KN224" s="18"/>
      <c r="KO224" s="18"/>
      <c r="KP224" s="18"/>
      <c r="KQ224" s="18"/>
      <c r="KR224" s="18"/>
      <c r="KS224" s="18"/>
      <c r="KT224" s="18"/>
      <c r="KU224" s="18"/>
      <c r="KV224" s="18"/>
      <c r="KW224" s="18"/>
      <c r="KX224" s="18"/>
      <c r="KY224" s="18"/>
      <c r="KZ224" s="18"/>
      <c r="LA224" s="18"/>
      <c r="LB224" s="18"/>
      <c r="LC224" s="18"/>
      <c r="LD224" s="18"/>
      <c r="LE224" s="18"/>
      <c r="LF224" s="18"/>
      <c r="LG224" s="18"/>
      <c r="LH224" s="18"/>
      <c r="LI224" s="18"/>
      <c r="LJ224" s="18"/>
      <c r="LK224" s="18"/>
      <c r="LL224" s="18"/>
      <c r="LM224" s="18"/>
      <c r="LN224" s="18"/>
      <c r="LO224" s="18"/>
      <c r="LP224" s="18"/>
      <c r="LQ224" s="18"/>
      <c r="LR224" s="18"/>
      <c r="LS224" s="18"/>
      <c r="LT224" s="18"/>
      <c r="LU224" s="18"/>
      <c r="LV224" s="18"/>
      <c r="LW224" s="18"/>
      <c r="LX224" s="18"/>
      <c r="LY224" s="18"/>
      <c r="LZ224" s="18"/>
      <c r="MA224" s="18"/>
      <c r="MB224" s="18"/>
      <c r="MC224" s="18"/>
      <c r="MD224" s="18"/>
      <c r="ME224" s="18"/>
      <c r="MF224" s="18"/>
      <c r="MG224" s="18"/>
      <c r="MH224" s="18"/>
      <c r="MI224" s="18"/>
      <c r="MJ224" s="18"/>
      <c r="MK224" s="18"/>
      <c r="ML224" s="18"/>
      <c r="MM224" s="18"/>
      <c r="MN224" s="18"/>
      <c r="MO224" s="18"/>
      <c r="MP224" s="18"/>
      <c r="MQ224" s="18"/>
      <c r="MR224" s="18"/>
      <c r="MS224" s="18"/>
      <c r="MT224" s="18"/>
      <c r="MU224" s="18"/>
      <c r="MV224" s="18"/>
      <c r="MW224" s="18"/>
      <c r="MX224" s="18"/>
      <c r="MY224" s="18"/>
      <c r="MZ224" s="18"/>
      <c r="NA224" s="18"/>
      <c r="NB224" s="18"/>
      <c r="NC224" s="18"/>
      <c r="ND224" s="18"/>
      <c r="NE224" s="18"/>
      <c r="NF224" s="18"/>
      <c r="NG224" s="18"/>
      <c r="NH224" s="18"/>
      <c r="NI224" s="18"/>
      <c r="NJ224" s="18"/>
      <c r="NK224" s="18"/>
      <c r="NL224" s="18"/>
      <c r="NM224" s="18"/>
      <c r="NN224" s="18"/>
      <c r="NO224" s="18"/>
      <c r="NP224" s="18"/>
      <c r="NQ224" s="18"/>
      <c r="NR224" s="18"/>
      <c r="NS224" s="18"/>
      <c r="NT224" s="18"/>
      <c r="NU224" s="18"/>
      <c r="NV224" s="18"/>
      <c r="NW224" s="18"/>
      <c r="NX224" s="18"/>
      <c r="NY224" s="18"/>
      <c r="NZ224" s="18"/>
      <c r="OA224" s="18"/>
      <c r="OB224" s="18"/>
      <c r="OC224" s="18"/>
      <c r="OD224" s="18"/>
      <c r="OE224" s="18"/>
      <c r="OF224" s="18"/>
      <c r="OG224" s="18"/>
      <c r="OH224" s="18"/>
      <c r="OI224" s="18"/>
      <c r="OJ224" s="18"/>
      <c r="OK224" s="18"/>
      <c r="OL224" s="18"/>
      <c r="OM224" s="18"/>
      <c r="ON224" s="18"/>
      <c r="OO224" s="18"/>
      <c r="OP224" s="18"/>
      <c r="OQ224" s="18"/>
      <c r="OR224" s="18"/>
      <c r="OS224" s="18"/>
      <c r="OT224" s="18"/>
      <c r="OU224" s="18"/>
      <c r="OV224" s="18"/>
      <c r="OW224" s="18"/>
      <c r="OX224" s="18"/>
      <c r="OY224" s="18"/>
      <c r="OZ224" s="18"/>
      <c r="PA224" s="18"/>
      <c r="PB224" s="18"/>
      <c r="PC224" s="18"/>
      <c r="PD224" s="18"/>
      <c r="PE224" s="18"/>
      <c r="PF224" s="18"/>
      <c r="PG224" s="18"/>
      <c r="PH224" s="18"/>
      <c r="PI224" s="18"/>
      <c r="PJ224" s="18"/>
      <c r="PK224" s="18"/>
      <c r="PL224" s="18"/>
      <c r="PM224" s="18"/>
      <c r="PN224" s="18"/>
      <c r="PO224" s="18"/>
      <c r="PP224" s="18"/>
      <c r="PQ224" s="18"/>
      <c r="PR224" s="18"/>
      <c r="PS224" s="18"/>
      <c r="PT224" s="18"/>
      <c r="PU224" s="18"/>
      <c r="PV224" s="18"/>
      <c r="PW224" s="18"/>
      <c r="PX224" s="18"/>
      <c r="PY224" s="18"/>
      <c r="PZ224" s="18"/>
      <c r="QA224" s="18"/>
      <c r="QB224" s="18"/>
      <c r="QC224" s="18"/>
      <c r="QD224" s="18"/>
      <c r="QE224" s="18"/>
      <c r="QF224" s="18"/>
      <c r="QG224" s="18"/>
      <c r="QH224" s="18"/>
      <c r="QI224" s="18"/>
      <c r="QJ224" s="18"/>
      <c r="QK224" s="18"/>
      <c r="QL224" s="18"/>
      <c r="QM224" s="18"/>
      <c r="QN224" s="18"/>
      <c r="QO224" s="18"/>
      <c r="QP224" s="18"/>
      <c r="QQ224" s="18"/>
      <c r="QR224" s="18"/>
      <c r="QS224" s="18"/>
      <c r="QT224" s="18"/>
      <c r="QU224" s="18"/>
      <c r="QV224" s="18"/>
      <c r="QW224" s="18"/>
      <c r="QX224" s="18"/>
      <c r="QY224" s="18"/>
      <c r="QZ224" s="18"/>
      <c r="RA224" s="18"/>
      <c r="RB224" s="18"/>
      <c r="RC224" s="18"/>
      <c r="RD224" s="18"/>
      <c r="RE224" s="18"/>
      <c r="RF224" s="18"/>
      <c r="RG224" s="18"/>
      <c r="RH224" s="18"/>
      <c r="RI224" s="18"/>
      <c r="RJ224" s="18"/>
      <c r="RK224" s="18"/>
      <c r="RL224" s="18"/>
      <c r="RM224" s="18"/>
      <c r="RN224" s="18"/>
      <c r="RO224" s="18"/>
      <c r="RP224" s="18"/>
      <c r="RQ224" s="18"/>
      <c r="RR224" s="18"/>
      <c r="RS224" s="18"/>
      <c r="RT224" s="18"/>
      <c r="RU224" s="18"/>
      <c r="RV224" s="18"/>
      <c r="RW224" s="18"/>
      <c r="RX224" s="18"/>
      <c r="RY224" s="18"/>
      <c r="RZ224" s="18"/>
      <c r="SA224" s="18"/>
      <c r="SB224" s="18"/>
      <c r="SC224" s="18"/>
      <c r="SD224" s="18"/>
      <c r="SE224" s="18"/>
      <c r="SF224" s="18"/>
      <c r="SG224" s="18"/>
      <c r="SH224" s="18"/>
      <c r="SI224" s="18"/>
      <c r="SJ224" s="18"/>
      <c r="SK224" s="18"/>
      <c r="SL224" s="18"/>
      <c r="SM224" s="18"/>
      <c r="SN224" s="18"/>
      <c r="SO224" s="18"/>
      <c r="SP224" s="18"/>
      <c r="SQ224" s="18"/>
      <c r="SR224" s="18"/>
      <c r="SS224" s="18"/>
      <c r="ST224" s="18"/>
      <c r="SU224" s="18"/>
      <c r="SV224" s="18"/>
      <c r="SW224" s="18"/>
      <c r="SX224" s="18"/>
      <c r="SY224" s="18"/>
      <c r="SZ224" s="18"/>
      <c r="TA224" s="18"/>
      <c r="TB224" s="18"/>
      <c r="TC224" s="18"/>
      <c r="TD224" s="18"/>
      <c r="TE224" s="18"/>
      <c r="TF224" s="18"/>
      <c r="TG224" s="18"/>
      <c r="TH224" s="18"/>
      <c r="TI224" s="18"/>
      <c r="TJ224" s="18"/>
      <c r="TK224" s="18"/>
      <c r="TL224" s="18"/>
      <c r="TM224" s="18"/>
      <c r="TN224" s="18"/>
      <c r="TO224" s="18"/>
      <c r="TP224" s="18"/>
      <c r="TQ224" s="18"/>
      <c r="TR224" s="18"/>
      <c r="TS224" s="18"/>
      <c r="TT224" s="18"/>
      <c r="TU224" s="18"/>
      <c r="TV224" s="18"/>
      <c r="TW224" s="18"/>
      <c r="TX224" s="18"/>
      <c r="TY224" s="18"/>
      <c r="TZ224" s="18"/>
      <c r="UA224" s="18"/>
      <c r="UB224" s="18"/>
      <c r="UC224" s="18"/>
      <c r="UD224" s="18"/>
      <c r="UE224" s="18"/>
      <c r="UF224" s="18"/>
      <c r="UG224" s="18"/>
      <c r="UH224" s="18"/>
      <c r="UI224" s="18"/>
      <c r="UJ224" s="18"/>
      <c r="UK224" s="18"/>
      <c r="UL224" s="18"/>
      <c r="UM224" s="18"/>
      <c r="UN224" s="18"/>
      <c r="UO224" s="18"/>
      <c r="UP224" s="18"/>
      <c r="UQ224" s="18"/>
      <c r="UR224" s="18"/>
      <c r="US224" s="18"/>
      <c r="UT224" s="18"/>
      <c r="UU224" s="18"/>
      <c r="UV224" s="18"/>
      <c r="UW224" s="18"/>
      <c r="UX224" s="18"/>
      <c r="UY224" s="18"/>
      <c r="UZ224" s="18"/>
      <c r="VA224" s="18"/>
      <c r="VB224" s="18"/>
      <c r="VC224" s="18"/>
      <c r="VD224" s="18"/>
      <c r="VE224" s="18"/>
      <c r="VF224" s="18"/>
      <c r="VG224" s="18"/>
      <c r="VH224" s="18"/>
      <c r="VI224" s="18"/>
      <c r="VJ224" s="18"/>
      <c r="VK224" s="18"/>
      <c r="VL224" s="18"/>
      <c r="VM224" s="18"/>
      <c r="VN224" s="18"/>
      <c r="VO224" s="18"/>
      <c r="VP224" s="18"/>
      <c r="VQ224" s="18"/>
      <c r="VR224" s="18"/>
      <c r="VS224" s="18"/>
      <c r="VT224" s="18"/>
      <c r="VU224" s="18"/>
      <c r="VV224" s="18"/>
      <c r="VW224" s="18"/>
      <c r="VX224" s="18"/>
      <c r="VY224" s="18"/>
      <c r="VZ224" s="18"/>
      <c r="WA224" s="18"/>
      <c r="WB224" s="18"/>
      <c r="WC224" s="18"/>
      <c r="WD224" s="18"/>
      <c r="WE224" s="18"/>
      <c r="WF224" s="18"/>
      <c r="WG224" s="18"/>
      <c r="WH224" s="18"/>
      <c r="WI224" s="18"/>
      <c r="WJ224" s="18"/>
      <c r="WK224" s="18"/>
      <c r="WL224" s="18"/>
      <c r="WM224" s="18"/>
      <c r="WN224" s="18"/>
      <c r="WO224" s="18"/>
      <c r="WP224" s="18"/>
      <c r="WQ224" s="18"/>
      <c r="WR224" s="18"/>
      <c r="WS224" s="18"/>
      <c r="WT224" s="18"/>
      <c r="WU224" s="18"/>
      <c r="WV224" s="18"/>
      <c r="WW224" s="18"/>
      <c r="WX224" s="18"/>
      <c r="WY224" s="18"/>
      <c r="WZ224" s="18"/>
      <c r="XA224" s="18"/>
      <c r="XB224" s="18"/>
      <c r="XC224" s="18"/>
      <c r="XD224" s="18"/>
      <c r="XE224" s="18"/>
      <c r="XF224" s="18"/>
      <c r="XG224" s="18"/>
      <c r="XH224" s="18"/>
      <c r="XI224" s="18"/>
      <c r="XJ224" s="18"/>
      <c r="XK224" s="18"/>
      <c r="XL224" s="18"/>
      <c r="XM224" s="18"/>
      <c r="XN224" s="18"/>
      <c r="XO224" s="18"/>
      <c r="XP224" s="18"/>
      <c r="XQ224" s="18"/>
      <c r="XR224" s="18"/>
      <c r="XS224" s="18"/>
      <c r="XT224" s="18"/>
      <c r="XU224" s="18"/>
      <c r="XV224" s="18"/>
      <c r="XW224" s="18"/>
      <c r="XX224" s="18"/>
      <c r="XY224" s="18"/>
      <c r="XZ224" s="18"/>
      <c r="YA224" s="18"/>
      <c r="YB224" s="18"/>
      <c r="YC224" s="18"/>
      <c r="YD224" s="18"/>
      <c r="YE224" s="18"/>
      <c r="YF224" s="18"/>
      <c r="YG224" s="18"/>
      <c r="YH224" s="18"/>
      <c r="YI224" s="18"/>
      <c r="YJ224" s="18"/>
      <c r="YK224" s="18"/>
      <c r="YL224" s="18"/>
      <c r="YM224" s="18"/>
      <c r="YN224" s="18"/>
      <c r="YO224" s="18"/>
      <c r="YP224" s="18"/>
      <c r="YQ224" s="18"/>
      <c r="YR224" s="18"/>
      <c r="YS224" s="18"/>
      <c r="YT224" s="18"/>
      <c r="YU224" s="18"/>
      <c r="YV224" s="18"/>
      <c r="YW224" s="18"/>
      <c r="YX224" s="18"/>
      <c r="YY224" s="18"/>
      <c r="YZ224" s="18"/>
      <c r="ZA224" s="18"/>
      <c r="ZB224" s="18"/>
      <c r="ZC224" s="18"/>
      <c r="ZD224" s="18"/>
      <c r="ZE224" s="18"/>
      <c r="ZF224" s="18"/>
      <c r="ZG224" s="18"/>
      <c r="ZH224" s="18"/>
      <c r="ZI224" s="18"/>
      <c r="ZJ224" s="18"/>
      <c r="ZK224" s="18"/>
      <c r="ZL224" s="18"/>
      <c r="ZM224" s="18"/>
      <c r="ZN224" s="18"/>
      <c r="ZO224" s="18"/>
      <c r="ZP224" s="18"/>
      <c r="ZQ224" s="18"/>
      <c r="ZR224" s="18"/>
      <c r="ZS224" s="18"/>
      <c r="ZT224" s="18"/>
      <c r="ZU224" s="18"/>
      <c r="ZV224" s="18"/>
      <c r="ZW224" s="18"/>
      <c r="ZX224" s="18"/>
      <c r="ZY224" s="18"/>
      <c r="ZZ224" s="18"/>
      <c r="AAA224" s="18"/>
      <c r="AAB224" s="18"/>
      <c r="AAC224" s="18"/>
      <c r="AAD224" s="18"/>
      <c r="AAE224" s="18"/>
      <c r="AAF224" s="18"/>
      <c r="AAG224" s="18"/>
      <c r="AAH224" s="18"/>
      <c r="AAI224" s="18"/>
      <c r="AAJ224" s="18"/>
      <c r="AAK224" s="18"/>
      <c r="AAL224" s="18"/>
      <c r="AAM224" s="18"/>
      <c r="AAN224" s="18"/>
      <c r="AAO224" s="18"/>
      <c r="AAP224" s="18"/>
      <c r="AAQ224" s="18"/>
      <c r="AAR224" s="18"/>
      <c r="AAS224" s="18"/>
      <c r="AAT224" s="18"/>
      <c r="AAU224" s="18"/>
      <c r="AAV224" s="18"/>
      <c r="AAW224" s="18"/>
      <c r="AAX224" s="18"/>
      <c r="AAY224" s="18"/>
      <c r="AAZ224" s="18"/>
      <c r="ABA224" s="18"/>
      <c r="ABB224" s="18"/>
      <c r="ABC224" s="18"/>
      <c r="ABD224" s="18"/>
      <c r="ABE224" s="18"/>
      <c r="ABF224" s="18"/>
      <c r="ABG224" s="18"/>
      <c r="ABH224" s="18"/>
      <c r="ABI224" s="18"/>
      <c r="ABJ224" s="18"/>
      <c r="ABK224" s="18"/>
      <c r="ABL224" s="18"/>
      <c r="ABM224" s="18"/>
      <c r="ABN224" s="18"/>
      <c r="ABO224" s="18"/>
      <c r="ABP224" s="18"/>
      <c r="ABQ224" s="18"/>
      <c r="ABR224" s="18"/>
      <c r="ABS224" s="18"/>
      <c r="ABT224" s="18"/>
      <c r="ABU224" s="18"/>
      <c r="ABV224" s="18"/>
      <c r="ABW224" s="18"/>
      <c r="ABX224" s="18"/>
      <c r="ABY224" s="18"/>
      <c r="ABZ224" s="18"/>
      <c r="ACA224" s="18"/>
      <c r="ACB224" s="18"/>
      <c r="ACC224" s="18"/>
      <c r="ACD224" s="18"/>
      <c r="ACE224" s="18"/>
      <c r="ACF224" s="18"/>
      <c r="ACG224" s="18"/>
      <c r="ACH224" s="18"/>
      <c r="ACI224" s="18"/>
      <c r="ACJ224" s="18"/>
      <c r="ACK224" s="18"/>
      <c r="ACL224" s="18"/>
      <c r="ACM224" s="18"/>
      <c r="ACN224" s="18"/>
      <c r="ACO224" s="18"/>
      <c r="ACP224" s="18"/>
      <c r="ACQ224" s="18"/>
      <c r="ACR224" s="18"/>
      <c r="ACS224" s="18"/>
      <c r="ACT224" s="18"/>
      <c r="ACU224" s="18"/>
      <c r="ACV224" s="18"/>
      <c r="ACW224" s="18"/>
      <c r="ACX224" s="18"/>
      <c r="ACY224" s="18"/>
      <c r="ACZ224" s="18"/>
      <c r="ADA224" s="18"/>
      <c r="ADB224" s="18"/>
      <c r="ADC224" s="18"/>
      <c r="ADD224" s="18"/>
      <c r="ADE224" s="18"/>
      <c r="ADF224" s="18"/>
      <c r="ADG224" s="18"/>
      <c r="ADH224" s="18"/>
      <c r="ADI224" s="18"/>
      <c r="ADJ224" s="18"/>
      <c r="ADK224" s="18"/>
      <c r="ADL224" s="18"/>
      <c r="ADM224" s="18"/>
      <c r="ADN224" s="18"/>
      <c r="ADO224" s="18"/>
      <c r="ADP224" s="18"/>
      <c r="ADQ224" s="18"/>
      <c r="ADR224" s="18"/>
      <c r="ADS224" s="18"/>
      <c r="ADT224" s="18"/>
      <c r="ADU224" s="18"/>
      <c r="ADV224" s="18"/>
      <c r="ADW224" s="18"/>
      <c r="ADX224" s="18"/>
      <c r="ADY224" s="18"/>
      <c r="ADZ224" s="18"/>
      <c r="AEA224" s="18"/>
      <c r="AEB224" s="18"/>
      <c r="AEC224" s="18"/>
      <c r="AED224" s="18"/>
      <c r="AEE224" s="18"/>
      <c r="AEF224" s="18"/>
      <c r="AEG224" s="18"/>
      <c r="AEH224" s="18"/>
      <c r="AEI224" s="18"/>
      <c r="AEJ224" s="18"/>
      <c r="AEK224" s="18"/>
      <c r="AEL224" s="18"/>
      <c r="AEM224" s="18"/>
      <c r="AEN224" s="18"/>
      <c r="AEO224" s="18"/>
      <c r="AEP224" s="18"/>
      <c r="AEQ224" s="18"/>
      <c r="AER224" s="18"/>
      <c r="AES224" s="18"/>
      <c r="AET224" s="18"/>
      <c r="AEU224" s="18"/>
      <c r="AEV224" s="18"/>
      <c r="AEW224" s="18"/>
      <c r="AEX224" s="18"/>
      <c r="AEY224" s="18"/>
      <c r="AEZ224" s="18"/>
      <c r="AFA224" s="18"/>
      <c r="AFB224" s="18"/>
      <c r="AFC224" s="18"/>
      <c r="AFD224" s="18"/>
      <c r="AFE224" s="18"/>
      <c r="AFF224" s="18"/>
      <c r="AFG224" s="18"/>
      <c r="AFH224" s="18"/>
      <c r="AFI224" s="18"/>
      <c r="AFJ224" s="18"/>
      <c r="AFK224" s="18"/>
      <c r="AFL224" s="18"/>
      <c r="AFM224" s="18"/>
      <c r="AFN224" s="18"/>
      <c r="AFO224" s="18"/>
      <c r="AFP224" s="18"/>
      <c r="AFQ224" s="18"/>
      <c r="AFR224" s="18"/>
      <c r="AFS224" s="18"/>
      <c r="AFT224" s="18"/>
      <c r="AFU224" s="18"/>
      <c r="AFV224" s="18"/>
      <c r="AFW224" s="18"/>
      <c r="AFX224" s="18"/>
      <c r="AFY224" s="18"/>
      <c r="AFZ224" s="18"/>
      <c r="AGA224" s="18"/>
      <c r="AGB224" s="18"/>
      <c r="AGC224" s="18"/>
      <c r="AGD224" s="18"/>
      <c r="AGE224" s="18"/>
      <c r="AGF224" s="18"/>
      <c r="AGG224" s="18"/>
      <c r="AGH224" s="18"/>
      <c r="AGI224" s="18"/>
      <c r="AGJ224" s="18"/>
      <c r="AGK224" s="18"/>
      <c r="AGL224" s="18"/>
      <c r="AGM224" s="18"/>
      <c r="AGN224" s="18"/>
      <c r="AGO224" s="18"/>
      <c r="AGP224" s="18"/>
      <c r="AGQ224" s="18"/>
      <c r="AGR224" s="18"/>
      <c r="AGS224" s="18"/>
      <c r="AGT224" s="18"/>
      <c r="AGU224" s="18"/>
      <c r="AGV224" s="18"/>
      <c r="AGW224" s="18"/>
      <c r="AGX224" s="18"/>
      <c r="AGY224" s="18"/>
      <c r="AGZ224" s="18"/>
      <c r="AHA224" s="18"/>
      <c r="AHB224" s="18"/>
      <c r="AHC224" s="18"/>
      <c r="AHD224" s="18"/>
      <c r="AHE224" s="18"/>
      <c r="AHF224" s="18"/>
      <c r="AHG224" s="18"/>
      <c r="AHH224" s="18"/>
      <c r="AHI224" s="18"/>
      <c r="AHJ224" s="18"/>
      <c r="AHK224" s="18"/>
      <c r="AHL224" s="18"/>
      <c r="AHM224" s="18"/>
      <c r="AHN224" s="18"/>
      <c r="AHO224" s="18"/>
      <c r="AHP224" s="18"/>
      <c r="AHQ224" s="18"/>
      <c r="AHR224" s="18"/>
      <c r="AHS224" s="18"/>
      <c r="AHT224" s="18"/>
      <c r="AHU224" s="18"/>
      <c r="AHV224" s="18"/>
      <c r="AHW224" s="18"/>
      <c r="AHX224" s="18"/>
      <c r="AHY224" s="18"/>
      <c r="AHZ224" s="18"/>
      <c r="AIA224" s="18"/>
      <c r="AIB224" s="18"/>
      <c r="AIC224" s="18"/>
      <c r="AID224" s="18"/>
      <c r="AIE224" s="18"/>
      <c r="AIF224" s="18"/>
      <c r="AIG224" s="18"/>
      <c r="AIH224" s="18"/>
      <c r="AII224" s="18"/>
      <c r="AIJ224" s="18"/>
      <c r="AIK224" s="18"/>
      <c r="AIL224" s="18"/>
      <c r="AIM224" s="18"/>
      <c r="AIN224" s="18"/>
      <c r="AIO224" s="18"/>
      <c r="AIP224" s="18"/>
      <c r="AIQ224" s="18"/>
      <c r="AIR224" s="18"/>
      <c r="AIS224" s="18"/>
      <c r="AIT224" s="18"/>
      <c r="AIU224" s="18"/>
      <c r="AIV224" s="18"/>
      <c r="AIW224" s="18"/>
      <c r="AIX224" s="18"/>
      <c r="AIY224" s="18"/>
      <c r="AIZ224" s="18"/>
      <c r="AJA224" s="18"/>
      <c r="AJB224" s="18"/>
      <c r="AJC224" s="18"/>
      <c r="AJD224" s="18"/>
      <c r="AJE224" s="18"/>
      <c r="AJF224" s="18"/>
      <c r="AJG224" s="18"/>
      <c r="AJH224" s="18"/>
      <c r="AJI224" s="18"/>
      <c r="AJJ224" s="18"/>
      <c r="AJK224" s="18"/>
      <c r="AJL224" s="18"/>
      <c r="AJM224" s="18"/>
      <c r="AJN224" s="18"/>
      <c r="AJO224" s="18"/>
      <c r="AJP224" s="18"/>
      <c r="AJQ224" s="18"/>
      <c r="AJR224" s="18"/>
      <c r="AJS224" s="18"/>
      <c r="AJT224" s="18"/>
      <c r="AJU224" s="18"/>
      <c r="AJV224" s="18"/>
      <c r="AJW224" s="18"/>
      <c r="AJX224" s="18"/>
      <c r="AJY224" s="18"/>
      <c r="AJZ224" s="18"/>
      <c r="AKA224" s="18"/>
      <c r="AKB224" s="18"/>
      <c r="AKC224" s="18"/>
      <c r="AKD224" s="18"/>
      <c r="AKE224" s="18"/>
      <c r="AKF224" s="18"/>
      <c r="AKG224" s="18"/>
      <c r="AKH224" s="18"/>
      <c r="AKI224" s="18"/>
      <c r="AKJ224" s="18"/>
      <c r="AKK224" s="18"/>
      <c r="AKL224" s="18"/>
      <c r="AKM224" s="18"/>
      <c r="AKN224" s="18"/>
      <c r="AKO224" s="18"/>
      <c r="AKP224" s="18"/>
      <c r="AKQ224" s="18"/>
      <c r="AKR224" s="18"/>
      <c r="AKS224" s="18"/>
      <c r="AKT224" s="18"/>
      <c r="AKU224" s="18"/>
      <c r="AKV224" s="18"/>
      <c r="AKW224" s="18"/>
      <c r="AKX224" s="18"/>
      <c r="AKY224" s="18"/>
      <c r="AKZ224" s="18"/>
      <c r="ALA224" s="18"/>
      <c r="ALB224" s="18"/>
      <c r="ALC224" s="18"/>
      <c r="ALD224" s="18"/>
      <c r="ALE224" s="18"/>
      <c r="ALF224" s="18"/>
      <c r="ALG224" s="18"/>
      <c r="ALH224" s="18"/>
      <c r="ALI224" s="18"/>
      <c r="ALJ224" s="18"/>
      <c r="ALK224" s="18"/>
      <c r="ALL224" s="18"/>
      <c r="ALM224" s="18"/>
      <c r="ALN224" s="18"/>
      <c r="ALO224" s="18"/>
      <c r="ALP224" s="18"/>
      <c r="ALQ224" s="18"/>
      <c r="ALR224" s="18"/>
      <c r="ALS224" s="18"/>
      <c r="ALT224" s="18"/>
      <c r="ALU224" s="18"/>
      <c r="ALV224" s="18"/>
      <c r="ALW224" s="18"/>
      <c r="ALX224" s="18"/>
      <c r="ALY224" s="18"/>
      <c r="ALZ224" s="18"/>
      <c r="AMA224" s="18"/>
      <c r="AMB224" s="18"/>
      <c r="AMC224" s="18"/>
      <c r="AMD224" s="18"/>
      <c r="AME224" s="18"/>
      <c r="AMF224" s="18"/>
      <c r="AMG224" s="18"/>
      <c r="AMH224" s="18"/>
      <c r="AMI224" s="18"/>
      <c r="AMJ224" s="18"/>
      <c r="AMK224" s="18"/>
      <c r="AML224" s="18"/>
      <c r="AMM224" s="18"/>
      <c r="AMN224" s="18"/>
      <c r="AMO224" s="18"/>
      <c r="AMP224" s="18"/>
      <c r="AMQ224" s="18"/>
      <c r="AMR224" s="18"/>
      <c r="AMS224" s="18"/>
      <c r="AMT224" s="18"/>
      <c r="AMU224" s="18"/>
      <c r="AMV224" s="18"/>
      <c r="AMW224" s="18"/>
      <c r="AMX224" s="18"/>
      <c r="AMY224" s="18"/>
      <c r="AMZ224" s="18"/>
      <c r="ANA224" s="18"/>
      <c r="ANB224" s="18"/>
      <c r="ANC224" s="18"/>
      <c r="AND224" s="18"/>
      <c r="ANE224" s="18"/>
      <c r="ANF224" s="18"/>
      <c r="ANG224" s="18"/>
      <c r="ANH224" s="18"/>
      <c r="ANI224" s="18"/>
      <c r="ANJ224" s="18"/>
      <c r="ANK224" s="18"/>
      <c r="ANL224" s="18"/>
      <c r="ANM224" s="18"/>
      <c r="ANN224" s="18"/>
      <c r="ANO224" s="18"/>
      <c r="ANP224" s="18"/>
      <c r="ANQ224" s="18"/>
      <c r="ANR224" s="18"/>
      <c r="ANS224" s="18"/>
      <c r="ANT224" s="18"/>
      <c r="ANU224" s="18"/>
      <c r="ANV224" s="18"/>
      <c r="ANW224" s="18"/>
      <c r="ANX224" s="18"/>
      <c r="ANY224" s="18"/>
      <c r="ANZ224" s="18"/>
      <c r="AOA224" s="18"/>
      <c r="AOB224" s="18"/>
      <c r="AOC224" s="18"/>
      <c r="AOD224" s="18"/>
      <c r="AOE224" s="18"/>
      <c r="AOF224" s="18"/>
      <c r="AOG224" s="18"/>
      <c r="AOH224" s="18"/>
      <c r="AOI224" s="18"/>
      <c r="AOJ224" s="18"/>
      <c r="AOK224" s="18"/>
      <c r="AOL224" s="18"/>
      <c r="AOM224" s="18"/>
      <c r="AON224" s="18"/>
      <c r="AOO224" s="18"/>
      <c r="AOP224" s="18"/>
      <c r="AOQ224" s="18"/>
      <c r="AOR224" s="18"/>
      <c r="AOS224" s="18"/>
      <c r="AOT224" s="18"/>
      <c r="AOU224" s="18"/>
      <c r="AOV224" s="18"/>
      <c r="AOW224" s="18"/>
      <c r="AOX224" s="18"/>
      <c r="AOY224" s="18"/>
      <c r="AOZ224" s="18"/>
      <c r="APA224" s="18"/>
      <c r="APB224" s="18"/>
      <c r="APC224" s="18"/>
      <c r="APD224" s="18"/>
      <c r="APE224" s="18"/>
      <c r="APF224" s="18"/>
      <c r="APG224" s="18"/>
      <c r="APH224" s="18"/>
      <c r="API224" s="18"/>
      <c r="APJ224" s="18"/>
      <c r="APK224" s="18"/>
      <c r="APL224" s="18"/>
      <c r="APM224" s="18"/>
      <c r="APN224" s="18"/>
      <c r="APO224" s="18"/>
      <c r="APP224" s="18"/>
      <c r="APQ224" s="18"/>
      <c r="APR224" s="18"/>
      <c r="APS224" s="18"/>
      <c r="APT224" s="18"/>
      <c r="APU224" s="18"/>
      <c r="APV224" s="18"/>
      <c r="APW224" s="18"/>
      <c r="APX224" s="18"/>
      <c r="APY224" s="18"/>
      <c r="APZ224" s="18"/>
      <c r="AQA224" s="18"/>
      <c r="AQB224" s="18"/>
      <c r="AQC224" s="18"/>
      <c r="AQD224" s="18"/>
      <c r="AQE224" s="18"/>
      <c r="AQF224" s="18"/>
      <c r="AQG224" s="18"/>
      <c r="AQH224" s="18"/>
      <c r="AQI224" s="18"/>
      <c r="AQJ224" s="18"/>
      <c r="AQK224" s="18"/>
      <c r="AQL224" s="18"/>
      <c r="AQM224" s="18"/>
      <c r="AQN224" s="18"/>
      <c r="AQO224" s="18"/>
      <c r="AQP224" s="18"/>
      <c r="AQQ224" s="18"/>
      <c r="AQR224" s="18"/>
      <c r="AQS224" s="18"/>
      <c r="AQT224" s="18"/>
      <c r="AQU224" s="18"/>
      <c r="AQV224" s="18"/>
      <c r="AQW224" s="18"/>
      <c r="AQX224" s="18"/>
      <c r="AQY224" s="18"/>
      <c r="AQZ224" s="18"/>
      <c r="ARA224" s="18"/>
      <c r="ARB224" s="18"/>
      <c r="ARC224" s="18"/>
      <c r="ARD224" s="18"/>
      <c r="ARE224" s="18"/>
      <c r="ARF224" s="18"/>
      <c r="ARG224" s="18"/>
      <c r="ARH224" s="18"/>
      <c r="ARI224" s="18"/>
      <c r="ARJ224" s="18"/>
      <c r="ARK224" s="18"/>
      <c r="ARL224" s="18"/>
      <c r="ARM224" s="18"/>
      <c r="ARN224" s="18"/>
      <c r="ARO224" s="18"/>
      <c r="ARP224" s="18"/>
      <c r="ARQ224" s="18"/>
      <c r="ARR224" s="18"/>
      <c r="ARS224" s="18"/>
      <c r="ART224" s="18"/>
      <c r="ARU224" s="18"/>
      <c r="ARV224" s="18"/>
      <c r="ARW224" s="18"/>
      <c r="ARX224" s="18"/>
      <c r="ARY224" s="18"/>
      <c r="ARZ224" s="18"/>
      <c r="ASA224" s="18"/>
      <c r="ASB224" s="18"/>
      <c r="ASC224" s="18"/>
      <c r="ASD224" s="18"/>
      <c r="ASE224" s="18"/>
      <c r="ASF224" s="18"/>
      <c r="ASG224" s="18"/>
      <c r="ASH224" s="18"/>
      <c r="ASI224" s="18"/>
      <c r="ASJ224" s="18"/>
      <c r="ASK224" s="18"/>
      <c r="ASL224" s="18"/>
      <c r="ASM224" s="18"/>
      <c r="ASN224" s="18"/>
      <c r="ASO224" s="18"/>
      <c r="ASP224" s="18"/>
      <c r="ASQ224" s="18"/>
      <c r="ASR224" s="18"/>
      <c r="ASS224" s="18"/>
      <c r="AST224" s="18"/>
      <c r="ASU224" s="18"/>
      <c r="ASV224" s="18"/>
      <c r="ASW224" s="18"/>
      <c r="ASX224" s="18"/>
      <c r="ASY224" s="18"/>
      <c r="ASZ224" s="18"/>
      <c r="ATA224" s="18"/>
      <c r="ATB224" s="18"/>
      <c r="ATC224" s="18"/>
      <c r="ATD224" s="18"/>
      <c r="ATE224" s="18"/>
      <c r="ATF224" s="18"/>
      <c r="ATG224" s="18"/>
      <c r="ATH224" s="18"/>
      <c r="ATI224" s="18"/>
      <c r="ATJ224" s="18"/>
      <c r="ATK224" s="18"/>
      <c r="ATL224" s="18"/>
      <c r="ATM224" s="18"/>
      <c r="ATN224" s="18"/>
      <c r="ATO224" s="18"/>
      <c r="ATP224" s="18"/>
      <c r="ATQ224" s="18"/>
      <c r="ATR224" s="18"/>
      <c r="ATS224" s="18"/>
      <c r="ATT224" s="18"/>
      <c r="ATU224" s="18"/>
      <c r="ATV224" s="18"/>
      <c r="ATW224" s="18"/>
      <c r="ATX224" s="18"/>
      <c r="ATY224" s="18"/>
      <c r="ATZ224" s="18"/>
      <c r="AUA224" s="18"/>
      <c r="AUB224" s="18"/>
      <c r="AUC224" s="18"/>
      <c r="AUD224" s="18"/>
      <c r="AUE224" s="18"/>
      <c r="AUF224" s="18"/>
      <c r="AUG224" s="18"/>
      <c r="AUH224" s="18"/>
      <c r="AUI224" s="18"/>
      <c r="AUJ224" s="18"/>
      <c r="AUK224" s="18"/>
      <c r="AUL224" s="18"/>
      <c r="AUM224" s="18"/>
      <c r="AUN224" s="18"/>
      <c r="AUO224" s="18"/>
      <c r="AUP224" s="18"/>
      <c r="AUQ224" s="18"/>
      <c r="AUR224" s="18"/>
      <c r="AUS224" s="18"/>
      <c r="AUT224" s="18"/>
      <c r="AUU224" s="18"/>
      <c r="AUV224" s="18"/>
      <c r="AUW224" s="18"/>
      <c r="AUX224" s="18"/>
      <c r="AUY224" s="18"/>
      <c r="AUZ224" s="18"/>
      <c r="AVA224" s="18"/>
      <c r="AVB224" s="18"/>
      <c r="AVC224" s="18"/>
      <c r="AVD224" s="18"/>
      <c r="AVE224" s="18"/>
      <c r="AVF224" s="18"/>
      <c r="AVG224" s="18"/>
      <c r="AVH224" s="18"/>
      <c r="AVI224" s="18"/>
      <c r="AVJ224" s="18"/>
      <c r="AVK224" s="18"/>
      <c r="AVL224" s="18"/>
      <c r="AVM224" s="18"/>
      <c r="AVN224" s="18"/>
      <c r="AVO224" s="18"/>
      <c r="AVP224" s="18"/>
      <c r="AVQ224" s="18"/>
      <c r="AVR224" s="18"/>
      <c r="AVS224" s="18"/>
      <c r="AVT224" s="18"/>
      <c r="AVU224" s="18"/>
      <c r="AVV224" s="18"/>
      <c r="AVW224" s="18"/>
      <c r="AVX224" s="18"/>
      <c r="AVY224" s="18"/>
      <c r="AVZ224" s="18"/>
      <c r="AWA224" s="18"/>
      <c r="AWB224" s="18"/>
      <c r="AWC224" s="18"/>
      <c r="AWD224" s="18"/>
      <c r="AWE224" s="18"/>
      <c r="AWF224" s="18"/>
      <c r="AWG224" s="18"/>
      <c r="AWH224" s="18"/>
      <c r="AWI224" s="18"/>
      <c r="AWJ224" s="18"/>
      <c r="AWK224" s="18"/>
      <c r="AWL224" s="18"/>
      <c r="AWM224" s="18"/>
      <c r="AWN224" s="18"/>
      <c r="AWO224" s="18"/>
      <c r="AWP224" s="18"/>
      <c r="AWQ224" s="18"/>
      <c r="AWR224" s="18"/>
      <c r="AWS224" s="18"/>
      <c r="AWT224" s="18"/>
      <c r="AWU224" s="18"/>
      <c r="AWV224" s="18"/>
      <c r="AWW224" s="18"/>
      <c r="AWX224" s="18"/>
      <c r="AWY224" s="18"/>
      <c r="AWZ224" s="18"/>
      <c r="AXA224" s="18"/>
      <c r="AXB224" s="18"/>
      <c r="AXC224" s="18"/>
      <c r="AXD224" s="18"/>
      <c r="AXE224" s="18"/>
      <c r="AXF224" s="18"/>
      <c r="AXG224" s="18"/>
      <c r="AXH224" s="18"/>
      <c r="AXI224" s="18"/>
      <c r="AXJ224" s="18"/>
      <c r="AXK224" s="18"/>
      <c r="AXL224" s="18"/>
      <c r="AXM224" s="18"/>
      <c r="AXN224" s="18"/>
      <c r="AXO224" s="18"/>
      <c r="AXP224" s="18"/>
      <c r="AXQ224" s="18"/>
      <c r="AXR224" s="18"/>
      <c r="AXS224" s="18"/>
      <c r="AXT224" s="18"/>
      <c r="AXU224" s="18"/>
      <c r="AXV224" s="18"/>
      <c r="AXW224" s="18"/>
      <c r="AXX224" s="18"/>
      <c r="AXY224" s="18"/>
      <c r="AXZ224" s="18"/>
      <c r="AYA224" s="18"/>
      <c r="AYB224" s="18"/>
      <c r="AYC224" s="18"/>
      <c r="AYD224" s="18"/>
      <c r="AYE224" s="18"/>
      <c r="AYF224" s="18"/>
      <c r="AYG224" s="18"/>
      <c r="AYH224" s="18"/>
      <c r="AYI224" s="18"/>
      <c r="AYJ224" s="18"/>
      <c r="AYK224" s="18"/>
      <c r="AYL224" s="18"/>
      <c r="AYM224" s="18"/>
      <c r="AYN224" s="18"/>
      <c r="AYO224" s="18"/>
      <c r="AYP224" s="18"/>
      <c r="AYQ224" s="18"/>
      <c r="AYR224" s="18"/>
      <c r="AYS224" s="18"/>
      <c r="AYT224" s="18"/>
      <c r="AYU224" s="18"/>
      <c r="AYV224" s="18"/>
      <c r="AYW224" s="18"/>
      <c r="AYX224" s="18"/>
      <c r="AYY224" s="18"/>
      <c r="AYZ224" s="18"/>
      <c r="AZA224" s="18"/>
      <c r="AZB224" s="18"/>
      <c r="AZC224" s="18"/>
      <c r="AZD224" s="18"/>
      <c r="AZE224" s="18"/>
      <c r="AZF224" s="18"/>
      <c r="AZG224" s="18"/>
      <c r="AZH224" s="18"/>
      <c r="AZI224" s="18"/>
      <c r="AZJ224" s="18"/>
      <c r="AZK224" s="18"/>
      <c r="AZL224" s="18"/>
      <c r="AZM224" s="18"/>
      <c r="AZN224" s="18"/>
      <c r="AZO224" s="18"/>
      <c r="AZP224" s="18"/>
      <c r="AZQ224" s="18"/>
      <c r="AZR224" s="18"/>
      <c r="AZS224" s="18"/>
      <c r="AZT224" s="18"/>
      <c r="AZU224" s="18"/>
      <c r="AZV224" s="18"/>
      <c r="AZW224" s="18"/>
      <c r="AZX224" s="18"/>
      <c r="AZY224" s="18"/>
      <c r="AZZ224" s="18"/>
      <c r="BAA224" s="18"/>
      <c r="BAB224" s="18"/>
      <c r="BAC224" s="18"/>
      <c r="BAD224" s="18"/>
      <c r="BAE224" s="18"/>
      <c r="BAF224" s="18"/>
      <c r="BAG224" s="18"/>
      <c r="BAH224" s="18"/>
      <c r="BAI224" s="18"/>
      <c r="BAJ224" s="18"/>
      <c r="BAK224" s="18"/>
      <c r="BAL224" s="18"/>
      <c r="BAM224" s="18"/>
      <c r="BAN224" s="18"/>
      <c r="BAO224" s="18"/>
      <c r="BAP224" s="18"/>
      <c r="BAQ224" s="18"/>
      <c r="BAR224" s="18"/>
      <c r="BAS224" s="18"/>
      <c r="BAT224" s="18"/>
      <c r="BAU224" s="18"/>
      <c r="BAV224" s="18"/>
      <c r="BAW224" s="18"/>
      <c r="BAX224" s="18"/>
      <c r="BAY224" s="18"/>
      <c r="BAZ224" s="18"/>
      <c r="BBA224" s="18"/>
      <c r="BBB224" s="18"/>
      <c r="BBC224" s="18"/>
      <c r="BBD224" s="18"/>
      <c r="BBE224" s="18"/>
      <c r="BBF224" s="18"/>
      <c r="BBG224" s="18"/>
      <c r="BBH224" s="18"/>
      <c r="BBI224" s="18"/>
      <c r="BBJ224" s="18"/>
      <c r="BBK224" s="18"/>
      <c r="BBL224" s="18"/>
      <c r="BBM224" s="18"/>
      <c r="BBN224" s="18"/>
      <c r="BBO224" s="18"/>
      <c r="BBP224" s="18"/>
      <c r="BBQ224" s="18"/>
      <c r="BBR224" s="18"/>
      <c r="BBS224" s="18"/>
      <c r="BBT224" s="18"/>
      <c r="BBU224" s="18"/>
      <c r="BBV224" s="18"/>
      <c r="BBW224" s="18"/>
      <c r="BBX224" s="18"/>
      <c r="BBY224" s="18"/>
      <c r="BBZ224" s="18"/>
      <c r="BCA224" s="18"/>
      <c r="BCB224" s="18"/>
      <c r="BCC224" s="18"/>
      <c r="BCD224" s="18"/>
      <c r="BCE224" s="18"/>
      <c r="BCF224" s="18"/>
      <c r="BCG224" s="18"/>
      <c r="BCH224" s="18"/>
      <c r="BCI224" s="18"/>
      <c r="BCJ224" s="18"/>
      <c r="BCK224" s="18"/>
      <c r="BCL224" s="18"/>
      <c r="BCM224" s="18"/>
      <c r="BCN224" s="18"/>
      <c r="BCO224" s="18"/>
      <c r="BCP224" s="18"/>
      <c r="BCQ224" s="18"/>
      <c r="BCR224" s="18"/>
      <c r="BCS224" s="18"/>
      <c r="BCT224" s="18"/>
      <c r="BCU224" s="18"/>
      <c r="BCV224" s="18"/>
      <c r="BCW224" s="18"/>
      <c r="BCX224" s="18"/>
      <c r="BCY224" s="18"/>
      <c r="BCZ224" s="18"/>
      <c r="BDA224" s="18"/>
      <c r="BDB224" s="18"/>
      <c r="BDC224" s="18"/>
      <c r="BDD224" s="18"/>
      <c r="BDE224" s="18"/>
      <c r="BDF224" s="18"/>
      <c r="BDG224" s="18"/>
      <c r="BDH224" s="18"/>
      <c r="BDI224" s="18"/>
      <c r="BDJ224" s="18"/>
      <c r="BDK224" s="18"/>
      <c r="BDL224" s="18"/>
      <c r="BDM224" s="18"/>
      <c r="BDN224" s="18"/>
      <c r="BDO224" s="18"/>
      <c r="BDP224" s="18"/>
      <c r="BDQ224" s="18"/>
      <c r="BDR224" s="18"/>
      <c r="BDS224" s="18"/>
      <c r="BDT224" s="18"/>
      <c r="BDU224" s="18"/>
      <c r="BDV224" s="18"/>
      <c r="BDW224" s="18"/>
      <c r="BDX224" s="18"/>
      <c r="BDY224" s="18"/>
      <c r="BDZ224" s="18"/>
      <c r="BEA224" s="18"/>
      <c r="BEB224" s="18"/>
      <c r="BEC224" s="18"/>
      <c r="BED224" s="18"/>
      <c r="BEE224" s="18"/>
      <c r="BEF224" s="18"/>
      <c r="BEG224" s="18"/>
      <c r="BEH224" s="18"/>
      <c r="BEI224" s="18"/>
      <c r="BEJ224" s="18"/>
      <c r="BEK224" s="18"/>
      <c r="BEL224" s="18"/>
      <c r="BEM224" s="18"/>
      <c r="BEN224" s="18"/>
      <c r="BEO224" s="18"/>
      <c r="BEP224" s="18"/>
      <c r="BEQ224" s="18"/>
      <c r="BER224" s="18"/>
      <c r="BES224" s="18"/>
      <c r="BET224" s="18"/>
      <c r="BEU224" s="18"/>
      <c r="BEV224" s="18"/>
      <c r="BEW224" s="18"/>
      <c r="BEX224" s="18"/>
      <c r="BEY224" s="18"/>
      <c r="BEZ224" s="18"/>
      <c r="BFA224" s="18"/>
      <c r="BFB224" s="18"/>
      <c r="BFC224" s="18"/>
      <c r="BFD224" s="18"/>
      <c r="BFE224" s="18"/>
      <c r="BFF224" s="18"/>
      <c r="BFG224" s="18"/>
      <c r="BFH224" s="18"/>
      <c r="BFI224" s="18"/>
      <c r="BFJ224" s="18"/>
      <c r="BFK224" s="18"/>
      <c r="BFL224" s="18"/>
      <c r="BFM224" s="18"/>
      <c r="BFN224" s="18"/>
      <c r="BFO224" s="18"/>
      <c r="BFP224" s="18"/>
      <c r="BFQ224" s="18"/>
      <c r="BFR224" s="18"/>
      <c r="BFS224" s="18"/>
      <c r="BFT224" s="18"/>
      <c r="BFU224" s="18"/>
      <c r="BFV224" s="18"/>
      <c r="BFW224" s="18"/>
      <c r="BFX224" s="18"/>
      <c r="BFY224" s="18"/>
      <c r="BFZ224" s="18"/>
      <c r="BGA224" s="18"/>
      <c r="BGB224" s="18"/>
      <c r="BGC224" s="18"/>
      <c r="BGD224" s="18"/>
      <c r="BGE224" s="18"/>
      <c r="BGF224" s="18"/>
      <c r="BGG224" s="18"/>
      <c r="BGH224" s="18"/>
      <c r="BGI224" s="18"/>
      <c r="BGJ224" s="18"/>
      <c r="BGK224" s="18"/>
      <c r="BGL224" s="18"/>
      <c r="BGM224" s="18"/>
      <c r="BGN224" s="18"/>
      <c r="BGO224" s="18"/>
      <c r="BGP224" s="18"/>
      <c r="BGQ224" s="18"/>
      <c r="BGR224" s="18"/>
      <c r="BGS224" s="18"/>
      <c r="BGT224" s="18"/>
      <c r="BGU224" s="18"/>
      <c r="BGV224" s="18"/>
      <c r="BGW224" s="18"/>
      <c r="BGX224" s="18"/>
      <c r="BGY224" s="18"/>
      <c r="BGZ224" s="18"/>
      <c r="BHA224" s="18"/>
      <c r="BHB224" s="18"/>
      <c r="BHC224" s="18"/>
      <c r="BHD224" s="18"/>
      <c r="BHE224" s="18"/>
      <c r="BHF224" s="18"/>
      <c r="BHG224" s="18"/>
      <c r="BHH224" s="18"/>
      <c r="BHI224" s="18"/>
      <c r="BHJ224" s="18"/>
      <c r="BHK224" s="18"/>
      <c r="BHL224" s="18"/>
      <c r="BHM224" s="18"/>
      <c r="BHN224" s="18"/>
      <c r="BHO224" s="18"/>
      <c r="BHP224" s="18"/>
      <c r="BHQ224" s="18"/>
      <c r="BHR224" s="18"/>
      <c r="BHS224" s="18"/>
      <c r="BHT224" s="18"/>
      <c r="BHU224" s="18"/>
      <c r="BHV224" s="18"/>
      <c r="BHW224" s="18"/>
      <c r="BHX224" s="18"/>
      <c r="BHY224" s="18"/>
      <c r="BHZ224" s="18"/>
      <c r="BIA224" s="18"/>
      <c r="BIB224" s="18"/>
      <c r="BIC224" s="18"/>
      <c r="BID224" s="18"/>
      <c r="BIE224" s="18"/>
      <c r="BIF224" s="18"/>
      <c r="BIG224" s="18"/>
      <c r="BIH224" s="18"/>
      <c r="BII224" s="18"/>
      <c r="BIJ224" s="18"/>
      <c r="BIK224" s="18"/>
      <c r="BIL224" s="18"/>
      <c r="BIM224" s="18"/>
      <c r="BIN224" s="18"/>
      <c r="BIO224" s="18"/>
      <c r="BIP224" s="18"/>
      <c r="BIQ224" s="18"/>
      <c r="BIR224" s="18"/>
      <c r="BIS224" s="18"/>
      <c r="BIT224" s="18"/>
      <c r="BIU224" s="18"/>
      <c r="BIV224" s="18"/>
      <c r="BIW224" s="18"/>
      <c r="BIX224" s="18"/>
      <c r="BIY224" s="18"/>
      <c r="BIZ224" s="18"/>
      <c r="BJA224" s="18"/>
      <c r="BJB224" s="18"/>
      <c r="BJC224" s="18"/>
      <c r="BJD224" s="18"/>
      <c r="BJE224" s="18"/>
      <c r="BJF224" s="18"/>
      <c r="BJG224" s="18"/>
      <c r="BJH224" s="18"/>
      <c r="BJI224" s="18"/>
      <c r="BJJ224" s="18"/>
      <c r="BJK224" s="18"/>
      <c r="BJL224" s="18"/>
      <c r="BJM224" s="18"/>
      <c r="BJN224" s="18"/>
      <c r="BJO224" s="18"/>
      <c r="BJP224" s="18"/>
      <c r="BJQ224" s="18"/>
      <c r="BJR224" s="18"/>
      <c r="BJS224" s="18"/>
      <c r="BJT224" s="18"/>
      <c r="BJU224" s="18"/>
      <c r="BJV224" s="18"/>
      <c r="BJW224" s="18"/>
      <c r="BJX224" s="18"/>
      <c r="BJY224" s="18"/>
      <c r="BJZ224" s="18"/>
      <c r="BKA224" s="18"/>
      <c r="BKB224" s="18"/>
      <c r="BKC224" s="18"/>
      <c r="BKD224" s="18"/>
      <c r="BKE224" s="18"/>
      <c r="BKF224" s="18"/>
      <c r="BKG224" s="18"/>
      <c r="BKH224" s="18"/>
      <c r="BKI224" s="18"/>
      <c r="BKJ224" s="18"/>
      <c r="BKK224" s="18"/>
      <c r="BKL224" s="18"/>
      <c r="BKM224" s="18"/>
      <c r="BKN224" s="18"/>
      <c r="BKO224" s="18"/>
      <c r="BKP224" s="18"/>
      <c r="BKQ224" s="18"/>
      <c r="BKR224" s="18"/>
      <c r="BKS224" s="18"/>
      <c r="BKT224" s="18"/>
      <c r="BKU224" s="18"/>
      <c r="BKV224" s="18"/>
      <c r="BKW224" s="18"/>
      <c r="BKX224" s="18"/>
      <c r="BKY224" s="18"/>
      <c r="BKZ224" s="18"/>
      <c r="BLA224" s="18"/>
      <c r="BLB224" s="18"/>
      <c r="BLC224" s="18"/>
      <c r="BLD224" s="18"/>
      <c r="BLE224" s="18"/>
      <c r="BLF224" s="18"/>
      <c r="BLG224" s="18"/>
      <c r="BLH224" s="18"/>
      <c r="BLI224" s="18"/>
      <c r="BLJ224" s="18"/>
      <c r="BLK224" s="18"/>
      <c r="BLL224" s="18"/>
      <c r="BLM224" s="18"/>
      <c r="BLN224" s="18"/>
      <c r="BLO224" s="18"/>
      <c r="BLP224" s="18"/>
      <c r="BLQ224" s="18"/>
      <c r="BLR224" s="18"/>
      <c r="BLS224" s="18"/>
      <c r="BLT224" s="18"/>
      <c r="BLU224" s="18"/>
      <c r="BLV224" s="18"/>
      <c r="BLW224" s="18"/>
      <c r="BLX224" s="18"/>
      <c r="BLY224" s="18"/>
      <c r="BLZ224" s="18"/>
      <c r="BMA224" s="18"/>
      <c r="BMB224" s="18"/>
      <c r="BMC224" s="18"/>
      <c r="BMD224" s="18"/>
      <c r="BME224" s="18"/>
      <c r="BMF224" s="18"/>
      <c r="BMG224" s="18"/>
      <c r="BMH224" s="18"/>
      <c r="BMI224" s="18"/>
      <c r="BMJ224" s="18"/>
      <c r="BMK224" s="18"/>
      <c r="BML224" s="18"/>
      <c r="BMM224" s="18"/>
      <c r="BMN224" s="18"/>
      <c r="BMO224" s="18"/>
      <c r="BMP224" s="18"/>
      <c r="BMQ224" s="18"/>
      <c r="BMR224" s="18"/>
      <c r="BMS224" s="18"/>
      <c r="BMT224" s="18"/>
      <c r="BMU224" s="18"/>
      <c r="BMV224" s="18"/>
      <c r="BMW224" s="18"/>
      <c r="BMX224" s="18"/>
      <c r="BMY224" s="18"/>
      <c r="BMZ224" s="18"/>
      <c r="BNA224" s="18"/>
      <c r="BNB224" s="18"/>
      <c r="BNC224" s="18"/>
      <c r="BND224" s="18"/>
      <c r="BNE224" s="18"/>
      <c r="BNF224" s="18"/>
      <c r="BNG224" s="18"/>
      <c r="BNH224" s="18"/>
      <c r="BNI224" s="18"/>
      <c r="BNJ224" s="18"/>
      <c r="BNK224" s="18"/>
      <c r="BNL224" s="18"/>
      <c r="BNM224" s="18"/>
      <c r="BNN224" s="18"/>
      <c r="BNO224" s="18"/>
      <c r="BNP224" s="18"/>
      <c r="BNQ224" s="18"/>
      <c r="BNR224" s="18"/>
      <c r="BNS224" s="18"/>
      <c r="BNT224" s="18"/>
      <c r="BNU224" s="18"/>
      <c r="BNV224" s="18"/>
      <c r="BNW224" s="18"/>
      <c r="BNX224" s="18"/>
      <c r="BNY224" s="18"/>
      <c r="BNZ224" s="18"/>
      <c r="BOA224" s="18"/>
      <c r="BOB224" s="18"/>
      <c r="BOC224" s="18"/>
      <c r="BOD224" s="18"/>
      <c r="BOE224" s="18"/>
      <c r="BOF224" s="18"/>
      <c r="BOG224" s="18"/>
      <c r="BOH224" s="18"/>
      <c r="BOI224" s="18"/>
      <c r="BOJ224" s="18"/>
      <c r="BOK224" s="18"/>
      <c r="BOL224" s="18"/>
      <c r="BOM224" s="18"/>
      <c r="BON224" s="18"/>
      <c r="BOO224" s="18"/>
      <c r="BOP224" s="18"/>
      <c r="BOQ224" s="18"/>
      <c r="BOR224" s="18"/>
      <c r="BOS224" s="18"/>
      <c r="BOT224" s="18"/>
      <c r="BOU224" s="18"/>
      <c r="BOV224" s="18"/>
      <c r="BOW224" s="18"/>
      <c r="BOX224" s="18"/>
      <c r="BOY224" s="18"/>
      <c r="BOZ224" s="18"/>
      <c r="BPA224" s="18"/>
      <c r="BPB224" s="18"/>
      <c r="BPC224" s="18"/>
      <c r="BPD224" s="18"/>
      <c r="BPE224" s="18"/>
      <c r="BPF224" s="18"/>
      <c r="BPG224" s="18"/>
      <c r="BPH224" s="18"/>
      <c r="BPI224" s="18"/>
      <c r="BPJ224" s="18"/>
      <c r="BPK224" s="18"/>
      <c r="BPL224" s="18"/>
      <c r="BPM224" s="18"/>
      <c r="BPN224" s="18"/>
      <c r="BPO224" s="18"/>
      <c r="BPP224" s="18"/>
      <c r="BPQ224" s="18"/>
      <c r="BPR224" s="18"/>
      <c r="BPS224" s="18"/>
      <c r="BPT224" s="18"/>
      <c r="BPU224" s="18"/>
      <c r="BPV224" s="18"/>
      <c r="BPW224" s="18"/>
      <c r="BPX224" s="18"/>
      <c r="BPY224" s="18"/>
      <c r="BPZ224" s="18"/>
      <c r="BQA224" s="18"/>
      <c r="BQB224" s="18"/>
      <c r="BQC224" s="18"/>
      <c r="BQD224" s="18"/>
      <c r="BQE224" s="18"/>
      <c r="BQF224" s="18"/>
      <c r="BQG224" s="18"/>
      <c r="BQH224" s="18"/>
      <c r="BQI224" s="18"/>
      <c r="BQJ224" s="18"/>
      <c r="BQK224" s="18"/>
      <c r="BQL224" s="18"/>
      <c r="BQM224" s="18"/>
      <c r="BQN224" s="18"/>
      <c r="BQO224" s="18"/>
      <c r="BQP224" s="18"/>
      <c r="BQQ224" s="18"/>
      <c r="BQR224" s="18"/>
      <c r="BQS224" s="18"/>
      <c r="BQT224" s="18"/>
      <c r="BQU224" s="18"/>
      <c r="BQV224" s="18"/>
      <c r="BQW224" s="18"/>
      <c r="BQX224" s="18"/>
      <c r="BQY224" s="18"/>
      <c r="BQZ224" s="18"/>
      <c r="BRA224" s="18"/>
      <c r="BRB224" s="18"/>
      <c r="BRC224" s="18"/>
      <c r="BRD224" s="18"/>
      <c r="BRE224" s="18"/>
      <c r="BRF224" s="18"/>
      <c r="BRG224" s="18"/>
      <c r="BRH224" s="18"/>
      <c r="BRI224" s="18"/>
      <c r="BRJ224" s="18"/>
      <c r="BRK224" s="18"/>
      <c r="BRL224" s="18"/>
      <c r="BRM224" s="18"/>
      <c r="BRN224" s="18"/>
      <c r="BRO224" s="18"/>
      <c r="BRP224" s="18"/>
      <c r="BRQ224" s="18"/>
      <c r="BRR224" s="18"/>
      <c r="BRS224" s="18"/>
      <c r="BRT224" s="18"/>
      <c r="BRU224" s="18"/>
      <c r="BRV224" s="18"/>
      <c r="BRW224" s="18"/>
      <c r="BRX224" s="18"/>
      <c r="BRY224" s="18"/>
      <c r="BRZ224" s="18"/>
      <c r="BSA224" s="18"/>
      <c r="BSB224" s="18"/>
      <c r="BSC224" s="18"/>
      <c r="BSD224" s="18"/>
      <c r="BSE224" s="18"/>
      <c r="BSF224" s="18"/>
      <c r="BSG224" s="18"/>
      <c r="BSH224" s="18"/>
      <c r="BSI224" s="18"/>
      <c r="BSJ224" s="18"/>
      <c r="BSK224" s="18"/>
      <c r="BSL224" s="18"/>
      <c r="BSM224" s="18"/>
      <c r="BSN224" s="18"/>
      <c r="BSO224" s="18"/>
      <c r="BSP224" s="18"/>
      <c r="BSQ224" s="18"/>
      <c r="BSR224" s="18"/>
      <c r="BSS224" s="18"/>
      <c r="BST224" s="18"/>
      <c r="BSU224" s="18"/>
      <c r="BSV224" s="18"/>
      <c r="BSW224" s="18"/>
      <c r="BSX224" s="18"/>
      <c r="BSY224" s="18"/>
      <c r="BSZ224" s="18"/>
      <c r="BTA224" s="18"/>
      <c r="BTB224" s="18"/>
      <c r="BTC224" s="18"/>
      <c r="BTD224" s="18"/>
      <c r="BTE224" s="18"/>
      <c r="BTF224" s="18"/>
      <c r="BTG224" s="18"/>
      <c r="BTH224" s="18"/>
      <c r="BTI224" s="18"/>
    </row>
    <row r="225" spans="1:1881" s="426" customFormat="1" ht="30.75" customHeight="1" x14ac:dyDescent="0.3">
      <c r="A225" s="100"/>
      <c r="B225" s="737" t="s">
        <v>284</v>
      </c>
      <c r="C225" s="710"/>
      <c r="D225" s="89"/>
      <c r="E225" s="425"/>
      <c r="F225" s="428"/>
      <c r="G225" s="400"/>
      <c r="H225" s="17"/>
      <c r="I225" s="17"/>
      <c r="J225" s="72"/>
      <c r="K225"/>
      <c r="L225" s="547"/>
      <c r="M225"/>
      <c r="N225" s="18"/>
      <c r="O225" s="186"/>
      <c r="P225" s="18"/>
      <c r="Q225" s="18"/>
      <c r="R225" s="18"/>
      <c r="S225" s="18"/>
      <c r="T225" s="18"/>
      <c r="U225" s="18"/>
      <c r="V225" s="18"/>
      <c r="W225" s="18"/>
      <c r="X225" s="18"/>
      <c r="Y225" s="18"/>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c r="GQ225" s="18"/>
      <c r="GR225" s="18"/>
      <c r="GS225" s="18"/>
      <c r="GT225" s="18"/>
      <c r="GU225" s="18"/>
      <c r="GV225" s="18"/>
      <c r="GW225" s="18"/>
      <c r="GX225" s="18"/>
      <c r="GY225" s="18"/>
      <c r="GZ225" s="18"/>
      <c r="HA225" s="18"/>
      <c r="HB225" s="18"/>
      <c r="HC225" s="18"/>
      <c r="HD225" s="18"/>
      <c r="HE225" s="18"/>
      <c r="HF225" s="18"/>
      <c r="HG225" s="18"/>
      <c r="HH225" s="18"/>
      <c r="HI225" s="18"/>
      <c r="HJ225" s="18"/>
      <c r="HK225" s="18"/>
      <c r="HL225" s="18"/>
      <c r="HM225" s="18"/>
      <c r="HN225" s="18"/>
      <c r="HO225" s="18"/>
      <c r="HP225" s="18"/>
      <c r="HQ225" s="18"/>
      <c r="HR225" s="18"/>
      <c r="HS225" s="18"/>
      <c r="HT225" s="18"/>
      <c r="HU225" s="18"/>
      <c r="HV225" s="18"/>
      <c r="HW225" s="18"/>
      <c r="HX225" s="18"/>
      <c r="HY225" s="18"/>
      <c r="HZ225" s="18"/>
      <c r="IA225" s="18"/>
      <c r="IB225" s="18"/>
      <c r="IC225" s="18"/>
      <c r="ID225" s="18"/>
      <c r="IE225" s="18"/>
      <c r="IF225" s="18"/>
      <c r="IG225" s="18"/>
      <c r="IH225" s="18"/>
      <c r="II225" s="18"/>
      <c r="IJ225" s="18"/>
      <c r="IK225" s="18"/>
      <c r="IL225" s="18"/>
      <c r="IM225" s="18"/>
      <c r="IN225" s="18"/>
      <c r="IO225" s="18"/>
      <c r="IP225" s="18"/>
      <c r="IQ225" s="18"/>
      <c r="IR225" s="18"/>
      <c r="IS225" s="18"/>
      <c r="IT225" s="18"/>
      <c r="IU225" s="18"/>
      <c r="IV225" s="18"/>
      <c r="IW225" s="18"/>
      <c r="IX225" s="18"/>
      <c r="IY225" s="18"/>
      <c r="IZ225" s="18"/>
      <c r="JA225" s="18"/>
      <c r="JB225" s="18"/>
      <c r="JC225" s="18"/>
      <c r="JD225" s="18"/>
      <c r="JE225" s="18"/>
      <c r="JF225" s="18"/>
      <c r="JG225" s="18"/>
      <c r="JH225" s="18"/>
      <c r="JI225" s="18"/>
      <c r="JJ225" s="18"/>
      <c r="JK225" s="18"/>
      <c r="JL225" s="18"/>
      <c r="JM225" s="18"/>
      <c r="JN225" s="18"/>
      <c r="JO225" s="18"/>
      <c r="JP225" s="18"/>
      <c r="JQ225" s="18"/>
      <c r="JR225" s="18"/>
      <c r="JS225" s="18"/>
      <c r="JT225" s="18"/>
      <c r="JU225" s="18"/>
      <c r="JV225" s="18"/>
      <c r="JW225" s="18"/>
      <c r="JX225" s="18"/>
      <c r="JY225" s="18"/>
      <c r="JZ225" s="18"/>
      <c r="KA225" s="18"/>
      <c r="KB225" s="18"/>
      <c r="KC225" s="18"/>
      <c r="KD225" s="18"/>
      <c r="KE225" s="18"/>
      <c r="KF225" s="18"/>
      <c r="KG225" s="18"/>
      <c r="KH225" s="18"/>
      <c r="KI225" s="18"/>
      <c r="KJ225" s="18"/>
      <c r="KK225" s="18"/>
      <c r="KL225" s="18"/>
      <c r="KM225" s="18"/>
      <c r="KN225" s="18"/>
      <c r="KO225" s="18"/>
      <c r="KP225" s="18"/>
      <c r="KQ225" s="18"/>
      <c r="KR225" s="18"/>
      <c r="KS225" s="18"/>
      <c r="KT225" s="18"/>
      <c r="KU225" s="18"/>
      <c r="KV225" s="18"/>
      <c r="KW225" s="18"/>
      <c r="KX225" s="18"/>
      <c r="KY225" s="18"/>
      <c r="KZ225" s="18"/>
      <c r="LA225" s="18"/>
      <c r="LB225" s="18"/>
      <c r="LC225" s="18"/>
      <c r="LD225" s="18"/>
      <c r="LE225" s="18"/>
      <c r="LF225" s="18"/>
      <c r="LG225" s="18"/>
      <c r="LH225" s="18"/>
      <c r="LI225" s="18"/>
      <c r="LJ225" s="18"/>
      <c r="LK225" s="18"/>
      <c r="LL225" s="18"/>
      <c r="LM225" s="18"/>
      <c r="LN225" s="18"/>
      <c r="LO225" s="18"/>
      <c r="LP225" s="18"/>
      <c r="LQ225" s="18"/>
      <c r="LR225" s="18"/>
      <c r="LS225" s="18"/>
      <c r="LT225" s="18"/>
      <c r="LU225" s="18"/>
      <c r="LV225" s="18"/>
      <c r="LW225" s="18"/>
      <c r="LX225" s="18"/>
      <c r="LY225" s="18"/>
      <c r="LZ225" s="18"/>
      <c r="MA225" s="18"/>
      <c r="MB225" s="18"/>
      <c r="MC225" s="18"/>
      <c r="MD225" s="18"/>
      <c r="ME225" s="18"/>
      <c r="MF225" s="18"/>
      <c r="MG225" s="18"/>
      <c r="MH225" s="18"/>
      <c r="MI225" s="18"/>
      <c r="MJ225" s="18"/>
      <c r="MK225" s="18"/>
      <c r="ML225" s="18"/>
      <c r="MM225" s="18"/>
      <c r="MN225" s="18"/>
      <c r="MO225" s="18"/>
      <c r="MP225" s="18"/>
      <c r="MQ225" s="18"/>
      <c r="MR225" s="18"/>
      <c r="MS225" s="18"/>
      <c r="MT225" s="18"/>
      <c r="MU225" s="18"/>
      <c r="MV225" s="18"/>
      <c r="MW225" s="18"/>
      <c r="MX225" s="18"/>
      <c r="MY225" s="18"/>
      <c r="MZ225" s="18"/>
      <c r="NA225" s="18"/>
      <c r="NB225" s="18"/>
      <c r="NC225" s="18"/>
      <c r="ND225" s="18"/>
      <c r="NE225" s="18"/>
      <c r="NF225" s="18"/>
      <c r="NG225" s="18"/>
      <c r="NH225" s="18"/>
      <c r="NI225" s="18"/>
      <c r="NJ225" s="18"/>
      <c r="NK225" s="18"/>
      <c r="NL225" s="18"/>
      <c r="NM225" s="18"/>
      <c r="NN225" s="18"/>
      <c r="NO225" s="18"/>
      <c r="NP225" s="18"/>
      <c r="NQ225" s="18"/>
      <c r="NR225" s="18"/>
      <c r="NS225" s="18"/>
      <c r="NT225" s="18"/>
      <c r="NU225" s="18"/>
      <c r="NV225" s="18"/>
      <c r="NW225" s="18"/>
      <c r="NX225" s="18"/>
      <c r="NY225" s="18"/>
      <c r="NZ225" s="18"/>
      <c r="OA225" s="18"/>
      <c r="OB225" s="18"/>
      <c r="OC225" s="18"/>
      <c r="OD225" s="18"/>
      <c r="OE225" s="18"/>
      <c r="OF225" s="18"/>
      <c r="OG225" s="18"/>
      <c r="OH225" s="18"/>
      <c r="OI225" s="18"/>
      <c r="OJ225" s="18"/>
      <c r="OK225" s="18"/>
      <c r="OL225" s="18"/>
      <c r="OM225" s="18"/>
      <c r="ON225" s="18"/>
      <c r="OO225" s="18"/>
      <c r="OP225" s="18"/>
      <c r="OQ225" s="18"/>
      <c r="OR225" s="18"/>
      <c r="OS225" s="18"/>
      <c r="OT225" s="18"/>
      <c r="OU225" s="18"/>
      <c r="OV225" s="18"/>
      <c r="OW225" s="18"/>
      <c r="OX225" s="18"/>
      <c r="OY225" s="18"/>
      <c r="OZ225" s="18"/>
      <c r="PA225" s="18"/>
      <c r="PB225" s="18"/>
      <c r="PC225" s="18"/>
      <c r="PD225" s="18"/>
      <c r="PE225" s="18"/>
      <c r="PF225" s="18"/>
      <c r="PG225" s="18"/>
      <c r="PH225" s="18"/>
      <c r="PI225" s="18"/>
      <c r="PJ225" s="18"/>
      <c r="PK225" s="18"/>
      <c r="PL225" s="18"/>
      <c r="PM225" s="18"/>
      <c r="PN225" s="18"/>
      <c r="PO225" s="18"/>
      <c r="PP225" s="18"/>
      <c r="PQ225" s="18"/>
      <c r="PR225" s="18"/>
      <c r="PS225" s="18"/>
      <c r="PT225" s="18"/>
      <c r="PU225" s="18"/>
      <c r="PV225" s="18"/>
      <c r="PW225" s="18"/>
      <c r="PX225" s="18"/>
      <c r="PY225" s="18"/>
      <c r="PZ225" s="18"/>
      <c r="QA225" s="18"/>
      <c r="QB225" s="18"/>
      <c r="QC225" s="18"/>
      <c r="QD225" s="18"/>
      <c r="QE225" s="18"/>
      <c r="QF225" s="18"/>
      <c r="QG225" s="18"/>
      <c r="QH225" s="18"/>
      <c r="QI225" s="18"/>
      <c r="QJ225" s="18"/>
      <c r="QK225" s="18"/>
      <c r="QL225" s="18"/>
      <c r="QM225" s="18"/>
      <c r="QN225" s="18"/>
      <c r="QO225" s="18"/>
      <c r="QP225" s="18"/>
      <c r="QQ225" s="18"/>
      <c r="QR225" s="18"/>
      <c r="QS225" s="18"/>
      <c r="QT225" s="18"/>
      <c r="QU225" s="18"/>
      <c r="QV225" s="18"/>
      <c r="QW225" s="18"/>
      <c r="QX225" s="18"/>
      <c r="QY225" s="18"/>
      <c r="QZ225" s="18"/>
      <c r="RA225" s="18"/>
      <c r="RB225" s="18"/>
      <c r="RC225" s="18"/>
      <c r="RD225" s="18"/>
      <c r="RE225" s="18"/>
      <c r="RF225" s="18"/>
      <c r="RG225" s="18"/>
      <c r="RH225" s="18"/>
      <c r="RI225" s="18"/>
      <c r="RJ225" s="18"/>
      <c r="RK225" s="18"/>
      <c r="RL225" s="18"/>
      <c r="RM225" s="18"/>
      <c r="RN225" s="18"/>
      <c r="RO225" s="18"/>
      <c r="RP225" s="18"/>
      <c r="RQ225" s="18"/>
      <c r="RR225" s="18"/>
      <c r="RS225" s="18"/>
      <c r="RT225" s="18"/>
      <c r="RU225" s="18"/>
      <c r="RV225" s="18"/>
      <c r="RW225" s="18"/>
      <c r="RX225" s="18"/>
      <c r="RY225" s="18"/>
      <c r="RZ225" s="18"/>
      <c r="SA225" s="18"/>
      <c r="SB225" s="18"/>
      <c r="SC225" s="18"/>
      <c r="SD225" s="18"/>
      <c r="SE225" s="18"/>
      <c r="SF225" s="18"/>
      <c r="SG225" s="18"/>
      <c r="SH225" s="18"/>
      <c r="SI225" s="18"/>
      <c r="SJ225" s="18"/>
      <c r="SK225" s="18"/>
      <c r="SL225" s="18"/>
      <c r="SM225" s="18"/>
      <c r="SN225" s="18"/>
      <c r="SO225" s="18"/>
      <c r="SP225" s="18"/>
      <c r="SQ225" s="18"/>
      <c r="SR225" s="18"/>
      <c r="SS225" s="18"/>
      <c r="ST225" s="18"/>
      <c r="SU225" s="18"/>
      <c r="SV225" s="18"/>
      <c r="SW225" s="18"/>
      <c r="SX225" s="18"/>
      <c r="SY225" s="18"/>
      <c r="SZ225" s="18"/>
      <c r="TA225" s="18"/>
      <c r="TB225" s="18"/>
      <c r="TC225" s="18"/>
      <c r="TD225" s="18"/>
      <c r="TE225" s="18"/>
      <c r="TF225" s="18"/>
      <c r="TG225" s="18"/>
      <c r="TH225" s="18"/>
      <c r="TI225" s="18"/>
      <c r="TJ225" s="18"/>
      <c r="TK225" s="18"/>
      <c r="TL225" s="18"/>
      <c r="TM225" s="18"/>
      <c r="TN225" s="18"/>
      <c r="TO225" s="18"/>
      <c r="TP225" s="18"/>
      <c r="TQ225" s="18"/>
      <c r="TR225" s="18"/>
      <c r="TS225" s="18"/>
      <c r="TT225" s="18"/>
      <c r="TU225" s="18"/>
      <c r="TV225" s="18"/>
      <c r="TW225" s="18"/>
      <c r="TX225" s="18"/>
      <c r="TY225" s="18"/>
      <c r="TZ225" s="18"/>
      <c r="UA225" s="18"/>
      <c r="UB225" s="18"/>
      <c r="UC225" s="18"/>
      <c r="UD225" s="18"/>
      <c r="UE225" s="18"/>
      <c r="UF225" s="18"/>
      <c r="UG225" s="18"/>
      <c r="UH225" s="18"/>
      <c r="UI225" s="18"/>
      <c r="UJ225" s="18"/>
      <c r="UK225" s="18"/>
      <c r="UL225" s="18"/>
      <c r="UM225" s="18"/>
      <c r="UN225" s="18"/>
      <c r="UO225" s="18"/>
      <c r="UP225" s="18"/>
      <c r="UQ225" s="18"/>
      <c r="UR225" s="18"/>
      <c r="US225" s="18"/>
      <c r="UT225" s="18"/>
      <c r="UU225" s="18"/>
      <c r="UV225" s="18"/>
      <c r="UW225" s="18"/>
      <c r="UX225" s="18"/>
      <c r="UY225" s="18"/>
      <c r="UZ225" s="18"/>
      <c r="VA225" s="18"/>
      <c r="VB225" s="18"/>
      <c r="VC225" s="18"/>
      <c r="VD225" s="18"/>
      <c r="VE225" s="18"/>
      <c r="VF225" s="18"/>
      <c r="VG225" s="18"/>
      <c r="VH225" s="18"/>
      <c r="VI225" s="18"/>
      <c r="VJ225" s="18"/>
      <c r="VK225" s="18"/>
      <c r="VL225" s="18"/>
      <c r="VM225" s="18"/>
      <c r="VN225" s="18"/>
      <c r="VO225" s="18"/>
      <c r="VP225" s="18"/>
      <c r="VQ225" s="18"/>
      <c r="VR225" s="18"/>
      <c r="VS225" s="18"/>
      <c r="VT225" s="18"/>
      <c r="VU225" s="18"/>
      <c r="VV225" s="18"/>
      <c r="VW225" s="18"/>
      <c r="VX225" s="18"/>
      <c r="VY225" s="18"/>
      <c r="VZ225" s="18"/>
      <c r="WA225" s="18"/>
      <c r="WB225" s="18"/>
      <c r="WC225" s="18"/>
      <c r="WD225" s="18"/>
      <c r="WE225" s="18"/>
      <c r="WF225" s="18"/>
      <c r="WG225" s="18"/>
      <c r="WH225" s="18"/>
      <c r="WI225" s="18"/>
      <c r="WJ225" s="18"/>
      <c r="WK225" s="18"/>
      <c r="WL225" s="18"/>
      <c r="WM225" s="18"/>
      <c r="WN225" s="18"/>
      <c r="WO225" s="18"/>
      <c r="WP225" s="18"/>
      <c r="WQ225" s="18"/>
      <c r="WR225" s="18"/>
      <c r="WS225" s="18"/>
      <c r="WT225" s="18"/>
      <c r="WU225" s="18"/>
      <c r="WV225" s="18"/>
      <c r="WW225" s="18"/>
      <c r="WX225" s="18"/>
      <c r="WY225" s="18"/>
      <c r="WZ225" s="18"/>
      <c r="XA225" s="18"/>
      <c r="XB225" s="18"/>
      <c r="XC225" s="18"/>
      <c r="XD225" s="18"/>
      <c r="XE225" s="18"/>
      <c r="XF225" s="18"/>
      <c r="XG225" s="18"/>
      <c r="XH225" s="18"/>
      <c r="XI225" s="18"/>
      <c r="XJ225" s="18"/>
      <c r="XK225" s="18"/>
      <c r="XL225" s="18"/>
      <c r="XM225" s="18"/>
      <c r="XN225" s="18"/>
      <c r="XO225" s="18"/>
      <c r="XP225" s="18"/>
      <c r="XQ225" s="18"/>
      <c r="XR225" s="18"/>
      <c r="XS225" s="18"/>
      <c r="XT225" s="18"/>
      <c r="XU225" s="18"/>
      <c r="XV225" s="18"/>
      <c r="XW225" s="18"/>
      <c r="XX225" s="18"/>
      <c r="XY225" s="18"/>
      <c r="XZ225" s="18"/>
      <c r="YA225" s="18"/>
      <c r="YB225" s="18"/>
      <c r="YC225" s="18"/>
      <c r="YD225" s="18"/>
      <c r="YE225" s="18"/>
      <c r="YF225" s="18"/>
      <c r="YG225" s="18"/>
      <c r="YH225" s="18"/>
      <c r="YI225" s="18"/>
      <c r="YJ225" s="18"/>
      <c r="YK225" s="18"/>
      <c r="YL225" s="18"/>
      <c r="YM225" s="18"/>
      <c r="YN225" s="18"/>
      <c r="YO225" s="18"/>
      <c r="YP225" s="18"/>
      <c r="YQ225" s="18"/>
      <c r="YR225" s="18"/>
      <c r="YS225" s="18"/>
      <c r="YT225" s="18"/>
      <c r="YU225" s="18"/>
      <c r="YV225" s="18"/>
      <c r="YW225" s="18"/>
      <c r="YX225" s="18"/>
      <c r="YY225" s="18"/>
      <c r="YZ225" s="18"/>
      <c r="ZA225" s="18"/>
      <c r="ZB225" s="18"/>
      <c r="ZC225" s="18"/>
      <c r="ZD225" s="18"/>
      <c r="ZE225" s="18"/>
      <c r="ZF225" s="18"/>
      <c r="ZG225" s="18"/>
      <c r="ZH225" s="18"/>
      <c r="ZI225" s="18"/>
      <c r="ZJ225" s="18"/>
      <c r="ZK225" s="18"/>
      <c r="ZL225" s="18"/>
      <c r="ZM225" s="18"/>
      <c r="ZN225" s="18"/>
      <c r="ZO225" s="18"/>
      <c r="ZP225" s="18"/>
      <c r="ZQ225" s="18"/>
      <c r="ZR225" s="18"/>
      <c r="ZS225" s="18"/>
      <c r="ZT225" s="18"/>
      <c r="ZU225" s="18"/>
      <c r="ZV225" s="18"/>
      <c r="ZW225" s="18"/>
      <c r="ZX225" s="18"/>
      <c r="ZY225" s="18"/>
      <c r="ZZ225" s="18"/>
      <c r="AAA225" s="18"/>
      <c r="AAB225" s="18"/>
      <c r="AAC225" s="18"/>
      <c r="AAD225" s="18"/>
      <c r="AAE225" s="18"/>
      <c r="AAF225" s="18"/>
      <c r="AAG225" s="18"/>
      <c r="AAH225" s="18"/>
      <c r="AAI225" s="18"/>
      <c r="AAJ225" s="18"/>
      <c r="AAK225" s="18"/>
      <c r="AAL225" s="18"/>
      <c r="AAM225" s="18"/>
      <c r="AAN225" s="18"/>
      <c r="AAO225" s="18"/>
      <c r="AAP225" s="18"/>
      <c r="AAQ225" s="18"/>
      <c r="AAR225" s="18"/>
      <c r="AAS225" s="18"/>
      <c r="AAT225" s="18"/>
      <c r="AAU225" s="18"/>
      <c r="AAV225" s="18"/>
      <c r="AAW225" s="18"/>
      <c r="AAX225" s="18"/>
      <c r="AAY225" s="18"/>
      <c r="AAZ225" s="18"/>
      <c r="ABA225" s="18"/>
      <c r="ABB225" s="18"/>
      <c r="ABC225" s="18"/>
      <c r="ABD225" s="18"/>
      <c r="ABE225" s="18"/>
      <c r="ABF225" s="18"/>
      <c r="ABG225" s="18"/>
      <c r="ABH225" s="18"/>
      <c r="ABI225" s="18"/>
      <c r="ABJ225" s="18"/>
      <c r="ABK225" s="18"/>
      <c r="ABL225" s="18"/>
      <c r="ABM225" s="18"/>
      <c r="ABN225" s="18"/>
      <c r="ABO225" s="18"/>
      <c r="ABP225" s="18"/>
      <c r="ABQ225" s="18"/>
      <c r="ABR225" s="18"/>
      <c r="ABS225" s="18"/>
      <c r="ABT225" s="18"/>
      <c r="ABU225" s="18"/>
      <c r="ABV225" s="18"/>
      <c r="ABW225" s="18"/>
      <c r="ABX225" s="18"/>
      <c r="ABY225" s="18"/>
      <c r="ABZ225" s="18"/>
      <c r="ACA225" s="18"/>
      <c r="ACB225" s="18"/>
      <c r="ACC225" s="18"/>
      <c r="ACD225" s="18"/>
      <c r="ACE225" s="18"/>
      <c r="ACF225" s="18"/>
      <c r="ACG225" s="18"/>
      <c r="ACH225" s="18"/>
      <c r="ACI225" s="18"/>
      <c r="ACJ225" s="18"/>
      <c r="ACK225" s="18"/>
      <c r="ACL225" s="18"/>
      <c r="ACM225" s="18"/>
      <c r="ACN225" s="18"/>
      <c r="ACO225" s="18"/>
      <c r="ACP225" s="18"/>
      <c r="ACQ225" s="18"/>
      <c r="ACR225" s="18"/>
      <c r="ACS225" s="18"/>
      <c r="ACT225" s="18"/>
      <c r="ACU225" s="18"/>
      <c r="ACV225" s="18"/>
      <c r="ACW225" s="18"/>
      <c r="ACX225" s="18"/>
      <c r="ACY225" s="18"/>
      <c r="ACZ225" s="18"/>
      <c r="ADA225" s="18"/>
      <c r="ADB225" s="18"/>
      <c r="ADC225" s="18"/>
      <c r="ADD225" s="18"/>
      <c r="ADE225" s="18"/>
      <c r="ADF225" s="18"/>
      <c r="ADG225" s="18"/>
      <c r="ADH225" s="18"/>
      <c r="ADI225" s="18"/>
      <c r="ADJ225" s="18"/>
      <c r="ADK225" s="18"/>
      <c r="ADL225" s="18"/>
      <c r="ADM225" s="18"/>
      <c r="ADN225" s="18"/>
      <c r="ADO225" s="18"/>
      <c r="ADP225" s="18"/>
      <c r="ADQ225" s="18"/>
      <c r="ADR225" s="18"/>
      <c r="ADS225" s="18"/>
      <c r="ADT225" s="18"/>
      <c r="ADU225" s="18"/>
      <c r="ADV225" s="18"/>
      <c r="ADW225" s="18"/>
      <c r="ADX225" s="18"/>
      <c r="ADY225" s="18"/>
      <c r="ADZ225" s="18"/>
      <c r="AEA225" s="18"/>
      <c r="AEB225" s="18"/>
      <c r="AEC225" s="18"/>
      <c r="AED225" s="18"/>
      <c r="AEE225" s="18"/>
      <c r="AEF225" s="18"/>
      <c r="AEG225" s="18"/>
      <c r="AEH225" s="18"/>
      <c r="AEI225" s="18"/>
      <c r="AEJ225" s="18"/>
      <c r="AEK225" s="18"/>
      <c r="AEL225" s="18"/>
      <c r="AEM225" s="18"/>
      <c r="AEN225" s="18"/>
      <c r="AEO225" s="18"/>
      <c r="AEP225" s="18"/>
      <c r="AEQ225" s="18"/>
      <c r="AER225" s="18"/>
      <c r="AES225" s="18"/>
      <c r="AET225" s="18"/>
      <c r="AEU225" s="18"/>
      <c r="AEV225" s="18"/>
      <c r="AEW225" s="18"/>
      <c r="AEX225" s="18"/>
      <c r="AEY225" s="18"/>
      <c r="AEZ225" s="18"/>
      <c r="AFA225" s="18"/>
      <c r="AFB225" s="18"/>
      <c r="AFC225" s="18"/>
      <c r="AFD225" s="18"/>
      <c r="AFE225" s="18"/>
      <c r="AFF225" s="18"/>
      <c r="AFG225" s="18"/>
      <c r="AFH225" s="18"/>
      <c r="AFI225" s="18"/>
      <c r="AFJ225" s="18"/>
      <c r="AFK225" s="18"/>
      <c r="AFL225" s="18"/>
      <c r="AFM225" s="18"/>
      <c r="AFN225" s="18"/>
      <c r="AFO225" s="18"/>
      <c r="AFP225" s="18"/>
      <c r="AFQ225" s="18"/>
      <c r="AFR225" s="18"/>
      <c r="AFS225" s="18"/>
      <c r="AFT225" s="18"/>
      <c r="AFU225" s="18"/>
      <c r="AFV225" s="18"/>
      <c r="AFW225" s="18"/>
      <c r="AFX225" s="18"/>
      <c r="AFY225" s="18"/>
      <c r="AFZ225" s="18"/>
      <c r="AGA225" s="18"/>
      <c r="AGB225" s="18"/>
      <c r="AGC225" s="18"/>
      <c r="AGD225" s="18"/>
      <c r="AGE225" s="18"/>
      <c r="AGF225" s="18"/>
      <c r="AGG225" s="18"/>
      <c r="AGH225" s="18"/>
      <c r="AGI225" s="18"/>
      <c r="AGJ225" s="18"/>
      <c r="AGK225" s="18"/>
      <c r="AGL225" s="18"/>
      <c r="AGM225" s="18"/>
      <c r="AGN225" s="18"/>
      <c r="AGO225" s="18"/>
      <c r="AGP225" s="18"/>
      <c r="AGQ225" s="18"/>
      <c r="AGR225" s="18"/>
      <c r="AGS225" s="18"/>
      <c r="AGT225" s="18"/>
      <c r="AGU225" s="18"/>
      <c r="AGV225" s="18"/>
      <c r="AGW225" s="18"/>
      <c r="AGX225" s="18"/>
      <c r="AGY225" s="18"/>
      <c r="AGZ225" s="18"/>
      <c r="AHA225" s="18"/>
      <c r="AHB225" s="18"/>
      <c r="AHC225" s="18"/>
      <c r="AHD225" s="18"/>
      <c r="AHE225" s="18"/>
      <c r="AHF225" s="18"/>
      <c r="AHG225" s="18"/>
      <c r="AHH225" s="18"/>
      <c r="AHI225" s="18"/>
      <c r="AHJ225" s="18"/>
      <c r="AHK225" s="18"/>
      <c r="AHL225" s="18"/>
      <c r="AHM225" s="18"/>
      <c r="AHN225" s="18"/>
      <c r="AHO225" s="18"/>
      <c r="AHP225" s="18"/>
      <c r="AHQ225" s="18"/>
      <c r="AHR225" s="18"/>
      <c r="AHS225" s="18"/>
      <c r="AHT225" s="18"/>
      <c r="AHU225" s="18"/>
      <c r="AHV225" s="18"/>
      <c r="AHW225" s="18"/>
      <c r="AHX225" s="18"/>
      <c r="AHY225" s="18"/>
      <c r="AHZ225" s="18"/>
      <c r="AIA225" s="18"/>
      <c r="AIB225" s="18"/>
      <c r="AIC225" s="18"/>
      <c r="AID225" s="18"/>
      <c r="AIE225" s="18"/>
      <c r="AIF225" s="18"/>
      <c r="AIG225" s="18"/>
      <c r="AIH225" s="18"/>
      <c r="AII225" s="18"/>
      <c r="AIJ225" s="18"/>
      <c r="AIK225" s="18"/>
      <c r="AIL225" s="18"/>
      <c r="AIM225" s="18"/>
      <c r="AIN225" s="18"/>
      <c r="AIO225" s="18"/>
      <c r="AIP225" s="18"/>
      <c r="AIQ225" s="18"/>
      <c r="AIR225" s="18"/>
      <c r="AIS225" s="18"/>
      <c r="AIT225" s="18"/>
      <c r="AIU225" s="18"/>
      <c r="AIV225" s="18"/>
      <c r="AIW225" s="18"/>
      <c r="AIX225" s="18"/>
      <c r="AIY225" s="18"/>
      <c r="AIZ225" s="18"/>
      <c r="AJA225" s="18"/>
      <c r="AJB225" s="18"/>
      <c r="AJC225" s="18"/>
      <c r="AJD225" s="18"/>
      <c r="AJE225" s="18"/>
      <c r="AJF225" s="18"/>
      <c r="AJG225" s="18"/>
      <c r="AJH225" s="18"/>
      <c r="AJI225" s="18"/>
      <c r="AJJ225" s="18"/>
      <c r="AJK225" s="18"/>
      <c r="AJL225" s="18"/>
      <c r="AJM225" s="18"/>
      <c r="AJN225" s="18"/>
      <c r="AJO225" s="18"/>
      <c r="AJP225" s="18"/>
      <c r="AJQ225" s="18"/>
      <c r="AJR225" s="18"/>
      <c r="AJS225" s="18"/>
      <c r="AJT225" s="18"/>
      <c r="AJU225" s="18"/>
      <c r="AJV225" s="18"/>
      <c r="AJW225" s="18"/>
      <c r="AJX225" s="18"/>
      <c r="AJY225" s="18"/>
      <c r="AJZ225" s="18"/>
      <c r="AKA225" s="18"/>
      <c r="AKB225" s="18"/>
      <c r="AKC225" s="18"/>
      <c r="AKD225" s="18"/>
      <c r="AKE225" s="18"/>
      <c r="AKF225" s="18"/>
      <c r="AKG225" s="18"/>
      <c r="AKH225" s="18"/>
      <c r="AKI225" s="18"/>
      <c r="AKJ225" s="18"/>
      <c r="AKK225" s="18"/>
      <c r="AKL225" s="18"/>
      <c r="AKM225" s="18"/>
      <c r="AKN225" s="18"/>
      <c r="AKO225" s="18"/>
      <c r="AKP225" s="18"/>
      <c r="AKQ225" s="18"/>
      <c r="AKR225" s="18"/>
      <c r="AKS225" s="18"/>
      <c r="AKT225" s="18"/>
      <c r="AKU225" s="18"/>
      <c r="AKV225" s="18"/>
      <c r="AKW225" s="18"/>
      <c r="AKX225" s="18"/>
      <c r="AKY225" s="18"/>
      <c r="AKZ225" s="18"/>
      <c r="ALA225" s="18"/>
      <c r="ALB225" s="18"/>
      <c r="ALC225" s="18"/>
      <c r="ALD225" s="18"/>
      <c r="ALE225" s="18"/>
      <c r="ALF225" s="18"/>
      <c r="ALG225" s="18"/>
      <c r="ALH225" s="18"/>
      <c r="ALI225" s="18"/>
      <c r="ALJ225" s="18"/>
      <c r="ALK225" s="18"/>
      <c r="ALL225" s="18"/>
      <c r="ALM225" s="18"/>
      <c r="ALN225" s="18"/>
      <c r="ALO225" s="18"/>
      <c r="ALP225" s="18"/>
      <c r="ALQ225" s="18"/>
      <c r="ALR225" s="18"/>
      <c r="ALS225" s="18"/>
      <c r="ALT225" s="18"/>
      <c r="ALU225" s="18"/>
      <c r="ALV225" s="18"/>
      <c r="ALW225" s="18"/>
      <c r="ALX225" s="18"/>
      <c r="ALY225" s="18"/>
      <c r="ALZ225" s="18"/>
      <c r="AMA225" s="18"/>
      <c r="AMB225" s="18"/>
      <c r="AMC225" s="18"/>
      <c r="AMD225" s="18"/>
      <c r="AME225" s="18"/>
      <c r="AMF225" s="18"/>
      <c r="AMG225" s="18"/>
      <c r="AMH225" s="18"/>
      <c r="AMI225" s="18"/>
      <c r="AMJ225" s="18"/>
      <c r="AMK225" s="18"/>
      <c r="AML225" s="18"/>
      <c r="AMM225" s="18"/>
      <c r="AMN225" s="18"/>
      <c r="AMO225" s="18"/>
      <c r="AMP225" s="18"/>
      <c r="AMQ225" s="18"/>
      <c r="AMR225" s="18"/>
      <c r="AMS225" s="18"/>
      <c r="AMT225" s="18"/>
      <c r="AMU225" s="18"/>
      <c r="AMV225" s="18"/>
      <c r="AMW225" s="18"/>
      <c r="AMX225" s="18"/>
      <c r="AMY225" s="18"/>
      <c r="AMZ225" s="18"/>
      <c r="ANA225" s="18"/>
      <c r="ANB225" s="18"/>
      <c r="ANC225" s="18"/>
      <c r="AND225" s="18"/>
      <c r="ANE225" s="18"/>
      <c r="ANF225" s="18"/>
      <c r="ANG225" s="18"/>
      <c r="ANH225" s="18"/>
      <c r="ANI225" s="18"/>
      <c r="ANJ225" s="18"/>
      <c r="ANK225" s="18"/>
      <c r="ANL225" s="18"/>
      <c r="ANM225" s="18"/>
      <c r="ANN225" s="18"/>
      <c r="ANO225" s="18"/>
      <c r="ANP225" s="18"/>
      <c r="ANQ225" s="18"/>
      <c r="ANR225" s="18"/>
      <c r="ANS225" s="18"/>
      <c r="ANT225" s="18"/>
      <c r="ANU225" s="18"/>
      <c r="ANV225" s="18"/>
      <c r="ANW225" s="18"/>
      <c r="ANX225" s="18"/>
      <c r="ANY225" s="18"/>
      <c r="ANZ225" s="18"/>
      <c r="AOA225" s="18"/>
      <c r="AOB225" s="18"/>
      <c r="AOC225" s="18"/>
      <c r="AOD225" s="18"/>
      <c r="AOE225" s="18"/>
      <c r="AOF225" s="18"/>
      <c r="AOG225" s="18"/>
      <c r="AOH225" s="18"/>
      <c r="AOI225" s="18"/>
      <c r="AOJ225" s="18"/>
      <c r="AOK225" s="18"/>
      <c r="AOL225" s="18"/>
      <c r="AOM225" s="18"/>
      <c r="AON225" s="18"/>
      <c r="AOO225" s="18"/>
      <c r="AOP225" s="18"/>
      <c r="AOQ225" s="18"/>
      <c r="AOR225" s="18"/>
      <c r="AOS225" s="18"/>
      <c r="AOT225" s="18"/>
      <c r="AOU225" s="18"/>
      <c r="AOV225" s="18"/>
      <c r="AOW225" s="18"/>
      <c r="AOX225" s="18"/>
      <c r="AOY225" s="18"/>
      <c r="AOZ225" s="18"/>
      <c r="APA225" s="18"/>
      <c r="APB225" s="18"/>
      <c r="APC225" s="18"/>
      <c r="APD225" s="18"/>
      <c r="APE225" s="18"/>
      <c r="APF225" s="18"/>
      <c r="APG225" s="18"/>
      <c r="APH225" s="18"/>
      <c r="API225" s="18"/>
      <c r="APJ225" s="18"/>
      <c r="APK225" s="18"/>
      <c r="APL225" s="18"/>
      <c r="APM225" s="18"/>
      <c r="APN225" s="18"/>
      <c r="APO225" s="18"/>
      <c r="APP225" s="18"/>
      <c r="APQ225" s="18"/>
      <c r="APR225" s="18"/>
      <c r="APS225" s="18"/>
      <c r="APT225" s="18"/>
      <c r="APU225" s="18"/>
      <c r="APV225" s="18"/>
      <c r="APW225" s="18"/>
      <c r="APX225" s="18"/>
      <c r="APY225" s="18"/>
      <c r="APZ225" s="18"/>
      <c r="AQA225" s="18"/>
      <c r="AQB225" s="18"/>
      <c r="AQC225" s="18"/>
      <c r="AQD225" s="18"/>
      <c r="AQE225" s="18"/>
      <c r="AQF225" s="18"/>
      <c r="AQG225" s="18"/>
      <c r="AQH225" s="18"/>
      <c r="AQI225" s="18"/>
      <c r="AQJ225" s="18"/>
      <c r="AQK225" s="18"/>
      <c r="AQL225" s="18"/>
      <c r="AQM225" s="18"/>
      <c r="AQN225" s="18"/>
      <c r="AQO225" s="18"/>
      <c r="AQP225" s="18"/>
      <c r="AQQ225" s="18"/>
      <c r="AQR225" s="18"/>
      <c r="AQS225" s="18"/>
      <c r="AQT225" s="18"/>
      <c r="AQU225" s="18"/>
      <c r="AQV225" s="18"/>
      <c r="AQW225" s="18"/>
      <c r="AQX225" s="18"/>
      <c r="AQY225" s="18"/>
      <c r="AQZ225" s="18"/>
      <c r="ARA225" s="18"/>
      <c r="ARB225" s="18"/>
      <c r="ARC225" s="18"/>
      <c r="ARD225" s="18"/>
      <c r="ARE225" s="18"/>
      <c r="ARF225" s="18"/>
      <c r="ARG225" s="18"/>
      <c r="ARH225" s="18"/>
      <c r="ARI225" s="18"/>
      <c r="ARJ225" s="18"/>
      <c r="ARK225" s="18"/>
      <c r="ARL225" s="18"/>
      <c r="ARM225" s="18"/>
      <c r="ARN225" s="18"/>
      <c r="ARO225" s="18"/>
      <c r="ARP225" s="18"/>
      <c r="ARQ225" s="18"/>
      <c r="ARR225" s="18"/>
      <c r="ARS225" s="18"/>
      <c r="ART225" s="18"/>
      <c r="ARU225" s="18"/>
      <c r="ARV225" s="18"/>
      <c r="ARW225" s="18"/>
      <c r="ARX225" s="18"/>
      <c r="ARY225" s="18"/>
      <c r="ARZ225" s="18"/>
      <c r="ASA225" s="18"/>
      <c r="ASB225" s="18"/>
      <c r="ASC225" s="18"/>
      <c r="ASD225" s="18"/>
      <c r="ASE225" s="18"/>
      <c r="ASF225" s="18"/>
      <c r="ASG225" s="18"/>
      <c r="ASH225" s="18"/>
      <c r="ASI225" s="18"/>
      <c r="ASJ225" s="18"/>
      <c r="ASK225" s="18"/>
      <c r="ASL225" s="18"/>
      <c r="ASM225" s="18"/>
      <c r="ASN225" s="18"/>
      <c r="ASO225" s="18"/>
      <c r="ASP225" s="18"/>
      <c r="ASQ225" s="18"/>
      <c r="ASR225" s="18"/>
      <c r="ASS225" s="18"/>
      <c r="AST225" s="18"/>
      <c r="ASU225" s="18"/>
      <c r="ASV225" s="18"/>
      <c r="ASW225" s="18"/>
      <c r="ASX225" s="18"/>
      <c r="ASY225" s="18"/>
      <c r="ASZ225" s="18"/>
      <c r="ATA225" s="18"/>
      <c r="ATB225" s="18"/>
      <c r="ATC225" s="18"/>
      <c r="ATD225" s="18"/>
      <c r="ATE225" s="18"/>
      <c r="ATF225" s="18"/>
      <c r="ATG225" s="18"/>
      <c r="ATH225" s="18"/>
      <c r="ATI225" s="18"/>
      <c r="ATJ225" s="18"/>
      <c r="ATK225" s="18"/>
      <c r="ATL225" s="18"/>
      <c r="ATM225" s="18"/>
      <c r="ATN225" s="18"/>
      <c r="ATO225" s="18"/>
      <c r="ATP225" s="18"/>
      <c r="ATQ225" s="18"/>
      <c r="ATR225" s="18"/>
      <c r="ATS225" s="18"/>
      <c r="ATT225" s="18"/>
      <c r="ATU225" s="18"/>
      <c r="ATV225" s="18"/>
      <c r="ATW225" s="18"/>
      <c r="ATX225" s="18"/>
      <c r="ATY225" s="18"/>
      <c r="ATZ225" s="18"/>
      <c r="AUA225" s="18"/>
      <c r="AUB225" s="18"/>
      <c r="AUC225" s="18"/>
      <c r="AUD225" s="18"/>
      <c r="AUE225" s="18"/>
      <c r="AUF225" s="18"/>
      <c r="AUG225" s="18"/>
      <c r="AUH225" s="18"/>
      <c r="AUI225" s="18"/>
      <c r="AUJ225" s="18"/>
      <c r="AUK225" s="18"/>
      <c r="AUL225" s="18"/>
      <c r="AUM225" s="18"/>
      <c r="AUN225" s="18"/>
      <c r="AUO225" s="18"/>
      <c r="AUP225" s="18"/>
      <c r="AUQ225" s="18"/>
      <c r="AUR225" s="18"/>
      <c r="AUS225" s="18"/>
      <c r="AUT225" s="18"/>
      <c r="AUU225" s="18"/>
      <c r="AUV225" s="18"/>
      <c r="AUW225" s="18"/>
      <c r="AUX225" s="18"/>
      <c r="AUY225" s="18"/>
      <c r="AUZ225" s="18"/>
      <c r="AVA225" s="18"/>
      <c r="AVB225" s="18"/>
      <c r="AVC225" s="18"/>
      <c r="AVD225" s="18"/>
      <c r="AVE225" s="18"/>
      <c r="AVF225" s="18"/>
      <c r="AVG225" s="18"/>
      <c r="AVH225" s="18"/>
      <c r="AVI225" s="18"/>
      <c r="AVJ225" s="18"/>
      <c r="AVK225" s="18"/>
      <c r="AVL225" s="18"/>
      <c r="AVM225" s="18"/>
      <c r="AVN225" s="18"/>
      <c r="AVO225" s="18"/>
      <c r="AVP225" s="18"/>
      <c r="AVQ225" s="18"/>
      <c r="AVR225" s="18"/>
      <c r="AVS225" s="18"/>
      <c r="AVT225" s="18"/>
      <c r="AVU225" s="18"/>
      <c r="AVV225" s="18"/>
      <c r="AVW225" s="18"/>
      <c r="AVX225" s="18"/>
      <c r="AVY225" s="18"/>
      <c r="AVZ225" s="18"/>
      <c r="AWA225" s="18"/>
      <c r="AWB225" s="18"/>
      <c r="AWC225" s="18"/>
      <c r="AWD225" s="18"/>
      <c r="AWE225" s="18"/>
      <c r="AWF225" s="18"/>
      <c r="AWG225" s="18"/>
      <c r="AWH225" s="18"/>
      <c r="AWI225" s="18"/>
      <c r="AWJ225" s="18"/>
      <c r="AWK225" s="18"/>
      <c r="AWL225" s="18"/>
      <c r="AWM225" s="18"/>
      <c r="AWN225" s="18"/>
      <c r="AWO225" s="18"/>
      <c r="AWP225" s="18"/>
      <c r="AWQ225" s="18"/>
      <c r="AWR225" s="18"/>
      <c r="AWS225" s="18"/>
      <c r="AWT225" s="18"/>
      <c r="AWU225" s="18"/>
      <c r="AWV225" s="18"/>
      <c r="AWW225" s="18"/>
      <c r="AWX225" s="18"/>
      <c r="AWY225" s="18"/>
      <c r="AWZ225" s="18"/>
      <c r="AXA225" s="18"/>
      <c r="AXB225" s="18"/>
      <c r="AXC225" s="18"/>
      <c r="AXD225" s="18"/>
      <c r="AXE225" s="18"/>
      <c r="AXF225" s="18"/>
      <c r="AXG225" s="18"/>
      <c r="AXH225" s="18"/>
      <c r="AXI225" s="18"/>
      <c r="AXJ225" s="18"/>
      <c r="AXK225" s="18"/>
      <c r="AXL225" s="18"/>
      <c r="AXM225" s="18"/>
      <c r="AXN225" s="18"/>
      <c r="AXO225" s="18"/>
      <c r="AXP225" s="18"/>
      <c r="AXQ225" s="18"/>
      <c r="AXR225" s="18"/>
      <c r="AXS225" s="18"/>
      <c r="AXT225" s="18"/>
      <c r="AXU225" s="18"/>
      <c r="AXV225" s="18"/>
      <c r="AXW225" s="18"/>
      <c r="AXX225" s="18"/>
      <c r="AXY225" s="18"/>
      <c r="AXZ225" s="18"/>
      <c r="AYA225" s="18"/>
      <c r="AYB225" s="18"/>
      <c r="AYC225" s="18"/>
      <c r="AYD225" s="18"/>
      <c r="AYE225" s="18"/>
      <c r="AYF225" s="18"/>
      <c r="AYG225" s="18"/>
      <c r="AYH225" s="18"/>
      <c r="AYI225" s="18"/>
      <c r="AYJ225" s="18"/>
      <c r="AYK225" s="18"/>
      <c r="AYL225" s="18"/>
      <c r="AYM225" s="18"/>
      <c r="AYN225" s="18"/>
      <c r="AYO225" s="18"/>
      <c r="AYP225" s="18"/>
      <c r="AYQ225" s="18"/>
      <c r="AYR225" s="18"/>
      <c r="AYS225" s="18"/>
      <c r="AYT225" s="18"/>
      <c r="AYU225" s="18"/>
      <c r="AYV225" s="18"/>
      <c r="AYW225" s="18"/>
      <c r="AYX225" s="18"/>
      <c r="AYY225" s="18"/>
      <c r="AYZ225" s="18"/>
      <c r="AZA225" s="18"/>
      <c r="AZB225" s="18"/>
      <c r="AZC225" s="18"/>
      <c r="AZD225" s="18"/>
      <c r="AZE225" s="18"/>
      <c r="AZF225" s="18"/>
      <c r="AZG225" s="18"/>
      <c r="AZH225" s="18"/>
      <c r="AZI225" s="18"/>
      <c r="AZJ225" s="18"/>
      <c r="AZK225" s="18"/>
      <c r="AZL225" s="18"/>
      <c r="AZM225" s="18"/>
      <c r="AZN225" s="18"/>
      <c r="AZO225" s="18"/>
      <c r="AZP225" s="18"/>
      <c r="AZQ225" s="18"/>
      <c r="AZR225" s="18"/>
      <c r="AZS225" s="18"/>
      <c r="AZT225" s="18"/>
      <c r="AZU225" s="18"/>
      <c r="AZV225" s="18"/>
      <c r="AZW225" s="18"/>
      <c r="AZX225" s="18"/>
      <c r="AZY225" s="18"/>
      <c r="AZZ225" s="18"/>
      <c r="BAA225" s="18"/>
      <c r="BAB225" s="18"/>
      <c r="BAC225" s="18"/>
      <c r="BAD225" s="18"/>
      <c r="BAE225" s="18"/>
      <c r="BAF225" s="18"/>
      <c r="BAG225" s="18"/>
      <c r="BAH225" s="18"/>
      <c r="BAI225" s="18"/>
      <c r="BAJ225" s="18"/>
      <c r="BAK225" s="18"/>
      <c r="BAL225" s="18"/>
      <c r="BAM225" s="18"/>
      <c r="BAN225" s="18"/>
      <c r="BAO225" s="18"/>
      <c r="BAP225" s="18"/>
      <c r="BAQ225" s="18"/>
      <c r="BAR225" s="18"/>
      <c r="BAS225" s="18"/>
      <c r="BAT225" s="18"/>
      <c r="BAU225" s="18"/>
      <c r="BAV225" s="18"/>
      <c r="BAW225" s="18"/>
      <c r="BAX225" s="18"/>
      <c r="BAY225" s="18"/>
      <c r="BAZ225" s="18"/>
      <c r="BBA225" s="18"/>
      <c r="BBB225" s="18"/>
      <c r="BBC225" s="18"/>
      <c r="BBD225" s="18"/>
      <c r="BBE225" s="18"/>
      <c r="BBF225" s="18"/>
      <c r="BBG225" s="18"/>
      <c r="BBH225" s="18"/>
      <c r="BBI225" s="18"/>
      <c r="BBJ225" s="18"/>
      <c r="BBK225" s="18"/>
      <c r="BBL225" s="18"/>
      <c r="BBM225" s="18"/>
      <c r="BBN225" s="18"/>
      <c r="BBO225" s="18"/>
      <c r="BBP225" s="18"/>
      <c r="BBQ225" s="18"/>
      <c r="BBR225" s="18"/>
      <c r="BBS225" s="18"/>
      <c r="BBT225" s="18"/>
      <c r="BBU225" s="18"/>
      <c r="BBV225" s="18"/>
      <c r="BBW225" s="18"/>
      <c r="BBX225" s="18"/>
      <c r="BBY225" s="18"/>
      <c r="BBZ225" s="18"/>
      <c r="BCA225" s="18"/>
      <c r="BCB225" s="18"/>
      <c r="BCC225" s="18"/>
      <c r="BCD225" s="18"/>
      <c r="BCE225" s="18"/>
      <c r="BCF225" s="18"/>
      <c r="BCG225" s="18"/>
      <c r="BCH225" s="18"/>
      <c r="BCI225" s="18"/>
      <c r="BCJ225" s="18"/>
      <c r="BCK225" s="18"/>
      <c r="BCL225" s="18"/>
      <c r="BCM225" s="18"/>
      <c r="BCN225" s="18"/>
      <c r="BCO225" s="18"/>
      <c r="BCP225" s="18"/>
      <c r="BCQ225" s="18"/>
      <c r="BCR225" s="18"/>
      <c r="BCS225" s="18"/>
      <c r="BCT225" s="18"/>
      <c r="BCU225" s="18"/>
      <c r="BCV225" s="18"/>
      <c r="BCW225" s="18"/>
      <c r="BCX225" s="18"/>
      <c r="BCY225" s="18"/>
      <c r="BCZ225" s="18"/>
      <c r="BDA225" s="18"/>
      <c r="BDB225" s="18"/>
      <c r="BDC225" s="18"/>
      <c r="BDD225" s="18"/>
      <c r="BDE225" s="18"/>
      <c r="BDF225" s="18"/>
      <c r="BDG225" s="18"/>
      <c r="BDH225" s="18"/>
      <c r="BDI225" s="18"/>
      <c r="BDJ225" s="18"/>
      <c r="BDK225" s="18"/>
      <c r="BDL225" s="18"/>
      <c r="BDM225" s="18"/>
      <c r="BDN225" s="18"/>
      <c r="BDO225" s="18"/>
      <c r="BDP225" s="18"/>
      <c r="BDQ225" s="18"/>
      <c r="BDR225" s="18"/>
      <c r="BDS225" s="18"/>
      <c r="BDT225" s="18"/>
      <c r="BDU225" s="18"/>
      <c r="BDV225" s="18"/>
      <c r="BDW225" s="18"/>
      <c r="BDX225" s="18"/>
      <c r="BDY225" s="18"/>
      <c r="BDZ225" s="18"/>
      <c r="BEA225" s="18"/>
      <c r="BEB225" s="18"/>
      <c r="BEC225" s="18"/>
      <c r="BED225" s="18"/>
      <c r="BEE225" s="18"/>
      <c r="BEF225" s="18"/>
      <c r="BEG225" s="18"/>
      <c r="BEH225" s="18"/>
      <c r="BEI225" s="18"/>
      <c r="BEJ225" s="18"/>
      <c r="BEK225" s="18"/>
      <c r="BEL225" s="18"/>
      <c r="BEM225" s="18"/>
      <c r="BEN225" s="18"/>
      <c r="BEO225" s="18"/>
      <c r="BEP225" s="18"/>
      <c r="BEQ225" s="18"/>
      <c r="BER225" s="18"/>
      <c r="BES225" s="18"/>
      <c r="BET225" s="18"/>
      <c r="BEU225" s="18"/>
      <c r="BEV225" s="18"/>
      <c r="BEW225" s="18"/>
      <c r="BEX225" s="18"/>
      <c r="BEY225" s="18"/>
      <c r="BEZ225" s="18"/>
      <c r="BFA225" s="18"/>
      <c r="BFB225" s="18"/>
      <c r="BFC225" s="18"/>
      <c r="BFD225" s="18"/>
      <c r="BFE225" s="18"/>
      <c r="BFF225" s="18"/>
      <c r="BFG225" s="18"/>
      <c r="BFH225" s="18"/>
      <c r="BFI225" s="18"/>
      <c r="BFJ225" s="18"/>
      <c r="BFK225" s="18"/>
      <c r="BFL225" s="18"/>
      <c r="BFM225" s="18"/>
      <c r="BFN225" s="18"/>
      <c r="BFO225" s="18"/>
      <c r="BFP225" s="18"/>
      <c r="BFQ225" s="18"/>
      <c r="BFR225" s="18"/>
      <c r="BFS225" s="18"/>
      <c r="BFT225" s="18"/>
      <c r="BFU225" s="18"/>
      <c r="BFV225" s="18"/>
      <c r="BFW225" s="18"/>
      <c r="BFX225" s="18"/>
      <c r="BFY225" s="18"/>
      <c r="BFZ225" s="18"/>
      <c r="BGA225" s="18"/>
      <c r="BGB225" s="18"/>
      <c r="BGC225" s="18"/>
      <c r="BGD225" s="18"/>
      <c r="BGE225" s="18"/>
      <c r="BGF225" s="18"/>
      <c r="BGG225" s="18"/>
      <c r="BGH225" s="18"/>
      <c r="BGI225" s="18"/>
      <c r="BGJ225" s="18"/>
      <c r="BGK225" s="18"/>
      <c r="BGL225" s="18"/>
      <c r="BGM225" s="18"/>
      <c r="BGN225" s="18"/>
      <c r="BGO225" s="18"/>
      <c r="BGP225" s="18"/>
      <c r="BGQ225" s="18"/>
      <c r="BGR225" s="18"/>
      <c r="BGS225" s="18"/>
      <c r="BGT225" s="18"/>
      <c r="BGU225" s="18"/>
      <c r="BGV225" s="18"/>
      <c r="BGW225" s="18"/>
      <c r="BGX225" s="18"/>
      <c r="BGY225" s="18"/>
      <c r="BGZ225" s="18"/>
      <c r="BHA225" s="18"/>
      <c r="BHB225" s="18"/>
      <c r="BHC225" s="18"/>
      <c r="BHD225" s="18"/>
      <c r="BHE225" s="18"/>
      <c r="BHF225" s="18"/>
      <c r="BHG225" s="18"/>
      <c r="BHH225" s="18"/>
      <c r="BHI225" s="18"/>
      <c r="BHJ225" s="18"/>
      <c r="BHK225" s="18"/>
      <c r="BHL225" s="18"/>
      <c r="BHM225" s="18"/>
      <c r="BHN225" s="18"/>
      <c r="BHO225" s="18"/>
      <c r="BHP225" s="18"/>
      <c r="BHQ225" s="18"/>
      <c r="BHR225" s="18"/>
      <c r="BHS225" s="18"/>
      <c r="BHT225" s="18"/>
      <c r="BHU225" s="18"/>
      <c r="BHV225" s="18"/>
      <c r="BHW225" s="18"/>
      <c r="BHX225" s="18"/>
      <c r="BHY225" s="18"/>
      <c r="BHZ225" s="18"/>
      <c r="BIA225" s="18"/>
      <c r="BIB225" s="18"/>
      <c r="BIC225" s="18"/>
      <c r="BID225" s="18"/>
      <c r="BIE225" s="18"/>
      <c r="BIF225" s="18"/>
      <c r="BIG225" s="18"/>
      <c r="BIH225" s="18"/>
      <c r="BII225" s="18"/>
      <c r="BIJ225" s="18"/>
      <c r="BIK225" s="18"/>
      <c r="BIL225" s="18"/>
      <c r="BIM225" s="18"/>
      <c r="BIN225" s="18"/>
      <c r="BIO225" s="18"/>
      <c r="BIP225" s="18"/>
      <c r="BIQ225" s="18"/>
      <c r="BIR225" s="18"/>
      <c r="BIS225" s="18"/>
      <c r="BIT225" s="18"/>
      <c r="BIU225" s="18"/>
      <c r="BIV225" s="18"/>
      <c r="BIW225" s="18"/>
      <c r="BIX225" s="18"/>
      <c r="BIY225" s="18"/>
      <c r="BIZ225" s="18"/>
      <c r="BJA225" s="18"/>
      <c r="BJB225" s="18"/>
      <c r="BJC225" s="18"/>
      <c r="BJD225" s="18"/>
      <c r="BJE225" s="18"/>
      <c r="BJF225" s="18"/>
      <c r="BJG225" s="18"/>
      <c r="BJH225" s="18"/>
      <c r="BJI225" s="18"/>
      <c r="BJJ225" s="18"/>
      <c r="BJK225" s="18"/>
      <c r="BJL225" s="18"/>
      <c r="BJM225" s="18"/>
      <c r="BJN225" s="18"/>
      <c r="BJO225" s="18"/>
      <c r="BJP225" s="18"/>
      <c r="BJQ225" s="18"/>
      <c r="BJR225" s="18"/>
      <c r="BJS225" s="18"/>
      <c r="BJT225" s="18"/>
      <c r="BJU225" s="18"/>
      <c r="BJV225" s="18"/>
      <c r="BJW225" s="18"/>
      <c r="BJX225" s="18"/>
      <c r="BJY225" s="18"/>
      <c r="BJZ225" s="18"/>
      <c r="BKA225" s="18"/>
      <c r="BKB225" s="18"/>
      <c r="BKC225" s="18"/>
      <c r="BKD225" s="18"/>
      <c r="BKE225" s="18"/>
      <c r="BKF225" s="18"/>
      <c r="BKG225" s="18"/>
      <c r="BKH225" s="18"/>
      <c r="BKI225" s="18"/>
      <c r="BKJ225" s="18"/>
      <c r="BKK225" s="18"/>
      <c r="BKL225" s="18"/>
      <c r="BKM225" s="18"/>
      <c r="BKN225" s="18"/>
      <c r="BKO225" s="18"/>
      <c r="BKP225" s="18"/>
      <c r="BKQ225" s="18"/>
      <c r="BKR225" s="18"/>
      <c r="BKS225" s="18"/>
      <c r="BKT225" s="18"/>
      <c r="BKU225" s="18"/>
      <c r="BKV225" s="18"/>
      <c r="BKW225" s="18"/>
      <c r="BKX225" s="18"/>
      <c r="BKY225" s="18"/>
      <c r="BKZ225" s="18"/>
      <c r="BLA225" s="18"/>
      <c r="BLB225" s="18"/>
      <c r="BLC225" s="18"/>
      <c r="BLD225" s="18"/>
      <c r="BLE225" s="18"/>
      <c r="BLF225" s="18"/>
      <c r="BLG225" s="18"/>
      <c r="BLH225" s="18"/>
      <c r="BLI225" s="18"/>
      <c r="BLJ225" s="18"/>
      <c r="BLK225" s="18"/>
      <c r="BLL225" s="18"/>
      <c r="BLM225" s="18"/>
      <c r="BLN225" s="18"/>
      <c r="BLO225" s="18"/>
      <c r="BLP225" s="18"/>
      <c r="BLQ225" s="18"/>
      <c r="BLR225" s="18"/>
      <c r="BLS225" s="18"/>
      <c r="BLT225" s="18"/>
      <c r="BLU225" s="18"/>
      <c r="BLV225" s="18"/>
      <c r="BLW225" s="18"/>
      <c r="BLX225" s="18"/>
      <c r="BLY225" s="18"/>
      <c r="BLZ225" s="18"/>
      <c r="BMA225" s="18"/>
      <c r="BMB225" s="18"/>
      <c r="BMC225" s="18"/>
      <c r="BMD225" s="18"/>
      <c r="BME225" s="18"/>
      <c r="BMF225" s="18"/>
      <c r="BMG225" s="18"/>
      <c r="BMH225" s="18"/>
      <c r="BMI225" s="18"/>
      <c r="BMJ225" s="18"/>
      <c r="BMK225" s="18"/>
      <c r="BML225" s="18"/>
      <c r="BMM225" s="18"/>
      <c r="BMN225" s="18"/>
      <c r="BMO225" s="18"/>
      <c r="BMP225" s="18"/>
      <c r="BMQ225" s="18"/>
      <c r="BMR225" s="18"/>
      <c r="BMS225" s="18"/>
      <c r="BMT225" s="18"/>
      <c r="BMU225" s="18"/>
      <c r="BMV225" s="18"/>
      <c r="BMW225" s="18"/>
      <c r="BMX225" s="18"/>
      <c r="BMY225" s="18"/>
      <c r="BMZ225" s="18"/>
      <c r="BNA225" s="18"/>
      <c r="BNB225" s="18"/>
      <c r="BNC225" s="18"/>
      <c r="BND225" s="18"/>
      <c r="BNE225" s="18"/>
      <c r="BNF225" s="18"/>
      <c r="BNG225" s="18"/>
      <c r="BNH225" s="18"/>
      <c r="BNI225" s="18"/>
      <c r="BNJ225" s="18"/>
      <c r="BNK225" s="18"/>
      <c r="BNL225" s="18"/>
      <c r="BNM225" s="18"/>
      <c r="BNN225" s="18"/>
      <c r="BNO225" s="18"/>
      <c r="BNP225" s="18"/>
      <c r="BNQ225" s="18"/>
      <c r="BNR225" s="18"/>
      <c r="BNS225" s="18"/>
      <c r="BNT225" s="18"/>
      <c r="BNU225" s="18"/>
      <c r="BNV225" s="18"/>
      <c r="BNW225" s="18"/>
      <c r="BNX225" s="18"/>
      <c r="BNY225" s="18"/>
      <c r="BNZ225" s="18"/>
      <c r="BOA225" s="18"/>
      <c r="BOB225" s="18"/>
      <c r="BOC225" s="18"/>
      <c r="BOD225" s="18"/>
      <c r="BOE225" s="18"/>
      <c r="BOF225" s="18"/>
      <c r="BOG225" s="18"/>
      <c r="BOH225" s="18"/>
      <c r="BOI225" s="18"/>
      <c r="BOJ225" s="18"/>
      <c r="BOK225" s="18"/>
      <c r="BOL225" s="18"/>
      <c r="BOM225" s="18"/>
      <c r="BON225" s="18"/>
      <c r="BOO225" s="18"/>
      <c r="BOP225" s="18"/>
      <c r="BOQ225" s="18"/>
      <c r="BOR225" s="18"/>
      <c r="BOS225" s="18"/>
      <c r="BOT225" s="18"/>
      <c r="BOU225" s="18"/>
      <c r="BOV225" s="18"/>
      <c r="BOW225" s="18"/>
      <c r="BOX225" s="18"/>
      <c r="BOY225" s="18"/>
      <c r="BOZ225" s="18"/>
      <c r="BPA225" s="18"/>
      <c r="BPB225" s="18"/>
      <c r="BPC225" s="18"/>
      <c r="BPD225" s="18"/>
      <c r="BPE225" s="18"/>
      <c r="BPF225" s="18"/>
      <c r="BPG225" s="18"/>
      <c r="BPH225" s="18"/>
      <c r="BPI225" s="18"/>
      <c r="BPJ225" s="18"/>
      <c r="BPK225" s="18"/>
      <c r="BPL225" s="18"/>
      <c r="BPM225" s="18"/>
      <c r="BPN225" s="18"/>
      <c r="BPO225" s="18"/>
      <c r="BPP225" s="18"/>
      <c r="BPQ225" s="18"/>
      <c r="BPR225" s="18"/>
      <c r="BPS225" s="18"/>
      <c r="BPT225" s="18"/>
      <c r="BPU225" s="18"/>
      <c r="BPV225" s="18"/>
      <c r="BPW225" s="18"/>
      <c r="BPX225" s="18"/>
      <c r="BPY225" s="18"/>
      <c r="BPZ225" s="18"/>
      <c r="BQA225" s="18"/>
      <c r="BQB225" s="18"/>
      <c r="BQC225" s="18"/>
      <c r="BQD225" s="18"/>
      <c r="BQE225" s="18"/>
      <c r="BQF225" s="18"/>
      <c r="BQG225" s="18"/>
      <c r="BQH225" s="18"/>
      <c r="BQI225" s="18"/>
      <c r="BQJ225" s="18"/>
      <c r="BQK225" s="18"/>
      <c r="BQL225" s="18"/>
      <c r="BQM225" s="18"/>
      <c r="BQN225" s="18"/>
      <c r="BQO225" s="18"/>
      <c r="BQP225" s="18"/>
      <c r="BQQ225" s="18"/>
      <c r="BQR225" s="18"/>
      <c r="BQS225" s="18"/>
      <c r="BQT225" s="18"/>
      <c r="BQU225" s="18"/>
      <c r="BQV225" s="18"/>
      <c r="BQW225" s="18"/>
      <c r="BQX225" s="18"/>
      <c r="BQY225" s="18"/>
      <c r="BQZ225" s="18"/>
      <c r="BRA225" s="18"/>
      <c r="BRB225" s="18"/>
      <c r="BRC225" s="18"/>
      <c r="BRD225" s="18"/>
      <c r="BRE225" s="18"/>
      <c r="BRF225" s="18"/>
      <c r="BRG225" s="18"/>
      <c r="BRH225" s="18"/>
      <c r="BRI225" s="18"/>
      <c r="BRJ225" s="18"/>
      <c r="BRK225" s="18"/>
      <c r="BRL225" s="18"/>
      <c r="BRM225" s="18"/>
      <c r="BRN225" s="18"/>
      <c r="BRO225" s="18"/>
      <c r="BRP225" s="18"/>
      <c r="BRQ225" s="18"/>
      <c r="BRR225" s="18"/>
      <c r="BRS225" s="18"/>
      <c r="BRT225" s="18"/>
      <c r="BRU225" s="18"/>
      <c r="BRV225" s="18"/>
      <c r="BRW225" s="18"/>
      <c r="BRX225" s="18"/>
      <c r="BRY225" s="18"/>
      <c r="BRZ225" s="18"/>
      <c r="BSA225" s="18"/>
      <c r="BSB225" s="18"/>
      <c r="BSC225" s="18"/>
      <c r="BSD225" s="18"/>
      <c r="BSE225" s="18"/>
      <c r="BSF225" s="18"/>
      <c r="BSG225" s="18"/>
      <c r="BSH225" s="18"/>
      <c r="BSI225" s="18"/>
      <c r="BSJ225" s="18"/>
      <c r="BSK225" s="18"/>
      <c r="BSL225" s="18"/>
      <c r="BSM225" s="18"/>
      <c r="BSN225" s="18"/>
      <c r="BSO225" s="18"/>
      <c r="BSP225" s="18"/>
      <c r="BSQ225" s="18"/>
      <c r="BSR225" s="18"/>
      <c r="BSS225" s="18"/>
      <c r="BST225" s="18"/>
      <c r="BSU225" s="18"/>
      <c r="BSV225" s="18"/>
      <c r="BSW225" s="18"/>
      <c r="BSX225" s="18"/>
      <c r="BSY225" s="18"/>
      <c r="BSZ225" s="18"/>
      <c r="BTA225" s="18"/>
      <c r="BTB225" s="18"/>
      <c r="BTC225" s="18"/>
      <c r="BTD225" s="18"/>
      <c r="BTE225" s="18"/>
      <c r="BTF225" s="18"/>
      <c r="BTG225" s="18"/>
      <c r="BTH225" s="18"/>
      <c r="BTI225" s="18"/>
    </row>
    <row r="226" spans="1:1881" s="426" customFormat="1" ht="81.75" customHeight="1" x14ac:dyDescent="0.3">
      <c r="A226" s="100">
        <v>598</v>
      </c>
      <c r="B226" s="373" t="s">
        <v>58</v>
      </c>
      <c r="C226" s="373" t="s">
        <v>285</v>
      </c>
      <c r="D226" s="383" t="s">
        <v>338</v>
      </c>
      <c r="E226" s="371" t="e">
        <f>INDEX('PY1 Data(H)'!$A$1:$BV$265,MATCH('Unit Data from Audit Worksheet'!$A226,'PY1 Data(H)'!$A$1:$A$258,0),MATCH('Unit Data from Audit Worksheet'!$D$2,'PY1 Data(H)'!$A$1:$BV$1,0))</f>
        <v>#N/A</v>
      </c>
      <c r="F226" s="793">
        <v>0</v>
      </c>
      <c r="G226" s="401">
        <f>IF(F226&lt;0,"Error: Enter as positive.",)</f>
        <v>0</v>
      </c>
      <c r="H226" s="401"/>
      <c r="I226" s="17"/>
      <c r="J226" s="424"/>
      <c r="K226"/>
      <c r="L226" s="547"/>
      <c r="M226"/>
      <c r="N226" s="18"/>
      <c r="O226" s="186"/>
      <c r="P226" s="18"/>
      <c r="Q226" s="18"/>
      <c r="R226" s="18"/>
      <c r="S226" s="18"/>
      <c r="T226" s="18"/>
      <c r="U226" s="18"/>
      <c r="V226" s="18"/>
      <c r="W226" s="18"/>
      <c r="X226" s="18"/>
      <c r="Y226" s="18"/>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c r="GQ226" s="18"/>
      <c r="GR226" s="18"/>
      <c r="GS226" s="18"/>
      <c r="GT226" s="18"/>
      <c r="GU226" s="18"/>
      <c r="GV226" s="18"/>
      <c r="GW226" s="18"/>
      <c r="GX226" s="18"/>
      <c r="GY226" s="18"/>
      <c r="GZ226" s="18"/>
      <c r="HA226" s="18"/>
      <c r="HB226" s="18"/>
      <c r="HC226" s="18"/>
      <c r="HD226" s="18"/>
      <c r="HE226" s="18"/>
      <c r="HF226" s="18"/>
      <c r="HG226" s="18"/>
      <c r="HH226" s="18"/>
      <c r="HI226" s="18"/>
      <c r="HJ226" s="18"/>
      <c r="HK226" s="18"/>
      <c r="HL226" s="18"/>
      <c r="HM226" s="18"/>
      <c r="HN226" s="18"/>
      <c r="HO226" s="18"/>
      <c r="HP226" s="18"/>
      <c r="HQ226" s="18"/>
      <c r="HR226" s="18"/>
      <c r="HS226" s="18"/>
      <c r="HT226" s="18"/>
      <c r="HU226" s="18"/>
      <c r="HV226" s="18"/>
      <c r="HW226" s="18"/>
      <c r="HX226" s="18"/>
      <c r="HY226" s="18"/>
      <c r="HZ226" s="18"/>
      <c r="IA226" s="18"/>
      <c r="IB226" s="18"/>
      <c r="IC226" s="18"/>
      <c r="ID226" s="18"/>
      <c r="IE226" s="18"/>
      <c r="IF226" s="18"/>
      <c r="IG226" s="18"/>
      <c r="IH226" s="18"/>
      <c r="II226" s="18"/>
      <c r="IJ226" s="18"/>
      <c r="IK226" s="18"/>
      <c r="IL226" s="18"/>
      <c r="IM226" s="18"/>
      <c r="IN226" s="18"/>
      <c r="IO226" s="18"/>
      <c r="IP226" s="18"/>
      <c r="IQ226" s="18"/>
      <c r="IR226" s="18"/>
      <c r="IS226" s="18"/>
      <c r="IT226" s="18"/>
      <c r="IU226" s="18"/>
      <c r="IV226" s="18"/>
      <c r="IW226" s="18"/>
      <c r="IX226" s="18"/>
      <c r="IY226" s="18"/>
      <c r="IZ226" s="18"/>
      <c r="JA226" s="18"/>
      <c r="JB226" s="18"/>
      <c r="JC226" s="18"/>
      <c r="JD226" s="18"/>
      <c r="JE226" s="18"/>
      <c r="JF226" s="18"/>
      <c r="JG226" s="18"/>
      <c r="JH226" s="18"/>
      <c r="JI226" s="18"/>
      <c r="JJ226" s="18"/>
      <c r="JK226" s="18"/>
      <c r="JL226" s="18"/>
      <c r="JM226" s="18"/>
      <c r="JN226" s="18"/>
      <c r="JO226" s="18"/>
      <c r="JP226" s="18"/>
      <c r="JQ226" s="18"/>
      <c r="JR226" s="18"/>
      <c r="JS226" s="18"/>
      <c r="JT226" s="18"/>
      <c r="JU226" s="18"/>
      <c r="JV226" s="18"/>
      <c r="JW226" s="18"/>
      <c r="JX226" s="18"/>
      <c r="JY226" s="18"/>
      <c r="JZ226" s="18"/>
      <c r="KA226" s="18"/>
      <c r="KB226" s="18"/>
      <c r="KC226" s="18"/>
      <c r="KD226" s="18"/>
      <c r="KE226" s="18"/>
      <c r="KF226" s="18"/>
      <c r="KG226" s="18"/>
      <c r="KH226" s="18"/>
      <c r="KI226" s="18"/>
      <c r="KJ226" s="18"/>
      <c r="KK226" s="18"/>
      <c r="KL226" s="18"/>
      <c r="KM226" s="18"/>
      <c r="KN226" s="18"/>
      <c r="KO226" s="18"/>
      <c r="KP226" s="18"/>
      <c r="KQ226" s="18"/>
      <c r="KR226" s="18"/>
      <c r="KS226" s="18"/>
      <c r="KT226" s="18"/>
      <c r="KU226" s="18"/>
      <c r="KV226" s="18"/>
      <c r="KW226" s="18"/>
      <c r="KX226" s="18"/>
      <c r="KY226" s="18"/>
      <c r="KZ226" s="18"/>
      <c r="LA226" s="18"/>
      <c r="LB226" s="18"/>
      <c r="LC226" s="18"/>
      <c r="LD226" s="18"/>
      <c r="LE226" s="18"/>
      <c r="LF226" s="18"/>
      <c r="LG226" s="18"/>
      <c r="LH226" s="18"/>
      <c r="LI226" s="18"/>
      <c r="LJ226" s="18"/>
      <c r="LK226" s="18"/>
      <c r="LL226" s="18"/>
      <c r="LM226" s="18"/>
      <c r="LN226" s="18"/>
      <c r="LO226" s="18"/>
      <c r="LP226" s="18"/>
      <c r="LQ226" s="18"/>
      <c r="LR226" s="18"/>
      <c r="LS226" s="18"/>
      <c r="LT226" s="18"/>
      <c r="LU226" s="18"/>
      <c r="LV226" s="18"/>
      <c r="LW226" s="18"/>
      <c r="LX226" s="18"/>
      <c r="LY226" s="18"/>
      <c r="LZ226" s="18"/>
      <c r="MA226" s="18"/>
      <c r="MB226" s="18"/>
      <c r="MC226" s="18"/>
      <c r="MD226" s="18"/>
      <c r="ME226" s="18"/>
      <c r="MF226" s="18"/>
      <c r="MG226" s="18"/>
      <c r="MH226" s="18"/>
      <c r="MI226" s="18"/>
      <c r="MJ226" s="18"/>
      <c r="MK226" s="18"/>
      <c r="ML226" s="18"/>
      <c r="MM226" s="18"/>
      <c r="MN226" s="18"/>
      <c r="MO226" s="18"/>
      <c r="MP226" s="18"/>
      <c r="MQ226" s="18"/>
      <c r="MR226" s="18"/>
      <c r="MS226" s="18"/>
      <c r="MT226" s="18"/>
      <c r="MU226" s="18"/>
      <c r="MV226" s="18"/>
      <c r="MW226" s="18"/>
      <c r="MX226" s="18"/>
      <c r="MY226" s="18"/>
      <c r="MZ226" s="18"/>
      <c r="NA226" s="18"/>
      <c r="NB226" s="18"/>
      <c r="NC226" s="18"/>
      <c r="ND226" s="18"/>
      <c r="NE226" s="18"/>
      <c r="NF226" s="18"/>
      <c r="NG226" s="18"/>
      <c r="NH226" s="18"/>
      <c r="NI226" s="18"/>
      <c r="NJ226" s="18"/>
      <c r="NK226" s="18"/>
      <c r="NL226" s="18"/>
      <c r="NM226" s="18"/>
      <c r="NN226" s="18"/>
      <c r="NO226" s="18"/>
      <c r="NP226" s="18"/>
      <c r="NQ226" s="18"/>
      <c r="NR226" s="18"/>
      <c r="NS226" s="18"/>
      <c r="NT226" s="18"/>
      <c r="NU226" s="18"/>
      <c r="NV226" s="18"/>
      <c r="NW226" s="18"/>
      <c r="NX226" s="18"/>
      <c r="NY226" s="18"/>
      <c r="NZ226" s="18"/>
      <c r="OA226" s="18"/>
      <c r="OB226" s="18"/>
      <c r="OC226" s="18"/>
      <c r="OD226" s="18"/>
      <c r="OE226" s="18"/>
      <c r="OF226" s="18"/>
      <c r="OG226" s="18"/>
      <c r="OH226" s="18"/>
      <c r="OI226" s="18"/>
      <c r="OJ226" s="18"/>
      <c r="OK226" s="18"/>
      <c r="OL226" s="18"/>
      <c r="OM226" s="18"/>
      <c r="ON226" s="18"/>
      <c r="OO226" s="18"/>
      <c r="OP226" s="18"/>
      <c r="OQ226" s="18"/>
      <c r="OR226" s="18"/>
      <c r="OS226" s="18"/>
      <c r="OT226" s="18"/>
      <c r="OU226" s="18"/>
      <c r="OV226" s="18"/>
      <c r="OW226" s="18"/>
      <c r="OX226" s="18"/>
      <c r="OY226" s="18"/>
      <c r="OZ226" s="18"/>
      <c r="PA226" s="18"/>
      <c r="PB226" s="18"/>
      <c r="PC226" s="18"/>
      <c r="PD226" s="18"/>
      <c r="PE226" s="18"/>
      <c r="PF226" s="18"/>
      <c r="PG226" s="18"/>
      <c r="PH226" s="18"/>
      <c r="PI226" s="18"/>
      <c r="PJ226" s="18"/>
      <c r="PK226" s="18"/>
      <c r="PL226" s="18"/>
      <c r="PM226" s="18"/>
      <c r="PN226" s="18"/>
      <c r="PO226" s="18"/>
      <c r="PP226" s="18"/>
      <c r="PQ226" s="18"/>
      <c r="PR226" s="18"/>
      <c r="PS226" s="18"/>
      <c r="PT226" s="18"/>
      <c r="PU226" s="18"/>
      <c r="PV226" s="18"/>
      <c r="PW226" s="18"/>
      <c r="PX226" s="18"/>
      <c r="PY226" s="18"/>
      <c r="PZ226" s="18"/>
      <c r="QA226" s="18"/>
      <c r="QB226" s="18"/>
      <c r="QC226" s="18"/>
      <c r="QD226" s="18"/>
      <c r="QE226" s="18"/>
      <c r="QF226" s="18"/>
      <c r="QG226" s="18"/>
      <c r="QH226" s="18"/>
      <c r="QI226" s="18"/>
      <c r="QJ226" s="18"/>
      <c r="QK226" s="18"/>
      <c r="QL226" s="18"/>
      <c r="QM226" s="18"/>
      <c r="QN226" s="18"/>
      <c r="QO226" s="18"/>
      <c r="QP226" s="18"/>
      <c r="QQ226" s="18"/>
      <c r="QR226" s="18"/>
      <c r="QS226" s="18"/>
      <c r="QT226" s="18"/>
      <c r="QU226" s="18"/>
      <c r="QV226" s="18"/>
      <c r="QW226" s="18"/>
      <c r="QX226" s="18"/>
      <c r="QY226" s="18"/>
      <c r="QZ226" s="18"/>
      <c r="RA226" s="18"/>
      <c r="RB226" s="18"/>
      <c r="RC226" s="18"/>
      <c r="RD226" s="18"/>
      <c r="RE226" s="18"/>
      <c r="RF226" s="18"/>
      <c r="RG226" s="18"/>
      <c r="RH226" s="18"/>
      <c r="RI226" s="18"/>
      <c r="RJ226" s="18"/>
      <c r="RK226" s="18"/>
      <c r="RL226" s="18"/>
      <c r="RM226" s="18"/>
      <c r="RN226" s="18"/>
      <c r="RO226" s="18"/>
      <c r="RP226" s="18"/>
      <c r="RQ226" s="18"/>
      <c r="RR226" s="18"/>
      <c r="RS226" s="18"/>
      <c r="RT226" s="18"/>
      <c r="RU226" s="18"/>
      <c r="RV226" s="18"/>
      <c r="RW226" s="18"/>
      <c r="RX226" s="18"/>
      <c r="RY226" s="18"/>
      <c r="RZ226" s="18"/>
      <c r="SA226" s="18"/>
      <c r="SB226" s="18"/>
      <c r="SC226" s="18"/>
      <c r="SD226" s="18"/>
      <c r="SE226" s="18"/>
      <c r="SF226" s="18"/>
      <c r="SG226" s="18"/>
      <c r="SH226" s="18"/>
      <c r="SI226" s="18"/>
      <c r="SJ226" s="18"/>
      <c r="SK226" s="18"/>
      <c r="SL226" s="18"/>
      <c r="SM226" s="18"/>
      <c r="SN226" s="18"/>
      <c r="SO226" s="18"/>
      <c r="SP226" s="18"/>
      <c r="SQ226" s="18"/>
      <c r="SR226" s="18"/>
      <c r="SS226" s="18"/>
      <c r="ST226" s="18"/>
      <c r="SU226" s="18"/>
      <c r="SV226" s="18"/>
      <c r="SW226" s="18"/>
      <c r="SX226" s="18"/>
      <c r="SY226" s="18"/>
      <c r="SZ226" s="18"/>
      <c r="TA226" s="18"/>
      <c r="TB226" s="18"/>
      <c r="TC226" s="18"/>
      <c r="TD226" s="18"/>
      <c r="TE226" s="18"/>
      <c r="TF226" s="18"/>
      <c r="TG226" s="18"/>
      <c r="TH226" s="18"/>
      <c r="TI226" s="18"/>
      <c r="TJ226" s="18"/>
      <c r="TK226" s="18"/>
      <c r="TL226" s="18"/>
      <c r="TM226" s="18"/>
      <c r="TN226" s="18"/>
      <c r="TO226" s="18"/>
      <c r="TP226" s="18"/>
      <c r="TQ226" s="18"/>
      <c r="TR226" s="18"/>
      <c r="TS226" s="18"/>
      <c r="TT226" s="18"/>
      <c r="TU226" s="18"/>
      <c r="TV226" s="18"/>
      <c r="TW226" s="18"/>
      <c r="TX226" s="18"/>
      <c r="TY226" s="18"/>
      <c r="TZ226" s="18"/>
      <c r="UA226" s="18"/>
      <c r="UB226" s="18"/>
      <c r="UC226" s="18"/>
      <c r="UD226" s="18"/>
      <c r="UE226" s="18"/>
      <c r="UF226" s="18"/>
      <c r="UG226" s="18"/>
      <c r="UH226" s="18"/>
      <c r="UI226" s="18"/>
      <c r="UJ226" s="18"/>
      <c r="UK226" s="18"/>
      <c r="UL226" s="18"/>
      <c r="UM226" s="18"/>
      <c r="UN226" s="18"/>
      <c r="UO226" s="18"/>
      <c r="UP226" s="18"/>
      <c r="UQ226" s="18"/>
      <c r="UR226" s="18"/>
      <c r="US226" s="18"/>
      <c r="UT226" s="18"/>
      <c r="UU226" s="18"/>
      <c r="UV226" s="18"/>
      <c r="UW226" s="18"/>
      <c r="UX226" s="18"/>
      <c r="UY226" s="18"/>
      <c r="UZ226" s="18"/>
      <c r="VA226" s="18"/>
      <c r="VB226" s="18"/>
      <c r="VC226" s="18"/>
      <c r="VD226" s="18"/>
      <c r="VE226" s="18"/>
      <c r="VF226" s="18"/>
      <c r="VG226" s="18"/>
      <c r="VH226" s="18"/>
      <c r="VI226" s="18"/>
      <c r="VJ226" s="18"/>
      <c r="VK226" s="18"/>
      <c r="VL226" s="18"/>
      <c r="VM226" s="18"/>
      <c r="VN226" s="18"/>
      <c r="VO226" s="18"/>
      <c r="VP226" s="18"/>
      <c r="VQ226" s="18"/>
      <c r="VR226" s="18"/>
      <c r="VS226" s="18"/>
      <c r="VT226" s="18"/>
      <c r="VU226" s="18"/>
      <c r="VV226" s="18"/>
      <c r="VW226" s="18"/>
      <c r="VX226" s="18"/>
      <c r="VY226" s="18"/>
      <c r="VZ226" s="18"/>
      <c r="WA226" s="18"/>
      <c r="WB226" s="18"/>
      <c r="WC226" s="18"/>
      <c r="WD226" s="18"/>
      <c r="WE226" s="18"/>
      <c r="WF226" s="18"/>
      <c r="WG226" s="18"/>
      <c r="WH226" s="18"/>
      <c r="WI226" s="18"/>
      <c r="WJ226" s="18"/>
      <c r="WK226" s="18"/>
      <c r="WL226" s="18"/>
      <c r="WM226" s="18"/>
      <c r="WN226" s="18"/>
      <c r="WO226" s="18"/>
      <c r="WP226" s="18"/>
      <c r="WQ226" s="18"/>
      <c r="WR226" s="18"/>
      <c r="WS226" s="18"/>
      <c r="WT226" s="18"/>
      <c r="WU226" s="18"/>
      <c r="WV226" s="18"/>
      <c r="WW226" s="18"/>
      <c r="WX226" s="18"/>
      <c r="WY226" s="18"/>
      <c r="WZ226" s="18"/>
      <c r="XA226" s="18"/>
      <c r="XB226" s="18"/>
      <c r="XC226" s="18"/>
      <c r="XD226" s="18"/>
      <c r="XE226" s="18"/>
      <c r="XF226" s="18"/>
      <c r="XG226" s="18"/>
      <c r="XH226" s="18"/>
      <c r="XI226" s="18"/>
      <c r="XJ226" s="18"/>
      <c r="XK226" s="18"/>
      <c r="XL226" s="18"/>
      <c r="XM226" s="18"/>
      <c r="XN226" s="18"/>
      <c r="XO226" s="18"/>
      <c r="XP226" s="18"/>
      <c r="XQ226" s="18"/>
      <c r="XR226" s="18"/>
      <c r="XS226" s="18"/>
      <c r="XT226" s="18"/>
      <c r="XU226" s="18"/>
      <c r="XV226" s="18"/>
      <c r="XW226" s="18"/>
      <c r="XX226" s="18"/>
      <c r="XY226" s="18"/>
      <c r="XZ226" s="18"/>
      <c r="YA226" s="18"/>
      <c r="YB226" s="18"/>
      <c r="YC226" s="18"/>
      <c r="YD226" s="18"/>
      <c r="YE226" s="18"/>
      <c r="YF226" s="18"/>
      <c r="YG226" s="18"/>
      <c r="YH226" s="18"/>
      <c r="YI226" s="18"/>
      <c r="YJ226" s="18"/>
      <c r="YK226" s="18"/>
      <c r="YL226" s="18"/>
      <c r="YM226" s="18"/>
      <c r="YN226" s="18"/>
      <c r="YO226" s="18"/>
      <c r="YP226" s="18"/>
      <c r="YQ226" s="18"/>
      <c r="YR226" s="18"/>
      <c r="YS226" s="18"/>
      <c r="YT226" s="18"/>
      <c r="YU226" s="18"/>
      <c r="YV226" s="18"/>
      <c r="YW226" s="18"/>
      <c r="YX226" s="18"/>
      <c r="YY226" s="18"/>
      <c r="YZ226" s="18"/>
      <c r="ZA226" s="18"/>
      <c r="ZB226" s="18"/>
      <c r="ZC226" s="18"/>
      <c r="ZD226" s="18"/>
      <c r="ZE226" s="18"/>
      <c r="ZF226" s="18"/>
      <c r="ZG226" s="18"/>
      <c r="ZH226" s="18"/>
      <c r="ZI226" s="18"/>
      <c r="ZJ226" s="18"/>
      <c r="ZK226" s="18"/>
      <c r="ZL226" s="18"/>
      <c r="ZM226" s="18"/>
      <c r="ZN226" s="18"/>
      <c r="ZO226" s="18"/>
      <c r="ZP226" s="18"/>
      <c r="ZQ226" s="18"/>
      <c r="ZR226" s="18"/>
      <c r="ZS226" s="18"/>
      <c r="ZT226" s="18"/>
      <c r="ZU226" s="18"/>
      <c r="ZV226" s="18"/>
      <c r="ZW226" s="18"/>
      <c r="ZX226" s="18"/>
      <c r="ZY226" s="18"/>
      <c r="ZZ226" s="18"/>
      <c r="AAA226" s="18"/>
      <c r="AAB226" s="18"/>
      <c r="AAC226" s="18"/>
      <c r="AAD226" s="18"/>
      <c r="AAE226" s="18"/>
      <c r="AAF226" s="18"/>
      <c r="AAG226" s="18"/>
      <c r="AAH226" s="18"/>
      <c r="AAI226" s="18"/>
      <c r="AAJ226" s="18"/>
      <c r="AAK226" s="18"/>
      <c r="AAL226" s="18"/>
      <c r="AAM226" s="18"/>
      <c r="AAN226" s="18"/>
      <c r="AAO226" s="18"/>
      <c r="AAP226" s="18"/>
      <c r="AAQ226" s="18"/>
      <c r="AAR226" s="18"/>
      <c r="AAS226" s="18"/>
      <c r="AAT226" s="18"/>
      <c r="AAU226" s="18"/>
      <c r="AAV226" s="18"/>
      <c r="AAW226" s="18"/>
      <c r="AAX226" s="18"/>
      <c r="AAY226" s="18"/>
      <c r="AAZ226" s="18"/>
      <c r="ABA226" s="18"/>
      <c r="ABB226" s="18"/>
      <c r="ABC226" s="18"/>
      <c r="ABD226" s="18"/>
      <c r="ABE226" s="18"/>
      <c r="ABF226" s="18"/>
      <c r="ABG226" s="18"/>
      <c r="ABH226" s="18"/>
      <c r="ABI226" s="18"/>
      <c r="ABJ226" s="18"/>
      <c r="ABK226" s="18"/>
      <c r="ABL226" s="18"/>
      <c r="ABM226" s="18"/>
      <c r="ABN226" s="18"/>
      <c r="ABO226" s="18"/>
      <c r="ABP226" s="18"/>
      <c r="ABQ226" s="18"/>
      <c r="ABR226" s="18"/>
      <c r="ABS226" s="18"/>
      <c r="ABT226" s="18"/>
      <c r="ABU226" s="18"/>
      <c r="ABV226" s="18"/>
      <c r="ABW226" s="18"/>
      <c r="ABX226" s="18"/>
      <c r="ABY226" s="18"/>
      <c r="ABZ226" s="18"/>
      <c r="ACA226" s="18"/>
      <c r="ACB226" s="18"/>
      <c r="ACC226" s="18"/>
      <c r="ACD226" s="18"/>
      <c r="ACE226" s="18"/>
      <c r="ACF226" s="18"/>
      <c r="ACG226" s="18"/>
      <c r="ACH226" s="18"/>
      <c r="ACI226" s="18"/>
      <c r="ACJ226" s="18"/>
      <c r="ACK226" s="18"/>
      <c r="ACL226" s="18"/>
      <c r="ACM226" s="18"/>
      <c r="ACN226" s="18"/>
      <c r="ACO226" s="18"/>
      <c r="ACP226" s="18"/>
      <c r="ACQ226" s="18"/>
      <c r="ACR226" s="18"/>
      <c r="ACS226" s="18"/>
      <c r="ACT226" s="18"/>
      <c r="ACU226" s="18"/>
      <c r="ACV226" s="18"/>
      <c r="ACW226" s="18"/>
      <c r="ACX226" s="18"/>
      <c r="ACY226" s="18"/>
      <c r="ACZ226" s="18"/>
      <c r="ADA226" s="18"/>
      <c r="ADB226" s="18"/>
      <c r="ADC226" s="18"/>
      <c r="ADD226" s="18"/>
      <c r="ADE226" s="18"/>
      <c r="ADF226" s="18"/>
      <c r="ADG226" s="18"/>
      <c r="ADH226" s="18"/>
      <c r="ADI226" s="18"/>
      <c r="ADJ226" s="18"/>
      <c r="ADK226" s="18"/>
      <c r="ADL226" s="18"/>
      <c r="ADM226" s="18"/>
      <c r="ADN226" s="18"/>
      <c r="ADO226" s="18"/>
      <c r="ADP226" s="18"/>
      <c r="ADQ226" s="18"/>
      <c r="ADR226" s="18"/>
      <c r="ADS226" s="18"/>
      <c r="ADT226" s="18"/>
      <c r="ADU226" s="18"/>
      <c r="ADV226" s="18"/>
      <c r="ADW226" s="18"/>
      <c r="ADX226" s="18"/>
      <c r="ADY226" s="18"/>
      <c r="ADZ226" s="18"/>
      <c r="AEA226" s="18"/>
      <c r="AEB226" s="18"/>
      <c r="AEC226" s="18"/>
      <c r="AED226" s="18"/>
      <c r="AEE226" s="18"/>
      <c r="AEF226" s="18"/>
      <c r="AEG226" s="18"/>
      <c r="AEH226" s="18"/>
      <c r="AEI226" s="18"/>
      <c r="AEJ226" s="18"/>
      <c r="AEK226" s="18"/>
      <c r="AEL226" s="18"/>
      <c r="AEM226" s="18"/>
      <c r="AEN226" s="18"/>
      <c r="AEO226" s="18"/>
      <c r="AEP226" s="18"/>
      <c r="AEQ226" s="18"/>
      <c r="AER226" s="18"/>
      <c r="AES226" s="18"/>
      <c r="AET226" s="18"/>
      <c r="AEU226" s="18"/>
      <c r="AEV226" s="18"/>
      <c r="AEW226" s="18"/>
      <c r="AEX226" s="18"/>
      <c r="AEY226" s="18"/>
      <c r="AEZ226" s="18"/>
      <c r="AFA226" s="18"/>
      <c r="AFB226" s="18"/>
      <c r="AFC226" s="18"/>
      <c r="AFD226" s="18"/>
      <c r="AFE226" s="18"/>
      <c r="AFF226" s="18"/>
      <c r="AFG226" s="18"/>
      <c r="AFH226" s="18"/>
      <c r="AFI226" s="18"/>
      <c r="AFJ226" s="18"/>
      <c r="AFK226" s="18"/>
      <c r="AFL226" s="18"/>
      <c r="AFM226" s="18"/>
      <c r="AFN226" s="18"/>
      <c r="AFO226" s="18"/>
      <c r="AFP226" s="18"/>
      <c r="AFQ226" s="18"/>
      <c r="AFR226" s="18"/>
      <c r="AFS226" s="18"/>
      <c r="AFT226" s="18"/>
      <c r="AFU226" s="18"/>
      <c r="AFV226" s="18"/>
      <c r="AFW226" s="18"/>
      <c r="AFX226" s="18"/>
      <c r="AFY226" s="18"/>
      <c r="AFZ226" s="18"/>
      <c r="AGA226" s="18"/>
      <c r="AGB226" s="18"/>
      <c r="AGC226" s="18"/>
      <c r="AGD226" s="18"/>
      <c r="AGE226" s="18"/>
      <c r="AGF226" s="18"/>
      <c r="AGG226" s="18"/>
      <c r="AGH226" s="18"/>
      <c r="AGI226" s="18"/>
      <c r="AGJ226" s="18"/>
      <c r="AGK226" s="18"/>
      <c r="AGL226" s="18"/>
      <c r="AGM226" s="18"/>
      <c r="AGN226" s="18"/>
      <c r="AGO226" s="18"/>
      <c r="AGP226" s="18"/>
      <c r="AGQ226" s="18"/>
      <c r="AGR226" s="18"/>
      <c r="AGS226" s="18"/>
      <c r="AGT226" s="18"/>
      <c r="AGU226" s="18"/>
      <c r="AGV226" s="18"/>
      <c r="AGW226" s="18"/>
      <c r="AGX226" s="18"/>
      <c r="AGY226" s="18"/>
      <c r="AGZ226" s="18"/>
      <c r="AHA226" s="18"/>
      <c r="AHB226" s="18"/>
      <c r="AHC226" s="18"/>
      <c r="AHD226" s="18"/>
      <c r="AHE226" s="18"/>
      <c r="AHF226" s="18"/>
      <c r="AHG226" s="18"/>
      <c r="AHH226" s="18"/>
      <c r="AHI226" s="18"/>
      <c r="AHJ226" s="18"/>
      <c r="AHK226" s="18"/>
      <c r="AHL226" s="18"/>
      <c r="AHM226" s="18"/>
      <c r="AHN226" s="18"/>
      <c r="AHO226" s="18"/>
      <c r="AHP226" s="18"/>
      <c r="AHQ226" s="18"/>
      <c r="AHR226" s="18"/>
      <c r="AHS226" s="18"/>
      <c r="AHT226" s="18"/>
      <c r="AHU226" s="18"/>
      <c r="AHV226" s="18"/>
      <c r="AHW226" s="18"/>
      <c r="AHX226" s="18"/>
      <c r="AHY226" s="18"/>
      <c r="AHZ226" s="18"/>
      <c r="AIA226" s="18"/>
      <c r="AIB226" s="18"/>
      <c r="AIC226" s="18"/>
      <c r="AID226" s="18"/>
      <c r="AIE226" s="18"/>
      <c r="AIF226" s="18"/>
      <c r="AIG226" s="18"/>
      <c r="AIH226" s="18"/>
      <c r="AII226" s="18"/>
      <c r="AIJ226" s="18"/>
      <c r="AIK226" s="18"/>
      <c r="AIL226" s="18"/>
      <c r="AIM226" s="18"/>
      <c r="AIN226" s="18"/>
      <c r="AIO226" s="18"/>
      <c r="AIP226" s="18"/>
      <c r="AIQ226" s="18"/>
      <c r="AIR226" s="18"/>
      <c r="AIS226" s="18"/>
      <c r="AIT226" s="18"/>
      <c r="AIU226" s="18"/>
      <c r="AIV226" s="18"/>
      <c r="AIW226" s="18"/>
      <c r="AIX226" s="18"/>
      <c r="AIY226" s="18"/>
      <c r="AIZ226" s="18"/>
      <c r="AJA226" s="18"/>
      <c r="AJB226" s="18"/>
      <c r="AJC226" s="18"/>
      <c r="AJD226" s="18"/>
      <c r="AJE226" s="18"/>
      <c r="AJF226" s="18"/>
      <c r="AJG226" s="18"/>
      <c r="AJH226" s="18"/>
      <c r="AJI226" s="18"/>
      <c r="AJJ226" s="18"/>
      <c r="AJK226" s="18"/>
      <c r="AJL226" s="18"/>
      <c r="AJM226" s="18"/>
      <c r="AJN226" s="18"/>
      <c r="AJO226" s="18"/>
      <c r="AJP226" s="18"/>
      <c r="AJQ226" s="18"/>
      <c r="AJR226" s="18"/>
      <c r="AJS226" s="18"/>
      <c r="AJT226" s="18"/>
      <c r="AJU226" s="18"/>
      <c r="AJV226" s="18"/>
      <c r="AJW226" s="18"/>
      <c r="AJX226" s="18"/>
      <c r="AJY226" s="18"/>
      <c r="AJZ226" s="18"/>
      <c r="AKA226" s="18"/>
      <c r="AKB226" s="18"/>
      <c r="AKC226" s="18"/>
      <c r="AKD226" s="18"/>
      <c r="AKE226" s="18"/>
      <c r="AKF226" s="18"/>
      <c r="AKG226" s="18"/>
      <c r="AKH226" s="18"/>
      <c r="AKI226" s="18"/>
      <c r="AKJ226" s="18"/>
      <c r="AKK226" s="18"/>
      <c r="AKL226" s="18"/>
      <c r="AKM226" s="18"/>
      <c r="AKN226" s="18"/>
      <c r="AKO226" s="18"/>
      <c r="AKP226" s="18"/>
      <c r="AKQ226" s="18"/>
      <c r="AKR226" s="18"/>
      <c r="AKS226" s="18"/>
      <c r="AKT226" s="18"/>
      <c r="AKU226" s="18"/>
      <c r="AKV226" s="18"/>
      <c r="AKW226" s="18"/>
      <c r="AKX226" s="18"/>
      <c r="AKY226" s="18"/>
      <c r="AKZ226" s="18"/>
      <c r="ALA226" s="18"/>
      <c r="ALB226" s="18"/>
      <c r="ALC226" s="18"/>
      <c r="ALD226" s="18"/>
      <c r="ALE226" s="18"/>
      <c r="ALF226" s="18"/>
      <c r="ALG226" s="18"/>
      <c r="ALH226" s="18"/>
      <c r="ALI226" s="18"/>
      <c r="ALJ226" s="18"/>
      <c r="ALK226" s="18"/>
      <c r="ALL226" s="18"/>
      <c r="ALM226" s="18"/>
      <c r="ALN226" s="18"/>
      <c r="ALO226" s="18"/>
      <c r="ALP226" s="18"/>
      <c r="ALQ226" s="18"/>
      <c r="ALR226" s="18"/>
      <c r="ALS226" s="18"/>
      <c r="ALT226" s="18"/>
      <c r="ALU226" s="18"/>
      <c r="ALV226" s="18"/>
      <c r="ALW226" s="18"/>
      <c r="ALX226" s="18"/>
      <c r="ALY226" s="18"/>
      <c r="ALZ226" s="18"/>
      <c r="AMA226" s="18"/>
      <c r="AMB226" s="18"/>
      <c r="AMC226" s="18"/>
      <c r="AMD226" s="18"/>
      <c r="AME226" s="18"/>
      <c r="AMF226" s="18"/>
      <c r="AMG226" s="18"/>
      <c r="AMH226" s="18"/>
      <c r="AMI226" s="18"/>
      <c r="AMJ226" s="18"/>
      <c r="AMK226" s="18"/>
      <c r="AML226" s="18"/>
      <c r="AMM226" s="18"/>
      <c r="AMN226" s="18"/>
      <c r="AMO226" s="18"/>
      <c r="AMP226" s="18"/>
      <c r="AMQ226" s="18"/>
      <c r="AMR226" s="18"/>
      <c r="AMS226" s="18"/>
      <c r="AMT226" s="18"/>
      <c r="AMU226" s="18"/>
      <c r="AMV226" s="18"/>
      <c r="AMW226" s="18"/>
      <c r="AMX226" s="18"/>
      <c r="AMY226" s="18"/>
      <c r="AMZ226" s="18"/>
      <c r="ANA226" s="18"/>
      <c r="ANB226" s="18"/>
      <c r="ANC226" s="18"/>
      <c r="AND226" s="18"/>
      <c r="ANE226" s="18"/>
      <c r="ANF226" s="18"/>
      <c r="ANG226" s="18"/>
      <c r="ANH226" s="18"/>
      <c r="ANI226" s="18"/>
      <c r="ANJ226" s="18"/>
      <c r="ANK226" s="18"/>
      <c r="ANL226" s="18"/>
      <c r="ANM226" s="18"/>
      <c r="ANN226" s="18"/>
      <c r="ANO226" s="18"/>
      <c r="ANP226" s="18"/>
      <c r="ANQ226" s="18"/>
      <c r="ANR226" s="18"/>
      <c r="ANS226" s="18"/>
      <c r="ANT226" s="18"/>
      <c r="ANU226" s="18"/>
      <c r="ANV226" s="18"/>
      <c r="ANW226" s="18"/>
      <c r="ANX226" s="18"/>
      <c r="ANY226" s="18"/>
      <c r="ANZ226" s="18"/>
      <c r="AOA226" s="18"/>
      <c r="AOB226" s="18"/>
      <c r="AOC226" s="18"/>
      <c r="AOD226" s="18"/>
      <c r="AOE226" s="18"/>
      <c r="AOF226" s="18"/>
      <c r="AOG226" s="18"/>
      <c r="AOH226" s="18"/>
      <c r="AOI226" s="18"/>
      <c r="AOJ226" s="18"/>
      <c r="AOK226" s="18"/>
      <c r="AOL226" s="18"/>
      <c r="AOM226" s="18"/>
      <c r="AON226" s="18"/>
      <c r="AOO226" s="18"/>
      <c r="AOP226" s="18"/>
      <c r="AOQ226" s="18"/>
      <c r="AOR226" s="18"/>
      <c r="AOS226" s="18"/>
      <c r="AOT226" s="18"/>
      <c r="AOU226" s="18"/>
      <c r="AOV226" s="18"/>
      <c r="AOW226" s="18"/>
      <c r="AOX226" s="18"/>
      <c r="AOY226" s="18"/>
      <c r="AOZ226" s="18"/>
      <c r="APA226" s="18"/>
      <c r="APB226" s="18"/>
      <c r="APC226" s="18"/>
      <c r="APD226" s="18"/>
      <c r="APE226" s="18"/>
      <c r="APF226" s="18"/>
      <c r="APG226" s="18"/>
      <c r="APH226" s="18"/>
      <c r="API226" s="18"/>
      <c r="APJ226" s="18"/>
      <c r="APK226" s="18"/>
      <c r="APL226" s="18"/>
      <c r="APM226" s="18"/>
      <c r="APN226" s="18"/>
      <c r="APO226" s="18"/>
      <c r="APP226" s="18"/>
      <c r="APQ226" s="18"/>
      <c r="APR226" s="18"/>
      <c r="APS226" s="18"/>
      <c r="APT226" s="18"/>
      <c r="APU226" s="18"/>
      <c r="APV226" s="18"/>
      <c r="APW226" s="18"/>
      <c r="APX226" s="18"/>
      <c r="APY226" s="18"/>
      <c r="APZ226" s="18"/>
      <c r="AQA226" s="18"/>
      <c r="AQB226" s="18"/>
      <c r="AQC226" s="18"/>
      <c r="AQD226" s="18"/>
      <c r="AQE226" s="18"/>
      <c r="AQF226" s="18"/>
      <c r="AQG226" s="18"/>
      <c r="AQH226" s="18"/>
      <c r="AQI226" s="18"/>
      <c r="AQJ226" s="18"/>
      <c r="AQK226" s="18"/>
      <c r="AQL226" s="18"/>
      <c r="AQM226" s="18"/>
      <c r="AQN226" s="18"/>
      <c r="AQO226" s="18"/>
      <c r="AQP226" s="18"/>
      <c r="AQQ226" s="18"/>
      <c r="AQR226" s="18"/>
      <c r="AQS226" s="18"/>
      <c r="AQT226" s="18"/>
      <c r="AQU226" s="18"/>
      <c r="AQV226" s="18"/>
      <c r="AQW226" s="18"/>
      <c r="AQX226" s="18"/>
      <c r="AQY226" s="18"/>
      <c r="AQZ226" s="18"/>
      <c r="ARA226" s="18"/>
      <c r="ARB226" s="18"/>
      <c r="ARC226" s="18"/>
      <c r="ARD226" s="18"/>
      <c r="ARE226" s="18"/>
      <c r="ARF226" s="18"/>
      <c r="ARG226" s="18"/>
      <c r="ARH226" s="18"/>
      <c r="ARI226" s="18"/>
      <c r="ARJ226" s="18"/>
      <c r="ARK226" s="18"/>
      <c r="ARL226" s="18"/>
      <c r="ARM226" s="18"/>
      <c r="ARN226" s="18"/>
      <c r="ARO226" s="18"/>
      <c r="ARP226" s="18"/>
      <c r="ARQ226" s="18"/>
      <c r="ARR226" s="18"/>
      <c r="ARS226" s="18"/>
      <c r="ART226" s="18"/>
      <c r="ARU226" s="18"/>
      <c r="ARV226" s="18"/>
      <c r="ARW226" s="18"/>
      <c r="ARX226" s="18"/>
      <c r="ARY226" s="18"/>
      <c r="ARZ226" s="18"/>
      <c r="ASA226" s="18"/>
      <c r="ASB226" s="18"/>
      <c r="ASC226" s="18"/>
      <c r="ASD226" s="18"/>
      <c r="ASE226" s="18"/>
      <c r="ASF226" s="18"/>
      <c r="ASG226" s="18"/>
      <c r="ASH226" s="18"/>
      <c r="ASI226" s="18"/>
      <c r="ASJ226" s="18"/>
      <c r="ASK226" s="18"/>
      <c r="ASL226" s="18"/>
      <c r="ASM226" s="18"/>
      <c r="ASN226" s="18"/>
      <c r="ASO226" s="18"/>
      <c r="ASP226" s="18"/>
      <c r="ASQ226" s="18"/>
      <c r="ASR226" s="18"/>
      <c r="ASS226" s="18"/>
      <c r="AST226" s="18"/>
      <c r="ASU226" s="18"/>
      <c r="ASV226" s="18"/>
      <c r="ASW226" s="18"/>
      <c r="ASX226" s="18"/>
      <c r="ASY226" s="18"/>
      <c r="ASZ226" s="18"/>
      <c r="ATA226" s="18"/>
      <c r="ATB226" s="18"/>
      <c r="ATC226" s="18"/>
      <c r="ATD226" s="18"/>
      <c r="ATE226" s="18"/>
      <c r="ATF226" s="18"/>
      <c r="ATG226" s="18"/>
      <c r="ATH226" s="18"/>
      <c r="ATI226" s="18"/>
      <c r="ATJ226" s="18"/>
      <c r="ATK226" s="18"/>
      <c r="ATL226" s="18"/>
      <c r="ATM226" s="18"/>
      <c r="ATN226" s="18"/>
      <c r="ATO226" s="18"/>
      <c r="ATP226" s="18"/>
      <c r="ATQ226" s="18"/>
      <c r="ATR226" s="18"/>
      <c r="ATS226" s="18"/>
      <c r="ATT226" s="18"/>
      <c r="ATU226" s="18"/>
      <c r="ATV226" s="18"/>
      <c r="ATW226" s="18"/>
      <c r="ATX226" s="18"/>
      <c r="ATY226" s="18"/>
      <c r="ATZ226" s="18"/>
      <c r="AUA226" s="18"/>
      <c r="AUB226" s="18"/>
      <c r="AUC226" s="18"/>
      <c r="AUD226" s="18"/>
      <c r="AUE226" s="18"/>
      <c r="AUF226" s="18"/>
      <c r="AUG226" s="18"/>
      <c r="AUH226" s="18"/>
      <c r="AUI226" s="18"/>
      <c r="AUJ226" s="18"/>
      <c r="AUK226" s="18"/>
      <c r="AUL226" s="18"/>
      <c r="AUM226" s="18"/>
      <c r="AUN226" s="18"/>
      <c r="AUO226" s="18"/>
      <c r="AUP226" s="18"/>
      <c r="AUQ226" s="18"/>
      <c r="AUR226" s="18"/>
      <c r="AUS226" s="18"/>
      <c r="AUT226" s="18"/>
      <c r="AUU226" s="18"/>
      <c r="AUV226" s="18"/>
      <c r="AUW226" s="18"/>
      <c r="AUX226" s="18"/>
      <c r="AUY226" s="18"/>
      <c r="AUZ226" s="18"/>
      <c r="AVA226" s="18"/>
      <c r="AVB226" s="18"/>
      <c r="AVC226" s="18"/>
      <c r="AVD226" s="18"/>
      <c r="AVE226" s="18"/>
      <c r="AVF226" s="18"/>
      <c r="AVG226" s="18"/>
      <c r="AVH226" s="18"/>
      <c r="AVI226" s="18"/>
      <c r="AVJ226" s="18"/>
      <c r="AVK226" s="18"/>
      <c r="AVL226" s="18"/>
      <c r="AVM226" s="18"/>
      <c r="AVN226" s="18"/>
      <c r="AVO226" s="18"/>
      <c r="AVP226" s="18"/>
      <c r="AVQ226" s="18"/>
      <c r="AVR226" s="18"/>
      <c r="AVS226" s="18"/>
      <c r="AVT226" s="18"/>
      <c r="AVU226" s="18"/>
      <c r="AVV226" s="18"/>
      <c r="AVW226" s="18"/>
      <c r="AVX226" s="18"/>
      <c r="AVY226" s="18"/>
      <c r="AVZ226" s="18"/>
      <c r="AWA226" s="18"/>
      <c r="AWB226" s="18"/>
      <c r="AWC226" s="18"/>
      <c r="AWD226" s="18"/>
      <c r="AWE226" s="18"/>
      <c r="AWF226" s="18"/>
      <c r="AWG226" s="18"/>
      <c r="AWH226" s="18"/>
      <c r="AWI226" s="18"/>
      <c r="AWJ226" s="18"/>
      <c r="AWK226" s="18"/>
      <c r="AWL226" s="18"/>
      <c r="AWM226" s="18"/>
      <c r="AWN226" s="18"/>
      <c r="AWO226" s="18"/>
      <c r="AWP226" s="18"/>
      <c r="AWQ226" s="18"/>
      <c r="AWR226" s="18"/>
      <c r="AWS226" s="18"/>
      <c r="AWT226" s="18"/>
      <c r="AWU226" s="18"/>
      <c r="AWV226" s="18"/>
      <c r="AWW226" s="18"/>
      <c r="AWX226" s="18"/>
      <c r="AWY226" s="18"/>
      <c r="AWZ226" s="18"/>
      <c r="AXA226" s="18"/>
      <c r="AXB226" s="18"/>
      <c r="AXC226" s="18"/>
      <c r="AXD226" s="18"/>
      <c r="AXE226" s="18"/>
      <c r="AXF226" s="18"/>
      <c r="AXG226" s="18"/>
      <c r="AXH226" s="18"/>
      <c r="AXI226" s="18"/>
      <c r="AXJ226" s="18"/>
      <c r="AXK226" s="18"/>
      <c r="AXL226" s="18"/>
      <c r="AXM226" s="18"/>
      <c r="AXN226" s="18"/>
      <c r="AXO226" s="18"/>
      <c r="AXP226" s="18"/>
      <c r="AXQ226" s="18"/>
      <c r="AXR226" s="18"/>
      <c r="AXS226" s="18"/>
      <c r="AXT226" s="18"/>
      <c r="AXU226" s="18"/>
      <c r="AXV226" s="18"/>
      <c r="AXW226" s="18"/>
      <c r="AXX226" s="18"/>
      <c r="AXY226" s="18"/>
      <c r="AXZ226" s="18"/>
      <c r="AYA226" s="18"/>
      <c r="AYB226" s="18"/>
      <c r="AYC226" s="18"/>
      <c r="AYD226" s="18"/>
      <c r="AYE226" s="18"/>
      <c r="AYF226" s="18"/>
      <c r="AYG226" s="18"/>
      <c r="AYH226" s="18"/>
      <c r="AYI226" s="18"/>
      <c r="AYJ226" s="18"/>
      <c r="AYK226" s="18"/>
      <c r="AYL226" s="18"/>
      <c r="AYM226" s="18"/>
      <c r="AYN226" s="18"/>
      <c r="AYO226" s="18"/>
      <c r="AYP226" s="18"/>
      <c r="AYQ226" s="18"/>
      <c r="AYR226" s="18"/>
      <c r="AYS226" s="18"/>
      <c r="AYT226" s="18"/>
      <c r="AYU226" s="18"/>
      <c r="AYV226" s="18"/>
      <c r="AYW226" s="18"/>
      <c r="AYX226" s="18"/>
      <c r="AYY226" s="18"/>
      <c r="AYZ226" s="18"/>
      <c r="AZA226" s="18"/>
      <c r="AZB226" s="18"/>
      <c r="AZC226" s="18"/>
      <c r="AZD226" s="18"/>
      <c r="AZE226" s="18"/>
      <c r="AZF226" s="18"/>
      <c r="AZG226" s="18"/>
      <c r="AZH226" s="18"/>
      <c r="AZI226" s="18"/>
      <c r="AZJ226" s="18"/>
      <c r="AZK226" s="18"/>
      <c r="AZL226" s="18"/>
      <c r="AZM226" s="18"/>
      <c r="AZN226" s="18"/>
      <c r="AZO226" s="18"/>
      <c r="AZP226" s="18"/>
      <c r="AZQ226" s="18"/>
      <c r="AZR226" s="18"/>
      <c r="AZS226" s="18"/>
      <c r="AZT226" s="18"/>
      <c r="AZU226" s="18"/>
      <c r="AZV226" s="18"/>
      <c r="AZW226" s="18"/>
      <c r="AZX226" s="18"/>
      <c r="AZY226" s="18"/>
      <c r="AZZ226" s="18"/>
      <c r="BAA226" s="18"/>
      <c r="BAB226" s="18"/>
      <c r="BAC226" s="18"/>
      <c r="BAD226" s="18"/>
      <c r="BAE226" s="18"/>
      <c r="BAF226" s="18"/>
      <c r="BAG226" s="18"/>
      <c r="BAH226" s="18"/>
      <c r="BAI226" s="18"/>
      <c r="BAJ226" s="18"/>
      <c r="BAK226" s="18"/>
      <c r="BAL226" s="18"/>
      <c r="BAM226" s="18"/>
      <c r="BAN226" s="18"/>
      <c r="BAO226" s="18"/>
      <c r="BAP226" s="18"/>
      <c r="BAQ226" s="18"/>
      <c r="BAR226" s="18"/>
      <c r="BAS226" s="18"/>
      <c r="BAT226" s="18"/>
      <c r="BAU226" s="18"/>
      <c r="BAV226" s="18"/>
      <c r="BAW226" s="18"/>
      <c r="BAX226" s="18"/>
      <c r="BAY226" s="18"/>
      <c r="BAZ226" s="18"/>
      <c r="BBA226" s="18"/>
      <c r="BBB226" s="18"/>
      <c r="BBC226" s="18"/>
      <c r="BBD226" s="18"/>
      <c r="BBE226" s="18"/>
      <c r="BBF226" s="18"/>
      <c r="BBG226" s="18"/>
      <c r="BBH226" s="18"/>
      <c r="BBI226" s="18"/>
      <c r="BBJ226" s="18"/>
      <c r="BBK226" s="18"/>
      <c r="BBL226" s="18"/>
      <c r="BBM226" s="18"/>
      <c r="BBN226" s="18"/>
      <c r="BBO226" s="18"/>
      <c r="BBP226" s="18"/>
      <c r="BBQ226" s="18"/>
      <c r="BBR226" s="18"/>
      <c r="BBS226" s="18"/>
      <c r="BBT226" s="18"/>
      <c r="BBU226" s="18"/>
      <c r="BBV226" s="18"/>
      <c r="BBW226" s="18"/>
      <c r="BBX226" s="18"/>
      <c r="BBY226" s="18"/>
      <c r="BBZ226" s="18"/>
      <c r="BCA226" s="18"/>
      <c r="BCB226" s="18"/>
      <c r="BCC226" s="18"/>
      <c r="BCD226" s="18"/>
      <c r="BCE226" s="18"/>
      <c r="BCF226" s="18"/>
      <c r="BCG226" s="18"/>
      <c r="BCH226" s="18"/>
      <c r="BCI226" s="18"/>
      <c r="BCJ226" s="18"/>
      <c r="BCK226" s="18"/>
      <c r="BCL226" s="18"/>
      <c r="BCM226" s="18"/>
      <c r="BCN226" s="18"/>
      <c r="BCO226" s="18"/>
      <c r="BCP226" s="18"/>
      <c r="BCQ226" s="18"/>
      <c r="BCR226" s="18"/>
      <c r="BCS226" s="18"/>
      <c r="BCT226" s="18"/>
      <c r="BCU226" s="18"/>
      <c r="BCV226" s="18"/>
      <c r="BCW226" s="18"/>
      <c r="BCX226" s="18"/>
      <c r="BCY226" s="18"/>
      <c r="BCZ226" s="18"/>
      <c r="BDA226" s="18"/>
      <c r="BDB226" s="18"/>
      <c r="BDC226" s="18"/>
      <c r="BDD226" s="18"/>
      <c r="BDE226" s="18"/>
      <c r="BDF226" s="18"/>
      <c r="BDG226" s="18"/>
      <c r="BDH226" s="18"/>
      <c r="BDI226" s="18"/>
      <c r="BDJ226" s="18"/>
      <c r="BDK226" s="18"/>
      <c r="BDL226" s="18"/>
      <c r="BDM226" s="18"/>
      <c r="BDN226" s="18"/>
      <c r="BDO226" s="18"/>
      <c r="BDP226" s="18"/>
      <c r="BDQ226" s="18"/>
      <c r="BDR226" s="18"/>
      <c r="BDS226" s="18"/>
      <c r="BDT226" s="18"/>
      <c r="BDU226" s="18"/>
      <c r="BDV226" s="18"/>
      <c r="BDW226" s="18"/>
      <c r="BDX226" s="18"/>
      <c r="BDY226" s="18"/>
      <c r="BDZ226" s="18"/>
      <c r="BEA226" s="18"/>
      <c r="BEB226" s="18"/>
      <c r="BEC226" s="18"/>
      <c r="BED226" s="18"/>
      <c r="BEE226" s="18"/>
      <c r="BEF226" s="18"/>
      <c r="BEG226" s="18"/>
      <c r="BEH226" s="18"/>
      <c r="BEI226" s="18"/>
      <c r="BEJ226" s="18"/>
      <c r="BEK226" s="18"/>
      <c r="BEL226" s="18"/>
      <c r="BEM226" s="18"/>
      <c r="BEN226" s="18"/>
      <c r="BEO226" s="18"/>
      <c r="BEP226" s="18"/>
      <c r="BEQ226" s="18"/>
      <c r="BER226" s="18"/>
      <c r="BES226" s="18"/>
      <c r="BET226" s="18"/>
      <c r="BEU226" s="18"/>
      <c r="BEV226" s="18"/>
      <c r="BEW226" s="18"/>
      <c r="BEX226" s="18"/>
      <c r="BEY226" s="18"/>
      <c r="BEZ226" s="18"/>
      <c r="BFA226" s="18"/>
      <c r="BFB226" s="18"/>
      <c r="BFC226" s="18"/>
      <c r="BFD226" s="18"/>
      <c r="BFE226" s="18"/>
      <c r="BFF226" s="18"/>
      <c r="BFG226" s="18"/>
      <c r="BFH226" s="18"/>
      <c r="BFI226" s="18"/>
      <c r="BFJ226" s="18"/>
      <c r="BFK226" s="18"/>
      <c r="BFL226" s="18"/>
      <c r="BFM226" s="18"/>
      <c r="BFN226" s="18"/>
      <c r="BFO226" s="18"/>
      <c r="BFP226" s="18"/>
      <c r="BFQ226" s="18"/>
      <c r="BFR226" s="18"/>
      <c r="BFS226" s="18"/>
      <c r="BFT226" s="18"/>
      <c r="BFU226" s="18"/>
      <c r="BFV226" s="18"/>
      <c r="BFW226" s="18"/>
      <c r="BFX226" s="18"/>
      <c r="BFY226" s="18"/>
      <c r="BFZ226" s="18"/>
      <c r="BGA226" s="18"/>
      <c r="BGB226" s="18"/>
      <c r="BGC226" s="18"/>
      <c r="BGD226" s="18"/>
      <c r="BGE226" s="18"/>
      <c r="BGF226" s="18"/>
      <c r="BGG226" s="18"/>
      <c r="BGH226" s="18"/>
      <c r="BGI226" s="18"/>
      <c r="BGJ226" s="18"/>
      <c r="BGK226" s="18"/>
      <c r="BGL226" s="18"/>
      <c r="BGM226" s="18"/>
      <c r="BGN226" s="18"/>
      <c r="BGO226" s="18"/>
      <c r="BGP226" s="18"/>
      <c r="BGQ226" s="18"/>
      <c r="BGR226" s="18"/>
      <c r="BGS226" s="18"/>
      <c r="BGT226" s="18"/>
      <c r="BGU226" s="18"/>
      <c r="BGV226" s="18"/>
      <c r="BGW226" s="18"/>
      <c r="BGX226" s="18"/>
      <c r="BGY226" s="18"/>
      <c r="BGZ226" s="18"/>
      <c r="BHA226" s="18"/>
      <c r="BHB226" s="18"/>
      <c r="BHC226" s="18"/>
      <c r="BHD226" s="18"/>
      <c r="BHE226" s="18"/>
      <c r="BHF226" s="18"/>
      <c r="BHG226" s="18"/>
      <c r="BHH226" s="18"/>
      <c r="BHI226" s="18"/>
      <c r="BHJ226" s="18"/>
      <c r="BHK226" s="18"/>
      <c r="BHL226" s="18"/>
      <c r="BHM226" s="18"/>
      <c r="BHN226" s="18"/>
      <c r="BHO226" s="18"/>
      <c r="BHP226" s="18"/>
      <c r="BHQ226" s="18"/>
      <c r="BHR226" s="18"/>
      <c r="BHS226" s="18"/>
      <c r="BHT226" s="18"/>
      <c r="BHU226" s="18"/>
      <c r="BHV226" s="18"/>
      <c r="BHW226" s="18"/>
      <c r="BHX226" s="18"/>
      <c r="BHY226" s="18"/>
      <c r="BHZ226" s="18"/>
      <c r="BIA226" s="18"/>
      <c r="BIB226" s="18"/>
      <c r="BIC226" s="18"/>
      <c r="BID226" s="18"/>
      <c r="BIE226" s="18"/>
      <c r="BIF226" s="18"/>
      <c r="BIG226" s="18"/>
      <c r="BIH226" s="18"/>
      <c r="BII226" s="18"/>
      <c r="BIJ226" s="18"/>
      <c r="BIK226" s="18"/>
      <c r="BIL226" s="18"/>
      <c r="BIM226" s="18"/>
      <c r="BIN226" s="18"/>
      <c r="BIO226" s="18"/>
      <c r="BIP226" s="18"/>
      <c r="BIQ226" s="18"/>
      <c r="BIR226" s="18"/>
      <c r="BIS226" s="18"/>
      <c r="BIT226" s="18"/>
      <c r="BIU226" s="18"/>
      <c r="BIV226" s="18"/>
      <c r="BIW226" s="18"/>
      <c r="BIX226" s="18"/>
      <c r="BIY226" s="18"/>
      <c r="BIZ226" s="18"/>
      <c r="BJA226" s="18"/>
      <c r="BJB226" s="18"/>
      <c r="BJC226" s="18"/>
      <c r="BJD226" s="18"/>
      <c r="BJE226" s="18"/>
      <c r="BJF226" s="18"/>
      <c r="BJG226" s="18"/>
      <c r="BJH226" s="18"/>
      <c r="BJI226" s="18"/>
      <c r="BJJ226" s="18"/>
      <c r="BJK226" s="18"/>
      <c r="BJL226" s="18"/>
      <c r="BJM226" s="18"/>
      <c r="BJN226" s="18"/>
      <c r="BJO226" s="18"/>
      <c r="BJP226" s="18"/>
      <c r="BJQ226" s="18"/>
      <c r="BJR226" s="18"/>
      <c r="BJS226" s="18"/>
      <c r="BJT226" s="18"/>
      <c r="BJU226" s="18"/>
      <c r="BJV226" s="18"/>
      <c r="BJW226" s="18"/>
      <c r="BJX226" s="18"/>
      <c r="BJY226" s="18"/>
      <c r="BJZ226" s="18"/>
      <c r="BKA226" s="18"/>
      <c r="BKB226" s="18"/>
      <c r="BKC226" s="18"/>
      <c r="BKD226" s="18"/>
      <c r="BKE226" s="18"/>
      <c r="BKF226" s="18"/>
      <c r="BKG226" s="18"/>
      <c r="BKH226" s="18"/>
      <c r="BKI226" s="18"/>
      <c r="BKJ226" s="18"/>
      <c r="BKK226" s="18"/>
      <c r="BKL226" s="18"/>
      <c r="BKM226" s="18"/>
      <c r="BKN226" s="18"/>
      <c r="BKO226" s="18"/>
      <c r="BKP226" s="18"/>
      <c r="BKQ226" s="18"/>
      <c r="BKR226" s="18"/>
      <c r="BKS226" s="18"/>
      <c r="BKT226" s="18"/>
      <c r="BKU226" s="18"/>
      <c r="BKV226" s="18"/>
      <c r="BKW226" s="18"/>
      <c r="BKX226" s="18"/>
      <c r="BKY226" s="18"/>
      <c r="BKZ226" s="18"/>
      <c r="BLA226" s="18"/>
      <c r="BLB226" s="18"/>
      <c r="BLC226" s="18"/>
      <c r="BLD226" s="18"/>
      <c r="BLE226" s="18"/>
      <c r="BLF226" s="18"/>
      <c r="BLG226" s="18"/>
      <c r="BLH226" s="18"/>
      <c r="BLI226" s="18"/>
      <c r="BLJ226" s="18"/>
      <c r="BLK226" s="18"/>
      <c r="BLL226" s="18"/>
      <c r="BLM226" s="18"/>
      <c r="BLN226" s="18"/>
      <c r="BLO226" s="18"/>
      <c r="BLP226" s="18"/>
      <c r="BLQ226" s="18"/>
      <c r="BLR226" s="18"/>
      <c r="BLS226" s="18"/>
      <c r="BLT226" s="18"/>
      <c r="BLU226" s="18"/>
      <c r="BLV226" s="18"/>
      <c r="BLW226" s="18"/>
      <c r="BLX226" s="18"/>
      <c r="BLY226" s="18"/>
      <c r="BLZ226" s="18"/>
      <c r="BMA226" s="18"/>
      <c r="BMB226" s="18"/>
      <c r="BMC226" s="18"/>
      <c r="BMD226" s="18"/>
      <c r="BME226" s="18"/>
      <c r="BMF226" s="18"/>
      <c r="BMG226" s="18"/>
      <c r="BMH226" s="18"/>
      <c r="BMI226" s="18"/>
      <c r="BMJ226" s="18"/>
      <c r="BMK226" s="18"/>
      <c r="BML226" s="18"/>
      <c r="BMM226" s="18"/>
      <c r="BMN226" s="18"/>
      <c r="BMO226" s="18"/>
      <c r="BMP226" s="18"/>
      <c r="BMQ226" s="18"/>
      <c r="BMR226" s="18"/>
      <c r="BMS226" s="18"/>
      <c r="BMT226" s="18"/>
      <c r="BMU226" s="18"/>
      <c r="BMV226" s="18"/>
      <c r="BMW226" s="18"/>
      <c r="BMX226" s="18"/>
      <c r="BMY226" s="18"/>
      <c r="BMZ226" s="18"/>
      <c r="BNA226" s="18"/>
      <c r="BNB226" s="18"/>
      <c r="BNC226" s="18"/>
      <c r="BND226" s="18"/>
      <c r="BNE226" s="18"/>
      <c r="BNF226" s="18"/>
      <c r="BNG226" s="18"/>
      <c r="BNH226" s="18"/>
      <c r="BNI226" s="18"/>
      <c r="BNJ226" s="18"/>
      <c r="BNK226" s="18"/>
      <c r="BNL226" s="18"/>
      <c r="BNM226" s="18"/>
      <c r="BNN226" s="18"/>
      <c r="BNO226" s="18"/>
      <c r="BNP226" s="18"/>
      <c r="BNQ226" s="18"/>
      <c r="BNR226" s="18"/>
      <c r="BNS226" s="18"/>
      <c r="BNT226" s="18"/>
      <c r="BNU226" s="18"/>
      <c r="BNV226" s="18"/>
      <c r="BNW226" s="18"/>
      <c r="BNX226" s="18"/>
      <c r="BNY226" s="18"/>
      <c r="BNZ226" s="18"/>
      <c r="BOA226" s="18"/>
      <c r="BOB226" s="18"/>
      <c r="BOC226" s="18"/>
      <c r="BOD226" s="18"/>
      <c r="BOE226" s="18"/>
      <c r="BOF226" s="18"/>
      <c r="BOG226" s="18"/>
      <c r="BOH226" s="18"/>
      <c r="BOI226" s="18"/>
      <c r="BOJ226" s="18"/>
      <c r="BOK226" s="18"/>
      <c r="BOL226" s="18"/>
      <c r="BOM226" s="18"/>
      <c r="BON226" s="18"/>
      <c r="BOO226" s="18"/>
      <c r="BOP226" s="18"/>
      <c r="BOQ226" s="18"/>
      <c r="BOR226" s="18"/>
      <c r="BOS226" s="18"/>
      <c r="BOT226" s="18"/>
      <c r="BOU226" s="18"/>
      <c r="BOV226" s="18"/>
      <c r="BOW226" s="18"/>
      <c r="BOX226" s="18"/>
      <c r="BOY226" s="18"/>
      <c r="BOZ226" s="18"/>
      <c r="BPA226" s="18"/>
      <c r="BPB226" s="18"/>
      <c r="BPC226" s="18"/>
      <c r="BPD226" s="18"/>
      <c r="BPE226" s="18"/>
      <c r="BPF226" s="18"/>
      <c r="BPG226" s="18"/>
      <c r="BPH226" s="18"/>
      <c r="BPI226" s="18"/>
      <c r="BPJ226" s="18"/>
      <c r="BPK226" s="18"/>
      <c r="BPL226" s="18"/>
      <c r="BPM226" s="18"/>
      <c r="BPN226" s="18"/>
      <c r="BPO226" s="18"/>
      <c r="BPP226" s="18"/>
      <c r="BPQ226" s="18"/>
      <c r="BPR226" s="18"/>
      <c r="BPS226" s="18"/>
      <c r="BPT226" s="18"/>
      <c r="BPU226" s="18"/>
      <c r="BPV226" s="18"/>
      <c r="BPW226" s="18"/>
      <c r="BPX226" s="18"/>
      <c r="BPY226" s="18"/>
      <c r="BPZ226" s="18"/>
      <c r="BQA226" s="18"/>
      <c r="BQB226" s="18"/>
      <c r="BQC226" s="18"/>
      <c r="BQD226" s="18"/>
      <c r="BQE226" s="18"/>
      <c r="BQF226" s="18"/>
      <c r="BQG226" s="18"/>
      <c r="BQH226" s="18"/>
      <c r="BQI226" s="18"/>
      <c r="BQJ226" s="18"/>
      <c r="BQK226" s="18"/>
      <c r="BQL226" s="18"/>
      <c r="BQM226" s="18"/>
      <c r="BQN226" s="18"/>
      <c r="BQO226" s="18"/>
      <c r="BQP226" s="18"/>
      <c r="BQQ226" s="18"/>
      <c r="BQR226" s="18"/>
      <c r="BQS226" s="18"/>
      <c r="BQT226" s="18"/>
      <c r="BQU226" s="18"/>
      <c r="BQV226" s="18"/>
      <c r="BQW226" s="18"/>
      <c r="BQX226" s="18"/>
      <c r="BQY226" s="18"/>
      <c r="BQZ226" s="18"/>
      <c r="BRA226" s="18"/>
      <c r="BRB226" s="18"/>
      <c r="BRC226" s="18"/>
      <c r="BRD226" s="18"/>
      <c r="BRE226" s="18"/>
      <c r="BRF226" s="18"/>
      <c r="BRG226" s="18"/>
      <c r="BRH226" s="18"/>
      <c r="BRI226" s="18"/>
      <c r="BRJ226" s="18"/>
      <c r="BRK226" s="18"/>
      <c r="BRL226" s="18"/>
      <c r="BRM226" s="18"/>
      <c r="BRN226" s="18"/>
      <c r="BRO226" s="18"/>
      <c r="BRP226" s="18"/>
      <c r="BRQ226" s="18"/>
      <c r="BRR226" s="18"/>
      <c r="BRS226" s="18"/>
      <c r="BRT226" s="18"/>
      <c r="BRU226" s="18"/>
      <c r="BRV226" s="18"/>
      <c r="BRW226" s="18"/>
      <c r="BRX226" s="18"/>
      <c r="BRY226" s="18"/>
      <c r="BRZ226" s="18"/>
      <c r="BSA226" s="18"/>
      <c r="BSB226" s="18"/>
      <c r="BSC226" s="18"/>
      <c r="BSD226" s="18"/>
      <c r="BSE226" s="18"/>
      <c r="BSF226" s="18"/>
      <c r="BSG226" s="18"/>
      <c r="BSH226" s="18"/>
      <c r="BSI226" s="18"/>
      <c r="BSJ226" s="18"/>
      <c r="BSK226" s="18"/>
      <c r="BSL226" s="18"/>
      <c r="BSM226" s="18"/>
      <c r="BSN226" s="18"/>
      <c r="BSO226" s="18"/>
      <c r="BSP226" s="18"/>
      <c r="BSQ226" s="18"/>
      <c r="BSR226" s="18"/>
      <c r="BSS226" s="18"/>
      <c r="BST226" s="18"/>
      <c r="BSU226" s="18"/>
      <c r="BSV226" s="18"/>
      <c r="BSW226" s="18"/>
      <c r="BSX226" s="18"/>
      <c r="BSY226" s="18"/>
      <c r="BSZ226" s="18"/>
      <c r="BTA226" s="18"/>
      <c r="BTB226" s="18"/>
      <c r="BTC226" s="18"/>
      <c r="BTD226" s="18"/>
      <c r="BTE226" s="18"/>
      <c r="BTF226" s="18"/>
      <c r="BTG226" s="18"/>
      <c r="BTH226" s="18"/>
      <c r="BTI226" s="18"/>
    </row>
    <row r="227" spans="1:1881" s="426" customFormat="1" ht="53.25" customHeight="1" x14ac:dyDescent="0.3">
      <c r="A227" s="100">
        <v>599</v>
      </c>
      <c r="B227" s="373" t="s">
        <v>58</v>
      </c>
      <c r="C227" s="373" t="s">
        <v>285</v>
      </c>
      <c r="D227" s="26" t="s">
        <v>339</v>
      </c>
      <c r="E227" s="371" t="e">
        <f>INDEX('PY1 Data(H)'!$A$1:$BV$265,MATCH('Unit Data from Audit Worksheet'!$A227,'PY1 Data(H)'!$A$1:$A$258,0),MATCH('Unit Data from Audit Worksheet'!$D$2,'PY1 Data(H)'!$A$1:$BV$1,0))</f>
        <v>#N/A</v>
      </c>
      <c r="F227" s="793">
        <v>0</v>
      </c>
      <c r="G227" s="430" t="str">
        <f>IF(ISBLANK(F227),"Please do not leave blank","")</f>
        <v/>
      </c>
      <c r="H227" s="401">
        <f>IF(F227&lt;0,"Error: Enter as positive.",)</f>
        <v>0</v>
      </c>
      <c r="I227" s="17"/>
      <c r="J227" s="72"/>
      <c r="K227"/>
      <c r="L227" s="547"/>
      <c r="M227"/>
      <c r="N227" s="18"/>
      <c r="O227" s="186"/>
      <c r="P227" s="18"/>
      <c r="Q227" s="18"/>
      <c r="R227" s="18"/>
      <c r="S227" s="18"/>
      <c r="T227" s="18"/>
      <c r="U227" s="18"/>
      <c r="V227" s="18"/>
      <c r="W227" s="18"/>
      <c r="X227" s="18"/>
      <c r="Y227" s="18"/>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c r="GQ227" s="18"/>
      <c r="GR227" s="18"/>
      <c r="GS227" s="18"/>
      <c r="GT227" s="18"/>
      <c r="GU227" s="18"/>
      <c r="GV227" s="18"/>
      <c r="GW227" s="18"/>
      <c r="GX227" s="18"/>
      <c r="GY227" s="18"/>
      <c r="GZ227" s="18"/>
      <c r="HA227" s="18"/>
      <c r="HB227" s="18"/>
      <c r="HC227" s="18"/>
      <c r="HD227" s="18"/>
      <c r="HE227" s="18"/>
      <c r="HF227" s="18"/>
      <c r="HG227" s="18"/>
      <c r="HH227" s="18"/>
      <c r="HI227" s="18"/>
      <c r="HJ227" s="18"/>
      <c r="HK227" s="18"/>
      <c r="HL227" s="18"/>
      <c r="HM227" s="18"/>
      <c r="HN227" s="18"/>
      <c r="HO227" s="18"/>
      <c r="HP227" s="18"/>
      <c r="HQ227" s="18"/>
      <c r="HR227" s="18"/>
      <c r="HS227" s="18"/>
      <c r="HT227" s="18"/>
      <c r="HU227" s="18"/>
      <c r="HV227" s="18"/>
      <c r="HW227" s="18"/>
      <c r="HX227" s="18"/>
      <c r="HY227" s="18"/>
      <c r="HZ227" s="18"/>
      <c r="IA227" s="18"/>
      <c r="IB227" s="18"/>
      <c r="IC227" s="18"/>
      <c r="ID227" s="18"/>
      <c r="IE227" s="18"/>
      <c r="IF227" s="18"/>
      <c r="IG227" s="18"/>
      <c r="IH227" s="18"/>
      <c r="II227" s="18"/>
      <c r="IJ227" s="18"/>
      <c r="IK227" s="18"/>
      <c r="IL227" s="18"/>
      <c r="IM227" s="18"/>
      <c r="IN227" s="18"/>
      <c r="IO227" s="18"/>
      <c r="IP227" s="18"/>
      <c r="IQ227" s="18"/>
      <c r="IR227" s="18"/>
      <c r="IS227" s="18"/>
      <c r="IT227" s="18"/>
      <c r="IU227" s="18"/>
      <c r="IV227" s="18"/>
      <c r="IW227" s="18"/>
      <c r="IX227" s="18"/>
      <c r="IY227" s="18"/>
      <c r="IZ227" s="18"/>
      <c r="JA227" s="18"/>
      <c r="JB227" s="18"/>
      <c r="JC227" s="18"/>
      <c r="JD227" s="18"/>
      <c r="JE227" s="18"/>
      <c r="JF227" s="18"/>
      <c r="JG227" s="18"/>
      <c r="JH227" s="18"/>
      <c r="JI227" s="18"/>
      <c r="JJ227" s="18"/>
      <c r="JK227" s="18"/>
      <c r="JL227" s="18"/>
      <c r="JM227" s="18"/>
      <c r="JN227" s="18"/>
      <c r="JO227" s="18"/>
      <c r="JP227" s="18"/>
      <c r="JQ227" s="18"/>
      <c r="JR227" s="18"/>
      <c r="JS227" s="18"/>
      <c r="JT227" s="18"/>
      <c r="JU227" s="18"/>
      <c r="JV227" s="18"/>
      <c r="JW227" s="18"/>
      <c r="JX227" s="18"/>
      <c r="JY227" s="18"/>
      <c r="JZ227" s="18"/>
      <c r="KA227" s="18"/>
      <c r="KB227" s="18"/>
      <c r="KC227" s="18"/>
      <c r="KD227" s="18"/>
      <c r="KE227" s="18"/>
      <c r="KF227" s="18"/>
      <c r="KG227" s="18"/>
      <c r="KH227" s="18"/>
      <c r="KI227" s="18"/>
      <c r="KJ227" s="18"/>
      <c r="KK227" s="18"/>
      <c r="KL227" s="18"/>
      <c r="KM227" s="18"/>
      <c r="KN227" s="18"/>
      <c r="KO227" s="18"/>
      <c r="KP227" s="18"/>
      <c r="KQ227" s="18"/>
      <c r="KR227" s="18"/>
      <c r="KS227" s="18"/>
      <c r="KT227" s="18"/>
      <c r="KU227" s="18"/>
      <c r="KV227" s="18"/>
      <c r="KW227" s="18"/>
      <c r="KX227" s="18"/>
      <c r="KY227" s="18"/>
      <c r="KZ227" s="18"/>
      <c r="LA227" s="18"/>
      <c r="LB227" s="18"/>
      <c r="LC227" s="18"/>
      <c r="LD227" s="18"/>
      <c r="LE227" s="18"/>
      <c r="LF227" s="18"/>
      <c r="LG227" s="18"/>
      <c r="LH227" s="18"/>
      <c r="LI227" s="18"/>
      <c r="LJ227" s="18"/>
      <c r="LK227" s="18"/>
      <c r="LL227" s="18"/>
      <c r="LM227" s="18"/>
      <c r="LN227" s="18"/>
      <c r="LO227" s="18"/>
      <c r="LP227" s="18"/>
      <c r="LQ227" s="18"/>
      <c r="LR227" s="18"/>
      <c r="LS227" s="18"/>
      <c r="LT227" s="18"/>
      <c r="LU227" s="18"/>
      <c r="LV227" s="18"/>
      <c r="LW227" s="18"/>
      <c r="LX227" s="18"/>
      <c r="LY227" s="18"/>
      <c r="LZ227" s="18"/>
      <c r="MA227" s="18"/>
      <c r="MB227" s="18"/>
      <c r="MC227" s="18"/>
      <c r="MD227" s="18"/>
      <c r="ME227" s="18"/>
      <c r="MF227" s="18"/>
      <c r="MG227" s="18"/>
      <c r="MH227" s="18"/>
      <c r="MI227" s="18"/>
      <c r="MJ227" s="18"/>
      <c r="MK227" s="18"/>
      <c r="ML227" s="18"/>
      <c r="MM227" s="18"/>
      <c r="MN227" s="18"/>
      <c r="MO227" s="18"/>
      <c r="MP227" s="18"/>
      <c r="MQ227" s="18"/>
      <c r="MR227" s="18"/>
      <c r="MS227" s="18"/>
      <c r="MT227" s="18"/>
      <c r="MU227" s="18"/>
      <c r="MV227" s="18"/>
      <c r="MW227" s="18"/>
      <c r="MX227" s="18"/>
      <c r="MY227" s="18"/>
      <c r="MZ227" s="18"/>
      <c r="NA227" s="18"/>
      <c r="NB227" s="18"/>
      <c r="NC227" s="18"/>
      <c r="ND227" s="18"/>
      <c r="NE227" s="18"/>
      <c r="NF227" s="18"/>
      <c r="NG227" s="18"/>
      <c r="NH227" s="18"/>
      <c r="NI227" s="18"/>
      <c r="NJ227" s="18"/>
      <c r="NK227" s="18"/>
      <c r="NL227" s="18"/>
      <c r="NM227" s="18"/>
      <c r="NN227" s="18"/>
      <c r="NO227" s="18"/>
      <c r="NP227" s="18"/>
      <c r="NQ227" s="18"/>
      <c r="NR227" s="18"/>
      <c r="NS227" s="18"/>
      <c r="NT227" s="18"/>
      <c r="NU227" s="18"/>
      <c r="NV227" s="18"/>
      <c r="NW227" s="18"/>
      <c r="NX227" s="18"/>
      <c r="NY227" s="18"/>
      <c r="NZ227" s="18"/>
      <c r="OA227" s="18"/>
      <c r="OB227" s="18"/>
      <c r="OC227" s="18"/>
      <c r="OD227" s="18"/>
      <c r="OE227" s="18"/>
      <c r="OF227" s="18"/>
      <c r="OG227" s="18"/>
      <c r="OH227" s="18"/>
      <c r="OI227" s="18"/>
      <c r="OJ227" s="18"/>
      <c r="OK227" s="18"/>
      <c r="OL227" s="18"/>
      <c r="OM227" s="18"/>
      <c r="ON227" s="18"/>
      <c r="OO227" s="18"/>
      <c r="OP227" s="18"/>
      <c r="OQ227" s="18"/>
      <c r="OR227" s="18"/>
      <c r="OS227" s="18"/>
      <c r="OT227" s="18"/>
      <c r="OU227" s="18"/>
      <c r="OV227" s="18"/>
      <c r="OW227" s="18"/>
      <c r="OX227" s="18"/>
      <c r="OY227" s="18"/>
      <c r="OZ227" s="18"/>
      <c r="PA227" s="18"/>
      <c r="PB227" s="18"/>
      <c r="PC227" s="18"/>
      <c r="PD227" s="18"/>
      <c r="PE227" s="18"/>
      <c r="PF227" s="18"/>
      <c r="PG227" s="18"/>
      <c r="PH227" s="18"/>
      <c r="PI227" s="18"/>
      <c r="PJ227" s="18"/>
      <c r="PK227" s="18"/>
      <c r="PL227" s="18"/>
      <c r="PM227" s="18"/>
      <c r="PN227" s="18"/>
      <c r="PO227" s="18"/>
      <c r="PP227" s="18"/>
      <c r="PQ227" s="18"/>
      <c r="PR227" s="18"/>
      <c r="PS227" s="18"/>
      <c r="PT227" s="18"/>
      <c r="PU227" s="18"/>
      <c r="PV227" s="18"/>
      <c r="PW227" s="18"/>
      <c r="PX227" s="18"/>
      <c r="PY227" s="18"/>
      <c r="PZ227" s="18"/>
      <c r="QA227" s="18"/>
      <c r="QB227" s="18"/>
      <c r="QC227" s="18"/>
      <c r="QD227" s="18"/>
      <c r="QE227" s="18"/>
      <c r="QF227" s="18"/>
      <c r="QG227" s="18"/>
      <c r="QH227" s="18"/>
      <c r="QI227" s="18"/>
      <c r="QJ227" s="18"/>
      <c r="QK227" s="18"/>
      <c r="QL227" s="18"/>
      <c r="QM227" s="18"/>
      <c r="QN227" s="18"/>
      <c r="QO227" s="18"/>
      <c r="QP227" s="18"/>
      <c r="QQ227" s="18"/>
      <c r="QR227" s="18"/>
      <c r="QS227" s="18"/>
      <c r="QT227" s="18"/>
      <c r="QU227" s="18"/>
      <c r="QV227" s="18"/>
      <c r="QW227" s="18"/>
      <c r="QX227" s="18"/>
      <c r="QY227" s="18"/>
      <c r="QZ227" s="18"/>
      <c r="RA227" s="18"/>
      <c r="RB227" s="18"/>
      <c r="RC227" s="18"/>
      <c r="RD227" s="18"/>
      <c r="RE227" s="18"/>
      <c r="RF227" s="18"/>
      <c r="RG227" s="18"/>
      <c r="RH227" s="18"/>
      <c r="RI227" s="18"/>
      <c r="RJ227" s="18"/>
      <c r="RK227" s="18"/>
      <c r="RL227" s="18"/>
      <c r="RM227" s="18"/>
      <c r="RN227" s="18"/>
      <c r="RO227" s="18"/>
      <c r="RP227" s="18"/>
      <c r="RQ227" s="18"/>
      <c r="RR227" s="18"/>
      <c r="RS227" s="18"/>
      <c r="RT227" s="18"/>
      <c r="RU227" s="18"/>
      <c r="RV227" s="18"/>
      <c r="RW227" s="18"/>
      <c r="RX227" s="18"/>
      <c r="RY227" s="18"/>
      <c r="RZ227" s="18"/>
      <c r="SA227" s="18"/>
      <c r="SB227" s="18"/>
      <c r="SC227" s="18"/>
      <c r="SD227" s="18"/>
      <c r="SE227" s="18"/>
      <c r="SF227" s="18"/>
      <c r="SG227" s="18"/>
      <c r="SH227" s="18"/>
      <c r="SI227" s="18"/>
      <c r="SJ227" s="18"/>
      <c r="SK227" s="18"/>
      <c r="SL227" s="18"/>
      <c r="SM227" s="18"/>
      <c r="SN227" s="18"/>
      <c r="SO227" s="18"/>
      <c r="SP227" s="18"/>
      <c r="SQ227" s="18"/>
      <c r="SR227" s="18"/>
      <c r="SS227" s="18"/>
      <c r="ST227" s="18"/>
      <c r="SU227" s="18"/>
      <c r="SV227" s="18"/>
      <c r="SW227" s="18"/>
      <c r="SX227" s="18"/>
      <c r="SY227" s="18"/>
      <c r="SZ227" s="18"/>
      <c r="TA227" s="18"/>
      <c r="TB227" s="18"/>
      <c r="TC227" s="18"/>
      <c r="TD227" s="18"/>
      <c r="TE227" s="18"/>
      <c r="TF227" s="18"/>
      <c r="TG227" s="18"/>
      <c r="TH227" s="18"/>
      <c r="TI227" s="18"/>
      <c r="TJ227" s="18"/>
      <c r="TK227" s="18"/>
      <c r="TL227" s="18"/>
      <c r="TM227" s="18"/>
      <c r="TN227" s="18"/>
      <c r="TO227" s="18"/>
      <c r="TP227" s="18"/>
      <c r="TQ227" s="18"/>
      <c r="TR227" s="18"/>
      <c r="TS227" s="18"/>
      <c r="TT227" s="18"/>
      <c r="TU227" s="18"/>
      <c r="TV227" s="18"/>
      <c r="TW227" s="18"/>
      <c r="TX227" s="18"/>
      <c r="TY227" s="18"/>
      <c r="TZ227" s="18"/>
      <c r="UA227" s="18"/>
      <c r="UB227" s="18"/>
      <c r="UC227" s="18"/>
      <c r="UD227" s="18"/>
      <c r="UE227" s="18"/>
      <c r="UF227" s="18"/>
      <c r="UG227" s="18"/>
      <c r="UH227" s="18"/>
      <c r="UI227" s="18"/>
      <c r="UJ227" s="18"/>
      <c r="UK227" s="18"/>
      <c r="UL227" s="18"/>
      <c r="UM227" s="18"/>
      <c r="UN227" s="18"/>
      <c r="UO227" s="18"/>
      <c r="UP227" s="18"/>
      <c r="UQ227" s="18"/>
      <c r="UR227" s="18"/>
      <c r="US227" s="18"/>
      <c r="UT227" s="18"/>
      <c r="UU227" s="18"/>
      <c r="UV227" s="18"/>
      <c r="UW227" s="18"/>
      <c r="UX227" s="18"/>
      <c r="UY227" s="18"/>
      <c r="UZ227" s="18"/>
      <c r="VA227" s="18"/>
      <c r="VB227" s="18"/>
      <c r="VC227" s="18"/>
      <c r="VD227" s="18"/>
      <c r="VE227" s="18"/>
      <c r="VF227" s="18"/>
      <c r="VG227" s="18"/>
      <c r="VH227" s="18"/>
      <c r="VI227" s="18"/>
      <c r="VJ227" s="18"/>
      <c r="VK227" s="18"/>
      <c r="VL227" s="18"/>
      <c r="VM227" s="18"/>
      <c r="VN227" s="18"/>
      <c r="VO227" s="18"/>
      <c r="VP227" s="18"/>
      <c r="VQ227" s="18"/>
      <c r="VR227" s="18"/>
      <c r="VS227" s="18"/>
      <c r="VT227" s="18"/>
      <c r="VU227" s="18"/>
      <c r="VV227" s="18"/>
      <c r="VW227" s="18"/>
      <c r="VX227" s="18"/>
      <c r="VY227" s="18"/>
      <c r="VZ227" s="18"/>
      <c r="WA227" s="18"/>
      <c r="WB227" s="18"/>
      <c r="WC227" s="18"/>
      <c r="WD227" s="18"/>
      <c r="WE227" s="18"/>
      <c r="WF227" s="18"/>
      <c r="WG227" s="18"/>
      <c r="WH227" s="18"/>
      <c r="WI227" s="18"/>
      <c r="WJ227" s="18"/>
      <c r="WK227" s="18"/>
      <c r="WL227" s="18"/>
      <c r="WM227" s="18"/>
      <c r="WN227" s="18"/>
      <c r="WO227" s="18"/>
      <c r="WP227" s="18"/>
      <c r="WQ227" s="18"/>
      <c r="WR227" s="18"/>
      <c r="WS227" s="18"/>
      <c r="WT227" s="18"/>
      <c r="WU227" s="18"/>
      <c r="WV227" s="18"/>
      <c r="WW227" s="18"/>
      <c r="WX227" s="18"/>
      <c r="WY227" s="18"/>
      <c r="WZ227" s="18"/>
      <c r="XA227" s="18"/>
      <c r="XB227" s="18"/>
      <c r="XC227" s="18"/>
      <c r="XD227" s="18"/>
      <c r="XE227" s="18"/>
      <c r="XF227" s="18"/>
      <c r="XG227" s="18"/>
      <c r="XH227" s="18"/>
      <c r="XI227" s="18"/>
      <c r="XJ227" s="18"/>
      <c r="XK227" s="18"/>
      <c r="XL227" s="18"/>
      <c r="XM227" s="18"/>
      <c r="XN227" s="18"/>
      <c r="XO227" s="18"/>
      <c r="XP227" s="18"/>
      <c r="XQ227" s="18"/>
      <c r="XR227" s="18"/>
      <c r="XS227" s="18"/>
      <c r="XT227" s="18"/>
      <c r="XU227" s="18"/>
      <c r="XV227" s="18"/>
      <c r="XW227" s="18"/>
      <c r="XX227" s="18"/>
      <c r="XY227" s="18"/>
      <c r="XZ227" s="18"/>
      <c r="YA227" s="18"/>
      <c r="YB227" s="18"/>
      <c r="YC227" s="18"/>
      <c r="YD227" s="18"/>
      <c r="YE227" s="18"/>
      <c r="YF227" s="18"/>
      <c r="YG227" s="18"/>
      <c r="YH227" s="18"/>
      <c r="YI227" s="18"/>
      <c r="YJ227" s="18"/>
      <c r="YK227" s="18"/>
      <c r="YL227" s="18"/>
      <c r="YM227" s="18"/>
      <c r="YN227" s="18"/>
      <c r="YO227" s="18"/>
      <c r="YP227" s="18"/>
      <c r="YQ227" s="18"/>
      <c r="YR227" s="18"/>
      <c r="YS227" s="18"/>
      <c r="YT227" s="18"/>
      <c r="YU227" s="18"/>
      <c r="YV227" s="18"/>
      <c r="YW227" s="18"/>
      <c r="YX227" s="18"/>
      <c r="YY227" s="18"/>
      <c r="YZ227" s="18"/>
      <c r="ZA227" s="18"/>
      <c r="ZB227" s="18"/>
      <c r="ZC227" s="18"/>
      <c r="ZD227" s="18"/>
      <c r="ZE227" s="18"/>
      <c r="ZF227" s="18"/>
      <c r="ZG227" s="18"/>
      <c r="ZH227" s="18"/>
      <c r="ZI227" s="18"/>
      <c r="ZJ227" s="18"/>
      <c r="ZK227" s="18"/>
      <c r="ZL227" s="18"/>
      <c r="ZM227" s="18"/>
      <c r="ZN227" s="18"/>
      <c r="ZO227" s="18"/>
      <c r="ZP227" s="18"/>
      <c r="ZQ227" s="18"/>
      <c r="ZR227" s="18"/>
      <c r="ZS227" s="18"/>
      <c r="ZT227" s="18"/>
      <c r="ZU227" s="18"/>
      <c r="ZV227" s="18"/>
      <c r="ZW227" s="18"/>
      <c r="ZX227" s="18"/>
      <c r="ZY227" s="18"/>
      <c r="ZZ227" s="18"/>
      <c r="AAA227" s="18"/>
      <c r="AAB227" s="18"/>
      <c r="AAC227" s="18"/>
      <c r="AAD227" s="18"/>
      <c r="AAE227" s="18"/>
      <c r="AAF227" s="18"/>
      <c r="AAG227" s="18"/>
      <c r="AAH227" s="18"/>
      <c r="AAI227" s="18"/>
      <c r="AAJ227" s="18"/>
      <c r="AAK227" s="18"/>
      <c r="AAL227" s="18"/>
      <c r="AAM227" s="18"/>
      <c r="AAN227" s="18"/>
      <c r="AAO227" s="18"/>
      <c r="AAP227" s="18"/>
      <c r="AAQ227" s="18"/>
      <c r="AAR227" s="18"/>
      <c r="AAS227" s="18"/>
      <c r="AAT227" s="18"/>
      <c r="AAU227" s="18"/>
      <c r="AAV227" s="18"/>
      <c r="AAW227" s="18"/>
      <c r="AAX227" s="18"/>
      <c r="AAY227" s="18"/>
      <c r="AAZ227" s="18"/>
      <c r="ABA227" s="18"/>
      <c r="ABB227" s="18"/>
      <c r="ABC227" s="18"/>
      <c r="ABD227" s="18"/>
      <c r="ABE227" s="18"/>
      <c r="ABF227" s="18"/>
      <c r="ABG227" s="18"/>
      <c r="ABH227" s="18"/>
      <c r="ABI227" s="18"/>
      <c r="ABJ227" s="18"/>
      <c r="ABK227" s="18"/>
      <c r="ABL227" s="18"/>
      <c r="ABM227" s="18"/>
      <c r="ABN227" s="18"/>
      <c r="ABO227" s="18"/>
      <c r="ABP227" s="18"/>
      <c r="ABQ227" s="18"/>
      <c r="ABR227" s="18"/>
      <c r="ABS227" s="18"/>
      <c r="ABT227" s="18"/>
      <c r="ABU227" s="18"/>
      <c r="ABV227" s="18"/>
      <c r="ABW227" s="18"/>
      <c r="ABX227" s="18"/>
      <c r="ABY227" s="18"/>
      <c r="ABZ227" s="18"/>
      <c r="ACA227" s="18"/>
      <c r="ACB227" s="18"/>
      <c r="ACC227" s="18"/>
      <c r="ACD227" s="18"/>
      <c r="ACE227" s="18"/>
      <c r="ACF227" s="18"/>
      <c r="ACG227" s="18"/>
      <c r="ACH227" s="18"/>
      <c r="ACI227" s="18"/>
      <c r="ACJ227" s="18"/>
      <c r="ACK227" s="18"/>
      <c r="ACL227" s="18"/>
      <c r="ACM227" s="18"/>
      <c r="ACN227" s="18"/>
      <c r="ACO227" s="18"/>
      <c r="ACP227" s="18"/>
      <c r="ACQ227" s="18"/>
      <c r="ACR227" s="18"/>
      <c r="ACS227" s="18"/>
      <c r="ACT227" s="18"/>
      <c r="ACU227" s="18"/>
      <c r="ACV227" s="18"/>
      <c r="ACW227" s="18"/>
      <c r="ACX227" s="18"/>
      <c r="ACY227" s="18"/>
      <c r="ACZ227" s="18"/>
      <c r="ADA227" s="18"/>
      <c r="ADB227" s="18"/>
      <c r="ADC227" s="18"/>
      <c r="ADD227" s="18"/>
      <c r="ADE227" s="18"/>
      <c r="ADF227" s="18"/>
      <c r="ADG227" s="18"/>
      <c r="ADH227" s="18"/>
      <c r="ADI227" s="18"/>
      <c r="ADJ227" s="18"/>
      <c r="ADK227" s="18"/>
      <c r="ADL227" s="18"/>
      <c r="ADM227" s="18"/>
      <c r="ADN227" s="18"/>
      <c r="ADO227" s="18"/>
      <c r="ADP227" s="18"/>
      <c r="ADQ227" s="18"/>
      <c r="ADR227" s="18"/>
      <c r="ADS227" s="18"/>
      <c r="ADT227" s="18"/>
      <c r="ADU227" s="18"/>
      <c r="ADV227" s="18"/>
      <c r="ADW227" s="18"/>
      <c r="ADX227" s="18"/>
      <c r="ADY227" s="18"/>
      <c r="ADZ227" s="18"/>
      <c r="AEA227" s="18"/>
      <c r="AEB227" s="18"/>
      <c r="AEC227" s="18"/>
      <c r="AED227" s="18"/>
      <c r="AEE227" s="18"/>
      <c r="AEF227" s="18"/>
      <c r="AEG227" s="18"/>
      <c r="AEH227" s="18"/>
      <c r="AEI227" s="18"/>
      <c r="AEJ227" s="18"/>
      <c r="AEK227" s="18"/>
      <c r="AEL227" s="18"/>
      <c r="AEM227" s="18"/>
      <c r="AEN227" s="18"/>
      <c r="AEO227" s="18"/>
      <c r="AEP227" s="18"/>
      <c r="AEQ227" s="18"/>
      <c r="AER227" s="18"/>
      <c r="AES227" s="18"/>
      <c r="AET227" s="18"/>
      <c r="AEU227" s="18"/>
      <c r="AEV227" s="18"/>
      <c r="AEW227" s="18"/>
      <c r="AEX227" s="18"/>
      <c r="AEY227" s="18"/>
      <c r="AEZ227" s="18"/>
      <c r="AFA227" s="18"/>
      <c r="AFB227" s="18"/>
      <c r="AFC227" s="18"/>
      <c r="AFD227" s="18"/>
      <c r="AFE227" s="18"/>
      <c r="AFF227" s="18"/>
      <c r="AFG227" s="18"/>
      <c r="AFH227" s="18"/>
      <c r="AFI227" s="18"/>
      <c r="AFJ227" s="18"/>
      <c r="AFK227" s="18"/>
      <c r="AFL227" s="18"/>
      <c r="AFM227" s="18"/>
      <c r="AFN227" s="18"/>
      <c r="AFO227" s="18"/>
      <c r="AFP227" s="18"/>
      <c r="AFQ227" s="18"/>
      <c r="AFR227" s="18"/>
      <c r="AFS227" s="18"/>
      <c r="AFT227" s="18"/>
      <c r="AFU227" s="18"/>
      <c r="AFV227" s="18"/>
      <c r="AFW227" s="18"/>
      <c r="AFX227" s="18"/>
      <c r="AFY227" s="18"/>
      <c r="AFZ227" s="18"/>
      <c r="AGA227" s="18"/>
      <c r="AGB227" s="18"/>
      <c r="AGC227" s="18"/>
      <c r="AGD227" s="18"/>
      <c r="AGE227" s="18"/>
      <c r="AGF227" s="18"/>
      <c r="AGG227" s="18"/>
      <c r="AGH227" s="18"/>
      <c r="AGI227" s="18"/>
      <c r="AGJ227" s="18"/>
      <c r="AGK227" s="18"/>
      <c r="AGL227" s="18"/>
      <c r="AGM227" s="18"/>
      <c r="AGN227" s="18"/>
      <c r="AGO227" s="18"/>
      <c r="AGP227" s="18"/>
      <c r="AGQ227" s="18"/>
      <c r="AGR227" s="18"/>
      <c r="AGS227" s="18"/>
      <c r="AGT227" s="18"/>
      <c r="AGU227" s="18"/>
      <c r="AGV227" s="18"/>
      <c r="AGW227" s="18"/>
      <c r="AGX227" s="18"/>
      <c r="AGY227" s="18"/>
      <c r="AGZ227" s="18"/>
      <c r="AHA227" s="18"/>
      <c r="AHB227" s="18"/>
      <c r="AHC227" s="18"/>
      <c r="AHD227" s="18"/>
      <c r="AHE227" s="18"/>
      <c r="AHF227" s="18"/>
      <c r="AHG227" s="18"/>
      <c r="AHH227" s="18"/>
      <c r="AHI227" s="18"/>
      <c r="AHJ227" s="18"/>
      <c r="AHK227" s="18"/>
      <c r="AHL227" s="18"/>
      <c r="AHM227" s="18"/>
      <c r="AHN227" s="18"/>
      <c r="AHO227" s="18"/>
      <c r="AHP227" s="18"/>
      <c r="AHQ227" s="18"/>
      <c r="AHR227" s="18"/>
      <c r="AHS227" s="18"/>
      <c r="AHT227" s="18"/>
      <c r="AHU227" s="18"/>
      <c r="AHV227" s="18"/>
      <c r="AHW227" s="18"/>
      <c r="AHX227" s="18"/>
      <c r="AHY227" s="18"/>
      <c r="AHZ227" s="18"/>
      <c r="AIA227" s="18"/>
      <c r="AIB227" s="18"/>
      <c r="AIC227" s="18"/>
      <c r="AID227" s="18"/>
      <c r="AIE227" s="18"/>
      <c r="AIF227" s="18"/>
      <c r="AIG227" s="18"/>
      <c r="AIH227" s="18"/>
      <c r="AII227" s="18"/>
      <c r="AIJ227" s="18"/>
      <c r="AIK227" s="18"/>
      <c r="AIL227" s="18"/>
      <c r="AIM227" s="18"/>
      <c r="AIN227" s="18"/>
      <c r="AIO227" s="18"/>
      <c r="AIP227" s="18"/>
      <c r="AIQ227" s="18"/>
      <c r="AIR227" s="18"/>
      <c r="AIS227" s="18"/>
      <c r="AIT227" s="18"/>
      <c r="AIU227" s="18"/>
      <c r="AIV227" s="18"/>
      <c r="AIW227" s="18"/>
      <c r="AIX227" s="18"/>
      <c r="AIY227" s="18"/>
      <c r="AIZ227" s="18"/>
      <c r="AJA227" s="18"/>
      <c r="AJB227" s="18"/>
      <c r="AJC227" s="18"/>
      <c r="AJD227" s="18"/>
      <c r="AJE227" s="18"/>
      <c r="AJF227" s="18"/>
      <c r="AJG227" s="18"/>
      <c r="AJH227" s="18"/>
      <c r="AJI227" s="18"/>
      <c r="AJJ227" s="18"/>
      <c r="AJK227" s="18"/>
      <c r="AJL227" s="18"/>
      <c r="AJM227" s="18"/>
      <c r="AJN227" s="18"/>
      <c r="AJO227" s="18"/>
      <c r="AJP227" s="18"/>
      <c r="AJQ227" s="18"/>
      <c r="AJR227" s="18"/>
      <c r="AJS227" s="18"/>
      <c r="AJT227" s="18"/>
      <c r="AJU227" s="18"/>
      <c r="AJV227" s="18"/>
      <c r="AJW227" s="18"/>
      <c r="AJX227" s="18"/>
      <c r="AJY227" s="18"/>
      <c r="AJZ227" s="18"/>
      <c r="AKA227" s="18"/>
      <c r="AKB227" s="18"/>
      <c r="AKC227" s="18"/>
      <c r="AKD227" s="18"/>
      <c r="AKE227" s="18"/>
      <c r="AKF227" s="18"/>
      <c r="AKG227" s="18"/>
      <c r="AKH227" s="18"/>
      <c r="AKI227" s="18"/>
      <c r="AKJ227" s="18"/>
      <c r="AKK227" s="18"/>
      <c r="AKL227" s="18"/>
      <c r="AKM227" s="18"/>
      <c r="AKN227" s="18"/>
      <c r="AKO227" s="18"/>
      <c r="AKP227" s="18"/>
      <c r="AKQ227" s="18"/>
      <c r="AKR227" s="18"/>
      <c r="AKS227" s="18"/>
      <c r="AKT227" s="18"/>
      <c r="AKU227" s="18"/>
      <c r="AKV227" s="18"/>
      <c r="AKW227" s="18"/>
      <c r="AKX227" s="18"/>
      <c r="AKY227" s="18"/>
      <c r="AKZ227" s="18"/>
      <c r="ALA227" s="18"/>
      <c r="ALB227" s="18"/>
      <c r="ALC227" s="18"/>
      <c r="ALD227" s="18"/>
      <c r="ALE227" s="18"/>
      <c r="ALF227" s="18"/>
      <c r="ALG227" s="18"/>
      <c r="ALH227" s="18"/>
      <c r="ALI227" s="18"/>
      <c r="ALJ227" s="18"/>
      <c r="ALK227" s="18"/>
      <c r="ALL227" s="18"/>
      <c r="ALM227" s="18"/>
      <c r="ALN227" s="18"/>
      <c r="ALO227" s="18"/>
      <c r="ALP227" s="18"/>
      <c r="ALQ227" s="18"/>
      <c r="ALR227" s="18"/>
      <c r="ALS227" s="18"/>
      <c r="ALT227" s="18"/>
      <c r="ALU227" s="18"/>
      <c r="ALV227" s="18"/>
      <c r="ALW227" s="18"/>
      <c r="ALX227" s="18"/>
      <c r="ALY227" s="18"/>
      <c r="ALZ227" s="18"/>
      <c r="AMA227" s="18"/>
      <c r="AMB227" s="18"/>
      <c r="AMC227" s="18"/>
      <c r="AMD227" s="18"/>
      <c r="AME227" s="18"/>
      <c r="AMF227" s="18"/>
      <c r="AMG227" s="18"/>
      <c r="AMH227" s="18"/>
      <c r="AMI227" s="18"/>
      <c r="AMJ227" s="18"/>
      <c r="AMK227" s="18"/>
      <c r="AML227" s="18"/>
      <c r="AMM227" s="18"/>
      <c r="AMN227" s="18"/>
      <c r="AMO227" s="18"/>
      <c r="AMP227" s="18"/>
      <c r="AMQ227" s="18"/>
      <c r="AMR227" s="18"/>
      <c r="AMS227" s="18"/>
      <c r="AMT227" s="18"/>
      <c r="AMU227" s="18"/>
      <c r="AMV227" s="18"/>
      <c r="AMW227" s="18"/>
      <c r="AMX227" s="18"/>
      <c r="AMY227" s="18"/>
      <c r="AMZ227" s="18"/>
      <c r="ANA227" s="18"/>
      <c r="ANB227" s="18"/>
      <c r="ANC227" s="18"/>
      <c r="AND227" s="18"/>
      <c r="ANE227" s="18"/>
      <c r="ANF227" s="18"/>
      <c r="ANG227" s="18"/>
      <c r="ANH227" s="18"/>
      <c r="ANI227" s="18"/>
      <c r="ANJ227" s="18"/>
      <c r="ANK227" s="18"/>
      <c r="ANL227" s="18"/>
      <c r="ANM227" s="18"/>
      <c r="ANN227" s="18"/>
      <c r="ANO227" s="18"/>
      <c r="ANP227" s="18"/>
      <c r="ANQ227" s="18"/>
      <c r="ANR227" s="18"/>
      <c r="ANS227" s="18"/>
      <c r="ANT227" s="18"/>
      <c r="ANU227" s="18"/>
      <c r="ANV227" s="18"/>
      <c r="ANW227" s="18"/>
      <c r="ANX227" s="18"/>
      <c r="ANY227" s="18"/>
      <c r="ANZ227" s="18"/>
      <c r="AOA227" s="18"/>
      <c r="AOB227" s="18"/>
      <c r="AOC227" s="18"/>
      <c r="AOD227" s="18"/>
      <c r="AOE227" s="18"/>
      <c r="AOF227" s="18"/>
      <c r="AOG227" s="18"/>
      <c r="AOH227" s="18"/>
      <c r="AOI227" s="18"/>
      <c r="AOJ227" s="18"/>
      <c r="AOK227" s="18"/>
      <c r="AOL227" s="18"/>
      <c r="AOM227" s="18"/>
      <c r="AON227" s="18"/>
      <c r="AOO227" s="18"/>
      <c r="AOP227" s="18"/>
      <c r="AOQ227" s="18"/>
      <c r="AOR227" s="18"/>
      <c r="AOS227" s="18"/>
      <c r="AOT227" s="18"/>
      <c r="AOU227" s="18"/>
      <c r="AOV227" s="18"/>
      <c r="AOW227" s="18"/>
      <c r="AOX227" s="18"/>
      <c r="AOY227" s="18"/>
      <c r="AOZ227" s="18"/>
      <c r="APA227" s="18"/>
      <c r="APB227" s="18"/>
      <c r="APC227" s="18"/>
      <c r="APD227" s="18"/>
      <c r="APE227" s="18"/>
      <c r="APF227" s="18"/>
      <c r="APG227" s="18"/>
      <c r="APH227" s="18"/>
      <c r="API227" s="18"/>
      <c r="APJ227" s="18"/>
      <c r="APK227" s="18"/>
      <c r="APL227" s="18"/>
      <c r="APM227" s="18"/>
      <c r="APN227" s="18"/>
      <c r="APO227" s="18"/>
      <c r="APP227" s="18"/>
      <c r="APQ227" s="18"/>
      <c r="APR227" s="18"/>
      <c r="APS227" s="18"/>
      <c r="APT227" s="18"/>
      <c r="APU227" s="18"/>
      <c r="APV227" s="18"/>
      <c r="APW227" s="18"/>
      <c r="APX227" s="18"/>
      <c r="APY227" s="18"/>
      <c r="APZ227" s="18"/>
      <c r="AQA227" s="18"/>
      <c r="AQB227" s="18"/>
      <c r="AQC227" s="18"/>
      <c r="AQD227" s="18"/>
      <c r="AQE227" s="18"/>
      <c r="AQF227" s="18"/>
      <c r="AQG227" s="18"/>
      <c r="AQH227" s="18"/>
      <c r="AQI227" s="18"/>
      <c r="AQJ227" s="18"/>
      <c r="AQK227" s="18"/>
      <c r="AQL227" s="18"/>
      <c r="AQM227" s="18"/>
      <c r="AQN227" s="18"/>
      <c r="AQO227" s="18"/>
      <c r="AQP227" s="18"/>
      <c r="AQQ227" s="18"/>
      <c r="AQR227" s="18"/>
      <c r="AQS227" s="18"/>
      <c r="AQT227" s="18"/>
      <c r="AQU227" s="18"/>
      <c r="AQV227" s="18"/>
      <c r="AQW227" s="18"/>
      <c r="AQX227" s="18"/>
      <c r="AQY227" s="18"/>
      <c r="AQZ227" s="18"/>
      <c r="ARA227" s="18"/>
      <c r="ARB227" s="18"/>
      <c r="ARC227" s="18"/>
      <c r="ARD227" s="18"/>
      <c r="ARE227" s="18"/>
      <c r="ARF227" s="18"/>
      <c r="ARG227" s="18"/>
      <c r="ARH227" s="18"/>
      <c r="ARI227" s="18"/>
      <c r="ARJ227" s="18"/>
      <c r="ARK227" s="18"/>
      <c r="ARL227" s="18"/>
      <c r="ARM227" s="18"/>
      <c r="ARN227" s="18"/>
      <c r="ARO227" s="18"/>
      <c r="ARP227" s="18"/>
      <c r="ARQ227" s="18"/>
      <c r="ARR227" s="18"/>
      <c r="ARS227" s="18"/>
      <c r="ART227" s="18"/>
      <c r="ARU227" s="18"/>
      <c r="ARV227" s="18"/>
      <c r="ARW227" s="18"/>
      <c r="ARX227" s="18"/>
      <c r="ARY227" s="18"/>
      <c r="ARZ227" s="18"/>
      <c r="ASA227" s="18"/>
      <c r="ASB227" s="18"/>
      <c r="ASC227" s="18"/>
      <c r="ASD227" s="18"/>
      <c r="ASE227" s="18"/>
      <c r="ASF227" s="18"/>
      <c r="ASG227" s="18"/>
      <c r="ASH227" s="18"/>
      <c r="ASI227" s="18"/>
      <c r="ASJ227" s="18"/>
      <c r="ASK227" s="18"/>
      <c r="ASL227" s="18"/>
      <c r="ASM227" s="18"/>
      <c r="ASN227" s="18"/>
      <c r="ASO227" s="18"/>
      <c r="ASP227" s="18"/>
      <c r="ASQ227" s="18"/>
      <c r="ASR227" s="18"/>
      <c r="ASS227" s="18"/>
      <c r="AST227" s="18"/>
      <c r="ASU227" s="18"/>
      <c r="ASV227" s="18"/>
      <c r="ASW227" s="18"/>
      <c r="ASX227" s="18"/>
      <c r="ASY227" s="18"/>
      <c r="ASZ227" s="18"/>
      <c r="ATA227" s="18"/>
      <c r="ATB227" s="18"/>
      <c r="ATC227" s="18"/>
      <c r="ATD227" s="18"/>
      <c r="ATE227" s="18"/>
      <c r="ATF227" s="18"/>
      <c r="ATG227" s="18"/>
      <c r="ATH227" s="18"/>
      <c r="ATI227" s="18"/>
      <c r="ATJ227" s="18"/>
      <c r="ATK227" s="18"/>
      <c r="ATL227" s="18"/>
      <c r="ATM227" s="18"/>
      <c r="ATN227" s="18"/>
      <c r="ATO227" s="18"/>
      <c r="ATP227" s="18"/>
      <c r="ATQ227" s="18"/>
      <c r="ATR227" s="18"/>
      <c r="ATS227" s="18"/>
      <c r="ATT227" s="18"/>
      <c r="ATU227" s="18"/>
      <c r="ATV227" s="18"/>
      <c r="ATW227" s="18"/>
      <c r="ATX227" s="18"/>
      <c r="ATY227" s="18"/>
      <c r="ATZ227" s="18"/>
      <c r="AUA227" s="18"/>
      <c r="AUB227" s="18"/>
      <c r="AUC227" s="18"/>
      <c r="AUD227" s="18"/>
      <c r="AUE227" s="18"/>
      <c r="AUF227" s="18"/>
      <c r="AUG227" s="18"/>
      <c r="AUH227" s="18"/>
      <c r="AUI227" s="18"/>
      <c r="AUJ227" s="18"/>
      <c r="AUK227" s="18"/>
      <c r="AUL227" s="18"/>
      <c r="AUM227" s="18"/>
      <c r="AUN227" s="18"/>
      <c r="AUO227" s="18"/>
      <c r="AUP227" s="18"/>
      <c r="AUQ227" s="18"/>
      <c r="AUR227" s="18"/>
      <c r="AUS227" s="18"/>
      <c r="AUT227" s="18"/>
      <c r="AUU227" s="18"/>
      <c r="AUV227" s="18"/>
      <c r="AUW227" s="18"/>
      <c r="AUX227" s="18"/>
      <c r="AUY227" s="18"/>
      <c r="AUZ227" s="18"/>
      <c r="AVA227" s="18"/>
      <c r="AVB227" s="18"/>
      <c r="AVC227" s="18"/>
      <c r="AVD227" s="18"/>
      <c r="AVE227" s="18"/>
      <c r="AVF227" s="18"/>
      <c r="AVG227" s="18"/>
      <c r="AVH227" s="18"/>
      <c r="AVI227" s="18"/>
      <c r="AVJ227" s="18"/>
      <c r="AVK227" s="18"/>
      <c r="AVL227" s="18"/>
      <c r="AVM227" s="18"/>
      <c r="AVN227" s="18"/>
      <c r="AVO227" s="18"/>
      <c r="AVP227" s="18"/>
      <c r="AVQ227" s="18"/>
      <c r="AVR227" s="18"/>
      <c r="AVS227" s="18"/>
      <c r="AVT227" s="18"/>
      <c r="AVU227" s="18"/>
      <c r="AVV227" s="18"/>
      <c r="AVW227" s="18"/>
      <c r="AVX227" s="18"/>
      <c r="AVY227" s="18"/>
      <c r="AVZ227" s="18"/>
      <c r="AWA227" s="18"/>
      <c r="AWB227" s="18"/>
      <c r="AWC227" s="18"/>
      <c r="AWD227" s="18"/>
      <c r="AWE227" s="18"/>
      <c r="AWF227" s="18"/>
      <c r="AWG227" s="18"/>
      <c r="AWH227" s="18"/>
      <c r="AWI227" s="18"/>
      <c r="AWJ227" s="18"/>
      <c r="AWK227" s="18"/>
      <c r="AWL227" s="18"/>
      <c r="AWM227" s="18"/>
      <c r="AWN227" s="18"/>
      <c r="AWO227" s="18"/>
      <c r="AWP227" s="18"/>
      <c r="AWQ227" s="18"/>
      <c r="AWR227" s="18"/>
      <c r="AWS227" s="18"/>
      <c r="AWT227" s="18"/>
      <c r="AWU227" s="18"/>
      <c r="AWV227" s="18"/>
      <c r="AWW227" s="18"/>
      <c r="AWX227" s="18"/>
      <c r="AWY227" s="18"/>
      <c r="AWZ227" s="18"/>
      <c r="AXA227" s="18"/>
      <c r="AXB227" s="18"/>
      <c r="AXC227" s="18"/>
      <c r="AXD227" s="18"/>
      <c r="AXE227" s="18"/>
      <c r="AXF227" s="18"/>
      <c r="AXG227" s="18"/>
      <c r="AXH227" s="18"/>
      <c r="AXI227" s="18"/>
      <c r="AXJ227" s="18"/>
      <c r="AXK227" s="18"/>
      <c r="AXL227" s="18"/>
      <c r="AXM227" s="18"/>
      <c r="AXN227" s="18"/>
      <c r="AXO227" s="18"/>
      <c r="AXP227" s="18"/>
      <c r="AXQ227" s="18"/>
      <c r="AXR227" s="18"/>
      <c r="AXS227" s="18"/>
      <c r="AXT227" s="18"/>
      <c r="AXU227" s="18"/>
      <c r="AXV227" s="18"/>
      <c r="AXW227" s="18"/>
      <c r="AXX227" s="18"/>
      <c r="AXY227" s="18"/>
      <c r="AXZ227" s="18"/>
      <c r="AYA227" s="18"/>
      <c r="AYB227" s="18"/>
      <c r="AYC227" s="18"/>
      <c r="AYD227" s="18"/>
      <c r="AYE227" s="18"/>
      <c r="AYF227" s="18"/>
      <c r="AYG227" s="18"/>
      <c r="AYH227" s="18"/>
      <c r="AYI227" s="18"/>
      <c r="AYJ227" s="18"/>
      <c r="AYK227" s="18"/>
      <c r="AYL227" s="18"/>
      <c r="AYM227" s="18"/>
      <c r="AYN227" s="18"/>
      <c r="AYO227" s="18"/>
      <c r="AYP227" s="18"/>
      <c r="AYQ227" s="18"/>
      <c r="AYR227" s="18"/>
      <c r="AYS227" s="18"/>
      <c r="AYT227" s="18"/>
      <c r="AYU227" s="18"/>
      <c r="AYV227" s="18"/>
      <c r="AYW227" s="18"/>
      <c r="AYX227" s="18"/>
      <c r="AYY227" s="18"/>
      <c r="AYZ227" s="18"/>
      <c r="AZA227" s="18"/>
      <c r="AZB227" s="18"/>
      <c r="AZC227" s="18"/>
      <c r="AZD227" s="18"/>
      <c r="AZE227" s="18"/>
      <c r="AZF227" s="18"/>
      <c r="AZG227" s="18"/>
      <c r="AZH227" s="18"/>
      <c r="AZI227" s="18"/>
      <c r="AZJ227" s="18"/>
      <c r="AZK227" s="18"/>
      <c r="AZL227" s="18"/>
      <c r="AZM227" s="18"/>
      <c r="AZN227" s="18"/>
      <c r="AZO227" s="18"/>
      <c r="AZP227" s="18"/>
      <c r="AZQ227" s="18"/>
      <c r="AZR227" s="18"/>
      <c r="AZS227" s="18"/>
      <c r="AZT227" s="18"/>
      <c r="AZU227" s="18"/>
      <c r="AZV227" s="18"/>
      <c r="AZW227" s="18"/>
      <c r="AZX227" s="18"/>
      <c r="AZY227" s="18"/>
      <c r="AZZ227" s="18"/>
      <c r="BAA227" s="18"/>
      <c r="BAB227" s="18"/>
      <c r="BAC227" s="18"/>
      <c r="BAD227" s="18"/>
      <c r="BAE227" s="18"/>
      <c r="BAF227" s="18"/>
      <c r="BAG227" s="18"/>
      <c r="BAH227" s="18"/>
      <c r="BAI227" s="18"/>
      <c r="BAJ227" s="18"/>
      <c r="BAK227" s="18"/>
      <c r="BAL227" s="18"/>
      <c r="BAM227" s="18"/>
      <c r="BAN227" s="18"/>
      <c r="BAO227" s="18"/>
      <c r="BAP227" s="18"/>
      <c r="BAQ227" s="18"/>
      <c r="BAR227" s="18"/>
      <c r="BAS227" s="18"/>
      <c r="BAT227" s="18"/>
      <c r="BAU227" s="18"/>
      <c r="BAV227" s="18"/>
      <c r="BAW227" s="18"/>
      <c r="BAX227" s="18"/>
      <c r="BAY227" s="18"/>
      <c r="BAZ227" s="18"/>
      <c r="BBA227" s="18"/>
      <c r="BBB227" s="18"/>
      <c r="BBC227" s="18"/>
      <c r="BBD227" s="18"/>
      <c r="BBE227" s="18"/>
      <c r="BBF227" s="18"/>
      <c r="BBG227" s="18"/>
      <c r="BBH227" s="18"/>
      <c r="BBI227" s="18"/>
      <c r="BBJ227" s="18"/>
      <c r="BBK227" s="18"/>
      <c r="BBL227" s="18"/>
      <c r="BBM227" s="18"/>
      <c r="BBN227" s="18"/>
      <c r="BBO227" s="18"/>
      <c r="BBP227" s="18"/>
      <c r="BBQ227" s="18"/>
      <c r="BBR227" s="18"/>
      <c r="BBS227" s="18"/>
      <c r="BBT227" s="18"/>
      <c r="BBU227" s="18"/>
      <c r="BBV227" s="18"/>
      <c r="BBW227" s="18"/>
      <c r="BBX227" s="18"/>
      <c r="BBY227" s="18"/>
      <c r="BBZ227" s="18"/>
      <c r="BCA227" s="18"/>
      <c r="BCB227" s="18"/>
      <c r="BCC227" s="18"/>
      <c r="BCD227" s="18"/>
      <c r="BCE227" s="18"/>
      <c r="BCF227" s="18"/>
      <c r="BCG227" s="18"/>
      <c r="BCH227" s="18"/>
      <c r="BCI227" s="18"/>
      <c r="BCJ227" s="18"/>
      <c r="BCK227" s="18"/>
      <c r="BCL227" s="18"/>
      <c r="BCM227" s="18"/>
      <c r="BCN227" s="18"/>
      <c r="BCO227" s="18"/>
      <c r="BCP227" s="18"/>
      <c r="BCQ227" s="18"/>
      <c r="BCR227" s="18"/>
      <c r="BCS227" s="18"/>
      <c r="BCT227" s="18"/>
      <c r="BCU227" s="18"/>
      <c r="BCV227" s="18"/>
      <c r="BCW227" s="18"/>
      <c r="BCX227" s="18"/>
      <c r="BCY227" s="18"/>
      <c r="BCZ227" s="18"/>
      <c r="BDA227" s="18"/>
      <c r="BDB227" s="18"/>
      <c r="BDC227" s="18"/>
      <c r="BDD227" s="18"/>
      <c r="BDE227" s="18"/>
      <c r="BDF227" s="18"/>
      <c r="BDG227" s="18"/>
      <c r="BDH227" s="18"/>
      <c r="BDI227" s="18"/>
      <c r="BDJ227" s="18"/>
      <c r="BDK227" s="18"/>
      <c r="BDL227" s="18"/>
      <c r="BDM227" s="18"/>
      <c r="BDN227" s="18"/>
      <c r="BDO227" s="18"/>
      <c r="BDP227" s="18"/>
      <c r="BDQ227" s="18"/>
      <c r="BDR227" s="18"/>
      <c r="BDS227" s="18"/>
      <c r="BDT227" s="18"/>
      <c r="BDU227" s="18"/>
      <c r="BDV227" s="18"/>
      <c r="BDW227" s="18"/>
      <c r="BDX227" s="18"/>
      <c r="BDY227" s="18"/>
      <c r="BDZ227" s="18"/>
      <c r="BEA227" s="18"/>
      <c r="BEB227" s="18"/>
      <c r="BEC227" s="18"/>
      <c r="BED227" s="18"/>
      <c r="BEE227" s="18"/>
      <c r="BEF227" s="18"/>
      <c r="BEG227" s="18"/>
      <c r="BEH227" s="18"/>
      <c r="BEI227" s="18"/>
      <c r="BEJ227" s="18"/>
      <c r="BEK227" s="18"/>
      <c r="BEL227" s="18"/>
      <c r="BEM227" s="18"/>
      <c r="BEN227" s="18"/>
      <c r="BEO227" s="18"/>
      <c r="BEP227" s="18"/>
      <c r="BEQ227" s="18"/>
      <c r="BER227" s="18"/>
      <c r="BES227" s="18"/>
      <c r="BET227" s="18"/>
      <c r="BEU227" s="18"/>
      <c r="BEV227" s="18"/>
      <c r="BEW227" s="18"/>
      <c r="BEX227" s="18"/>
      <c r="BEY227" s="18"/>
      <c r="BEZ227" s="18"/>
      <c r="BFA227" s="18"/>
      <c r="BFB227" s="18"/>
      <c r="BFC227" s="18"/>
      <c r="BFD227" s="18"/>
      <c r="BFE227" s="18"/>
      <c r="BFF227" s="18"/>
      <c r="BFG227" s="18"/>
      <c r="BFH227" s="18"/>
      <c r="BFI227" s="18"/>
      <c r="BFJ227" s="18"/>
      <c r="BFK227" s="18"/>
      <c r="BFL227" s="18"/>
      <c r="BFM227" s="18"/>
      <c r="BFN227" s="18"/>
      <c r="BFO227" s="18"/>
      <c r="BFP227" s="18"/>
      <c r="BFQ227" s="18"/>
      <c r="BFR227" s="18"/>
      <c r="BFS227" s="18"/>
      <c r="BFT227" s="18"/>
      <c r="BFU227" s="18"/>
      <c r="BFV227" s="18"/>
      <c r="BFW227" s="18"/>
      <c r="BFX227" s="18"/>
      <c r="BFY227" s="18"/>
      <c r="BFZ227" s="18"/>
      <c r="BGA227" s="18"/>
      <c r="BGB227" s="18"/>
      <c r="BGC227" s="18"/>
      <c r="BGD227" s="18"/>
      <c r="BGE227" s="18"/>
      <c r="BGF227" s="18"/>
      <c r="BGG227" s="18"/>
      <c r="BGH227" s="18"/>
      <c r="BGI227" s="18"/>
      <c r="BGJ227" s="18"/>
      <c r="BGK227" s="18"/>
      <c r="BGL227" s="18"/>
      <c r="BGM227" s="18"/>
      <c r="BGN227" s="18"/>
      <c r="BGO227" s="18"/>
      <c r="BGP227" s="18"/>
      <c r="BGQ227" s="18"/>
      <c r="BGR227" s="18"/>
      <c r="BGS227" s="18"/>
      <c r="BGT227" s="18"/>
      <c r="BGU227" s="18"/>
      <c r="BGV227" s="18"/>
      <c r="BGW227" s="18"/>
      <c r="BGX227" s="18"/>
      <c r="BGY227" s="18"/>
      <c r="BGZ227" s="18"/>
      <c r="BHA227" s="18"/>
      <c r="BHB227" s="18"/>
      <c r="BHC227" s="18"/>
      <c r="BHD227" s="18"/>
      <c r="BHE227" s="18"/>
      <c r="BHF227" s="18"/>
      <c r="BHG227" s="18"/>
      <c r="BHH227" s="18"/>
      <c r="BHI227" s="18"/>
      <c r="BHJ227" s="18"/>
      <c r="BHK227" s="18"/>
      <c r="BHL227" s="18"/>
      <c r="BHM227" s="18"/>
      <c r="BHN227" s="18"/>
      <c r="BHO227" s="18"/>
      <c r="BHP227" s="18"/>
      <c r="BHQ227" s="18"/>
      <c r="BHR227" s="18"/>
      <c r="BHS227" s="18"/>
      <c r="BHT227" s="18"/>
      <c r="BHU227" s="18"/>
      <c r="BHV227" s="18"/>
      <c r="BHW227" s="18"/>
      <c r="BHX227" s="18"/>
      <c r="BHY227" s="18"/>
      <c r="BHZ227" s="18"/>
      <c r="BIA227" s="18"/>
      <c r="BIB227" s="18"/>
      <c r="BIC227" s="18"/>
      <c r="BID227" s="18"/>
      <c r="BIE227" s="18"/>
      <c r="BIF227" s="18"/>
      <c r="BIG227" s="18"/>
      <c r="BIH227" s="18"/>
      <c r="BII227" s="18"/>
      <c r="BIJ227" s="18"/>
      <c r="BIK227" s="18"/>
      <c r="BIL227" s="18"/>
      <c r="BIM227" s="18"/>
      <c r="BIN227" s="18"/>
      <c r="BIO227" s="18"/>
      <c r="BIP227" s="18"/>
      <c r="BIQ227" s="18"/>
      <c r="BIR227" s="18"/>
      <c r="BIS227" s="18"/>
      <c r="BIT227" s="18"/>
      <c r="BIU227" s="18"/>
      <c r="BIV227" s="18"/>
      <c r="BIW227" s="18"/>
      <c r="BIX227" s="18"/>
      <c r="BIY227" s="18"/>
      <c r="BIZ227" s="18"/>
      <c r="BJA227" s="18"/>
      <c r="BJB227" s="18"/>
      <c r="BJC227" s="18"/>
      <c r="BJD227" s="18"/>
      <c r="BJE227" s="18"/>
      <c r="BJF227" s="18"/>
      <c r="BJG227" s="18"/>
      <c r="BJH227" s="18"/>
      <c r="BJI227" s="18"/>
      <c r="BJJ227" s="18"/>
      <c r="BJK227" s="18"/>
      <c r="BJL227" s="18"/>
      <c r="BJM227" s="18"/>
      <c r="BJN227" s="18"/>
      <c r="BJO227" s="18"/>
      <c r="BJP227" s="18"/>
      <c r="BJQ227" s="18"/>
      <c r="BJR227" s="18"/>
      <c r="BJS227" s="18"/>
      <c r="BJT227" s="18"/>
      <c r="BJU227" s="18"/>
      <c r="BJV227" s="18"/>
      <c r="BJW227" s="18"/>
      <c r="BJX227" s="18"/>
      <c r="BJY227" s="18"/>
      <c r="BJZ227" s="18"/>
      <c r="BKA227" s="18"/>
      <c r="BKB227" s="18"/>
      <c r="BKC227" s="18"/>
      <c r="BKD227" s="18"/>
      <c r="BKE227" s="18"/>
      <c r="BKF227" s="18"/>
      <c r="BKG227" s="18"/>
      <c r="BKH227" s="18"/>
      <c r="BKI227" s="18"/>
      <c r="BKJ227" s="18"/>
      <c r="BKK227" s="18"/>
      <c r="BKL227" s="18"/>
      <c r="BKM227" s="18"/>
      <c r="BKN227" s="18"/>
      <c r="BKO227" s="18"/>
      <c r="BKP227" s="18"/>
      <c r="BKQ227" s="18"/>
      <c r="BKR227" s="18"/>
      <c r="BKS227" s="18"/>
      <c r="BKT227" s="18"/>
      <c r="BKU227" s="18"/>
      <c r="BKV227" s="18"/>
      <c r="BKW227" s="18"/>
      <c r="BKX227" s="18"/>
      <c r="BKY227" s="18"/>
      <c r="BKZ227" s="18"/>
      <c r="BLA227" s="18"/>
      <c r="BLB227" s="18"/>
      <c r="BLC227" s="18"/>
      <c r="BLD227" s="18"/>
      <c r="BLE227" s="18"/>
      <c r="BLF227" s="18"/>
      <c r="BLG227" s="18"/>
      <c r="BLH227" s="18"/>
      <c r="BLI227" s="18"/>
      <c r="BLJ227" s="18"/>
      <c r="BLK227" s="18"/>
      <c r="BLL227" s="18"/>
      <c r="BLM227" s="18"/>
      <c r="BLN227" s="18"/>
      <c r="BLO227" s="18"/>
      <c r="BLP227" s="18"/>
      <c r="BLQ227" s="18"/>
      <c r="BLR227" s="18"/>
      <c r="BLS227" s="18"/>
      <c r="BLT227" s="18"/>
      <c r="BLU227" s="18"/>
      <c r="BLV227" s="18"/>
      <c r="BLW227" s="18"/>
      <c r="BLX227" s="18"/>
      <c r="BLY227" s="18"/>
      <c r="BLZ227" s="18"/>
      <c r="BMA227" s="18"/>
      <c r="BMB227" s="18"/>
      <c r="BMC227" s="18"/>
      <c r="BMD227" s="18"/>
      <c r="BME227" s="18"/>
      <c r="BMF227" s="18"/>
      <c r="BMG227" s="18"/>
      <c r="BMH227" s="18"/>
      <c r="BMI227" s="18"/>
      <c r="BMJ227" s="18"/>
      <c r="BMK227" s="18"/>
      <c r="BML227" s="18"/>
      <c r="BMM227" s="18"/>
      <c r="BMN227" s="18"/>
      <c r="BMO227" s="18"/>
      <c r="BMP227" s="18"/>
      <c r="BMQ227" s="18"/>
      <c r="BMR227" s="18"/>
      <c r="BMS227" s="18"/>
      <c r="BMT227" s="18"/>
      <c r="BMU227" s="18"/>
      <c r="BMV227" s="18"/>
      <c r="BMW227" s="18"/>
      <c r="BMX227" s="18"/>
      <c r="BMY227" s="18"/>
      <c r="BMZ227" s="18"/>
      <c r="BNA227" s="18"/>
      <c r="BNB227" s="18"/>
      <c r="BNC227" s="18"/>
      <c r="BND227" s="18"/>
      <c r="BNE227" s="18"/>
      <c r="BNF227" s="18"/>
      <c r="BNG227" s="18"/>
      <c r="BNH227" s="18"/>
      <c r="BNI227" s="18"/>
      <c r="BNJ227" s="18"/>
      <c r="BNK227" s="18"/>
      <c r="BNL227" s="18"/>
      <c r="BNM227" s="18"/>
      <c r="BNN227" s="18"/>
      <c r="BNO227" s="18"/>
      <c r="BNP227" s="18"/>
      <c r="BNQ227" s="18"/>
      <c r="BNR227" s="18"/>
      <c r="BNS227" s="18"/>
      <c r="BNT227" s="18"/>
      <c r="BNU227" s="18"/>
      <c r="BNV227" s="18"/>
      <c r="BNW227" s="18"/>
      <c r="BNX227" s="18"/>
      <c r="BNY227" s="18"/>
      <c r="BNZ227" s="18"/>
      <c r="BOA227" s="18"/>
      <c r="BOB227" s="18"/>
      <c r="BOC227" s="18"/>
      <c r="BOD227" s="18"/>
      <c r="BOE227" s="18"/>
      <c r="BOF227" s="18"/>
      <c r="BOG227" s="18"/>
      <c r="BOH227" s="18"/>
      <c r="BOI227" s="18"/>
      <c r="BOJ227" s="18"/>
      <c r="BOK227" s="18"/>
      <c r="BOL227" s="18"/>
      <c r="BOM227" s="18"/>
      <c r="BON227" s="18"/>
      <c r="BOO227" s="18"/>
      <c r="BOP227" s="18"/>
      <c r="BOQ227" s="18"/>
      <c r="BOR227" s="18"/>
      <c r="BOS227" s="18"/>
      <c r="BOT227" s="18"/>
      <c r="BOU227" s="18"/>
      <c r="BOV227" s="18"/>
      <c r="BOW227" s="18"/>
      <c r="BOX227" s="18"/>
      <c r="BOY227" s="18"/>
      <c r="BOZ227" s="18"/>
      <c r="BPA227" s="18"/>
      <c r="BPB227" s="18"/>
      <c r="BPC227" s="18"/>
      <c r="BPD227" s="18"/>
      <c r="BPE227" s="18"/>
      <c r="BPF227" s="18"/>
      <c r="BPG227" s="18"/>
      <c r="BPH227" s="18"/>
      <c r="BPI227" s="18"/>
      <c r="BPJ227" s="18"/>
      <c r="BPK227" s="18"/>
      <c r="BPL227" s="18"/>
      <c r="BPM227" s="18"/>
      <c r="BPN227" s="18"/>
      <c r="BPO227" s="18"/>
      <c r="BPP227" s="18"/>
      <c r="BPQ227" s="18"/>
      <c r="BPR227" s="18"/>
      <c r="BPS227" s="18"/>
      <c r="BPT227" s="18"/>
      <c r="BPU227" s="18"/>
      <c r="BPV227" s="18"/>
      <c r="BPW227" s="18"/>
      <c r="BPX227" s="18"/>
      <c r="BPY227" s="18"/>
      <c r="BPZ227" s="18"/>
      <c r="BQA227" s="18"/>
      <c r="BQB227" s="18"/>
      <c r="BQC227" s="18"/>
      <c r="BQD227" s="18"/>
      <c r="BQE227" s="18"/>
      <c r="BQF227" s="18"/>
      <c r="BQG227" s="18"/>
      <c r="BQH227" s="18"/>
      <c r="BQI227" s="18"/>
      <c r="BQJ227" s="18"/>
      <c r="BQK227" s="18"/>
      <c r="BQL227" s="18"/>
      <c r="BQM227" s="18"/>
      <c r="BQN227" s="18"/>
      <c r="BQO227" s="18"/>
      <c r="BQP227" s="18"/>
      <c r="BQQ227" s="18"/>
      <c r="BQR227" s="18"/>
      <c r="BQS227" s="18"/>
      <c r="BQT227" s="18"/>
      <c r="BQU227" s="18"/>
      <c r="BQV227" s="18"/>
      <c r="BQW227" s="18"/>
      <c r="BQX227" s="18"/>
      <c r="BQY227" s="18"/>
      <c r="BQZ227" s="18"/>
      <c r="BRA227" s="18"/>
      <c r="BRB227" s="18"/>
      <c r="BRC227" s="18"/>
      <c r="BRD227" s="18"/>
      <c r="BRE227" s="18"/>
      <c r="BRF227" s="18"/>
      <c r="BRG227" s="18"/>
      <c r="BRH227" s="18"/>
      <c r="BRI227" s="18"/>
      <c r="BRJ227" s="18"/>
      <c r="BRK227" s="18"/>
      <c r="BRL227" s="18"/>
      <c r="BRM227" s="18"/>
      <c r="BRN227" s="18"/>
      <c r="BRO227" s="18"/>
      <c r="BRP227" s="18"/>
      <c r="BRQ227" s="18"/>
      <c r="BRR227" s="18"/>
      <c r="BRS227" s="18"/>
      <c r="BRT227" s="18"/>
      <c r="BRU227" s="18"/>
      <c r="BRV227" s="18"/>
      <c r="BRW227" s="18"/>
      <c r="BRX227" s="18"/>
      <c r="BRY227" s="18"/>
      <c r="BRZ227" s="18"/>
      <c r="BSA227" s="18"/>
      <c r="BSB227" s="18"/>
      <c r="BSC227" s="18"/>
      <c r="BSD227" s="18"/>
      <c r="BSE227" s="18"/>
      <c r="BSF227" s="18"/>
      <c r="BSG227" s="18"/>
      <c r="BSH227" s="18"/>
      <c r="BSI227" s="18"/>
      <c r="BSJ227" s="18"/>
      <c r="BSK227" s="18"/>
      <c r="BSL227" s="18"/>
      <c r="BSM227" s="18"/>
      <c r="BSN227" s="18"/>
      <c r="BSO227" s="18"/>
      <c r="BSP227" s="18"/>
      <c r="BSQ227" s="18"/>
      <c r="BSR227" s="18"/>
      <c r="BSS227" s="18"/>
      <c r="BST227" s="18"/>
      <c r="BSU227" s="18"/>
      <c r="BSV227" s="18"/>
      <c r="BSW227" s="18"/>
      <c r="BSX227" s="18"/>
      <c r="BSY227" s="18"/>
      <c r="BSZ227" s="18"/>
      <c r="BTA227" s="18"/>
      <c r="BTB227" s="18"/>
      <c r="BTC227" s="18"/>
      <c r="BTD227" s="18"/>
      <c r="BTE227" s="18"/>
      <c r="BTF227" s="18"/>
      <c r="BTG227" s="18"/>
      <c r="BTH227" s="18"/>
      <c r="BTI227" s="18"/>
    </row>
    <row r="228" spans="1:1881" s="426" customFormat="1" ht="78.75" customHeight="1" x14ac:dyDescent="0.3">
      <c r="A228" s="100">
        <v>602</v>
      </c>
      <c r="B228" s="373" t="s">
        <v>58</v>
      </c>
      <c r="C228" s="373" t="s">
        <v>285</v>
      </c>
      <c r="D228" s="99" t="s">
        <v>343</v>
      </c>
      <c r="E228" s="371" t="e">
        <f>INDEX('PY1 Data(H)'!$A$1:$BV$265,MATCH('Unit Data from Audit Worksheet'!$A228,'PY1 Data(H)'!$A$1:$A$258,0),MATCH('Unit Data from Audit Worksheet'!$D$2,'PY1 Data(H)'!$A$1:$BV$1,0))</f>
        <v>#N/A</v>
      </c>
      <c r="F228" s="793">
        <v>0</v>
      </c>
      <c r="G228" s="430" t="str">
        <f>IF(ISBLANK(F228),"Please do not leave blank","")</f>
        <v/>
      </c>
      <c r="H228" s="401">
        <f>IF(F228&lt;0,"Note: Number is normally positive.",)</f>
        <v>0</v>
      </c>
      <c r="I228" s="17"/>
      <c r="J228" s="72"/>
      <c r="K228"/>
      <c r="L228" s="547"/>
      <c r="M228"/>
      <c r="N228" s="18"/>
      <c r="O228" s="186"/>
      <c r="P228" s="18"/>
      <c r="Q228" s="18"/>
      <c r="R228" s="18"/>
      <c r="S228" s="18"/>
      <c r="T228" s="18"/>
      <c r="U228" s="18"/>
      <c r="V228" s="18"/>
      <c r="W228" s="18"/>
      <c r="X228" s="18"/>
      <c r="Y228" s="1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s="18"/>
      <c r="DU228" s="18"/>
      <c r="DV228" s="18"/>
      <c r="DW228" s="18"/>
      <c r="DX228" s="18"/>
      <c r="DY228" s="18"/>
      <c r="DZ228" s="18"/>
      <c r="EA228" s="18"/>
      <c r="EB228" s="18"/>
      <c r="EC228" s="18"/>
      <c r="ED228" s="18"/>
      <c r="EE228" s="18"/>
      <c r="EF228" s="18"/>
      <c r="EG228" s="18"/>
      <c r="EH228" s="18"/>
      <c r="EI228" s="18"/>
      <c r="EJ228" s="18"/>
      <c r="EK228" s="18"/>
      <c r="EL228" s="18"/>
      <c r="EM228" s="18"/>
      <c r="EN228" s="18"/>
      <c r="EO228" s="18"/>
      <c r="EP228" s="18"/>
      <c r="EQ228" s="18"/>
      <c r="ER228" s="18"/>
      <c r="ES228" s="18"/>
      <c r="ET228" s="18"/>
      <c r="EU228" s="18"/>
      <c r="EV228" s="18"/>
      <c r="EW228" s="18"/>
      <c r="EX228" s="18"/>
      <c r="EY228" s="18"/>
      <c r="EZ228" s="18"/>
      <c r="FA228" s="18"/>
      <c r="FB228" s="18"/>
      <c r="FC228" s="18"/>
      <c r="FD228" s="18"/>
      <c r="FE228" s="18"/>
      <c r="FF228" s="18"/>
      <c r="FG228" s="18"/>
      <c r="FH228" s="18"/>
      <c r="FI228" s="18"/>
      <c r="FJ228" s="18"/>
      <c r="FK228" s="18"/>
      <c r="FL228" s="18"/>
      <c r="FM228" s="18"/>
      <c r="FN228" s="18"/>
      <c r="FO228" s="18"/>
      <c r="FP228" s="18"/>
      <c r="FQ228" s="18"/>
      <c r="FR228" s="18"/>
      <c r="FS228" s="18"/>
      <c r="FT228" s="18"/>
      <c r="FU228" s="18"/>
      <c r="FV228" s="18"/>
      <c r="FW228" s="18"/>
      <c r="FX228" s="18"/>
      <c r="FY228" s="18"/>
      <c r="FZ228" s="18"/>
      <c r="GA228" s="18"/>
      <c r="GB228" s="18"/>
      <c r="GC228" s="18"/>
      <c r="GD228" s="18"/>
      <c r="GE228" s="18"/>
      <c r="GF228" s="18"/>
      <c r="GG228" s="18"/>
      <c r="GH228" s="18"/>
      <c r="GI228" s="18"/>
      <c r="GJ228" s="18"/>
      <c r="GK228" s="18"/>
      <c r="GL228" s="18"/>
      <c r="GM228" s="18"/>
      <c r="GN228" s="18"/>
      <c r="GO228" s="18"/>
      <c r="GP228" s="18"/>
      <c r="GQ228" s="18"/>
      <c r="GR228" s="18"/>
      <c r="GS228" s="18"/>
      <c r="GT228" s="18"/>
      <c r="GU228" s="18"/>
      <c r="GV228" s="18"/>
      <c r="GW228" s="18"/>
      <c r="GX228" s="18"/>
      <c r="GY228" s="18"/>
      <c r="GZ228" s="18"/>
      <c r="HA228" s="18"/>
      <c r="HB228" s="18"/>
      <c r="HC228" s="18"/>
      <c r="HD228" s="18"/>
      <c r="HE228" s="18"/>
      <c r="HF228" s="18"/>
      <c r="HG228" s="18"/>
      <c r="HH228" s="18"/>
      <c r="HI228" s="18"/>
      <c r="HJ228" s="18"/>
      <c r="HK228" s="18"/>
      <c r="HL228" s="18"/>
      <c r="HM228" s="18"/>
      <c r="HN228" s="18"/>
      <c r="HO228" s="18"/>
      <c r="HP228" s="18"/>
      <c r="HQ228" s="18"/>
      <c r="HR228" s="18"/>
      <c r="HS228" s="18"/>
      <c r="HT228" s="18"/>
      <c r="HU228" s="18"/>
      <c r="HV228" s="18"/>
      <c r="HW228" s="18"/>
      <c r="HX228" s="18"/>
      <c r="HY228" s="18"/>
      <c r="HZ228" s="18"/>
      <c r="IA228" s="18"/>
      <c r="IB228" s="18"/>
      <c r="IC228" s="18"/>
      <c r="ID228" s="18"/>
      <c r="IE228" s="18"/>
      <c r="IF228" s="18"/>
      <c r="IG228" s="18"/>
      <c r="IH228" s="18"/>
      <c r="II228" s="18"/>
      <c r="IJ228" s="18"/>
      <c r="IK228" s="18"/>
      <c r="IL228" s="18"/>
      <c r="IM228" s="18"/>
      <c r="IN228" s="18"/>
      <c r="IO228" s="18"/>
      <c r="IP228" s="18"/>
      <c r="IQ228" s="18"/>
      <c r="IR228" s="18"/>
      <c r="IS228" s="18"/>
      <c r="IT228" s="18"/>
      <c r="IU228" s="18"/>
      <c r="IV228" s="18"/>
      <c r="IW228" s="18"/>
      <c r="IX228" s="18"/>
      <c r="IY228" s="18"/>
      <c r="IZ228" s="18"/>
      <c r="JA228" s="18"/>
      <c r="JB228" s="18"/>
      <c r="JC228" s="18"/>
      <c r="JD228" s="18"/>
      <c r="JE228" s="18"/>
      <c r="JF228" s="18"/>
      <c r="JG228" s="18"/>
      <c r="JH228" s="18"/>
      <c r="JI228" s="18"/>
      <c r="JJ228" s="18"/>
      <c r="JK228" s="18"/>
      <c r="JL228" s="18"/>
      <c r="JM228" s="18"/>
      <c r="JN228" s="18"/>
      <c r="JO228" s="18"/>
      <c r="JP228" s="18"/>
      <c r="JQ228" s="18"/>
      <c r="JR228" s="18"/>
      <c r="JS228" s="18"/>
      <c r="JT228" s="18"/>
      <c r="JU228" s="18"/>
      <c r="JV228" s="18"/>
      <c r="JW228" s="18"/>
      <c r="JX228" s="18"/>
      <c r="JY228" s="18"/>
      <c r="JZ228" s="18"/>
      <c r="KA228" s="18"/>
      <c r="KB228" s="18"/>
      <c r="KC228" s="18"/>
      <c r="KD228" s="18"/>
      <c r="KE228" s="18"/>
      <c r="KF228" s="18"/>
      <c r="KG228" s="18"/>
      <c r="KH228" s="18"/>
      <c r="KI228" s="18"/>
      <c r="KJ228" s="18"/>
      <c r="KK228" s="18"/>
      <c r="KL228" s="18"/>
      <c r="KM228" s="18"/>
      <c r="KN228" s="18"/>
      <c r="KO228" s="18"/>
      <c r="KP228" s="18"/>
      <c r="KQ228" s="18"/>
      <c r="KR228" s="18"/>
      <c r="KS228" s="18"/>
      <c r="KT228" s="18"/>
      <c r="KU228" s="18"/>
      <c r="KV228" s="18"/>
      <c r="KW228" s="18"/>
      <c r="KX228" s="18"/>
      <c r="KY228" s="18"/>
      <c r="KZ228" s="18"/>
      <c r="LA228" s="18"/>
      <c r="LB228" s="18"/>
      <c r="LC228" s="18"/>
      <c r="LD228" s="18"/>
      <c r="LE228" s="18"/>
      <c r="LF228" s="18"/>
      <c r="LG228" s="18"/>
      <c r="LH228" s="18"/>
      <c r="LI228" s="18"/>
      <c r="LJ228" s="18"/>
      <c r="LK228" s="18"/>
      <c r="LL228" s="18"/>
      <c r="LM228" s="18"/>
      <c r="LN228" s="18"/>
      <c r="LO228" s="18"/>
      <c r="LP228" s="18"/>
      <c r="LQ228" s="18"/>
      <c r="LR228" s="18"/>
      <c r="LS228" s="18"/>
      <c r="LT228" s="18"/>
      <c r="LU228" s="18"/>
      <c r="LV228" s="18"/>
      <c r="LW228" s="18"/>
      <c r="LX228" s="18"/>
      <c r="LY228" s="18"/>
      <c r="LZ228" s="18"/>
      <c r="MA228" s="18"/>
      <c r="MB228" s="18"/>
      <c r="MC228" s="18"/>
      <c r="MD228" s="18"/>
      <c r="ME228" s="18"/>
      <c r="MF228" s="18"/>
      <c r="MG228" s="18"/>
      <c r="MH228" s="18"/>
      <c r="MI228" s="18"/>
      <c r="MJ228" s="18"/>
      <c r="MK228" s="18"/>
      <c r="ML228" s="18"/>
      <c r="MM228" s="18"/>
      <c r="MN228" s="18"/>
      <c r="MO228" s="18"/>
      <c r="MP228" s="18"/>
      <c r="MQ228" s="18"/>
      <c r="MR228" s="18"/>
      <c r="MS228" s="18"/>
      <c r="MT228" s="18"/>
      <c r="MU228" s="18"/>
      <c r="MV228" s="18"/>
      <c r="MW228" s="18"/>
      <c r="MX228" s="18"/>
      <c r="MY228" s="18"/>
      <c r="MZ228" s="18"/>
      <c r="NA228" s="18"/>
      <c r="NB228" s="18"/>
      <c r="NC228" s="18"/>
      <c r="ND228" s="18"/>
      <c r="NE228" s="18"/>
      <c r="NF228" s="18"/>
      <c r="NG228" s="18"/>
      <c r="NH228" s="18"/>
      <c r="NI228" s="18"/>
      <c r="NJ228" s="18"/>
      <c r="NK228" s="18"/>
      <c r="NL228" s="18"/>
      <c r="NM228" s="18"/>
      <c r="NN228" s="18"/>
      <c r="NO228" s="18"/>
      <c r="NP228" s="18"/>
      <c r="NQ228" s="18"/>
      <c r="NR228" s="18"/>
      <c r="NS228" s="18"/>
      <c r="NT228" s="18"/>
      <c r="NU228" s="18"/>
      <c r="NV228" s="18"/>
      <c r="NW228" s="18"/>
      <c r="NX228" s="18"/>
      <c r="NY228" s="18"/>
      <c r="NZ228" s="18"/>
      <c r="OA228" s="18"/>
      <c r="OB228" s="18"/>
      <c r="OC228" s="18"/>
      <c r="OD228" s="18"/>
      <c r="OE228" s="18"/>
      <c r="OF228" s="18"/>
      <c r="OG228" s="18"/>
      <c r="OH228" s="18"/>
      <c r="OI228" s="18"/>
      <c r="OJ228" s="18"/>
      <c r="OK228" s="18"/>
      <c r="OL228" s="18"/>
      <c r="OM228" s="18"/>
      <c r="ON228" s="18"/>
      <c r="OO228" s="18"/>
      <c r="OP228" s="18"/>
      <c r="OQ228" s="18"/>
      <c r="OR228" s="18"/>
      <c r="OS228" s="18"/>
      <c r="OT228" s="18"/>
      <c r="OU228" s="18"/>
      <c r="OV228" s="18"/>
      <c r="OW228" s="18"/>
      <c r="OX228" s="18"/>
      <c r="OY228" s="18"/>
      <c r="OZ228" s="18"/>
      <c r="PA228" s="18"/>
      <c r="PB228" s="18"/>
      <c r="PC228" s="18"/>
      <c r="PD228" s="18"/>
      <c r="PE228" s="18"/>
      <c r="PF228" s="18"/>
      <c r="PG228" s="18"/>
      <c r="PH228" s="18"/>
      <c r="PI228" s="18"/>
      <c r="PJ228" s="18"/>
      <c r="PK228" s="18"/>
      <c r="PL228" s="18"/>
      <c r="PM228" s="18"/>
      <c r="PN228" s="18"/>
      <c r="PO228" s="18"/>
      <c r="PP228" s="18"/>
      <c r="PQ228" s="18"/>
      <c r="PR228" s="18"/>
      <c r="PS228" s="18"/>
      <c r="PT228" s="18"/>
      <c r="PU228" s="18"/>
      <c r="PV228" s="18"/>
      <c r="PW228" s="18"/>
      <c r="PX228" s="18"/>
      <c r="PY228" s="18"/>
      <c r="PZ228" s="18"/>
      <c r="QA228" s="18"/>
      <c r="QB228" s="18"/>
      <c r="QC228" s="18"/>
      <c r="QD228" s="18"/>
      <c r="QE228" s="18"/>
      <c r="QF228" s="18"/>
      <c r="QG228" s="18"/>
      <c r="QH228" s="18"/>
      <c r="QI228" s="18"/>
      <c r="QJ228" s="18"/>
      <c r="QK228" s="18"/>
      <c r="QL228" s="18"/>
      <c r="QM228" s="18"/>
      <c r="QN228" s="18"/>
      <c r="QO228" s="18"/>
      <c r="QP228" s="18"/>
      <c r="QQ228" s="18"/>
      <c r="QR228" s="18"/>
      <c r="QS228" s="18"/>
      <c r="QT228" s="18"/>
      <c r="QU228" s="18"/>
      <c r="QV228" s="18"/>
      <c r="QW228" s="18"/>
      <c r="QX228" s="18"/>
      <c r="QY228" s="18"/>
      <c r="QZ228" s="18"/>
      <c r="RA228" s="18"/>
      <c r="RB228" s="18"/>
      <c r="RC228" s="18"/>
      <c r="RD228" s="18"/>
      <c r="RE228" s="18"/>
      <c r="RF228" s="18"/>
      <c r="RG228" s="18"/>
      <c r="RH228" s="18"/>
      <c r="RI228" s="18"/>
      <c r="RJ228" s="18"/>
      <c r="RK228" s="18"/>
      <c r="RL228" s="18"/>
      <c r="RM228" s="18"/>
      <c r="RN228" s="18"/>
      <c r="RO228" s="18"/>
      <c r="RP228" s="18"/>
      <c r="RQ228" s="18"/>
      <c r="RR228" s="18"/>
      <c r="RS228" s="18"/>
      <c r="RT228" s="18"/>
      <c r="RU228" s="18"/>
      <c r="RV228" s="18"/>
      <c r="RW228" s="18"/>
      <c r="RX228" s="18"/>
      <c r="RY228" s="18"/>
      <c r="RZ228" s="18"/>
      <c r="SA228" s="18"/>
      <c r="SB228" s="18"/>
      <c r="SC228" s="18"/>
      <c r="SD228" s="18"/>
      <c r="SE228" s="18"/>
      <c r="SF228" s="18"/>
      <c r="SG228" s="18"/>
      <c r="SH228" s="18"/>
      <c r="SI228" s="18"/>
      <c r="SJ228" s="18"/>
      <c r="SK228" s="18"/>
      <c r="SL228" s="18"/>
      <c r="SM228" s="18"/>
      <c r="SN228" s="18"/>
      <c r="SO228" s="18"/>
      <c r="SP228" s="18"/>
      <c r="SQ228" s="18"/>
      <c r="SR228" s="18"/>
      <c r="SS228" s="18"/>
      <c r="ST228" s="18"/>
      <c r="SU228" s="18"/>
      <c r="SV228" s="18"/>
      <c r="SW228" s="18"/>
      <c r="SX228" s="18"/>
      <c r="SY228" s="18"/>
      <c r="SZ228" s="18"/>
      <c r="TA228" s="18"/>
      <c r="TB228" s="18"/>
      <c r="TC228" s="18"/>
      <c r="TD228" s="18"/>
      <c r="TE228" s="18"/>
      <c r="TF228" s="18"/>
      <c r="TG228" s="18"/>
      <c r="TH228" s="18"/>
      <c r="TI228" s="18"/>
      <c r="TJ228" s="18"/>
      <c r="TK228" s="18"/>
      <c r="TL228" s="18"/>
      <c r="TM228" s="18"/>
      <c r="TN228" s="18"/>
      <c r="TO228" s="18"/>
      <c r="TP228" s="18"/>
      <c r="TQ228" s="18"/>
      <c r="TR228" s="18"/>
      <c r="TS228" s="18"/>
      <c r="TT228" s="18"/>
      <c r="TU228" s="18"/>
      <c r="TV228" s="18"/>
      <c r="TW228" s="18"/>
      <c r="TX228" s="18"/>
      <c r="TY228" s="18"/>
      <c r="TZ228" s="18"/>
      <c r="UA228" s="18"/>
      <c r="UB228" s="18"/>
      <c r="UC228" s="18"/>
      <c r="UD228" s="18"/>
      <c r="UE228" s="18"/>
      <c r="UF228" s="18"/>
      <c r="UG228" s="18"/>
      <c r="UH228" s="18"/>
      <c r="UI228" s="18"/>
      <c r="UJ228" s="18"/>
      <c r="UK228" s="18"/>
      <c r="UL228" s="18"/>
      <c r="UM228" s="18"/>
      <c r="UN228" s="18"/>
      <c r="UO228" s="18"/>
      <c r="UP228" s="18"/>
      <c r="UQ228" s="18"/>
      <c r="UR228" s="18"/>
      <c r="US228" s="18"/>
      <c r="UT228" s="18"/>
      <c r="UU228" s="18"/>
      <c r="UV228" s="18"/>
      <c r="UW228" s="18"/>
      <c r="UX228" s="18"/>
      <c r="UY228" s="18"/>
      <c r="UZ228" s="18"/>
      <c r="VA228" s="18"/>
      <c r="VB228" s="18"/>
      <c r="VC228" s="18"/>
      <c r="VD228" s="18"/>
      <c r="VE228" s="18"/>
      <c r="VF228" s="18"/>
      <c r="VG228" s="18"/>
      <c r="VH228" s="18"/>
      <c r="VI228" s="18"/>
      <c r="VJ228" s="18"/>
      <c r="VK228" s="18"/>
      <c r="VL228" s="18"/>
      <c r="VM228" s="18"/>
      <c r="VN228" s="18"/>
      <c r="VO228" s="18"/>
      <c r="VP228" s="18"/>
      <c r="VQ228" s="18"/>
      <c r="VR228" s="18"/>
      <c r="VS228" s="18"/>
      <c r="VT228" s="18"/>
      <c r="VU228" s="18"/>
      <c r="VV228" s="18"/>
      <c r="VW228" s="18"/>
      <c r="VX228" s="18"/>
      <c r="VY228" s="18"/>
      <c r="VZ228" s="18"/>
      <c r="WA228" s="18"/>
      <c r="WB228" s="18"/>
      <c r="WC228" s="18"/>
      <c r="WD228" s="18"/>
      <c r="WE228" s="18"/>
      <c r="WF228" s="18"/>
      <c r="WG228" s="18"/>
      <c r="WH228" s="18"/>
      <c r="WI228" s="18"/>
      <c r="WJ228" s="18"/>
      <c r="WK228" s="18"/>
      <c r="WL228" s="18"/>
      <c r="WM228" s="18"/>
      <c r="WN228" s="18"/>
      <c r="WO228" s="18"/>
      <c r="WP228" s="18"/>
      <c r="WQ228" s="18"/>
      <c r="WR228" s="18"/>
      <c r="WS228" s="18"/>
      <c r="WT228" s="18"/>
      <c r="WU228" s="18"/>
      <c r="WV228" s="18"/>
      <c r="WW228" s="18"/>
      <c r="WX228" s="18"/>
      <c r="WY228" s="18"/>
      <c r="WZ228" s="18"/>
      <c r="XA228" s="18"/>
      <c r="XB228" s="18"/>
      <c r="XC228" s="18"/>
      <c r="XD228" s="18"/>
      <c r="XE228" s="18"/>
      <c r="XF228" s="18"/>
      <c r="XG228" s="18"/>
      <c r="XH228" s="18"/>
      <c r="XI228" s="18"/>
      <c r="XJ228" s="18"/>
      <c r="XK228" s="18"/>
      <c r="XL228" s="18"/>
      <c r="XM228" s="18"/>
      <c r="XN228" s="18"/>
      <c r="XO228" s="18"/>
      <c r="XP228" s="18"/>
      <c r="XQ228" s="18"/>
      <c r="XR228" s="18"/>
      <c r="XS228" s="18"/>
      <c r="XT228" s="18"/>
      <c r="XU228" s="18"/>
      <c r="XV228" s="18"/>
      <c r="XW228" s="18"/>
      <c r="XX228" s="18"/>
      <c r="XY228" s="18"/>
      <c r="XZ228" s="18"/>
      <c r="YA228" s="18"/>
      <c r="YB228" s="18"/>
      <c r="YC228" s="18"/>
      <c r="YD228" s="18"/>
      <c r="YE228" s="18"/>
      <c r="YF228" s="18"/>
      <c r="YG228" s="18"/>
      <c r="YH228" s="18"/>
      <c r="YI228" s="18"/>
      <c r="YJ228" s="18"/>
      <c r="YK228" s="18"/>
      <c r="YL228" s="18"/>
      <c r="YM228" s="18"/>
      <c r="YN228" s="18"/>
      <c r="YO228" s="18"/>
      <c r="YP228" s="18"/>
      <c r="YQ228" s="18"/>
      <c r="YR228" s="18"/>
      <c r="YS228" s="18"/>
      <c r="YT228" s="18"/>
      <c r="YU228" s="18"/>
      <c r="YV228" s="18"/>
      <c r="YW228" s="18"/>
      <c r="YX228" s="18"/>
      <c r="YY228" s="18"/>
      <c r="YZ228" s="18"/>
      <c r="ZA228" s="18"/>
      <c r="ZB228" s="18"/>
      <c r="ZC228" s="18"/>
      <c r="ZD228" s="18"/>
      <c r="ZE228" s="18"/>
      <c r="ZF228" s="18"/>
      <c r="ZG228" s="18"/>
      <c r="ZH228" s="18"/>
      <c r="ZI228" s="18"/>
      <c r="ZJ228" s="18"/>
      <c r="ZK228" s="18"/>
      <c r="ZL228" s="18"/>
      <c r="ZM228" s="18"/>
      <c r="ZN228" s="18"/>
      <c r="ZO228" s="18"/>
      <c r="ZP228" s="18"/>
      <c r="ZQ228" s="18"/>
      <c r="ZR228" s="18"/>
      <c r="ZS228" s="18"/>
      <c r="ZT228" s="18"/>
      <c r="ZU228" s="18"/>
      <c r="ZV228" s="18"/>
      <c r="ZW228" s="18"/>
      <c r="ZX228" s="18"/>
      <c r="ZY228" s="18"/>
      <c r="ZZ228" s="18"/>
      <c r="AAA228" s="18"/>
      <c r="AAB228" s="18"/>
      <c r="AAC228" s="18"/>
      <c r="AAD228" s="18"/>
      <c r="AAE228" s="18"/>
      <c r="AAF228" s="18"/>
      <c r="AAG228" s="18"/>
      <c r="AAH228" s="18"/>
      <c r="AAI228" s="18"/>
      <c r="AAJ228" s="18"/>
      <c r="AAK228" s="18"/>
      <c r="AAL228" s="18"/>
      <c r="AAM228" s="18"/>
      <c r="AAN228" s="18"/>
      <c r="AAO228" s="18"/>
      <c r="AAP228" s="18"/>
      <c r="AAQ228" s="18"/>
      <c r="AAR228" s="18"/>
      <c r="AAS228" s="18"/>
      <c r="AAT228" s="18"/>
      <c r="AAU228" s="18"/>
      <c r="AAV228" s="18"/>
      <c r="AAW228" s="18"/>
      <c r="AAX228" s="18"/>
      <c r="AAY228" s="18"/>
      <c r="AAZ228" s="18"/>
      <c r="ABA228" s="18"/>
      <c r="ABB228" s="18"/>
      <c r="ABC228" s="18"/>
      <c r="ABD228" s="18"/>
      <c r="ABE228" s="18"/>
      <c r="ABF228" s="18"/>
      <c r="ABG228" s="18"/>
      <c r="ABH228" s="18"/>
      <c r="ABI228" s="18"/>
      <c r="ABJ228" s="18"/>
      <c r="ABK228" s="18"/>
      <c r="ABL228" s="18"/>
      <c r="ABM228" s="18"/>
      <c r="ABN228" s="18"/>
      <c r="ABO228" s="18"/>
      <c r="ABP228" s="18"/>
      <c r="ABQ228" s="18"/>
      <c r="ABR228" s="18"/>
      <c r="ABS228" s="18"/>
      <c r="ABT228" s="18"/>
      <c r="ABU228" s="18"/>
      <c r="ABV228" s="18"/>
      <c r="ABW228" s="18"/>
      <c r="ABX228" s="18"/>
      <c r="ABY228" s="18"/>
      <c r="ABZ228" s="18"/>
      <c r="ACA228" s="18"/>
      <c r="ACB228" s="18"/>
      <c r="ACC228" s="18"/>
      <c r="ACD228" s="18"/>
      <c r="ACE228" s="18"/>
      <c r="ACF228" s="18"/>
      <c r="ACG228" s="18"/>
      <c r="ACH228" s="18"/>
      <c r="ACI228" s="18"/>
      <c r="ACJ228" s="18"/>
      <c r="ACK228" s="18"/>
      <c r="ACL228" s="18"/>
      <c r="ACM228" s="18"/>
      <c r="ACN228" s="18"/>
      <c r="ACO228" s="18"/>
      <c r="ACP228" s="18"/>
      <c r="ACQ228" s="18"/>
      <c r="ACR228" s="18"/>
      <c r="ACS228" s="18"/>
      <c r="ACT228" s="18"/>
      <c r="ACU228" s="18"/>
      <c r="ACV228" s="18"/>
      <c r="ACW228" s="18"/>
      <c r="ACX228" s="18"/>
      <c r="ACY228" s="18"/>
      <c r="ACZ228" s="18"/>
      <c r="ADA228" s="18"/>
      <c r="ADB228" s="18"/>
      <c r="ADC228" s="18"/>
      <c r="ADD228" s="18"/>
      <c r="ADE228" s="18"/>
      <c r="ADF228" s="18"/>
      <c r="ADG228" s="18"/>
      <c r="ADH228" s="18"/>
      <c r="ADI228" s="18"/>
      <c r="ADJ228" s="18"/>
      <c r="ADK228" s="18"/>
      <c r="ADL228" s="18"/>
      <c r="ADM228" s="18"/>
      <c r="ADN228" s="18"/>
      <c r="ADO228" s="18"/>
      <c r="ADP228" s="18"/>
      <c r="ADQ228" s="18"/>
      <c r="ADR228" s="18"/>
      <c r="ADS228" s="18"/>
      <c r="ADT228" s="18"/>
      <c r="ADU228" s="18"/>
      <c r="ADV228" s="18"/>
      <c r="ADW228" s="18"/>
      <c r="ADX228" s="18"/>
      <c r="ADY228" s="18"/>
      <c r="ADZ228" s="18"/>
      <c r="AEA228" s="18"/>
      <c r="AEB228" s="18"/>
      <c r="AEC228" s="18"/>
      <c r="AED228" s="18"/>
      <c r="AEE228" s="18"/>
      <c r="AEF228" s="18"/>
      <c r="AEG228" s="18"/>
      <c r="AEH228" s="18"/>
      <c r="AEI228" s="18"/>
      <c r="AEJ228" s="18"/>
      <c r="AEK228" s="18"/>
      <c r="AEL228" s="18"/>
      <c r="AEM228" s="18"/>
      <c r="AEN228" s="18"/>
      <c r="AEO228" s="18"/>
      <c r="AEP228" s="18"/>
      <c r="AEQ228" s="18"/>
      <c r="AER228" s="18"/>
      <c r="AES228" s="18"/>
      <c r="AET228" s="18"/>
      <c r="AEU228" s="18"/>
      <c r="AEV228" s="18"/>
      <c r="AEW228" s="18"/>
      <c r="AEX228" s="18"/>
      <c r="AEY228" s="18"/>
      <c r="AEZ228" s="18"/>
      <c r="AFA228" s="18"/>
      <c r="AFB228" s="18"/>
      <c r="AFC228" s="18"/>
      <c r="AFD228" s="18"/>
      <c r="AFE228" s="18"/>
      <c r="AFF228" s="18"/>
      <c r="AFG228" s="18"/>
      <c r="AFH228" s="18"/>
      <c r="AFI228" s="18"/>
      <c r="AFJ228" s="18"/>
      <c r="AFK228" s="18"/>
      <c r="AFL228" s="18"/>
      <c r="AFM228" s="18"/>
      <c r="AFN228" s="18"/>
      <c r="AFO228" s="18"/>
      <c r="AFP228" s="18"/>
      <c r="AFQ228" s="18"/>
      <c r="AFR228" s="18"/>
      <c r="AFS228" s="18"/>
      <c r="AFT228" s="18"/>
      <c r="AFU228" s="18"/>
      <c r="AFV228" s="18"/>
      <c r="AFW228" s="18"/>
      <c r="AFX228" s="18"/>
      <c r="AFY228" s="18"/>
      <c r="AFZ228" s="18"/>
      <c r="AGA228" s="18"/>
      <c r="AGB228" s="18"/>
      <c r="AGC228" s="18"/>
      <c r="AGD228" s="18"/>
      <c r="AGE228" s="18"/>
      <c r="AGF228" s="18"/>
      <c r="AGG228" s="18"/>
      <c r="AGH228" s="18"/>
      <c r="AGI228" s="18"/>
      <c r="AGJ228" s="18"/>
      <c r="AGK228" s="18"/>
      <c r="AGL228" s="18"/>
      <c r="AGM228" s="18"/>
      <c r="AGN228" s="18"/>
      <c r="AGO228" s="18"/>
      <c r="AGP228" s="18"/>
      <c r="AGQ228" s="18"/>
      <c r="AGR228" s="18"/>
      <c r="AGS228" s="18"/>
      <c r="AGT228" s="18"/>
      <c r="AGU228" s="18"/>
      <c r="AGV228" s="18"/>
      <c r="AGW228" s="18"/>
      <c r="AGX228" s="18"/>
      <c r="AGY228" s="18"/>
      <c r="AGZ228" s="18"/>
      <c r="AHA228" s="18"/>
      <c r="AHB228" s="18"/>
      <c r="AHC228" s="18"/>
      <c r="AHD228" s="18"/>
      <c r="AHE228" s="18"/>
      <c r="AHF228" s="18"/>
      <c r="AHG228" s="18"/>
      <c r="AHH228" s="18"/>
      <c r="AHI228" s="18"/>
      <c r="AHJ228" s="18"/>
      <c r="AHK228" s="18"/>
      <c r="AHL228" s="18"/>
      <c r="AHM228" s="18"/>
      <c r="AHN228" s="18"/>
      <c r="AHO228" s="18"/>
      <c r="AHP228" s="18"/>
      <c r="AHQ228" s="18"/>
      <c r="AHR228" s="18"/>
      <c r="AHS228" s="18"/>
      <c r="AHT228" s="18"/>
      <c r="AHU228" s="18"/>
      <c r="AHV228" s="18"/>
      <c r="AHW228" s="18"/>
      <c r="AHX228" s="18"/>
      <c r="AHY228" s="18"/>
      <c r="AHZ228" s="18"/>
      <c r="AIA228" s="18"/>
      <c r="AIB228" s="18"/>
      <c r="AIC228" s="18"/>
      <c r="AID228" s="18"/>
      <c r="AIE228" s="18"/>
      <c r="AIF228" s="18"/>
      <c r="AIG228" s="18"/>
      <c r="AIH228" s="18"/>
      <c r="AII228" s="18"/>
      <c r="AIJ228" s="18"/>
      <c r="AIK228" s="18"/>
      <c r="AIL228" s="18"/>
      <c r="AIM228" s="18"/>
      <c r="AIN228" s="18"/>
      <c r="AIO228" s="18"/>
      <c r="AIP228" s="18"/>
      <c r="AIQ228" s="18"/>
      <c r="AIR228" s="18"/>
      <c r="AIS228" s="18"/>
      <c r="AIT228" s="18"/>
      <c r="AIU228" s="18"/>
      <c r="AIV228" s="18"/>
      <c r="AIW228" s="18"/>
      <c r="AIX228" s="18"/>
      <c r="AIY228" s="18"/>
      <c r="AIZ228" s="18"/>
      <c r="AJA228" s="18"/>
      <c r="AJB228" s="18"/>
      <c r="AJC228" s="18"/>
      <c r="AJD228" s="18"/>
      <c r="AJE228" s="18"/>
      <c r="AJF228" s="18"/>
      <c r="AJG228" s="18"/>
      <c r="AJH228" s="18"/>
      <c r="AJI228" s="18"/>
      <c r="AJJ228" s="18"/>
      <c r="AJK228" s="18"/>
      <c r="AJL228" s="18"/>
      <c r="AJM228" s="18"/>
      <c r="AJN228" s="18"/>
      <c r="AJO228" s="18"/>
      <c r="AJP228" s="18"/>
      <c r="AJQ228" s="18"/>
      <c r="AJR228" s="18"/>
      <c r="AJS228" s="18"/>
      <c r="AJT228" s="18"/>
      <c r="AJU228" s="18"/>
      <c r="AJV228" s="18"/>
      <c r="AJW228" s="18"/>
      <c r="AJX228" s="18"/>
      <c r="AJY228" s="18"/>
      <c r="AJZ228" s="18"/>
      <c r="AKA228" s="18"/>
      <c r="AKB228" s="18"/>
      <c r="AKC228" s="18"/>
      <c r="AKD228" s="18"/>
      <c r="AKE228" s="18"/>
      <c r="AKF228" s="18"/>
      <c r="AKG228" s="18"/>
      <c r="AKH228" s="18"/>
      <c r="AKI228" s="18"/>
      <c r="AKJ228" s="18"/>
      <c r="AKK228" s="18"/>
      <c r="AKL228" s="18"/>
      <c r="AKM228" s="18"/>
      <c r="AKN228" s="18"/>
      <c r="AKO228" s="18"/>
      <c r="AKP228" s="18"/>
      <c r="AKQ228" s="18"/>
      <c r="AKR228" s="18"/>
      <c r="AKS228" s="18"/>
      <c r="AKT228" s="18"/>
      <c r="AKU228" s="18"/>
      <c r="AKV228" s="18"/>
      <c r="AKW228" s="18"/>
      <c r="AKX228" s="18"/>
      <c r="AKY228" s="18"/>
      <c r="AKZ228" s="18"/>
      <c r="ALA228" s="18"/>
      <c r="ALB228" s="18"/>
      <c r="ALC228" s="18"/>
      <c r="ALD228" s="18"/>
      <c r="ALE228" s="18"/>
      <c r="ALF228" s="18"/>
      <c r="ALG228" s="18"/>
      <c r="ALH228" s="18"/>
      <c r="ALI228" s="18"/>
      <c r="ALJ228" s="18"/>
      <c r="ALK228" s="18"/>
      <c r="ALL228" s="18"/>
      <c r="ALM228" s="18"/>
      <c r="ALN228" s="18"/>
      <c r="ALO228" s="18"/>
      <c r="ALP228" s="18"/>
      <c r="ALQ228" s="18"/>
      <c r="ALR228" s="18"/>
      <c r="ALS228" s="18"/>
      <c r="ALT228" s="18"/>
      <c r="ALU228" s="18"/>
      <c r="ALV228" s="18"/>
      <c r="ALW228" s="18"/>
      <c r="ALX228" s="18"/>
      <c r="ALY228" s="18"/>
      <c r="ALZ228" s="18"/>
      <c r="AMA228" s="18"/>
      <c r="AMB228" s="18"/>
      <c r="AMC228" s="18"/>
      <c r="AMD228" s="18"/>
      <c r="AME228" s="18"/>
      <c r="AMF228" s="18"/>
      <c r="AMG228" s="18"/>
      <c r="AMH228" s="18"/>
      <c r="AMI228" s="18"/>
      <c r="AMJ228" s="18"/>
      <c r="AMK228" s="18"/>
      <c r="AML228" s="18"/>
      <c r="AMM228" s="18"/>
      <c r="AMN228" s="18"/>
      <c r="AMO228" s="18"/>
      <c r="AMP228" s="18"/>
      <c r="AMQ228" s="18"/>
      <c r="AMR228" s="18"/>
      <c r="AMS228" s="18"/>
      <c r="AMT228" s="18"/>
      <c r="AMU228" s="18"/>
      <c r="AMV228" s="18"/>
      <c r="AMW228" s="18"/>
      <c r="AMX228" s="18"/>
      <c r="AMY228" s="18"/>
      <c r="AMZ228" s="18"/>
      <c r="ANA228" s="18"/>
      <c r="ANB228" s="18"/>
      <c r="ANC228" s="18"/>
      <c r="AND228" s="18"/>
      <c r="ANE228" s="18"/>
      <c r="ANF228" s="18"/>
      <c r="ANG228" s="18"/>
      <c r="ANH228" s="18"/>
      <c r="ANI228" s="18"/>
      <c r="ANJ228" s="18"/>
      <c r="ANK228" s="18"/>
      <c r="ANL228" s="18"/>
      <c r="ANM228" s="18"/>
      <c r="ANN228" s="18"/>
      <c r="ANO228" s="18"/>
      <c r="ANP228" s="18"/>
      <c r="ANQ228" s="18"/>
      <c r="ANR228" s="18"/>
      <c r="ANS228" s="18"/>
      <c r="ANT228" s="18"/>
      <c r="ANU228" s="18"/>
      <c r="ANV228" s="18"/>
      <c r="ANW228" s="18"/>
      <c r="ANX228" s="18"/>
      <c r="ANY228" s="18"/>
      <c r="ANZ228" s="18"/>
      <c r="AOA228" s="18"/>
      <c r="AOB228" s="18"/>
      <c r="AOC228" s="18"/>
      <c r="AOD228" s="18"/>
      <c r="AOE228" s="18"/>
      <c r="AOF228" s="18"/>
      <c r="AOG228" s="18"/>
      <c r="AOH228" s="18"/>
      <c r="AOI228" s="18"/>
      <c r="AOJ228" s="18"/>
      <c r="AOK228" s="18"/>
      <c r="AOL228" s="18"/>
      <c r="AOM228" s="18"/>
      <c r="AON228" s="18"/>
      <c r="AOO228" s="18"/>
      <c r="AOP228" s="18"/>
      <c r="AOQ228" s="18"/>
      <c r="AOR228" s="18"/>
      <c r="AOS228" s="18"/>
      <c r="AOT228" s="18"/>
      <c r="AOU228" s="18"/>
      <c r="AOV228" s="18"/>
      <c r="AOW228" s="18"/>
      <c r="AOX228" s="18"/>
      <c r="AOY228" s="18"/>
      <c r="AOZ228" s="18"/>
      <c r="APA228" s="18"/>
      <c r="APB228" s="18"/>
      <c r="APC228" s="18"/>
      <c r="APD228" s="18"/>
      <c r="APE228" s="18"/>
      <c r="APF228" s="18"/>
      <c r="APG228" s="18"/>
      <c r="APH228" s="18"/>
      <c r="API228" s="18"/>
      <c r="APJ228" s="18"/>
      <c r="APK228" s="18"/>
      <c r="APL228" s="18"/>
      <c r="APM228" s="18"/>
      <c r="APN228" s="18"/>
      <c r="APO228" s="18"/>
      <c r="APP228" s="18"/>
      <c r="APQ228" s="18"/>
      <c r="APR228" s="18"/>
      <c r="APS228" s="18"/>
      <c r="APT228" s="18"/>
      <c r="APU228" s="18"/>
      <c r="APV228" s="18"/>
      <c r="APW228" s="18"/>
      <c r="APX228" s="18"/>
      <c r="APY228" s="18"/>
      <c r="APZ228" s="18"/>
      <c r="AQA228" s="18"/>
      <c r="AQB228" s="18"/>
      <c r="AQC228" s="18"/>
      <c r="AQD228" s="18"/>
      <c r="AQE228" s="18"/>
      <c r="AQF228" s="18"/>
      <c r="AQG228" s="18"/>
      <c r="AQH228" s="18"/>
      <c r="AQI228" s="18"/>
      <c r="AQJ228" s="18"/>
      <c r="AQK228" s="18"/>
      <c r="AQL228" s="18"/>
      <c r="AQM228" s="18"/>
      <c r="AQN228" s="18"/>
      <c r="AQO228" s="18"/>
      <c r="AQP228" s="18"/>
      <c r="AQQ228" s="18"/>
      <c r="AQR228" s="18"/>
      <c r="AQS228" s="18"/>
      <c r="AQT228" s="18"/>
      <c r="AQU228" s="18"/>
      <c r="AQV228" s="18"/>
      <c r="AQW228" s="18"/>
      <c r="AQX228" s="18"/>
      <c r="AQY228" s="18"/>
      <c r="AQZ228" s="18"/>
      <c r="ARA228" s="18"/>
      <c r="ARB228" s="18"/>
      <c r="ARC228" s="18"/>
      <c r="ARD228" s="18"/>
      <c r="ARE228" s="18"/>
      <c r="ARF228" s="18"/>
      <c r="ARG228" s="18"/>
      <c r="ARH228" s="18"/>
      <c r="ARI228" s="18"/>
      <c r="ARJ228" s="18"/>
      <c r="ARK228" s="18"/>
      <c r="ARL228" s="18"/>
      <c r="ARM228" s="18"/>
      <c r="ARN228" s="18"/>
      <c r="ARO228" s="18"/>
      <c r="ARP228" s="18"/>
      <c r="ARQ228" s="18"/>
      <c r="ARR228" s="18"/>
      <c r="ARS228" s="18"/>
      <c r="ART228" s="18"/>
      <c r="ARU228" s="18"/>
      <c r="ARV228" s="18"/>
      <c r="ARW228" s="18"/>
      <c r="ARX228" s="18"/>
      <c r="ARY228" s="18"/>
      <c r="ARZ228" s="18"/>
      <c r="ASA228" s="18"/>
      <c r="ASB228" s="18"/>
      <c r="ASC228" s="18"/>
      <c r="ASD228" s="18"/>
      <c r="ASE228" s="18"/>
      <c r="ASF228" s="18"/>
      <c r="ASG228" s="18"/>
      <c r="ASH228" s="18"/>
      <c r="ASI228" s="18"/>
      <c r="ASJ228" s="18"/>
      <c r="ASK228" s="18"/>
      <c r="ASL228" s="18"/>
      <c r="ASM228" s="18"/>
      <c r="ASN228" s="18"/>
      <c r="ASO228" s="18"/>
      <c r="ASP228" s="18"/>
      <c r="ASQ228" s="18"/>
      <c r="ASR228" s="18"/>
      <c r="ASS228" s="18"/>
      <c r="AST228" s="18"/>
      <c r="ASU228" s="18"/>
      <c r="ASV228" s="18"/>
      <c r="ASW228" s="18"/>
      <c r="ASX228" s="18"/>
      <c r="ASY228" s="18"/>
      <c r="ASZ228" s="18"/>
      <c r="ATA228" s="18"/>
      <c r="ATB228" s="18"/>
      <c r="ATC228" s="18"/>
      <c r="ATD228" s="18"/>
      <c r="ATE228" s="18"/>
      <c r="ATF228" s="18"/>
      <c r="ATG228" s="18"/>
      <c r="ATH228" s="18"/>
      <c r="ATI228" s="18"/>
      <c r="ATJ228" s="18"/>
      <c r="ATK228" s="18"/>
      <c r="ATL228" s="18"/>
      <c r="ATM228" s="18"/>
      <c r="ATN228" s="18"/>
      <c r="ATO228" s="18"/>
      <c r="ATP228" s="18"/>
      <c r="ATQ228" s="18"/>
      <c r="ATR228" s="18"/>
      <c r="ATS228" s="18"/>
      <c r="ATT228" s="18"/>
      <c r="ATU228" s="18"/>
      <c r="ATV228" s="18"/>
      <c r="ATW228" s="18"/>
      <c r="ATX228" s="18"/>
      <c r="ATY228" s="18"/>
      <c r="ATZ228" s="18"/>
      <c r="AUA228" s="18"/>
      <c r="AUB228" s="18"/>
      <c r="AUC228" s="18"/>
      <c r="AUD228" s="18"/>
      <c r="AUE228" s="18"/>
      <c r="AUF228" s="18"/>
      <c r="AUG228" s="18"/>
      <c r="AUH228" s="18"/>
      <c r="AUI228" s="18"/>
      <c r="AUJ228" s="18"/>
      <c r="AUK228" s="18"/>
      <c r="AUL228" s="18"/>
      <c r="AUM228" s="18"/>
      <c r="AUN228" s="18"/>
      <c r="AUO228" s="18"/>
      <c r="AUP228" s="18"/>
      <c r="AUQ228" s="18"/>
      <c r="AUR228" s="18"/>
      <c r="AUS228" s="18"/>
      <c r="AUT228" s="18"/>
      <c r="AUU228" s="18"/>
      <c r="AUV228" s="18"/>
      <c r="AUW228" s="18"/>
      <c r="AUX228" s="18"/>
      <c r="AUY228" s="18"/>
      <c r="AUZ228" s="18"/>
      <c r="AVA228" s="18"/>
      <c r="AVB228" s="18"/>
      <c r="AVC228" s="18"/>
      <c r="AVD228" s="18"/>
      <c r="AVE228" s="18"/>
      <c r="AVF228" s="18"/>
      <c r="AVG228" s="18"/>
      <c r="AVH228" s="18"/>
      <c r="AVI228" s="18"/>
      <c r="AVJ228" s="18"/>
      <c r="AVK228" s="18"/>
      <c r="AVL228" s="18"/>
      <c r="AVM228" s="18"/>
      <c r="AVN228" s="18"/>
      <c r="AVO228" s="18"/>
      <c r="AVP228" s="18"/>
      <c r="AVQ228" s="18"/>
      <c r="AVR228" s="18"/>
      <c r="AVS228" s="18"/>
      <c r="AVT228" s="18"/>
      <c r="AVU228" s="18"/>
      <c r="AVV228" s="18"/>
      <c r="AVW228" s="18"/>
      <c r="AVX228" s="18"/>
      <c r="AVY228" s="18"/>
      <c r="AVZ228" s="18"/>
      <c r="AWA228" s="18"/>
      <c r="AWB228" s="18"/>
      <c r="AWC228" s="18"/>
      <c r="AWD228" s="18"/>
      <c r="AWE228" s="18"/>
      <c r="AWF228" s="18"/>
      <c r="AWG228" s="18"/>
      <c r="AWH228" s="18"/>
      <c r="AWI228" s="18"/>
      <c r="AWJ228" s="18"/>
      <c r="AWK228" s="18"/>
      <c r="AWL228" s="18"/>
      <c r="AWM228" s="18"/>
      <c r="AWN228" s="18"/>
      <c r="AWO228" s="18"/>
      <c r="AWP228" s="18"/>
      <c r="AWQ228" s="18"/>
      <c r="AWR228" s="18"/>
      <c r="AWS228" s="18"/>
      <c r="AWT228" s="18"/>
      <c r="AWU228" s="18"/>
      <c r="AWV228" s="18"/>
      <c r="AWW228" s="18"/>
      <c r="AWX228" s="18"/>
      <c r="AWY228" s="18"/>
      <c r="AWZ228" s="18"/>
      <c r="AXA228" s="18"/>
      <c r="AXB228" s="18"/>
      <c r="AXC228" s="18"/>
      <c r="AXD228" s="18"/>
      <c r="AXE228" s="18"/>
      <c r="AXF228" s="18"/>
      <c r="AXG228" s="18"/>
      <c r="AXH228" s="18"/>
      <c r="AXI228" s="18"/>
      <c r="AXJ228" s="18"/>
      <c r="AXK228" s="18"/>
      <c r="AXL228" s="18"/>
      <c r="AXM228" s="18"/>
      <c r="AXN228" s="18"/>
      <c r="AXO228" s="18"/>
      <c r="AXP228" s="18"/>
      <c r="AXQ228" s="18"/>
      <c r="AXR228" s="18"/>
      <c r="AXS228" s="18"/>
      <c r="AXT228" s="18"/>
      <c r="AXU228" s="18"/>
      <c r="AXV228" s="18"/>
      <c r="AXW228" s="18"/>
      <c r="AXX228" s="18"/>
      <c r="AXY228" s="18"/>
      <c r="AXZ228" s="18"/>
      <c r="AYA228" s="18"/>
      <c r="AYB228" s="18"/>
      <c r="AYC228" s="18"/>
      <c r="AYD228" s="18"/>
      <c r="AYE228" s="18"/>
      <c r="AYF228" s="18"/>
      <c r="AYG228" s="18"/>
      <c r="AYH228" s="18"/>
      <c r="AYI228" s="18"/>
      <c r="AYJ228" s="18"/>
      <c r="AYK228" s="18"/>
      <c r="AYL228" s="18"/>
      <c r="AYM228" s="18"/>
      <c r="AYN228" s="18"/>
      <c r="AYO228" s="18"/>
      <c r="AYP228" s="18"/>
      <c r="AYQ228" s="18"/>
      <c r="AYR228" s="18"/>
      <c r="AYS228" s="18"/>
      <c r="AYT228" s="18"/>
      <c r="AYU228" s="18"/>
      <c r="AYV228" s="18"/>
      <c r="AYW228" s="18"/>
      <c r="AYX228" s="18"/>
      <c r="AYY228" s="18"/>
      <c r="AYZ228" s="18"/>
      <c r="AZA228" s="18"/>
      <c r="AZB228" s="18"/>
      <c r="AZC228" s="18"/>
      <c r="AZD228" s="18"/>
      <c r="AZE228" s="18"/>
      <c r="AZF228" s="18"/>
      <c r="AZG228" s="18"/>
      <c r="AZH228" s="18"/>
      <c r="AZI228" s="18"/>
      <c r="AZJ228" s="18"/>
      <c r="AZK228" s="18"/>
      <c r="AZL228" s="18"/>
      <c r="AZM228" s="18"/>
      <c r="AZN228" s="18"/>
      <c r="AZO228" s="18"/>
      <c r="AZP228" s="18"/>
      <c r="AZQ228" s="18"/>
      <c r="AZR228" s="18"/>
      <c r="AZS228" s="18"/>
      <c r="AZT228" s="18"/>
      <c r="AZU228" s="18"/>
      <c r="AZV228" s="18"/>
      <c r="AZW228" s="18"/>
      <c r="AZX228" s="18"/>
      <c r="AZY228" s="18"/>
      <c r="AZZ228" s="18"/>
      <c r="BAA228" s="18"/>
      <c r="BAB228" s="18"/>
      <c r="BAC228" s="18"/>
      <c r="BAD228" s="18"/>
      <c r="BAE228" s="18"/>
      <c r="BAF228" s="18"/>
      <c r="BAG228" s="18"/>
      <c r="BAH228" s="18"/>
      <c r="BAI228" s="18"/>
      <c r="BAJ228" s="18"/>
      <c r="BAK228" s="18"/>
      <c r="BAL228" s="18"/>
      <c r="BAM228" s="18"/>
      <c r="BAN228" s="18"/>
      <c r="BAO228" s="18"/>
      <c r="BAP228" s="18"/>
      <c r="BAQ228" s="18"/>
      <c r="BAR228" s="18"/>
      <c r="BAS228" s="18"/>
      <c r="BAT228" s="18"/>
      <c r="BAU228" s="18"/>
      <c r="BAV228" s="18"/>
      <c r="BAW228" s="18"/>
      <c r="BAX228" s="18"/>
      <c r="BAY228" s="18"/>
      <c r="BAZ228" s="18"/>
      <c r="BBA228" s="18"/>
      <c r="BBB228" s="18"/>
      <c r="BBC228" s="18"/>
      <c r="BBD228" s="18"/>
      <c r="BBE228" s="18"/>
      <c r="BBF228" s="18"/>
      <c r="BBG228" s="18"/>
      <c r="BBH228" s="18"/>
      <c r="BBI228" s="18"/>
      <c r="BBJ228" s="18"/>
      <c r="BBK228" s="18"/>
      <c r="BBL228" s="18"/>
      <c r="BBM228" s="18"/>
      <c r="BBN228" s="18"/>
      <c r="BBO228" s="18"/>
      <c r="BBP228" s="18"/>
      <c r="BBQ228" s="18"/>
      <c r="BBR228" s="18"/>
      <c r="BBS228" s="18"/>
      <c r="BBT228" s="18"/>
      <c r="BBU228" s="18"/>
      <c r="BBV228" s="18"/>
      <c r="BBW228" s="18"/>
      <c r="BBX228" s="18"/>
      <c r="BBY228" s="18"/>
      <c r="BBZ228" s="18"/>
      <c r="BCA228" s="18"/>
      <c r="BCB228" s="18"/>
      <c r="BCC228" s="18"/>
      <c r="BCD228" s="18"/>
      <c r="BCE228" s="18"/>
      <c r="BCF228" s="18"/>
      <c r="BCG228" s="18"/>
      <c r="BCH228" s="18"/>
      <c r="BCI228" s="18"/>
      <c r="BCJ228" s="18"/>
      <c r="BCK228" s="18"/>
      <c r="BCL228" s="18"/>
      <c r="BCM228" s="18"/>
      <c r="BCN228" s="18"/>
      <c r="BCO228" s="18"/>
      <c r="BCP228" s="18"/>
      <c r="BCQ228" s="18"/>
      <c r="BCR228" s="18"/>
      <c r="BCS228" s="18"/>
      <c r="BCT228" s="18"/>
      <c r="BCU228" s="18"/>
      <c r="BCV228" s="18"/>
      <c r="BCW228" s="18"/>
      <c r="BCX228" s="18"/>
      <c r="BCY228" s="18"/>
      <c r="BCZ228" s="18"/>
      <c r="BDA228" s="18"/>
      <c r="BDB228" s="18"/>
      <c r="BDC228" s="18"/>
      <c r="BDD228" s="18"/>
      <c r="BDE228" s="18"/>
      <c r="BDF228" s="18"/>
      <c r="BDG228" s="18"/>
      <c r="BDH228" s="18"/>
      <c r="BDI228" s="18"/>
      <c r="BDJ228" s="18"/>
      <c r="BDK228" s="18"/>
      <c r="BDL228" s="18"/>
      <c r="BDM228" s="18"/>
      <c r="BDN228" s="18"/>
      <c r="BDO228" s="18"/>
      <c r="BDP228" s="18"/>
      <c r="BDQ228" s="18"/>
      <c r="BDR228" s="18"/>
      <c r="BDS228" s="18"/>
      <c r="BDT228" s="18"/>
      <c r="BDU228" s="18"/>
      <c r="BDV228" s="18"/>
      <c r="BDW228" s="18"/>
      <c r="BDX228" s="18"/>
      <c r="BDY228" s="18"/>
      <c r="BDZ228" s="18"/>
      <c r="BEA228" s="18"/>
      <c r="BEB228" s="18"/>
      <c r="BEC228" s="18"/>
      <c r="BED228" s="18"/>
      <c r="BEE228" s="18"/>
      <c r="BEF228" s="18"/>
      <c r="BEG228" s="18"/>
      <c r="BEH228" s="18"/>
      <c r="BEI228" s="18"/>
      <c r="BEJ228" s="18"/>
      <c r="BEK228" s="18"/>
      <c r="BEL228" s="18"/>
      <c r="BEM228" s="18"/>
      <c r="BEN228" s="18"/>
      <c r="BEO228" s="18"/>
      <c r="BEP228" s="18"/>
      <c r="BEQ228" s="18"/>
      <c r="BER228" s="18"/>
      <c r="BES228" s="18"/>
      <c r="BET228" s="18"/>
      <c r="BEU228" s="18"/>
      <c r="BEV228" s="18"/>
      <c r="BEW228" s="18"/>
      <c r="BEX228" s="18"/>
      <c r="BEY228" s="18"/>
      <c r="BEZ228" s="18"/>
      <c r="BFA228" s="18"/>
      <c r="BFB228" s="18"/>
      <c r="BFC228" s="18"/>
      <c r="BFD228" s="18"/>
      <c r="BFE228" s="18"/>
      <c r="BFF228" s="18"/>
      <c r="BFG228" s="18"/>
      <c r="BFH228" s="18"/>
      <c r="BFI228" s="18"/>
      <c r="BFJ228" s="18"/>
      <c r="BFK228" s="18"/>
      <c r="BFL228" s="18"/>
      <c r="BFM228" s="18"/>
      <c r="BFN228" s="18"/>
      <c r="BFO228" s="18"/>
      <c r="BFP228" s="18"/>
      <c r="BFQ228" s="18"/>
      <c r="BFR228" s="18"/>
      <c r="BFS228" s="18"/>
      <c r="BFT228" s="18"/>
      <c r="BFU228" s="18"/>
      <c r="BFV228" s="18"/>
      <c r="BFW228" s="18"/>
      <c r="BFX228" s="18"/>
      <c r="BFY228" s="18"/>
      <c r="BFZ228" s="18"/>
      <c r="BGA228" s="18"/>
      <c r="BGB228" s="18"/>
      <c r="BGC228" s="18"/>
      <c r="BGD228" s="18"/>
      <c r="BGE228" s="18"/>
      <c r="BGF228" s="18"/>
      <c r="BGG228" s="18"/>
      <c r="BGH228" s="18"/>
      <c r="BGI228" s="18"/>
      <c r="BGJ228" s="18"/>
      <c r="BGK228" s="18"/>
      <c r="BGL228" s="18"/>
      <c r="BGM228" s="18"/>
      <c r="BGN228" s="18"/>
      <c r="BGO228" s="18"/>
      <c r="BGP228" s="18"/>
      <c r="BGQ228" s="18"/>
      <c r="BGR228" s="18"/>
      <c r="BGS228" s="18"/>
      <c r="BGT228" s="18"/>
      <c r="BGU228" s="18"/>
      <c r="BGV228" s="18"/>
      <c r="BGW228" s="18"/>
      <c r="BGX228" s="18"/>
      <c r="BGY228" s="18"/>
      <c r="BGZ228" s="18"/>
      <c r="BHA228" s="18"/>
      <c r="BHB228" s="18"/>
      <c r="BHC228" s="18"/>
      <c r="BHD228" s="18"/>
      <c r="BHE228" s="18"/>
      <c r="BHF228" s="18"/>
      <c r="BHG228" s="18"/>
      <c r="BHH228" s="18"/>
      <c r="BHI228" s="18"/>
      <c r="BHJ228" s="18"/>
      <c r="BHK228" s="18"/>
      <c r="BHL228" s="18"/>
      <c r="BHM228" s="18"/>
      <c r="BHN228" s="18"/>
      <c r="BHO228" s="18"/>
      <c r="BHP228" s="18"/>
      <c r="BHQ228" s="18"/>
      <c r="BHR228" s="18"/>
      <c r="BHS228" s="18"/>
      <c r="BHT228" s="18"/>
      <c r="BHU228" s="18"/>
      <c r="BHV228" s="18"/>
      <c r="BHW228" s="18"/>
      <c r="BHX228" s="18"/>
      <c r="BHY228" s="18"/>
      <c r="BHZ228" s="18"/>
      <c r="BIA228" s="18"/>
      <c r="BIB228" s="18"/>
      <c r="BIC228" s="18"/>
      <c r="BID228" s="18"/>
      <c r="BIE228" s="18"/>
      <c r="BIF228" s="18"/>
      <c r="BIG228" s="18"/>
      <c r="BIH228" s="18"/>
      <c r="BII228" s="18"/>
      <c r="BIJ228" s="18"/>
      <c r="BIK228" s="18"/>
      <c r="BIL228" s="18"/>
      <c r="BIM228" s="18"/>
      <c r="BIN228" s="18"/>
      <c r="BIO228" s="18"/>
      <c r="BIP228" s="18"/>
      <c r="BIQ228" s="18"/>
      <c r="BIR228" s="18"/>
      <c r="BIS228" s="18"/>
      <c r="BIT228" s="18"/>
      <c r="BIU228" s="18"/>
      <c r="BIV228" s="18"/>
      <c r="BIW228" s="18"/>
      <c r="BIX228" s="18"/>
      <c r="BIY228" s="18"/>
      <c r="BIZ228" s="18"/>
      <c r="BJA228" s="18"/>
      <c r="BJB228" s="18"/>
      <c r="BJC228" s="18"/>
      <c r="BJD228" s="18"/>
      <c r="BJE228" s="18"/>
      <c r="BJF228" s="18"/>
      <c r="BJG228" s="18"/>
      <c r="BJH228" s="18"/>
      <c r="BJI228" s="18"/>
      <c r="BJJ228" s="18"/>
      <c r="BJK228" s="18"/>
      <c r="BJL228" s="18"/>
      <c r="BJM228" s="18"/>
      <c r="BJN228" s="18"/>
      <c r="BJO228" s="18"/>
      <c r="BJP228" s="18"/>
      <c r="BJQ228" s="18"/>
      <c r="BJR228" s="18"/>
      <c r="BJS228" s="18"/>
      <c r="BJT228" s="18"/>
      <c r="BJU228" s="18"/>
      <c r="BJV228" s="18"/>
      <c r="BJW228" s="18"/>
      <c r="BJX228" s="18"/>
      <c r="BJY228" s="18"/>
      <c r="BJZ228" s="18"/>
      <c r="BKA228" s="18"/>
      <c r="BKB228" s="18"/>
      <c r="BKC228" s="18"/>
      <c r="BKD228" s="18"/>
      <c r="BKE228" s="18"/>
      <c r="BKF228" s="18"/>
      <c r="BKG228" s="18"/>
      <c r="BKH228" s="18"/>
      <c r="BKI228" s="18"/>
      <c r="BKJ228" s="18"/>
      <c r="BKK228" s="18"/>
      <c r="BKL228" s="18"/>
      <c r="BKM228" s="18"/>
      <c r="BKN228" s="18"/>
      <c r="BKO228" s="18"/>
      <c r="BKP228" s="18"/>
      <c r="BKQ228" s="18"/>
      <c r="BKR228" s="18"/>
      <c r="BKS228" s="18"/>
      <c r="BKT228" s="18"/>
      <c r="BKU228" s="18"/>
      <c r="BKV228" s="18"/>
      <c r="BKW228" s="18"/>
      <c r="BKX228" s="18"/>
      <c r="BKY228" s="18"/>
      <c r="BKZ228" s="18"/>
      <c r="BLA228" s="18"/>
      <c r="BLB228" s="18"/>
      <c r="BLC228" s="18"/>
      <c r="BLD228" s="18"/>
      <c r="BLE228" s="18"/>
      <c r="BLF228" s="18"/>
      <c r="BLG228" s="18"/>
      <c r="BLH228" s="18"/>
      <c r="BLI228" s="18"/>
      <c r="BLJ228" s="18"/>
      <c r="BLK228" s="18"/>
      <c r="BLL228" s="18"/>
      <c r="BLM228" s="18"/>
      <c r="BLN228" s="18"/>
      <c r="BLO228" s="18"/>
      <c r="BLP228" s="18"/>
      <c r="BLQ228" s="18"/>
      <c r="BLR228" s="18"/>
      <c r="BLS228" s="18"/>
      <c r="BLT228" s="18"/>
      <c r="BLU228" s="18"/>
      <c r="BLV228" s="18"/>
      <c r="BLW228" s="18"/>
      <c r="BLX228" s="18"/>
      <c r="BLY228" s="18"/>
      <c r="BLZ228" s="18"/>
      <c r="BMA228" s="18"/>
      <c r="BMB228" s="18"/>
      <c r="BMC228" s="18"/>
      <c r="BMD228" s="18"/>
      <c r="BME228" s="18"/>
      <c r="BMF228" s="18"/>
      <c r="BMG228" s="18"/>
      <c r="BMH228" s="18"/>
      <c r="BMI228" s="18"/>
      <c r="BMJ228" s="18"/>
      <c r="BMK228" s="18"/>
      <c r="BML228" s="18"/>
      <c r="BMM228" s="18"/>
      <c r="BMN228" s="18"/>
      <c r="BMO228" s="18"/>
      <c r="BMP228" s="18"/>
      <c r="BMQ228" s="18"/>
      <c r="BMR228" s="18"/>
      <c r="BMS228" s="18"/>
      <c r="BMT228" s="18"/>
      <c r="BMU228" s="18"/>
      <c r="BMV228" s="18"/>
      <c r="BMW228" s="18"/>
      <c r="BMX228" s="18"/>
      <c r="BMY228" s="18"/>
      <c r="BMZ228" s="18"/>
      <c r="BNA228" s="18"/>
      <c r="BNB228" s="18"/>
      <c r="BNC228" s="18"/>
      <c r="BND228" s="18"/>
      <c r="BNE228" s="18"/>
      <c r="BNF228" s="18"/>
      <c r="BNG228" s="18"/>
      <c r="BNH228" s="18"/>
      <c r="BNI228" s="18"/>
      <c r="BNJ228" s="18"/>
      <c r="BNK228" s="18"/>
      <c r="BNL228" s="18"/>
      <c r="BNM228" s="18"/>
      <c r="BNN228" s="18"/>
      <c r="BNO228" s="18"/>
      <c r="BNP228" s="18"/>
      <c r="BNQ228" s="18"/>
      <c r="BNR228" s="18"/>
      <c r="BNS228" s="18"/>
      <c r="BNT228" s="18"/>
      <c r="BNU228" s="18"/>
      <c r="BNV228" s="18"/>
      <c r="BNW228" s="18"/>
      <c r="BNX228" s="18"/>
      <c r="BNY228" s="18"/>
      <c r="BNZ228" s="18"/>
      <c r="BOA228" s="18"/>
      <c r="BOB228" s="18"/>
      <c r="BOC228" s="18"/>
      <c r="BOD228" s="18"/>
      <c r="BOE228" s="18"/>
      <c r="BOF228" s="18"/>
      <c r="BOG228" s="18"/>
      <c r="BOH228" s="18"/>
      <c r="BOI228" s="18"/>
      <c r="BOJ228" s="18"/>
      <c r="BOK228" s="18"/>
      <c r="BOL228" s="18"/>
      <c r="BOM228" s="18"/>
      <c r="BON228" s="18"/>
      <c r="BOO228" s="18"/>
      <c r="BOP228" s="18"/>
      <c r="BOQ228" s="18"/>
      <c r="BOR228" s="18"/>
      <c r="BOS228" s="18"/>
      <c r="BOT228" s="18"/>
      <c r="BOU228" s="18"/>
      <c r="BOV228" s="18"/>
      <c r="BOW228" s="18"/>
      <c r="BOX228" s="18"/>
      <c r="BOY228" s="18"/>
      <c r="BOZ228" s="18"/>
      <c r="BPA228" s="18"/>
      <c r="BPB228" s="18"/>
      <c r="BPC228" s="18"/>
      <c r="BPD228" s="18"/>
      <c r="BPE228" s="18"/>
      <c r="BPF228" s="18"/>
      <c r="BPG228" s="18"/>
      <c r="BPH228" s="18"/>
      <c r="BPI228" s="18"/>
      <c r="BPJ228" s="18"/>
      <c r="BPK228" s="18"/>
      <c r="BPL228" s="18"/>
      <c r="BPM228" s="18"/>
      <c r="BPN228" s="18"/>
      <c r="BPO228" s="18"/>
      <c r="BPP228" s="18"/>
      <c r="BPQ228" s="18"/>
      <c r="BPR228" s="18"/>
      <c r="BPS228" s="18"/>
      <c r="BPT228" s="18"/>
      <c r="BPU228" s="18"/>
      <c r="BPV228" s="18"/>
      <c r="BPW228" s="18"/>
      <c r="BPX228" s="18"/>
      <c r="BPY228" s="18"/>
      <c r="BPZ228" s="18"/>
      <c r="BQA228" s="18"/>
      <c r="BQB228" s="18"/>
      <c r="BQC228" s="18"/>
      <c r="BQD228" s="18"/>
      <c r="BQE228" s="18"/>
      <c r="BQF228" s="18"/>
      <c r="BQG228" s="18"/>
      <c r="BQH228" s="18"/>
      <c r="BQI228" s="18"/>
      <c r="BQJ228" s="18"/>
      <c r="BQK228" s="18"/>
      <c r="BQL228" s="18"/>
      <c r="BQM228" s="18"/>
      <c r="BQN228" s="18"/>
      <c r="BQO228" s="18"/>
      <c r="BQP228" s="18"/>
      <c r="BQQ228" s="18"/>
      <c r="BQR228" s="18"/>
      <c r="BQS228" s="18"/>
      <c r="BQT228" s="18"/>
      <c r="BQU228" s="18"/>
      <c r="BQV228" s="18"/>
      <c r="BQW228" s="18"/>
      <c r="BQX228" s="18"/>
      <c r="BQY228" s="18"/>
      <c r="BQZ228" s="18"/>
      <c r="BRA228" s="18"/>
      <c r="BRB228" s="18"/>
      <c r="BRC228" s="18"/>
      <c r="BRD228" s="18"/>
      <c r="BRE228" s="18"/>
      <c r="BRF228" s="18"/>
      <c r="BRG228" s="18"/>
      <c r="BRH228" s="18"/>
      <c r="BRI228" s="18"/>
      <c r="BRJ228" s="18"/>
      <c r="BRK228" s="18"/>
      <c r="BRL228" s="18"/>
      <c r="BRM228" s="18"/>
      <c r="BRN228" s="18"/>
      <c r="BRO228" s="18"/>
      <c r="BRP228" s="18"/>
      <c r="BRQ228" s="18"/>
      <c r="BRR228" s="18"/>
      <c r="BRS228" s="18"/>
      <c r="BRT228" s="18"/>
      <c r="BRU228" s="18"/>
      <c r="BRV228" s="18"/>
      <c r="BRW228" s="18"/>
      <c r="BRX228" s="18"/>
      <c r="BRY228" s="18"/>
      <c r="BRZ228" s="18"/>
      <c r="BSA228" s="18"/>
      <c r="BSB228" s="18"/>
      <c r="BSC228" s="18"/>
      <c r="BSD228" s="18"/>
      <c r="BSE228" s="18"/>
      <c r="BSF228" s="18"/>
      <c r="BSG228" s="18"/>
      <c r="BSH228" s="18"/>
      <c r="BSI228" s="18"/>
      <c r="BSJ228" s="18"/>
      <c r="BSK228" s="18"/>
      <c r="BSL228" s="18"/>
      <c r="BSM228" s="18"/>
      <c r="BSN228" s="18"/>
      <c r="BSO228" s="18"/>
      <c r="BSP228" s="18"/>
      <c r="BSQ228" s="18"/>
      <c r="BSR228" s="18"/>
      <c r="BSS228" s="18"/>
      <c r="BST228" s="18"/>
      <c r="BSU228" s="18"/>
      <c r="BSV228" s="18"/>
      <c r="BSW228" s="18"/>
      <c r="BSX228" s="18"/>
      <c r="BSY228" s="18"/>
      <c r="BSZ228" s="18"/>
      <c r="BTA228" s="18"/>
      <c r="BTB228" s="18"/>
      <c r="BTC228" s="18"/>
      <c r="BTD228" s="18"/>
      <c r="BTE228" s="18"/>
      <c r="BTF228" s="18"/>
      <c r="BTG228" s="18"/>
      <c r="BTH228" s="18"/>
      <c r="BTI228" s="18"/>
    </row>
    <row r="229" spans="1:1881" s="426" customFormat="1" ht="90" customHeight="1" x14ac:dyDescent="0.3">
      <c r="A229" s="100">
        <v>619</v>
      </c>
      <c r="B229" s="373" t="s">
        <v>58</v>
      </c>
      <c r="C229" s="373" t="s">
        <v>347</v>
      </c>
      <c r="D229" s="87" t="s">
        <v>350</v>
      </c>
      <c r="E229" s="371" t="e">
        <f>INDEX('PY1 Data(H)'!$A$1:$BV$265,MATCH('Unit Data from Audit Worksheet'!$A229,'PY1 Data(H)'!$A$1:$A$258,0),MATCH('Unit Data from Audit Worksheet'!$D$2,'PY1 Data(H)'!$A$1:$BV$1,0))</f>
        <v>#N/A</v>
      </c>
      <c r="F229" s="795">
        <v>0</v>
      </c>
      <c r="G229" s="430" t="str">
        <f>IF(ISBLANK(F229),"Please do not leave blank ",IF(F229=H229,"","Please review percentage"))</f>
        <v/>
      </c>
      <c r="H229" s="983">
        <f>ROUND(IFERROR((F228/F227)*100,0),1)</f>
        <v>0</v>
      </c>
      <c r="I229" s="324"/>
      <c r="J229" s="186"/>
      <c r="K229"/>
      <c r="L229" s="547"/>
      <c r="M229"/>
      <c r="N229" s="18"/>
      <c r="O229" s="186"/>
      <c r="P229" s="18"/>
      <c r="Q229" s="18"/>
      <c r="R229" s="18"/>
      <c r="S229" s="18"/>
      <c r="T229" s="18"/>
      <c r="U229" s="18"/>
      <c r="V229" s="18"/>
      <c r="W229" s="18"/>
      <c r="X229" s="18"/>
      <c r="Y229" s="18"/>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8"/>
      <c r="ER229" s="18"/>
      <c r="ES229" s="18"/>
      <c r="ET229" s="18"/>
      <c r="EU229" s="18"/>
      <c r="EV229" s="18"/>
      <c r="EW229" s="18"/>
      <c r="EX229" s="18"/>
      <c r="EY229" s="18"/>
      <c r="EZ229" s="18"/>
      <c r="FA229" s="18"/>
      <c r="FB229" s="18"/>
      <c r="FC229" s="18"/>
      <c r="FD229" s="18"/>
      <c r="FE229" s="18"/>
      <c r="FF229" s="18"/>
      <c r="FG229" s="18"/>
      <c r="FH229" s="18"/>
      <c r="FI229" s="18"/>
      <c r="FJ229" s="18"/>
      <c r="FK229" s="18"/>
      <c r="FL229" s="18"/>
      <c r="FM229" s="18"/>
      <c r="FN229" s="18"/>
      <c r="FO229" s="18"/>
      <c r="FP229" s="18"/>
      <c r="FQ229" s="18"/>
      <c r="FR229" s="18"/>
      <c r="FS229" s="18"/>
      <c r="FT229" s="18"/>
      <c r="FU229" s="18"/>
      <c r="FV229" s="18"/>
      <c r="FW229" s="18"/>
      <c r="FX229" s="18"/>
      <c r="FY229" s="18"/>
      <c r="FZ229" s="18"/>
      <c r="GA229" s="18"/>
      <c r="GB229" s="18"/>
      <c r="GC229" s="18"/>
      <c r="GD229" s="18"/>
      <c r="GE229" s="18"/>
      <c r="GF229" s="18"/>
      <c r="GG229" s="18"/>
      <c r="GH229" s="18"/>
      <c r="GI229" s="18"/>
      <c r="GJ229" s="18"/>
      <c r="GK229" s="18"/>
      <c r="GL229" s="18"/>
      <c r="GM229" s="18"/>
      <c r="GN229" s="18"/>
      <c r="GO229" s="18"/>
      <c r="GP229" s="18"/>
      <c r="GQ229" s="18"/>
      <c r="GR229" s="18"/>
      <c r="GS229" s="18"/>
      <c r="GT229" s="18"/>
      <c r="GU229" s="18"/>
      <c r="GV229" s="18"/>
      <c r="GW229" s="18"/>
      <c r="GX229" s="18"/>
      <c r="GY229" s="18"/>
      <c r="GZ229" s="18"/>
      <c r="HA229" s="18"/>
      <c r="HB229" s="18"/>
      <c r="HC229" s="18"/>
      <c r="HD229" s="18"/>
      <c r="HE229" s="18"/>
      <c r="HF229" s="18"/>
      <c r="HG229" s="18"/>
      <c r="HH229" s="18"/>
      <c r="HI229" s="18"/>
      <c r="HJ229" s="18"/>
      <c r="HK229" s="18"/>
      <c r="HL229" s="18"/>
      <c r="HM229" s="18"/>
      <c r="HN229" s="18"/>
      <c r="HO229" s="18"/>
      <c r="HP229" s="18"/>
      <c r="HQ229" s="18"/>
      <c r="HR229" s="18"/>
      <c r="HS229" s="18"/>
      <c r="HT229" s="18"/>
      <c r="HU229" s="18"/>
      <c r="HV229" s="18"/>
      <c r="HW229" s="18"/>
      <c r="HX229" s="18"/>
      <c r="HY229" s="18"/>
      <c r="HZ229" s="18"/>
      <c r="IA229" s="18"/>
      <c r="IB229" s="18"/>
      <c r="IC229" s="18"/>
      <c r="ID229" s="18"/>
      <c r="IE229" s="18"/>
      <c r="IF229" s="18"/>
      <c r="IG229" s="18"/>
      <c r="IH229" s="18"/>
      <c r="II229" s="18"/>
      <c r="IJ229" s="18"/>
      <c r="IK229" s="18"/>
      <c r="IL229" s="18"/>
      <c r="IM229" s="18"/>
      <c r="IN229" s="18"/>
      <c r="IO229" s="18"/>
      <c r="IP229" s="18"/>
      <c r="IQ229" s="18"/>
      <c r="IR229" s="18"/>
      <c r="IS229" s="18"/>
      <c r="IT229" s="18"/>
      <c r="IU229" s="18"/>
      <c r="IV229" s="18"/>
      <c r="IW229" s="18"/>
      <c r="IX229" s="18"/>
      <c r="IY229" s="18"/>
      <c r="IZ229" s="18"/>
      <c r="JA229" s="18"/>
      <c r="JB229" s="18"/>
      <c r="JC229" s="18"/>
      <c r="JD229" s="18"/>
      <c r="JE229" s="18"/>
      <c r="JF229" s="18"/>
      <c r="JG229" s="18"/>
      <c r="JH229" s="18"/>
      <c r="JI229" s="18"/>
      <c r="JJ229" s="18"/>
      <c r="JK229" s="18"/>
      <c r="JL229" s="18"/>
      <c r="JM229" s="18"/>
      <c r="JN229" s="18"/>
      <c r="JO229" s="18"/>
      <c r="JP229" s="18"/>
      <c r="JQ229" s="18"/>
      <c r="JR229" s="18"/>
      <c r="JS229" s="18"/>
      <c r="JT229" s="18"/>
      <c r="JU229" s="18"/>
      <c r="JV229" s="18"/>
      <c r="JW229" s="18"/>
      <c r="JX229" s="18"/>
      <c r="JY229" s="18"/>
      <c r="JZ229" s="18"/>
      <c r="KA229" s="18"/>
      <c r="KB229" s="18"/>
      <c r="KC229" s="18"/>
      <c r="KD229" s="18"/>
      <c r="KE229" s="18"/>
      <c r="KF229" s="18"/>
      <c r="KG229" s="18"/>
      <c r="KH229" s="18"/>
      <c r="KI229" s="18"/>
      <c r="KJ229" s="18"/>
      <c r="KK229" s="18"/>
      <c r="KL229" s="18"/>
      <c r="KM229" s="18"/>
      <c r="KN229" s="18"/>
      <c r="KO229" s="18"/>
      <c r="KP229" s="18"/>
      <c r="KQ229" s="18"/>
      <c r="KR229" s="18"/>
      <c r="KS229" s="18"/>
      <c r="KT229" s="18"/>
      <c r="KU229" s="18"/>
      <c r="KV229" s="18"/>
      <c r="KW229" s="18"/>
      <c r="KX229" s="18"/>
      <c r="KY229" s="18"/>
      <c r="KZ229" s="18"/>
      <c r="LA229" s="18"/>
      <c r="LB229" s="18"/>
      <c r="LC229" s="18"/>
      <c r="LD229" s="18"/>
      <c r="LE229" s="18"/>
      <c r="LF229" s="18"/>
      <c r="LG229" s="18"/>
      <c r="LH229" s="18"/>
      <c r="LI229" s="18"/>
      <c r="LJ229" s="18"/>
      <c r="LK229" s="18"/>
      <c r="LL229" s="18"/>
      <c r="LM229" s="18"/>
      <c r="LN229" s="18"/>
      <c r="LO229" s="18"/>
      <c r="LP229" s="18"/>
      <c r="LQ229" s="18"/>
      <c r="LR229" s="18"/>
      <c r="LS229" s="18"/>
      <c r="LT229" s="18"/>
      <c r="LU229" s="18"/>
      <c r="LV229" s="18"/>
      <c r="LW229" s="18"/>
      <c r="LX229" s="18"/>
      <c r="LY229" s="18"/>
      <c r="LZ229" s="18"/>
      <c r="MA229" s="18"/>
      <c r="MB229" s="18"/>
      <c r="MC229" s="18"/>
      <c r="MD229" s="18"/>
      <c r="ME229" s="18"/>
      <c r="MF229" s="18"/>
      <c r="MG229" s="18"/>
      <c r="MH229" s="18"/>
      <c r="MI229" s="18"/>
      <c r="MJ229" s="18"/>
      <c r="MK229" s="18"/>
      <c r="ML229" s="18"/>
      <c r="MM229" s="18"/>
      <c r="MN229" s="18"/>
      <c r="MO229" s="18"/>
      <c r="MP229" s="18"/>
      <c r="MQ229" s="18"/>
      <c r="MR229" s="18"/>
      <c r="MS229" s="18"/>
      <c r="MT229" s="18"/>
      <c r="MU229" s="18"/>
      <c r="MV229" s="18"/>
      <c r="MW229" s="18"/>
      <c r="MX229" s="18"/>
      <c r="MY229" s="18"/>
      <c r="MZ229" s="18"/>
      <c r="NA229" s="18"/>
      <c r="NB229" s="18"/>
      <c r="NC229" s="18"/>
      <c r="ND229" s="18"/>
      <c r="NE229" s="18"/>
      <c r="NF229" s="18"/>
      <c r="NG229" s="18"/>
      <c r="NH229" s="18"/>
      <c r="NI229" s="18"/>
      <c r="NJ229" s="18"/>
      <c r="NK229" s="18"/>
      <c r="NL229" s="18"/>
      <c r="NM229" s="18"/>
      <c r="NN229" s="18"/>
      <c r="NO229" s="18"/>
      <c r="NP229" s="18"/>
      <c r="NQ229" s="18"/>
      <c r="NR229" s="18"/>
      <c r="NS229" s="18"/>
      <c r="NT229" s="18"/>
      <c r="NU229" s="18"/>
      <c r="NV229" s="18"/>
      <c r="NW229" s="18"/>
      <c r="NX229" s="18"/>
      <c r="NY229" s="18"/>
      <c r="NZ229" s="18"/>
      <c r="OA229" s="18"/>
      <c r="OB229" s="18"/>
      <c r="OC229" s="18"/>
      <c r="OD229" s="18"/>
      <c r="OE229" s="18"/>
      <c r="OF229" s="18"/>
      <c r="OG229" s="18"/>
      <c r="OH229" s="18"/>
      <c r="OI229" s="18"/>
      <c r="OJ229" s="18"/>
      <c r="OK229" s="18"/>
      <c r="OL229" s="18"/>
      <c r="OM229" s="18"/>
      <c r="ON229" s="18"/>
      <c r="OO229" s="18"/>
      <c r="OP229" s="18"/>
      <c r="OQ229" s="18"/>
      <c r="OR229" s="18"/>
      <c r="OS229" s="18"/>
      <c r="OT229" s="18"/>
      <c r="OU229" s="18"/>
      <c r="OV229" s="18"/>
      <c r="OW229" s="18"/>
      <c r="OX229" s="18"/>
      <c r="OY229" s="18"/>
      <c r="OZ229" s="18"/>
      <c r="PA229" s="18"/>
      <c r="PB229" s="18"/>
      <c r="PC229" s="18"/>
      <c r="PD229" s="18"/>
      <c r="PE229" s="18"/>
      <c r="PF229" s="18"/>
      <c r="PG229" s="18"/>
      <c r="PH229" s="18"/>
      <c r="PI229" s="18"/>
      <c r="PJ229" s="18"/>
      <c r="PK229" s="18"/>
      <c r="PL229" s="18"/>
      <c r="PM229" s="18"/>
      <c r="PN229" s="18"/>
      <c r="PO229" s="18"/>
      <c r="PP229" s="18"/>
      <c r="PQ229" s="18"/>
      <c r="PR229" s="18"/>
      <c r="PS229" s="18"/>
      <c r="PT229" s="18"/>
      <c r="PU229" s="18"/>
      <c r="PV229" s="18"/>
      <c r="PW229" s="18"/>
      <c r="PX229" s="18"/>
      <c r="PY229" s="18"/>
      <c r="PZ229" s="18"/>
      <c r="QA229" s="18"/>
      <c r="QB229" s="18"/>
      <c r="QC229" s="18"/>
      <c r="QD229" s="18"/>
      <c r="QE229" s="18"/>
      <c r="QF229" s="18"/>
      <c r="QG229" s="18"/>
      <c r="QH229" s="18"/>
      <c r="QI229" s="18"/>
      <c r="QJ229" s="18"/>
      <c r="QK229" s="18"/>
      <c r="QL229" s="18"/>
      <c r="QM229" s="18"/>
      <c r="QN229" s="18"/>
      <c r="QO229" s="18"/>
      <c r="QP229" s="18"/>
      <c r="QQ229" s="18"/>
      <c r="QR229" s="18"/>
      <c r="QS229" s="18"/>
      <c r="QT229" s="18"/>
      <c r="QU229" s="18"/>
      <c r="QV229" s="18"/>
      <c r="QW229" s="18"/>
      <c r="QX229" s="18"/>
      <c r="QY229" s="18"/>
      <c r="QZ229" s="18"/>
      <c r="RA229" s="18"/>
      <c r="RB229" s="18"/>
      <c r="RC229" s="18"/>
      <c r="RD229" s="18"/>
      <c r="RE229" s="18"/>
      <c r="RF229" s="18"/>
      <c r="RG229" s="18"/>
      <c r="RH229" s="18"/>
      <c r="RI229" s="18"/>
      <c r="RJ229" s="18"/>
      <c r="RK229" s="18"/>
      <c r="RL229" s="18"/>
      <c r="RM229" s="18"/>
      <c r="RN229" s="18"/>
      <c r="RO229" s="18"/>
      <c r="RP229" s="18"/>
      <c r="RQ229" s="18"/>
      <c r="RR229" s="18"/>
      <c r="RS229" s="18"/>
      <c r="RT229" s="18"/>
      <c r="RU229" s="18"/>
      <c r="RV229" s="18"/>
      <c r="RW229" s="18"/>
      <c r="RX229" s="18"/>
      <c r="RY229" s="18"/>
      <c r="RZ229" s="18"/>
      <c r="SA229" s="18"/>
      <c r="SB229" s="18"/>
      <c r="SC229" s="18"/>
      <c r="SD229" s="18"/>
      <c r="SE229" s="18"/>
      <c r="SF229" s="18"/>
      <c r="SG229" s="18"/>
      <c r="SH229" s="18"/>
      <c r="SI229" s="18"/>
      <c r="SJ229" s="18"/>
      <c r="SK229" s="18"/>
      <c r="SL229" s="18"/>
      <c r="SM229" s="18"/>
      <c r="SN229" s="18"/>
      <c r="SO229" s="18"/>
      <c r="SP229" s="18"/>
      <c r="SQ229" s="18"/>
      <c r="SR229" s="18"/>
      <c r="SS229" s="18"/>
      <c r="ST229" s="18"/>
      <c r="SU229" s="18"/>
      <c r="SV229" s="18"/>
      <c r="SW229" s="18"/>
      <c r="SX229" s="18"/>
      <c r="SY229" s="18"/>
      <c r="SZ229" s="18"/>
      <c r="TA229" s="18"/>
      <c r="TB229" s="18"/>
      <c r="TC229" s="18"/>
      <c r="TD229" s="18"/>
      <c r="TE229" s="18"/>
      <c r="TF229" s="18"/>
      <c r="TG229" s="18"/>
      <c r="TH229" s="18"/>
      <c r="TI229" s="18"/>
      <c r="TJ229" s="18"/>
      <c r="TK229" s="18"/>
      <c r="TL229" s="18"/>
      <c r="TM229" s="18"/>
      <c r="TN229" s="18"/>
      <c r="TO229" s="18"/>
      <c r="TP229" s="18"/>
      <c r="TQ229" s="18"/>
      <c r="TR229" s="18"/>
      <c r="TS229" s="18"/>
      <c r="TT229" s="18"/>
      <c r="TU229" s="18"/>
      <c r="TV229" s="18"/>
      <c r="TW229" s="18"/>
      <c r="TX229" s="18"/>
      <c r="TY229" s="18"/>
      <c r="TZ229" s="18"/>
      <c r="UA229" s="18"/>
      <c r="UB229" s="18"/>
      <c r="UC229" s="18"/>
      <c r="UD229" s="18"/>
      <c r="UE229" s="18"/>
      <c r="UF229" s="18"/>
      <c r="UG229" s="18"/>
      <c r="UH229" s="18"/>
      <c r="UI229" s="18"/>
      <c r="UJ229" s="18"/>
      <c r="UK229" s="18"/>
      <c r="UL229" s="18"/>
      <c r="UM229" s="18"/>
      <c r="UN229" s="18"/>
      <c r="UO229" s="18"/>
      <c r="UP229" s="18"/>
      <c r="UQ229" s="18"/>
      <c r="UR229" s="18"/>
      <c r="US229" s="18"/>
      <c r="UT229" s="18"/>
      <c r="UU229" s="18"/>
      <c r="UV229" s="18"/>
      <c r="UW229" s="18"/>
      <c r="UX229" s="18"/>
      <c r="UY229" s="18"/>
      <c r="UZ229" s="18"/>
      <c r="VA229" s="18"/>
      <c r="VB229" s="18"/>
      <c r="VC229" s="18"/>
      <c r="VD229" s="18"/>
      <c r="VE229" s="18"/>
      <c r="VF229" s="18"/>
      <c r="VG229" s="18"/>
      <c r="VH229" s="18"/>
      <c r="VI229" s="18"/>
      <c r="VJ229" s="18"/>
      <c r="VK229" s="18"/>
      <c r="VL229" s="18"/>
      <c r="VM229" s="18"/>
      <c r="VN229" s="18"/>
      <c r="VO229" s="18"/>
      <c r="VP229" s="18"/>
      <c r="VQ229" s="18"/>
      <c r="VR229" s="18"/>
      <c r="VS229" s="18"/>
      <c r="VT229" s="18"/>
      <c r="VU229" s="18"/>
      <c r="VV229" s="18"/>
      <c r="VW229" s="18"/>
      <c r="VX229" s="18"/>
      <c r="VY229" s="18"/>
      <c r="VZ229" s="18"/>
      <c r="WA229" s="18"/>
      <c r="WB229" s="18"/>
      <c r="WC229" s="18"/>
      <c r="WD229" s="18"/>
      <c r="WE229" s="18"/>
      <c r="WF229" s="18"/>
      <c r="WG229" s="18"/>
      <c r="WH229" s="18"/>
      <c r="WI229" s="18"/>
      <c r="WJ229" s="18"/>
      <c r="WK229" s="18"/>
      <c r="WL229" s="18"/>
      <c r="WM229" s="18"/>
      <c r="WN229" s="18"/>
      <c r="WO229" s="18"/>
      <c r="WP229" s="18"/>
      <c r="WQ229" s="18"/>
      <c r="WR229" s="18"/>
      <c r="WS229" s="18"/>
      <c r="WT229" s="18"/>
      <c r="WU229" s="18"/>
      <c r="WV229" s="18"/>
      <c r="WW229" s="18"/>
      <c r="WX229" s="18"/>
      <c r="WY229" s="18"/>
      <c r="WZ229" s="18"/>
      <c r="XA229" s="18"/>
      <c r="XB229" s="18"/>
      <c r="XC229" s="18"/>
      <c r="XD229" s="18"/>
      <c r="XE229" s="18"/>
      <c r="XF229" s="18"/>
      <c r="XG229" s="18"/>
      <c r="XH229" s="18"/>
      <c r="XI229" s="18"/>
      <c r="XJ229" s="18"/>
      <c r="XK229" s="18"/>
      <c r="XL229" s="18"/>
      <c r="XM229" s="18"/>
      <c r="XN229" s="18"/>
      <c r="XO229" s="18"/>
      <c r="XP229" s="18"/>
      <c r="XQ229" s="18"/>
      <c r="XR229" s="18"/>
      <c r="XS229" s="18"/>
      <c r="XT229" s="18"/>
      <c r="XU229" s="18"/>
      <c r="XV229" s="18"/>
      <c r="XW229" s="18"/>
      <c r="XX229" s="18"/>
      <c r="XY229" s="18"/>
      <c r="XZ229" s="18"/>
      <c r="YA229" s="18"/>
      <c r="YB229" s="18"/>
      <c r="YC229" s="18"/>
      <c r="YD229" s="18"/>
      <c r="YE229" s="18"/>
      <c r="YF229" s="18"/>
      <c r="YG229" s="18"/>
      <c r="YH229" s="18"/>
      <c r="YI229" s="18"/>
      <c r="YJ229" s="18"/>
      <c r="YK229" s="18"/>
      <c r="YL229" s="18"/>
      <c r="YM229" s="18"/>
      <c r="YN229" s="18"/>
      <c r="YO229" s="18"/>
      <c r="YP229" s="18"/>
      <c r="YQ229" s="18"/>
      <c r="YR229" s="18"/>
      <c r="YS229" s="18"/>
      <c r="YT229" s="18"/>
      <c r="YU229" s="18"/>
      <c r="YV229" s="18"/>
      <c r="YW229" s="18"/>
      <c r="YX229" s="18"/>
      <c r="YY229" s="18"/>
      <c r="YZ229" s="18"/>
      <c r="ZA229" s="18"/>
      <c r="ZB229" s="18"/>
      <c r="ZC229" s="18"/>
      <c r="ZD229" s="18"/>
      <c r="ZE229" s="18"/>
      <c r="ZF229" s="18"/>
      <c r="ZG229" s="18"/>
      <c r="ZH229" s="18"/>
      <c r="ZI229" s="18"/>
      <c r="ZJ229" s="18"/>
      <c r="ZK229" s="18"/>
      <c r="ZL229" s="18"/>
      <c r="ZM229" s="18"/>
      <c r="ZN229" s="18"/>
      <c r="ZO229" s="18"/>
      <c r="ZP229" s="18"/>
      <c r="ZQ229" s="18"/>
      <c r="ZR229" s="18"/>
      <c r="ZS229" s="18"/>
      <c r="ZT229" s="18"/>
      <c r="ZU229" s="18"/>
      <c r="ZV229" s="18"/>
      <c r="ZW229" s="18"/>
      <c r="ZX229" s="18"/>
      <c r="ZY229" s="18"/>
      <c r="ZZ229" s="18"/>
      <c r="AAA229" s="18"/>
      <c r="AAB229" s="18"/>
      <c r="AAC229" s="18"/>
      <c r="AAD229" s="18"/>
      <c r="AAE229" s="18"/>
      <c r="AAF229" s="18"/>
      <c r="AAG229" s="18"/>
      <c r="AAH229" s="18"/>
      <c r="AAI229" s="18"/>
      <c r="AAJ229" s="18"/>
      <c r="AAK229" s="18"/>
      <c r="AAL229" s="18"/>
      <c r="AAM229" s="18"/>
      <c r="AAN229" s="18"/>
      <c r="AAO229" s="18"/>
      <c r="AAP229" s="18"/>
      <c r="AAQ229" s="18"/>
      <c r="AAR229" s="18"/>
      <c r="AAS229" s="18"/>
      <c r="AAT229" s="18"/>
      <c r="AAU229" s="18"/>
      <c r="AAV229" s="18"/>
      <c r="AAW229" s="18"/>
      <c r="AAX229" s="18"/>
      <c r="AAY229" s="18"/>
      <c r="AAZ229" s="18"/>
      <c r="ABA229" s="18"/>
      <c r="ABB229" s="18"/>
      <c r="ABC229" s="18"/>
      <c r="ABD229" s="18"/>
      <c r="ABE229" s="18"/>
      <c r="ABF229" s="18"/>
      <c r="ABG229" s="18"/>
      <c r="ABH229" s="18"/>
      <c r="ABI229" s="18"/>
      <c r="ABJ229" s="18"/>
      <c r="ABK229" s="18"/>
      <c r="ABL229" s="18"/>
      <c r="ABM229" s="18"/>
      <c r="ABN229" s="18"/>
      <c r="ABO229" s="18"/>
      <c r="ABP229" s="18"/>
      <c r="ABQ229" s="18"/>
      <c r="ABR229" s="18"/>
      <c r="ABS229" s="18"/>
      <c r="ABT229" s="18"/>
      <c r="ABU229" s="18"/>
      <c r="ABV229" s="18"/>
      <c r="ABW229" s="18"/>
      <c r="ABX229" s="18"/>
      <c r="ABY229" s="18"/>
      <c r="ABZ229" s="18"/>
      <c r="ACA229" s="18"/>
      <c r="ACB229" s="18"/>
      <c r="ACC229" s="18"/>
      <c r="ACD229" s="18"/>
      <c r="ACE229" s="18"/>
      <c r="ACF229" s="18"/>
      <c r="ACG229" s="18"/>
      <c r="ACH229" s="18"/>
      <c r="ACI229" s="18"/>
      <c r="ACJ229" s="18"/>
      <c r="ACK229" s="18"/>
      <c r="ACL229" s="18"/>
      <c r="ACM229" s="18"/>
      <c r="ACN229" s="18"/>
      <c r="ACO229" s="18"/>
      <c r="ACP229" s="18"/>
      <c r="ACQ229" s="18"/>
      <c r="ACR229" s="18"/>
      <c r="ACS229" s="18"/>
      <c r="ACT229" s="18"/>
      <c r="ACU229" s="18"/>
      <c r="ACV229" s="18"/>
      <c r="ACW229" s="18"/>
      <c r="ACX229" s="18"/>
      <c r="ACY229" s="18"/>
      <c r="ACZ229" s="18"/>
      <c r="ADA229" s="18"/>
      <c r="ADB229" s="18"/>
      <c r="ADC229" s="18"/>
      <c r="ADD229" s="18"/>
      <c r="ADE229" s="18"/>
      <c r="ADF229" s="18"/>
      <c r="ADG229" s="18"/>
      <c r="ADH229" s="18"/>
      <c r="ADI229" s="18"/>
      <c r="ADJ229" s="18"/>
      <c r="ADK229" s="18"/>
      <c r="ADL229" s="18"/>
      <c r="ADM229" s="18"/>
      <c r="ADN229" s="18"/>
      <c r="ADO229" s="18"/>
      <c r="ADP229" s="18"/>
      <c r="ADQ229" s="18"/>
      <c r="ADR229" s="18"/>
      <c r="ADS229" s="18"/>
      <c r="ADT229" s="18"/>
      <c r="ADU229" s="18"/>
      <c r="ADV229" s="18"/>
      <c r="ADW229" s="18"/>
      <c r="ADX229" s="18"/>
      <c r="ADY229" s="18"/>
      <c r="ADZ229" s="18"/>
      <c r="AEA229" s="18"/>
      <c r="AEB229" s="18"/>
      <c r="AEC229" s="18"/>
      <c r="AED229" s="18"/>
      <c r="AEE229" s="18"/>
      <c r="AEF229" s="18"/>
      <c r="AEG229" s="18"/>
      <c r="AEH229" s="18"/>
      <c r="AEI229" s="18"/>
      <c r="AEJ229" s="18"/>
      <c r="AEK229" s="18"/>
      <c r="AEL229" s="18"/>
      <c r="AEM229" s="18"/>
      <c r="AEN229" s="18"/>
      <c r="AEO229" s="18"/>
      <c r="AEP229" s="18"/>
      <c r="AEQ229" s="18"/>
      <c r="AER229" s="18"/>
      <c r="AES229" s="18"/>
      <c r="AET229" s="18"/>
      <c r="AEU229" s="18"/>
      <c r="AEV229" s="18"/>
      <c r="AEW229" s="18"/>
      <c r="AEX229" s="18"/>
      <c r="AEY229" s="18"/>
      <c r="AEZ229" s="18"/>
      <c r="AFA229" s="18"/>
      <c r="AFB229" s="18"/>
      <c r="AFC229" s="18"/>
      <c r="AFD229" s="18"/>
      <c r="AFE229" s="18"/>
      <c r="AFF229" s="18"/>
      <c r="AFG229" s="18"/>
      <c r="AFH229" s="18"/>
      <c r="AFI229" s="18"/>
      <c r="AFJ229" s="18"/>
      <c r="AFK229" s="18"/>
      <c r="AFL229" s="18"/>
      <c r="AFM229" s="18"/>
      <c r="AFN229" s="18"/>
      <c r="AFO229" s="18"/>
      <c r="AFP229" s="18"/>
      <c r="AFQ229" s="18"/>
      <c r="AFR229" s="18"/>
      <c r="AFS229" s="18"/>
      <c r="AFT229" s="18"/>
      <c r="AFU229" s="18"/>
      <c r="AFV229" s="18"/>
      <c r="AFW229" s="18"/>
      <c r="AFX229" s="18"/>
      <c r="AFY229" s="18"/>
      <c r="AFZ229" s="18"/>
      <c r="AGA229" s="18"/>
      <c r="AGB229" s="18"/>
      <c r="AGC229" s="18"/>
      <c r="AGD229" s="18"/>
      <c r="AGE229" s="18"/>
      <c r="AGF229" s="18"/>
      <c r="AGG229" s="18"/>
      <c r="AGH229" s="18"/>
      <c r="AGI229" s="18"/>
      <c r="AGJ229" s="18"/>
      <c r="AGK229" s="18"/>
      <c r="AGL229" s="18"/>
      <c r="AGM229" s="18"/>
      <c r="AGN229" s="18"/>
      <c r="AGO229" s="18"/>
      <c r="AGP229" s="18"/>
      <c r="AGQ229" s="18"/>
      <c r="AGR229" s="18"/>
      <c r="AGS229" s="18"/>
      <c r="AGT229" s="18"/>
      <c r="AGU229" s="18"/>
      <c r="AGV229" s="18"/>
      <c r="AGW229" s="18"/>
      <c r="AGX229" s="18"/>
      <c r="AGY229" s="18"/>
      <c r="AGZ229" s="18"/>
      <c r="AHA229" s="18"/>
      <c r="AHB229" s="18"/>
      <c r="AHC229" s="18"/>
      <c r="AHD229" s="18"/>
      <c r="AHE229" s="18"/>
      <c r="AHF229" s="18"/>
      <c r="AHG229" s="18"/>
      <c r="AHH229" s="18"/>
      <c r="AHI229" s="18"/>
      <c r="AHJ229" s="18"/>
      <c r="AHK229" s="18"/>
      <c r="AHL229" s="18"/>
      <c r="AHM229" s="18"/>
      <c r="AHN229" s="18"/>
      <c r="AHO229" s="18"/>
      <c r="AHP229" s="18"/>
      <c r="AHQ229" s="18"/>
      <c r="AHR229" s="18"/>
      <c r="AHS229" s="18"/>
      <c r="AHT229" s="18"/>
      <c r="AHU229" s="18"/>
      <c r="AHV229" s="18"/>
      <c r="AHW229" s="18"/>
      <c r="AHX229" s="18"/>
      <c r="AHY229" s="18"/>
      <c r="AHZ229" s="18"/>
      <c r="AIA229" s="18"/>
      <c r="AIB229" s="18"/>
      <c r="AIC229" s="18"/>
      <c r="AID229" s="18"/>
      <c r="AIE229" s="18"/>
      <c r="AIF229" s="18"/>
      <c r="AIG229" s="18"/>
      <c r="AIH229" s="18"/>
      <c r="AII229" s="18"/>
      <c r="AIJ229" s="18"/>
      <c r="AIK229" s="18"/>
      <c r="AIL229" s="18"/>
      <c r="AIM229" s="18"/>
      <c r="AIN229" s="18"/>
      <c r="AIO229" s="18"/>
      <c r="AIP229" s="18"/>
      <c r="AIQ229" s="18"/>
      <c r="AIR229" s="18"/>
      <c r="AIS229" s="18"/>
      <c r="AIT229" s="18"/>
      <c r="AIU229" s="18"/>
      <c r="AIV229" s="18"/>
      <c r="AIW229" s="18"/>
      <c r="AIX229" s="18"/>
      <c r="AIY229" s="18"/>
      <c r="AIZ229" s="18"/>
      <c r="AJA229" s="18"/>
      <c r="AJB229" s="18"/>
      <c r="AJC229" s="18"/>
      <c r="AJD229" s="18"/>
      <c r="AJE229" s="18"/>
      <c r="AJF229" s="18"/>
      <c r="AJG229" s="18"/>
      <c r="AJH229" s="18"/>
      <c r="AJI229" s="18"/>
      <c r="AJJ229" s="18"/>
      <c r="AJK229" s="18"/>
      <c r="AJL229" s="18"/>
      <c r="AJM229" s="18"/>
      <c r="AJN229" s="18"/>
      <c r="AJO229" s="18"/>
      <c r="AJP229" s="18"/>
      <c r="AJQ229" s="18"/>
      <c r="AJR229" s="18"/>
      <c r="AJS229" s="18"/>
      <c r="AJT229" s="18"/>
      <c r="AJU229" s="18"/>
      <c r="AJV229" s="18"/>
      <c r="AJW229" s="18"/>
      <c r="AJX229" s="18"/>
      <c r="AJY229" s="18"/>
      <c r="AJZ229" s="18"/>
      <c r="AKA229" s="18"/>
      <c r="AKB229" s="18"/>
      <c r="AKC229" s="18"/>
      <c r="AKD229" s="18"/>
      <c r="AKE229" s="18"/>
      <c r="AKF229" s="18"/>
      <c r="AKG229" s="18"/>
      <c r="AKH229" s="18"/>
      <c r="AKI229" s="18"/>
      <c r="AKJ229" s="18"/>
      <c r="AKK229" s="18"/>
      <c r="AKL229" s="18"/>
      <c r="AKM229" s="18"/>
      <c r="AKN229" s="18"/>
      <c r="AKO229" s="18"/>
      <c r="AKP229" s="18"/>
      <c r="AKQ229" s="18"/>
      <c r="AKR229" s="18"/>
      <c r="AKS229" s="18"/>
      <c r="AKT229" s="18"/>
      <c r="AKU229" s="18"/>
      <c r="AKV229" s="18"/>
      <c r="AKW229" s="18"/>
      <c r="AKX229" s="18"/>
      <c r="AKY229" s="18"/>
      <c r="AKZ229" s="18"/>
      <c r="ALA229" s="18"/>
      <c r="ALB229" s="18"/>
      <c r="ALC229" s="18"/>
      <c r="ALD229" s="18"/>
      <c r="ALE229" s="18"/>
      <c r="ALF229" s="18"/>
      <c r="ALG229" s="18"/>
      <c r="ALH229" s="18"/>
      <c r="ALI229" s="18"/>
      <c r="ALJ229" s="18"/>
      <c r="ALK229" s="18"/>
      <c r="ALL229" s="18"/>
      <c r="ALM229" s="18"/>
      <c r="ALN229" s="18"/>
      <c r="ALO229" s="18"/>
      <c r="ALP229" s="18"/>
      <c r="ALQ229" s="18"/>
      <c r="ALR229" s="18"/>
      <c r="ALS229" s="18"/>
      <c r="ALT229" s="18"/>
      <c r="ALU229" s="18"/>
      <c r="ALV229" s="18"/>
      <c r="ALW229" s="18"/>
      <c r="ALX229" s="18"/>
      <c r="ALY229" s="18"/>
      <c r="ALZ229" s="18"/>
      <c r="AMA229" s="18"/>
      <c r="AMB229" s="18"/>
      <c r="AMC229" s="18"/>
      <c r="AMD229" s="18"/>
      <c r="AME229" s="18"/>
      <c r="AMF229" s="18"/>
      <c r="AMG229" s="18"/>
      <c r="AMH229" s="18"/>
      <c r="AMI229" s="18"/>
      <c r="AMJ229" s="18"/>
      <c r="AMK229" s="18"/>
      <c r="AML229" s="18"/>
      <c r="AMM229" s="18"/>
      <c r="AMN229" s="18"/>
      <c r="AMO229" s="18"/>
      <c r="AMP229" s="18"/>
      <c r="AMQ229" s="18"/>
      <c r="AMR229" s="18"/>
      <c r="AMS229" s="18"/>
      <c r="AMT229" s="18"/>
      <c r="AMU229" s="18"/>
      <c r="AMV229" s="18"/>
      <c r="AMW229" s="18"/>
      <c r="AMX229" s="18"/>
      <c r="AMY229" s="18"/>
      <c r="AMZ229" s="18"/>
      <c r="ANA229" s="18"/>
      <c r="ANB229" s="18"/>
      <c r="ANC229" s="18"/>
      <c r="AND229" s="18"/>
      <c r="ANE229" s="18"/>
      <c r="ANF229" s="18"/>
      <c r="ANG229" s="18"/>
      <c r="ANH229" s="18"/>
      <c r="ANI229" s="18"/>
      <c r="ANJ229" s="18"/>
      <c r="ANK229" s="18"/>
      <c r="ANL229" s="18"/>
      <c r="ANM229" s="18"/>
      <c r="ANN229" s="18"/>
      <c r="ANO229" s="18"/>
      <c r="ANP229" s="18"/>
      <c r="ANQ229" s="18"/>
      <c r="ANR229" s="18"/>
      <c r="ANS229" s="18"/>
      <c r="ANT229" s="18"/>
      <c r="ANU229" s="18"/>
      <c r="ANV229" s="18"/>
      <c r="ANW229" s="18"/>
      <c r="ANX229" s="18"/>
      <c r="ANY229" s="18"/>
      <c r="ANZ229" s="18"/>
      <c r="AOA229" s="18"/>
      <c r="AOB229" s="18"/>
      <c r="AOC229" s="18"/>
      <c r="AOD229" s="18"/>
      <c r="AOE229" s="18"/>
      <c r="AOF229" s="18"/>
      <c r="AOG229" s="18"/>
      <c r="AOH229" s="18"/>
      <c r="AOI229" s="18"/>
      <c r="AOJ229" s="18"/>
      <c r="AOK229" s="18"/>
      <c r="AOL229" s="18"/>
      <c r="AOM229" s="18"/>
      <c r="AON229" s="18"/>
      <c r="AOO229" s="18"/>
      <c r="AOP229" s="18"/>
      <c r="AOQ229" s="18"/>
      <c r="AOR229" s="18"/>
      <c r="AOS229" s="18"/>
      <c r="AOT229" s="18"/>
      <c r="AOU229" s="18"/>
      <c r="AOV229" s="18"/>
      <c r="AOW229" s="18"/>
      <c r="AOX229" s="18"/>
      <c r="AOY229" s="18"/>
      <c r="AOZ229" s="18"/>
      <c r="APA229" s="18"/>
      <c r="APB229" s="18"/>
      <c r="APC229" s="18"/>
      <c r="APD229" s="18"/>
      <c r="APE229" s="18"/>
      <c r="APF229" s="18"/>
      <c r="APG229" s="18"/>
      <c r="APH229" s="18"/>
      <c r="API229" s="18"/>
      <c r="APJ229" s="18"/>
      <c r="APK229" s="18"/>
      <c r="APL229" s="18"/>
      <c r="APM229" s="18"/>
      <c r="APN229" s="18"/>
      <c r="APO229" s="18"/>
      <c r="APP229" s="18"/>
      <c r="APQ229" s="18"/>
      <c r="APR229" s="18"/>
      <c r="APS229" s="18"/>
      <c r="APT229" s="18"/>
      <c r="APU229" s="18"/>
      <c r="APV229" s="18"/>
      <c r="APW229" s="18"/>
      <c r="APX229" s="18"/>
      <c r="APY229" s="18"/>
      <c r="APZ229" s="18"/>
      <c r="AQA229" s="18"/>
      <c r="AQB229" s="18"/>
      <c r="AQC229" s="18"/>
      <c r="AQD229" s="18"/>
      <c r="AQE229" s="18"/>
      <c r="AQF229" s="18"/>
      <c r="AQG229" s="18"/>
      <c r="AQH229" s="18"/>
      <c r="AQI229" s="18"/>
      <c r="AQJ229" s="18"/>
      <c r="AQK229" s="18"/>
      <c r="AQL229" s="18"/>
      <c r="AQM229" s="18"/>
      <c r="AQN229" s="18"/>
      <c r="AQO229" s="18"/>
      <c r="AQP229" s="18"/>
      <c r="AQQ229" s="18"/>
      <c r="AQR229" s="18"/>
      <c r="AQS229" s="18"/>
      <c r="AQT229" s="18"/>
      <c r="AQU229" s="18"/>
      <c r="AQV229" s="18"/>
      <c r="AQW229" s="18"/>
      <c r="AQX229" s="18"/>
      <c r="AQY229" s="18"/>
      <c r="AQZ229" s="18"/>
      <c r="ARA229" s="18"/>
      <c r="ARB229" s="18"/>
      <c r="ARC229" s="18"/>
      <c r="ARD229" s="18"/>
      <c r="ARE229" s="18"/>
      <c r="ARF229" s="18"/>
      <c r="ARG229" s="18"/>
      <c r="ARH229" s="18"/>
      <c r="ARI229" s="18"/>
      <c r="ARJ229" s="18"/>
      <c r="ARK229" s="18"/>
      <c r="ARL229" s="18"/>
      <c r="ARM229" s="18"/>
      <c r="ARN229" s="18"/>
      <c r="ARO229" s="18"/>
      <c r="ARP229" s="18"/>
      <c r="ARQ229" s="18"/>
      <c r="ARR229" s="18"/>
      <c r="ARS229" s="18"/>
      <c r="ART229" s="18"/>
      <c r="ARU229" s="18"/>
      <c r="ARV229" s="18"/>
      <c r="ARW229" s="18"/>
      <c r="ARX229" s="18"/>
      <c r="ARY229" s="18"/>
      <c r="ARZ229" s="18"/>
      <c r="ASA229" s="18"/>
      <c r="ASB229" s="18"/>
      <c r="ASC229" s="18"/>
      <c r="ASD229" s="18"/>
      <c r="ASE229" s="18"/>
      <c r="ASF229" s="18"/>
      <c r="ASG229" s="18"/>
      <c r="ASH229" s="18"/>
      <c r="ASI229" s="18"/>
      <c r="ASJ229" s="18"/>
      <c r="ASK229" s="18"/>
      <c r="ASL229" s="18"/>
      <c r="ASM229" s="18"/>
      <c r="ASN229" s="18"/>
      <c r="ASO229" s="18"/>
      <c r="ASP229" s="18"/>
      <c r="ASQ229" s="18"/>
      <c r="ASR229" s="18"/>
      <c r="ASS229" s="18"/>
      <c r="AST229" s="18"/>
      <c r="ASU229" s="18"/>
      <c r="ASV229" s="18"/>
      <c r="ASW229" s="18"/>
      <c r="ASX229" s="18"/>
      <c r="ASY229" s="18"/>
      <c r="ASZ229" s="18"/>
      <c r="ATA229" s="18"/>
      <c r="ATB229" s="18"/>
      <c r="ATC229" s="18"/>
      <c r="ATD229" s="18"/>
      <c r="ATE229" s="18"/>
      <c r="ATF229" s="18"/>
      <c r="ATG229" s="18"/>
      <c r="ATH229" s="18"/>
      <c r="ATI229" s="18"/>
      <c r="ATJ229" s="18"/>
      <c r="ATK229" s="18"/>
      <c r="ATL229" s="18"/>
      <c r="ATM229" s="18"/>
      <c r="ATN229" s="18"/>
      <c r="ATO229" s="18"/>
      <c r="ATP229" s="18"/>
      <c r="ATQ229" s="18"/>
      <c r="ATR229" s="18"/>
      <c r="ATS229" s="18"/>
      <c r="ATT229" s="18"/>
      <c r="ATU229" s="18"/>
      <c r="ATV229" s="18"/>
      <c r="ATW229" s="18"/>
      <c r="ATX229" s="18"/>
      <c r="ATY229" s="18"/>
      <c r="ATZ229" s="18"/>
      <c r="AUA229" s="18"/>
      <c r="AUB229" s="18"/>
      <c r="AUC229" s="18"/>
      <c r="AUD229" s="18"/>
      <c r="AUE229" s="18"/>
      <c r="AUF229" s="18"/>
      <c r="AUG229" s="18"/>
      <c r="AUH229" s="18"/>
      <c r="AUI229" s="18"/>
      <c r="AUJ229" s="18"/>
      <c r="AUK229" s="18"/>
      <c r="AUL229" s="18"/>
      <c r="AUM229" s="18"/>
      <c r="AUN229" s="18"/>
      <c r="AUO229" s="18"/>
      <c r="AUP229" s="18"/>
      <c r="AUQ229" s="18"/>
      <c r="AUR229" s="18"/>
      <c r="AUS229" s="18"/>
      <c r="AUT229" s="18"/>
      <c r="AUU229" s="18"/>
      <c r="AUV229" s="18"/>
      <c r="AUW229" s="18"/>
      <c r="AUX229" s="18"/>
      <c r="AUY229" s="18"/>
      <c r="AUZ229" s="18"/>
      <c r="AVA229" s="18"/>
      <c r="AVB229" s="18"/>
      <c r="AVC229" s="18"/>
      <c r="AVD229" s="18"/>
      <c r="AVE229" s="18"/>
      <c r="AVF229" s="18"/>
      <c r="AVG229" s="18"/>
      <c r="AVH229" s="18"/>
      <c r="AVI229" s="18"/>
      <c r="AVJ229" s="18"/>
      <c r="AVK229" s="18"/>
      <c r="AVL229" s="18"/>
      <c r="AVM229" s="18"/>
      <c r="AVN229" s="18"/>
      <c r="AVO229" s="18"/>
      <c r="AVP229" s="18"/>
      <c r="AVQ229" s="18"/>
      <c r="AVR229" s="18"/>
      <c r="AVS229" s="18"/>
      <c r="AVT229" s="18"/>
      <c r="AVU229" s="18"/>
      <c r="AVV229" s="18"/>
      <c r="AVW229" s="18"/>
      <c r="AVX229" s="18"/>
      <c r="AVY229" s="18"/>
      <c r="AVZ229" s="18"/>
      <c r="AWA229" s="18"/>
      <c r="AWB229" s="18"/>
      <c r="AWC229" s="18"/>
      <c r="AWD229" s="18"/>
      <c r="AWE229" s="18"/>
      <c r="AWF229" s="18"/>
      <c r="AWG229" s="18"/>
      <c r="AWH229" s="18"/>
      <c r="AWI229" s="18"/>
      <c r="AWJ229" s="18"/>
      <c r="AWK229" s="18"/>
      <c r="AWL229" s="18"/>
      <c r="AWM229" s="18"/>
      <c r="AWN229" s="18"/>
      <c r="AWO229" s="18"/>
      <c r="AWP229" s="18"/>
      <c r="AWQ229" s="18"/>
      <c r="AWR229" s="18"/>
      <c r="AWS229" s="18"/>
      <c r="AWT229" s="18"/>
      <c r="AWU229" s="18"/>
      <c r="AWV229" s="18"/>
      <c r="AWW229" s="18"/>
      <c r="AWX229" s="18"/>
      <c r="AWY229" s="18"/>
      <c r="AWZ229" s="18"/>
      <c r="AXA229" s="18"/>
      <c r="AXB229" s="18"/>
      <c r="AXC229" s="18"/>
      <c r="AXD229" s="18"/>
      <c r="AXE229" s="18"/>
      <c r="AXF229" s="18"/>
      <c r="AXG229" s="18"/>
      <c r="AXH229" s="18"/>
      <c r="AXI229" s="18"/>
      <c r="AXJ229" s="18"/>
      <c r="AXK229" s="18"/>
      <c r="AXL229" s="18"/>
      <c r="AXM229" s="18"/>
      <c r="AXN229" s="18"/>
      <c r="AXO229" s="18"/>
      <c r="AXP229" s="18"/>
      <c r="AXQ229" s="18"/>
      <c r="AXR229" s="18"/>
      <c r="AXS229" s="18"/>
      <c r="AXT229" s="18"/>
      <c r="AXU229" s="18"/>
      <c r="AXV229" s="18"/>
      <c r="AXW229" s="18"/>
      <c r="AXX229" s="18"/>
      <c r="AXY229" s="18"/>
      <c r="AXZ229" s="18"/>
      <c r="AYA229" s="18"/>
      <c r="AYB229" s="18"/>
      <c r="AYC229" s="18"/>
      <c r="AYD229" s="18"/>
      <c r="AYE229" s="18"/>
      <c r="AYF229" s="18"/>
      <c r="AYG229" s="18"/>
      <c r="AYH229" s="18"/>
      <c r="AYI229" s="18"/>
      <c r="AYJ229" s="18"/>
      <c r="AYK229" s="18"/>
      <c r="AYL229" s="18"/>
      <c r="AYM229" s="18"/>
      <c r="AYN229" s="18"/>
      <c r="AYO229" s="18"/>
      <c r="AYP229" s="18"/>
      <c r="AYQ229" s="18"/>
      <c r="AYR229" s="18"/>
      <c r="AYS229" s="18"/>
      <c r="AYT229" s="18"/>
      <c r="AYU229" s="18"/>
      <c r="AYV229" s="18"/>
      <c r="AYW229" s="18"/>
      <c r="AYX229" s="18"/>
      <c r="AYY229" s="18"/>
      <c r="AYZ229" s="18"/>
      <c r="AZA229" s="18"/>
      <c r="AZB229" s="18"/>
      <c r="AZC229" s="18"/>
      <c r="AZD229" s="18"/>
      <c r="AZE229" s="18"/>
      <c r="AZF229" s="18"/>
      <c r="AZG229" s="18"/>
      <c r="AZH229" s="18"/>
      <c r="AZI229" s="18"/>
      <c r="AZJ229" s="18"/>
      <c r="AZK229" s="18"/>
      <c r="AZL229" s="18"/>
      <c r="AZM229" s="18"/>
      <c r="AZN229" s="18"/>
      <c r="AZO229" s="18"/>
      <c r="AZP229" s="18"/>
      <c r="AZQ229" s="18"/>
      <c r="AZR229" s="18"/>
      <c r="AZS229" s="18"/>
      <c r="AZT229" s="18"/>
      <c r="AZU229" s="18"/>
      <c r="AZV229" s="18"/>
      <c r="AZW229" s="18"/>
      <c r="AZX229" s="18"/>
      <c r="AZY229" s="18"/>
      <c r="AZZ229" s="18"/>
      <c r="BAA229" s="18"/>
      <c r="BAB229" s="18"/>
      <c r="BAC229" s="18"/>
      <c r="BAD229" s="18"/>
      <c r="BAE229" s="18"/>
      <c r="BAF229" s="18"/>
      <c r="BAG229" s="18"/>
      <c r="BAH229" s="18"/>
      <c r="BAI229" s="18"/>
      <c r="BAJ229" s="18"/>
      <c r="BAK229" s="18"/>
      <c r="BAL229" s="18"/>
      <c r="BAM229" s="18"/>
      <c r="BAN229" s="18"/>
      <c r="BAO229" s="18"/>
      <c r="BAP229" s="18"/>
      <c r="BAQ229" s="18"/>
      <c r="BAR229" s="18"/>
      <c r="BAS229" s="18"/>
      <c r="BAT229" s="18"/>
      <c r="BAU229" s="18"/>
      <c r="BAV229" s="18"/>
      <c r="BAW229" s="18"/>
      <c r="BAX229" s="18"/>
      <c r="BAY229" s="18"/>
      <c r="BAZ229" s="18"/>
      <c r="BBA229" s="18"/>
      <c r="BBB229" s="18"/>
      <c r="BBC229" s="18"/>
      <c r="BBD229" s="18"/>
      <c r="BBE229" s="18"/>
      <c r="BBF229" s="18"/>
      <c r="BBG229" s="18"/>
      <c r="BBH229" s="18"/>
      <c r="BBI229" s="18"/>
      <c r="BBJ229" s="18"/>
      <c r="BBK229" s="18"/>
      <c r="BBL229" s="18"/>
      <c r="BBM229" s="18"/>
      <c r="BBN229" s="18"/>
      <c r="BBO229" s="18"/>
      <c r="BBP229" s="18"/>
      <c r="BBQ229" s="18"/>
      <c r="BBR229" s="18"/>
      <c r="BBS229" s="18"/>
      <c r="BBT229" s="18"/>
      <c r="BBU229" s="18"/>
      <c r="BBV229" s="18"/>
      <c r="BBW229" s="18"/>
      <c r="BBX229" s="18"/>
      <c r="BBY229" s="18"/>
      <c r="BBZ229" s="18"/>
      <c r="BCA229" s="18"/>
      <c r="BCB229" s="18"/>
      <c r="BCC229" s="18"/>
      <c r="BCD229" s="18"/>
      <c r="BCE229" s="18"/>
      <c r="BCF229" s="18"/>
      <c r="BCG229" s="18"/>
      <c r="BCH229" s="18"/>
      <c r="BCI229" s="18"/>
      <c r="BCJ229" s="18"/>
      <c r="BCK229" s="18"/>
      <c r="BCL229" s="18"/>
      <c r="BCM229" s="18"/>
      <c r="BCN229" s="18"/>
      <c r="BCO229" s="18"/>
      <c r="BCP229" s="18"/>
      <c r="BCQ229" s="18"/>
      <c r="BCR229" s="18"/>
      <c r="BCS229" s="18"/>
      <c r="BCT229" s="18"/>
      <c r="BCU229" s="18"/>
      <c r="BCV229" s="18"/>
      <c r="BCW229" s="18"/>
      <c r="BCX229" s="18"/>
      <c r="BCY229" s="18"/>
      <c r="BCZ229" s="18"/>
      <c r="BDA229" s="18"/>
      <c r="BDB229" s="18"/>
      <c r="BDC229" s="18"/>
      <c r="BDD229" s="18"/>
      <c r="BDE229" s="18"/>
      <c r="BDF229" s="18"/>
      <c r="BDG229" s="18"/>
      <c r="BDH229" s="18"/>
      <c r="BDI229" s="18"/>
      <c r="BDJ229" s="18"/>
      <c r="BDK229" s="18"/>
      <c r="BDL229" s="18"/>
      <c r="BDM229" s="18"/>
      <c r="BDN229" s="18"/>
      <c r="BDO229" s="18"/>
      <c r="BDP229" s="18"/>
      <c r="BDQ229" s="18"/>
      <c r="BDR229" s="18"/>
      <c r="BDS229" s="18"/>
      <c r="BDT229" s="18"/>
      <c r="BDU229" s="18"/>
      <c r="BDV229" s="18"/>
      <c r="BDW229" s="18"/>
      <c r="BDX229" s="18"/>
      <c r="BDY229" s="18"/>
      <c r="BDZ229" s="18"/>
      <c r="BEA229" s="18"/>
      <c r="BEB229" s="18"/>
      <c r="BEC229" s="18"/>
      <c r="BED229" s="18"/>
      <c r="BEE229" s="18"/>
      <c r="BEF229" s="18"/>
      <c r="BEG229" s="18"/>
      <c r="BEH229" s="18"/>
      <c r="BEI229" s="18"/>
      <c r="BEJ229" s="18"/>
      <c r="BEK229" s="18"/>
      <c r="BEL229" s="18"/>
      <c r="BEM229" s="18"/>
      <c r="BEN229" s="18"/>
      <c r="BEO229" s="18"/>
      <c r="BEP229" s="18"/>
      <c r="BEQ229" s="18"/>
      <c r="BER229" s="18"/>
      <c r="BES229" s="18"/>
      <c r="BET229" s="18"/>
      <c r="BEU229" s="18"/>
      <c r="BEV229" s="18"/>
      <c r="BEW229" s="18"/>
      <c r="BEX229" s="18"/>
      <c r="BEY229" s="18"/>
      <c r="BEZ229" s="18"/>
      <c r="BFA229" s="18"/>
      <c r="BFB229" s="18"/>
      <c r="BFC229" s="18"/>
      <c r="BFD229" s="18"/>
      <c r="BFE229" s="18"/>
      <c r="BFF229" s="18"/>
      <c r="BFG229" s="18"/>
      <c r="BFH229" s="18"/>
      <c r="BFI229" s="18"/>
      <c r="BFJ229" s="18"/>
      <c r="BFK229" s="18"/>
      <c r="BFL229" s="18"/>
      <c r="BFM229" s="18"/>
      <c r="BFN229" s="18"/>
      <c r="BFO229" s="18"/>
      <c r="BFP229" s="18"/>
      <c r="BFQ229" s="18"/>
      <c r="BFR229" s="18"/>
      <c r="BFS229" s="18"/>
      <c r="BFT229" s="18"/>
      <c r="BFU229" s="18"/>
      <c r="BFV229" s="18"/>
      <c r="BFW229" s="18"/>
      <c r="BFX229" s="18"/>
      <c r="BFY229" s="18"/>
      <c r="BFZ229" s="18"/>
      <c r="BGA229" s="18"/>
      <c r="BGB229" s="18"/>
      <c r="BGC229" s="18"/>
      <c r="BGD229" s="18"/>
      <c r="BGE229" s="18"/>
      <c r="BGF229" s="18"/>
      <c r="BGG229" s="18"/>
      <c r="BGH229" s="18"/>
      <c r="BGI229" s="18"/>
      <c r="BGJ229" s="18"/>
      <c r="BGK229" s="18"/>
      <c r="BGL229" s="18"/>
      <c r="BGM229" s="18"/>
      <c r="BGN229" s="18"/>
      <c r="BGO229" s="18"/>
      <c r="BGP229" s="18"/>
      <c r="BGQ229" s="18"/>
      <c r="BGR229" s="18"/>
      <c r="BGS229" s="18"/>
      <c r="BGT229" s="18"/>
      <c r="BGU229" s="18"/>
      <c r="BGV229" s="18"/>
      <c r="BGW229" s="18"/>
      <c r="BGX229" s="18"/>
      <c r="BGY229" s="18"/>
      <c r="BGZ229" s="18"/>
      <c r="BHA229" s="18"/>
      <c r="BHB229" s="18"/>
      <c r="BHC229" s="18"/>
      <c r="BHD229" s="18"/>
      <c r="BHE229" s="18"/>
      <c r="BHF229" s="18"/>
      <c r="BHG229" s="18"/>
      <c r="BHH229" s="18"/>
      <c r="BHI229" s="18"/>
      <c r="BHJ229" s="18"/>
      <c r="BHK229" s="18"/>
      <c r="BHL229" s="18"/>
      <c r="BHM229" s="18"/>
      <c r="BHN229" s="18"/>
      <c r="BHO229" s="18"/>
      <c r="BHP229" s="18"/>
      <c r="BHQ229" s="18"/>
      <c r="BHR229" s="18"/>
      <c r="BHS229" s="18"/>
      <c r="BHT229" s="18"/>
      <c r="BHU229" s="18"/>
      <c r="BHV229" s="18"/>
      <c r="BHW229" s="18"/>
      <c r="BHX229" s="18"/>
      <c r="BHY229" s="18"/>
      <c r="BHZ229" s="18"/>
      <c r="BIA229" s="18"/>
      <c r="BIB229" s="18"/>
      <c r="BIC229" s="18"/>
      <c r="BID229" s="18"/>
      <c r="BIE229" s="18"/>
      <c r="BIF229" s="18"/>
      <c r="BIG229" s="18"/>
      <c r="BIH229" s="18"/>
      <c r="BII229" s="18"/>
      <c r="BIJ229" s="18"/>
      <c r="BIK229" s="18"/>
      <c r="BIL229" s="18"/>
      <c r="BIM229" s="18"/>
      <c r="BIN229" s="18"/>
      <c r="BIO229" s="18"/>
      <c r="BIP229" s="18"/>
      <c r="BIQ229" s="18"/>
      <c r="BIR229" s="18"/>
      <c r="BIS229" s="18"/>
      <c r="BIT229" s="18"/>
      <c r="BIU229" s="18"/>
      <c r="BIV229" s="18"/>
      <c r="BIW229" s="18"/>
      <c r="BIX229" s="18"/>
      <c r="BIY229" s="18"/>
      <c r="BIZ229" s="18"/>
      <c r="BJA229" s="18"/>
      <c r="BJB229" s="18"/>
      <c r="BJC229" s="18"/>
      <c r="BJD229" s="18"/>
      <c r="BJE229" s="18"/>
      <c r="BJF229" s="18"/>
      <c r="BJG229" s="18"/>
      <c r="BJH229" s="18"/>
      <c r="BJI229" s="18"/>
      <c r="BJJ229" s="18"/>
      <c r="BJK229" s="18"/>
      <c r="BJL229" s="18"/>
      <c r="BJM229" s="18"/>
      <c r="BJN229" s="18"/>
      <c r="BJO229" s="18"/>
      <c r="BJP229" s="18"/>
      <c r="BJQ229" s="18"/>
      <c r="BJR229" s="18"/>
      <c r="BJS229" s="18"/>
      <c r="BJT229" s="18"/>
      <c r="BJU229" s="18"/>
      <c r="BJV229" s="18"/>
      <c r="BJW229" s="18"/>
      <c r="BJX229" s="18"/>
      <c r="BJY229" s="18"/>
      <c r="BJZ229" s="18"/>
      <c r="BKA229" s="18"/>
      <c r="BKB229" s="18"/>
      <c r="BKC229" s="18"/>
      <c r="BKD229" s="18"/>
      <c r="BKE229" s="18"/>
      <c r="BKF229" s="18"/>
      <c r="BKG229" s="18"/>
      <c r="BKH229" s="18"/>
      <c r="BKI229" s="18"/>
      <c r="BKJ229" s="18"/>
      <c r="BKK229" s="18"/>
      <c r="BKL229" s="18"/>
      <c r="BKM229" s="18"/>
      <c r="BKN229" s="18"/>
      <c r="BKO229" s="18"/>
      <c r="BKP229" s="18"/>
      <c r="BKQ229" s="18"/>
      <c r="BKR229" s="18"/>
      <c r="BKS229" s="18"/>
      <c r="BKT229" s="18"/>
      <c r="BKU229" s="18"/>
      <c r="BKV229" s="18"/>
      <c r="BKW229" s="18"/>
      <c r="BKX229" s="18"/>
      <c r="BKY229" s="18"/>
      <c r="BKZ229" s="18"/>
      <c r="BLA229" s="18"/>
      <c r="BLB229" s="18"/>
      <c r="BLC229" s="18"/>
      <c r="BLD229" s="18"/>
      <c r="BLE229" s="18"/>
      <c r="BLF229" s="18"/>
      <c r="BLG229" s="18"/>
      <c r="BLH229" s="18"/>
      <c r="BLI229" s="18"/>
      <c r="BLJ229" s="18"/>
      <c r="BLK229" s="18"/>
      <c r="BLL229" s="18"/>
      <c r="BLM229" s="18"/>
      <c r="BLN229" s="18"/>
      <c r="BLO229" s="18"/>
      <c r="BLP229" s="18"/>
      <c r="BLQ229" s="18"/>
      <c r="BLR229" s="18"/>
      <c r="BLS229" s="18"/>
      <c r="BLT229" s="18"/>
      <c r="BLU229" s="18"/>
      <c r="BLV229" s="18"/>
      <c r="BLW229" s="18"/>
      <c r="BLX229" s="18"/>
      <c r="BLY229" s="18"/>
      <c r="BLZ229" s="18"/>
      <c r="BMA229" s="18"/>
      <c r="BMB229" s="18"/>
      <c r="BMC229" s="18"/>
      <c r="BMD229" s="18"/>
      <c r="BME229" s="18"/>
      <c r="BMF229" s="18"/>
      <c r="BMG229" s="18"/>
      <c r="BMH229" s="18"/>
      <c r="BMI229" s="18"/>
      <c r="BMJ229" s="18"/>
      <c r="BMK229" s="18"/>
      <c r="BML229" s="18"/>
      <c r="BMM229" s="18"/>
      <c r="BMN229" s="18"/>
      <c r="BMO229" s="18"/>
      <c r="BMP229" s="18"/>
      <c r="BMQ229" s="18"/>
      <c r="BMR229" s="18"/>
      <c r="BMS229" s="18"/>
      <c r="BMT229" s="18"/>
      <c r="BMU229" s="18"/>
      <c r="BMV229" s="18"/>
      <c r="BMW229" s="18"/>
      <c r="BMX229" s="18"/>
      <c r="BMY229" s="18"/>
      <c r="BMZ229" s="18"/>
      <c r="BNA229" s="18"/>
      <c r="BNB229" s="18"/>
      <c r="BNC229" s="18"/>
      <c r="BND229" s="18"/>
      <c r="BNE229" s="18"/>
      <c r="BNF229" s="18"/>
      <c r="BNG229" s="18"/>
      <c r="BNH229" s="18"/>
      <c r="BNI229" s="18"/>
      <c r="BNJ229" s="18"/>
      <c r="BNK229" s="18"/>
      <c r="BNL229" s="18"/>
      <c r="BNM229" s="18"/>
      <c r="BNN229" s="18"/>
      <c r="BNO229" s="18"/>
      <c r="BNP229" s="18"/>
      <c r="BNQ229" s="18"/>
      <c r="BNR229" s="18"/>
      <c r="BNS229" s="18"/>
      <c r="BNT229" s="18"/>
      <c r="BNU229" s="18"/>
      <c r="BNV229" s="18"/>
      <c r="BNW229" s="18"/>
      <c r="BNX229" s="18"/>
      <c r="BNY229" s="18"/>
      <c r="BNZ229" s="18"/>
      <c r="BOA229" s="18"/>
      <c r="BOB229" s="18"/>
      <c r="BOC229" s="18"/>
      <c r="BOD229" s="18"/>
      <c r="BOE229" s="18"/>
      <c r="BOF229" s="18"/>
      <c r="BOG229" s="18"/>
      <c r="BOH229" s="18"/>
      <c r="BOI229" s="18"/>
      <c r="BOJ229" s="18"/>
      <c r="BOK229" s="18"/>
      <c r="BOL229" s="18"/>
      <c r="BOM229" s="18"/>
      <c r="BON229" s="18"/>
      <c r="BOO229" s="18"/>
      <c r="BOP229" s="18"/>
      <c r="BOQ229" s="18"/>
      <c r="BOR229" s="18"/>
      <c r="BOS229" s="18"/>
      <c r="BOT229" s="18"/>
      <c r="BOU229" s="18"/>
      <c r="BOV229" s="18"/>
      <c r="BOW229" s="18"/>
      <c r="BOX229" s="18"/>
      <c r="BOY229" s="18"/>
      <c r="BOZ229" s="18"/>
      <c r="BPA229" s="18"/>
      <c r="BPB229" s="18"/>
      <c r="BPC229" s="18"/>
      <c r="BPD229" s="18"/>
      <c r="BPE229" s="18"/>
      <c r="BPF229" s="18"/>
      <c r="BPG229" s="18"/>
      <c r="BPH229" s="18"/>
      <c r="BPI229" s="18"/>
      <c r="BPJ229" s="18"/>
      <c r="BPK229" s="18"/>
      <c r="BPL229" s="18"/>
      <c r="BPM229" s="18"/>
      <c r="BPN229" s="18"/>
      <c r="BPO229" s="18"/>
      <c r="BPP229" s="18"/>
      <c r="BPQ229" s="18"/>
      <c r="BPR229" s="18"/>
      <c r="BPS229" s="18"/>
      <c r="BPT229" s="18"/>
      <c r="BPU229" s="18"/>
      <c r="BPV229" s="18"/>
      <c r="BPW229" s="18"/>
      <c r="BPX229" s="18"/>
      <c r="BPY229" s="18"/>
      <c r="BPZ229" s="18"/>
      <c r="BQA229" s="18"/>
      <c r="BQB229" s="18"/>
      <c r="BQC229" s="18"/>
      <c r="BQD229" s="18"/>
      <c r="BQE229" s="18"/>
      <c r="BQF229" s="18"/>
      <c r="BQG229" s="18"/>
      <c r="BQH229" s="18"/>
      <c r="BQI229" s="18"/>
      <c r="BQJ229" s="18"/>
      <c r="BQK229" s="18"/>
      <c r="BQL229" s="18"/>
      <c r="BQM229" s="18"/>
      <c r="BQN229" s="18"/>
      <c r="BQO229" s="18"/>
      <c r="BQP229" s="18"/>
      <c r="BQQ229" s="18"/>
      <c r="BQR229" s="18"/>
      <c r="BQS229" s="18"/>
      <c r="BQT229" s="18"/>
      <c r="BQU229" s="18"/>
      <c r="BQV229" s="18"/>
      <c r="BQW229" s="18"/>
      <c r="BQX229" s="18"/>
      <c r="BQY229" s="18"/>
      <c r="BQZ229" s="18"/>
      <c r="BRA229" s="18"/>
      <c r="BRB229" s="18"/>
      <c r="BRC229" s="18"/>
      <c r="BRD229" s="18"/>
      <c r="BRE229" s="18"/>
      <c r="BRF229" s="18"/>
      <c r="BRG229" s="18"/>
      <c r="BRH229" s="18"/>
      <c r="BRI229" s="18"/>
      <c r="BRJ229" s="18"/>
      <c r="BRK229" s="18"/>
      <c r="BRL229" s="18"/>
      <c r="BRM229" s="18"/>
      <c r="BRN229" s="18"/>
      <c r="BRO229" s="18"/>
      <c r="BRP229" s="18"/>
      <c r="BRQ229" s="18"/>
      <c r="BRR229" s="18"/>
      <c r="BRS229" s="18"/>
      <c r="BRT229" s="18"/>
      <c r="BRU229" s="18"/>
      <c r="BRV229" s="18"/>
      <c r="BRW229" s="18"/>
      <c r="BRX229" s="18"/>
      <c r="BRY229" s="18"/>
      <c r="BRZ229" s="18"/>
      <c r="BSA229" s="18"/>
      <c r="BSB229" s="18"/>
      <c r="BSC229" s="18"/>
      <c r="BSD229" s="18"/>
      <c r="BSE229" s="18"/>
      <c r="BSF229" s="18"/>
      <c r="BSG229" s="18"/>
      <c r="BSH229" s="18"/>
      <c r="BSI229" s="18"/>
      <c r="BSJ229" s="18"/>
      <c r="BSK229" s="18"/>
      <c r="BSL229" s="18"/>
      <c r="BSM229" s="18"/>
      <c r="BSN229" s="18"/>
      <c r="BSO229" s="18"/>
      <c r="BSP229" s="18"/>
      <c r="BSQ229" s="18"/>
      <c r="BSR229" s="18"/>
      <c r="BSS229" s="18"/>
      <c r="BST229" s="18"/>
      <c r="BSU229" s="18"/>
      <c r="BSV229" s="18"/>
      <c r="BSW229" s="18"/>
      <c r="BSX229" s="18"/>
      <c r="BSY229" s="18"/>
      <c r="BSZ229" s="18"/>
      <c r="BTA229" s="18"/>
      <c r="BTB229" s="18"/>
      <c r="BTC229" s="18"/>
      <c r="BTD229" s="18"/>
      <c r="BTE229" s="18"/>
      <c r="BTF229" s="18"/>
      <c r="BTG229" s="18"/>
      <c r="BTH229" s="18"/>
      <c r="BTI229" s="18"/>
    </row>
    <row r="230" spans="1:1881" ht="35.25" customHeight="1" x14ac:dyDescent="0.3">
      <c r="A230" s="100"/>
      <c r="B230" s="489" t="s">
        <v>25</v>
      </c>
      <c r="C230" s="499"/>
      <c r="D230" s="492"/>
      <c r="E230" s="506"/>
      <c r="F230" s="506"/>
      <c r="G230" s="474"/>
      <c r="H230" s="17"/>
      <c r="I230" s="17"/>
      <c r="J230" s="72"/>
      <c r="K230"/>
      <c r="L230" s="547"/>
    </row>
    <row r="231" spans="1:1881" ht="151.19999999999999" customHeight="1" x14ac:dyDescent="0.3">
      <c r="A231" s="117">
        <v>621</v>
      </c>
      <c r="B231" s="117" t="s">
        <v>324</v>
      </c>
      <c r="C231" s="117" t="s">
        <v>354</v>
      </c>
      <c r="D231" s="116" t="s">
        <v>659</v>
      </c>
      <c r="E231" s="371" t="e">
        <f>INDEX('PY1 Data(H)'!$A$1:$BV$265,MATCH('Unit Data from Audit Worksheet'!$A231,'PY1 Data(H)'!$A$1:$A$258,0),MATCH('Unit Data from Audit Worksheet'!$D$2,'PY1 Data(H)'!$A$1:$BV$1,0))</f>
        <v>#N/A</v>
      </c>
      <c r="F231" s="793">
        <v>0</v>
      </c>
      <c r="G231" s="430" t="s">
        <v>660</v>
      </c>
      <c r="I231" s="309"/>
      <c r="K231"/>
      <c r="L231" s="547"/>
    </row>
    <row r="232" spans="1:1881" ht="178.2" customHeight="1" x14ac:dyDescent="0.3">
      <c r="A232" s="100">
        <v>547</v>
      </c>
      <c r="B232" s="373"/>
      <c r="C232" s="373" t="s">
        <v>159</v>
      </c>
      <c r="D232" s="739" t="s">
        <v>1545</v>
      </c>
      <c r="E232" s="371" t="e">
        <f>INDEX('PY1 Data(H)'!$A$1:$BV$265,MATCH('Unit Data from Audit Worksheet'!$A232,'PY1 Data(H)'!$A$1:$A$258,0),MATCH('Unit Data from Audit Worksheet'!$D$2,'PY1 Data(H)'!$A$1:$BV$1,0))</f>
        <v>#N/A</v>
      </c>
      <c r="F232" s="184"/>
      <c r="G232" s="429" t="str">
        <f>IF(F232&lt;1,"Please answer this question","")</f>
        <v>Please answer this question</v>
      </c>
      <c r="H232" s="402"/>
      <c r="I232" s="402"/>
      <c r="J232" s="403"/>
      <c r="K232"/>
      <c r="L232" s="547"/>
    </row>
    <row r="233" spans="1:1881" s="18" customFormat="1" ht="120" customHeight="1" x14ac:dyDescent="0.3">
      <c r="A233" s="189">
        <v>659</v>
      </c>
      <c r="B233" s="460" t="s">
        <v>58</v>
      </c>
      <c r="C233" s="460" t="s">
        <v>344</v>
      </c>
      <c r="D233" s="192" t="s">
        <v>661</v>
      </c>
      <c r="E233" s="371" t="e">
        <f>INDEX('PY1 Data(H)'!$A$1:$BV$265,MATCH('Unit Data from Audit Worksheet'!$A233,'PY1 Data(H)'!$A$1:$A$258,0),MATCH('Unit Data from Audit Worksheet'!$D$2,'PY1 Data(H)'!$A$1:$BV$1,0))</f>
        <v>#N/A</v>
      </c>
      <c r="F233" s="793">
        <v>0</v>
      </c>
      <c r="G233" s="430" t="s">
        <v>662</v>
      </c>
      <c r="H233" s="401">
        <f>IF(F230&lt;0,"Error: Enter as positive.",)</f>
        <v>0</v>
      </c>
      <c r="I233" s="242"/>
      <c r="J233" s="242"/>
      <c r="K233"/>
      <c r="L233" s="547"/>
      <c r="M233"/>
      <c r="O233" s="186"/>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row>
    <row r="234" spans="1:1881" ht="65.25" customHeight="1" x14ac:dyDescent="0.3">
      <c r="A234" s="189">
        <v>660</v>
      </c>
      <c r="B234" s="460" t="s">
        <v>58</v>
      </c>
      <c r="C234" s="460" t="s">
        <v>344</v>
      </c>
      <c r="D234" s="192" t="s">
        <v>663</v>
      </c>
      <c r="E234" s="371" t="e">
        <f>INDEX('PY1 Data(H)'!$A$1:$BV$265,MATCH('Unit Data from Audit Worksheet'!$A234,'PY1 Data(H)'!$A$1:$A$258,0),MATCH('Unit Data from Audit Worksheet'!$D$2,'PY1 Data(H)'!$A$1:$BV$1,0))</f>
        <v>#N/A</v>
      </c>
      <c r="F234" s="793">
        <v>0</v>
      </c>
      <c r="G234" s="430" t="str">
        <f>IF(ISBLANK(F234),"Please do not leave blank","")</f>
        <v/>
      </c>
      <c r="H234" s="401">
        <f>IF(F231&lt;0,"Note: Number is normally positive.",)</f>
        <v>0</v>
      </c>
      <c r="I234" s="17"/>
      <c r="J234" s="17"/>
      <c r="K234"/>
      <c r="L234" s="547"/>
    </row>
    <row r="235" spans="1:1881" ht="94.5" customHeight="1" x14ac:dyDescent="0.3">
      <c r="A235" s="189">
        <v>661</v>
      </c>
      <c r="B235" s="460" t="s">
        <v>58</v>
      </c>
      <c r="C235" s="460" t="s">
        <v>346</v>
      </c>
      <c r="D235" s="343" t="s">
        <v>664</v>
      </c>
      <c r="E235" s="371" t="e">
        <f>INDEX('PY1 Data(H)'!$A$1:$BV$265,MATCH('Unit Data from Audit Worksheet'!$A235,'PY1 Data(H)'!$A$1:$A$258,0),MATCH('Unit Data from Audit Worksheet'!$D$2,'PY1 Data(H)'!$A$1:$BV$1,0))</f>
        <v>#N/A</v>
      </c>
      <c r="F235" s="795">
        <v>0</v>
      </c>
      <c r="G235" s="430" t="str">
        <f>IF(ISBLANK(F235),"Please do not leave blank ",IF(F235=H235,"","Please review percentage"))</f>
        <v/>
      </c>
      <c r="H235" s="796">
        <f>ROUND(IFERROR((F234/F233)*100,0),1)</f>
        <v>0</v>
      </c>
      <c r="I235" s="431"/>
      <c r="J235" s="431"/>
      <c r="K235"/>
      <c r="L235" s="547"/>
    </row>
    <row r="236" spans="1:1881" ht="111.75" customHeight="1" x14ac:dyDescent="0.3">
      <c r="A236" s="100"/>
      <c r="B236" s="373"/>
      <c r="C236" s="373"/>
      <c r="D236" s="24" t="s">
        <v>26</v>
      </c>
      <c r="E236" s="371"/>
      <c r="F236" s="375"/>
      <c r="G236" s="430"/>
      <c r="H236" s="431"/>
      <c r="I236" s="1021"/>
      <c r="J236" s="432"/>
      <c r="K236"/>
      <c r="L236" s="547"/>
    </row>
    <row r="237" spans="1:1881" ht="32.25" customHeight="1" x14ac:dyDescent="0.3">
      <c r="A237" s="100"/>
      <c r="B237" s="489" t="s">
        <v>27</v>
      </c>
      <c r="C237" s="499"/>
      <c r="D237" s="492"/>
      <c r="E237" s="505"/>
      <c r="F237" s="505"/>
      <c r="G237" s="474"/>
      <c r="H237" s="17"/>
      <c r="I237" s="17"/>
      <c r="J237" s="72"/>
      <c r="K237"/>
      <c r="L237" s="547"/>
    </row>
    <row r="238" spans="1:1881" ht="63.75" customHeight="1" x14ac:dyDescent="0.3">
      <c r="A238" s="30">
        <v>371</v>
      </c>
      <c r="B238" s="4" t="s">
        <v>55</v>
      </c>
      <c r="C238" s="4" t="s">
        <v>160</v>
      </c>
      <c r="D238" s="21" t="s">
        <v>757</v>
      </c>
      <c r="E238" s="371" t="e">
        <f>INDEX('PY1 Data(H)'!$A$1:$BV$265,MATCH('Unit Data from Audit Worksheet'!$A238,'PY1 Data(H)'!$A$1:$A$258,0),MATCH('Unit Data from Audit Worksheet'!$D$2,'PY1 Data(H)'!$A$1:$BV$1,0))</f>
        <v>#N/A</v>
      </c>
      <c r="F238" s="793">
        <v>0</v>
      </c>
      <c r="G238" s="401">
        <f>IF(F238&lt;0,"Error: Enter as positive.",)</f>
        <v>0</v>
      </c>
      <c r="H238" s="17"/>
      <c r="I238" s="17"/>
      <c r="J238" s="72"/>
      <c r="K238"/>
      <c r="L238" s="547"/>
    </row>
    <row r="239" spans="1:1881" ht="63.75" customHeight="1" x14ac:dyDescent="0.3">
      <c r="A239" s="100">
        <v>1075</v>
      </c>
      <c r="B239" s="458" t="s">
        <v>58</v>
      </c>
      <c r="C239" s="373" t="s">
        <v>160</v>
      </c>
      <c r="D239" s="781" t="s">
        <v>1858</v>
      </c>
      <c r="E239" s="371" t="e">
        <f>INDEX('PY1 Data(H)'!$A$1:$BV$265,MATCH('Unit Data from Audit Worksheet'!$A239,'PY1 Data(H)'!$A$1:$A$258,0),MATCH('Unit Data from Audit Worksheet'!$D$2,'PY1 Data(H)'!$A$1:$BV$1,0))</f>
        <v>#N/A</v>
      </c>
      <c r="F239" s="793">
        <v>0</v>
      </c>
      <c r="G239" s="401"/>
      <c r="H239" s="17"/>
      <c r="I239" s="17"/>
      <c r="J239" s="72"/>
      <c r="K239" s="180"/>
      <c r="L239" s="547"/>
      <c r="M239" s="180"/>
      <c r="Z239" s="180"/>
      <c r="AA239" s="180"/>
      <c r="AB239" s="180"/>
      <c r="AC239" s="180"/>
      <c r="AD239" s="180"/>
      <c r="AE239" s="180"/>
      <c r="AF239" s="180"/>
      <c r="AG239" s="180"/>
      <c r="AH239" s="180"/>
      <c r="AI239" s="180"/>
      <c r="AJ239" s="180"/>
      <c r="AK239" s="180"/>
      <c r="AL239" s="180"/>
      <c r="AM239" s="180"/>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0"/>
      <c r="BR239" s="180"/>
      <c r="BS239" s="180"/>
      <c r="BT239" s="180"/>
      <c r="BU239" s="180"/>
      <c r="BV239" s="180"/>
      <c r="BW239" s="180"/>
      <c r="BX239" s="180"/>
      <c r="BY239" s="180"/>
      <c r="BZ239" s="180"/>
      <c r="CA239" s="180"/>
      <c r="CB239" s="180"/>
      <c r="CC239" s="180"/>
      <c r="CD239" s="180"/>
      <c r="CE239" s="180"/>
      <c r="CF239" s="180"/>
      <c r="CG239" s="180"/>
      <c r="CH239" s="180"/>
      <c r="CI239" s="180"/>
      <c r="CJ239" s="180"/>
      <c r="CK239" s="180"/>
      <c r="CL239" s="180"/>
      <c r="CM239" s="180"/>
      <c r="CN239" s="180"/>
      <c r="CO239" s="180"/>
      <c r="CP239" s="180"/>
      <c r="CQ239" s="180"/>
      <c r="CR239" s="180"/>
      <c r="CS239" s="180"/>
      <c r="CT239" s="180"/>
      <c r="CU239" s="180"/>
      <c r="CV239" s="180"/>
      <c r="CW239" s="180"/>
      <c r="CX239" s="180"/>
      <c r="CY239" s="180"/>
      <c r="CZ239" s="180"/>
      <c r="DA239" s="180"/>
      <c r="DB239" s="180"/>
      <c r="DC239" s="180"/>
      <c r="DD239" s="180"/>
      <c r="DE239" s="180"/>
      <c r="DF239" s="180"/>
      <c r="DG239" s="180"/>
      <c r="DH239" s="180"/>
      <c r="DI239" s="180"/>
      <c r="DJ239" s="180"/>
      <c r="DK239" s="180"/>
      <c r="DL239" s="180"/>
      <c r="DM239" s="180"/>
      <c r="DN239" s="180"/>
      <c r="DO239" s="180"/>
      <c r="DP239" s="180"/>
      <c r="DQ239" s="180"/>
      <c r="DR239" s="180"/>
      <c r="DS239" s="180"/>
    </row>
    <row r="240" spans="1:1881" ht="63.75" customHeight="1" x14ac:dyDescent="0.3">
      <c r="A240" s="100">
        <v>1076</v>
      </c>
      <c r="B240" s="458" t="s">
        <v>58</v>
      </c>
      <c r="C240" s="373" t="s">
        <v>160</v>
      </c>
      <c r="D240" s="781" t="s">
        <v>1859</v>
      </c>
      <c r="E240" s="371" t="e">
        <f>INDEX('PY1 Data(H)'!$A$1:$BV$265,MATCH('Unit Data from Audit Worksheet'!$A240,'PY1 Data(H)'!$A$1:$A$258,0),MATCH('Unit Data from Audit Worksheet'!$D$2,'PY1 Data(H)'!$A$1:$BV$1,0))</f>
        <v>#N/A</v>
      </c>
      <c r="F240" s="793">
        <v>0</v>
      </c>
      <c r="G240" s="401"/>
      <c r="H240" s="17"/>
      <c r="I240" s="17"/>
      <c r="J240" s="72"/>
      <c r="K240" s="180"/>
      <c r="L240" s="547"/>
      <c r="M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0"/>
      <c r="BS240" s="180"/>
      <c r="BT240" s="180"/>
      <c r="BU240" s="180"/>
      <c r="BV240" s="180"/>
      <c r="BW240" s="180"/>
      <c r="BX240" s="180"/>
      <c r="BY240" s="180"/>
      <c r="BZ240" s="180"/>
      <c r="CA240" s="180"/>
      <c r="CB240" s="180"/>
      <c r="CC240" s="180"/>
      <c r="CD240" s="180"/>
      <c r="CE240" s="180"/>
      <c r="CF240" s="180"/>
      <c r="CG240" s="180"/>
      <c r="CH240" s="180"/>
      <c r="CI240" s="180"/>
      <c r="CJ240" s="180"/>
      <c r="CK240" s="180"/>
      <c r="CL240" s="180"/>
      <c r="CM240" s="180"/>
      <c r="CN240" s="180"/>
      <c r="CO240" s="180"/>
      <c r="CP240" s="180"/>
      <c r="CQ240" s="180"/>
      <c r="CR240" s="180"/>
      <c r="CS240" s="180"/>
      <c r="CT240" s="180"/>
      <c r="CU240" s="180"/>
      <c r="CV240" s="180"/>
      <c r="CW240" s="180"/>
      <c r="CX240" s="180"/>
      <c r="CY240" s="180"/>
      <c r="CZ240" s="180"/>
      <c r="DA240" s="180"/>
      <c r="DB240" s="180"/>
      <c r="DC240" s="180"/>
      <c r="DD240" s="180"/>
      <c r="DE240" s="180"/>
      <c r="DF240" s="180"/>
      <c r="DG240" s="180"/>
      <c r="DH240" s="180"/>
      <c r="DI240" s="180"/>
      <c r="DJ240" s="180"/>
      <c r="DK240" s="180"/>
      <c r="DL240" s="180"/>
      <c r="DM240" s="180"/>
      <c r="DN240" s="180"/>
      <c r="DO240" s="180"/>
      <c r="DP240" s="180"/>
      <c r="DQ240" s="180"/>
      <c r="DR240" s="180"/>
      <c r="DS240" s="180"/>
    </row>
    <row r="241" spans="1:123" ht="100.8" x14ac:dyDescent="0.3">
      <c r="A241" s="100">
        <v>1077</v>
      </c>
      <c r="B241" s="458" t="s">
        <v>58</v>
      </c>
      <c r="C241" s="705" t="s">
        <v>1862</v>
      </c>
      <c r="D241" s="781" t="s">
        <v>1940</v>
      </c>
      <c r="E241" s="371" t="e">
        <f>INDEX('PY1 Data(H)'!$A$1:$BV$265,MATCH('Unit Data from Audit Worksheet'!$A241,'PY1 Data(H)'!$A$1:$A$258,0),MATCH('Unit Data from Audit Worksheet'!$D$2,'PY1 Data(H)'!$A$1:$BV$1,0))</f>
        <v>#N/A</v>
      </c>
      <c r="F241" s="793">
        <v>0</v>
      </c>
      <c r="G241" s="401"/>
      <c r="H241" s="17"/>
      <c r="I241" s="17"/>
      <c r="J241" s="72"/>
      <c r="K241" s="180"/>
      <c r="L241" s="547"/>
      <c r="M241" s="180"/>
      <c r="Z241" s="180"/>
      <c r="AA241" s="180"/>
      <c r="AB241" s="180"/>
      <c r="AC241" s="180"/>
      <c r="AD241" s="180"/>
      <c r="AE241" s="180"/>
      <c r="AF241" s="180"/>
      <c r="AG241" s="180"/>
      <c r="AH241" s="180"/>
      <c r="AI241" s="180"/>
      <c r="AJ241" s="180"/>
      <c r="AK241" s="180"/>
      <c r="AL241" s="180"/>
      <c r="AM241" s="180"/>
      <c r="AN241" s="180"/>
      <c r="AO241" s="180"/>
      <c r="AP241" s="180"/>
      <c r="AQ241" s="180"/>
      <c r="AR241" s="180"/>
      <c r="AS241" s="180"/>
      <c r="AT241" s="180"/>
      <c r="AU241" s="180"/>
      <c r="AV241" s="180"/>
      <c r="AW241" s="180"/>
      <c r="AX241" s="180"/>
      <c r="AY241" s="180"/>
      <c r="AZ241" s="180"/>
      <c r="BA241" s="180"/>
      <c r="BB241" s="180"/>
      <c r="BC241" s="180"/>
      <c r="BD241" s="180"/>
      <c r="BE241" s="180"/>
      <c r="BF241" s="180"/>
      <c r="BG241" s="180"/>
      <c r="BH241" s="180"/>
      <c r="BI241" s="180"/>
      <c r="BJ241" s="180"/>
      <c r="BK241" s="180"/>
      <c r="BL241" s="180"/>
      <c r="BM241" s="180"/>
      <c r="BN241" s="180"/>
      <c r="BO241" s="180"/>
      <c r="BP241" s="180"/>
      <c r="BQ241" s="180"/>
      <c r="BR241" s="180"/>
      <c r="BS241" s="180"/>
      <c r="BT241" s="180"/>
      <c r="BU241" s="180"/>
      <c r="BV241" s="180"/>
      <c r="BW241" s="180"/>
      <c r="BX241" s="180"/>
      <c r="BY241" s="180"/>
      <c r="BZ241" s="180"/>
      <c r="CA241" s="180"/>
      <c r="CB241" s="180"/>
      <c r="CC241" s="180"/>
      <c r="CD241" s="180"/>
      <c r="CE241" s="180"/>
      <c r="CF241" s="180"/>
      <c r="CG241" s="180"/>
      <c r="CH241" s="180"/>
      <c r="CI241" s="180"/>
      <c r="CJ241" s="180"/>
      <c r="CK241" s="180"/>
      <c r="CL241" s="180"/>
      <c r="CM241" s="180"/>
      <c r="CN241" s="180"/>
      <c r="CO241" s="180"/>
      <c r="CP241" s="180"/>
      <c r="CQ241" s="180"/>
      <c r="CR241" s="180"/>
      <c r="CS241" s="180"/>
      <c r="CT241" s="180"/>
      <c r="CU241" s="180"/>
      <c r="CV241" s="180"/>
      <c r="CW241" s="180"/>
      <c r="CX241" s="180"/>
      <c r="CY241" s="180"/>
      <c r="CZ241" s="180"/>
      <c r="DA241" s="180"/>
      <c r="DB241" s="180"/>
      <c r="DC241" s="180"/>
      <c r="DD241" s="180"/>
      <c r="DE241" s="180"/>
      <c r="DF241" s="180"/>
      <c r="DG241" s="180"/>
      <c r="DH241" s="180"/>
      <c r="DI241" s="180"/>
      <c r="DJ241" s="180"/>
      <c r="DK241" s="180"/>
      <c r="DL241" s="180"/>
      <c r="DM241" s="180"/>
      <c r="DN241" s="180"/>
      <c r="DO241" s="180"/>
      <c r="DP241" s="180"/>
      <c r="DQ241" s="180"/>
      <c r="DR241" s="180"/>
      <c r="DS241" s="180"/>
    </row>
    <row r="242" spans="1:123" ht="70.5" customHeight="1" x14ac:dyDescent="0.3">
      <c r="A242" s="100">
        <v>513</v>
      </c>
      <c r="B242" s="458" t="s">
        <v>57</v>
      </c>
      <c r="C242" s="4" t="s">
        <v>160</v>
      </c>
      <c r="D242" s="21" t="s">
        <v>758</v>
      </c>
      <c r="E242" s="792" t="e">
        <f>INDEX('PY1 Data(H)'!$A$1:$BV$265,MATCH('Unit Data from Audit Worksheet'!$A242,'PY1 Data(H)'!$A$1:$A$258,0),MATCH('Unit Data from Audit Worksheet'!$D$2,'PY1 Data(H)'!$A$1:$BV$1,0))</f>
        <v>#N/A</v>
      </c>
      <c r="F242" s="184">
        <v>0</v>
      </c>
      <c r="G242" s="401">
        <f>IF(F242&lt;0,"Error: Enter as positive.",)</f>
        <v>0</v>
      </c>
      <c r="H242" s="402"/>
      <c r="I242" s="402"/>
      <c r="J242" s="403"/>
      <c r="K242"/>
      <c r="L242" s="547"/>
    </row>
    <row r="243" spans="1:123" ht="80.25" customHeight="1" x14ac:dyDescent="0.3">
      <c r="A243" s="100">
        <v>514</v>
      </c>
      <c r="B243" s="458" t="s">
        <v>57</v>
      </c>
      <c r="C243" s="4" t="s">
        <v>160</v>
      </c>
      <c r="D243" s="21" t="s">
        <v>759</v>
      </c>
      <c r="E243" s="792" t="e">
        <f>INDEX('PY1 Data(H)'!$A$1:$BV$265,MATCH('Unit Data from Audit Worksheet'!$A243,'PY1 Data(H)'!$A$1:$A$258,0),MATCH('Unit Data from Audit Worksheet'!$D$2,'PY1 Data(H)'!$A$1:$BV$1,0))</f>
        <v>#N/A</v>
      </c>
      <c r="F243" s="184">
        <v>0</v>
      </c>
      <c r="G243" s="401">
        <f>IF(F243&lt;0,"Error: Enter as positive.",)</f>
        <v>0</v>
      </c>
      <c r="H243" s="17"/>
      <c r="I243" s="402"/>
      <c r="J243" s="403"/>
      <c r="K243"/>
      <c r="L243" s="547"/>
    </row>
    <row r="244" spans="1:123" ht="80.25" customHeight="1" x14ac:dyDescent="0.3">
      <c r="A244" s="100">
        <v>990</v>
      </c>
      <c r="B244" s="949" t="s">
        <v>1905</v>
      </c>
      <c r="C244" s="373" t="s">
        <v>160</v>
      </c>
      <c r="D244" s="21" t="s">
        <v>1433</v>
      </c>
      <c r="E244" s="792" t="e">
        <f>INDEX('PY1 Data(H)'!$A$1:$BV$265,MATCH('Unit Data from Audit Worksheet'!$A244,'PY1 Data(H)'!$A$1:$A$258,0),MATCH('Unit Data from Audit Worksheet'!$D$2,'PY1 Data(H)'!$A$1:$BV$1,0))</f>
        <v>#N/A</v>
      </c>
      <c r="F244" s="184">
        <v>0</v>
      </c>
      <c r="G244" s="401">
        <f>IF(F244&lt;0,"Error: Enter as positive.",)</f>
        <v>0</v>
      </c>
      <c r="H244" s="17"/>
      <c r="I244" s="402"/>
      <c r="J244" s="403"/>
      <c r="K244"/>
      <c r="L244" s="547"/>
    </row>
    <row r="245" spans="1:123" ht="96" customHeight="1" x14ac:dyDescent="0.3">
      <c r="A245" s="373">
        <v>1051</v>
      </c>
      <c r="B245" s="951" t="s">
        <v>1901</v>
      </c>
      <c r="C245" s="705" t="s">
        <v>1438</v>
      </c>
      <c r="D245" s="781" t="s">
        <v>1429</v>
      </c>
      <c r="E245" s="792" t="e">
        <f>INDEX('PY1 Data(H)'!$A$1:$BV$265,MATCH('Unit Data from Audit Worksheet'!$A245,'PY1 Data(H)'!$A$1:$A$258,0),MATCH('Unit Data from Audit Worksheet'!$D$2,'PY1 Data(H)'!$A$1:$BV$1,0))</f>
        <v>#N/A</v>
      </c>
      <c r="F245" s="184">
        <v>0</v>
      </c>
      <c r="G245" s="401">
        <f>IF(F245&lt;0,"Error: Enter as positive.",)</f>
        <v>0</v>
      </c>
      <c r="H245" s="17"/>
      <c r="I245" s="402"/>
      <c r="J245" s="403"/>
      <c r="K245" s="180"/>
      <c r="L245" s="547"/>
      <c r="M245" s="180"/>
      <c r="Z245" s="180"/>
      <c r="AA245" s="180"/>
      <c r="AB245" s="180"/>
      <c r="AC245" s="180"/>
      <c r="AD245" s="180"/>
      <c r="AE245" s="180"/>
      <c r="AF245" s="180"/>
      <c r="AG245" s="180"/>
      <c r="AH245" s="180"/>
      <c r="AI245" s="180"/>
      <c r="AJ245" s="180"/>
      <c r="AK245" s="180"/>
      <c r="AL245" s="180"/>
      <c r="AM245" s="180"/>
      <c r="AN245" s="180"/>
      <c r="AO245" s="180"/>
      <c r="AP245" s="180"/>
      <c r="AQ245" s="180"/>
      <c r="AR245" s="180"/>
      <c r="AS245" s="180"/>
      <c r="AT245" s="180"/>
      <c r="AU245" s="180"/>
      <c r="AV245" s="180"/>
      <c r="AW245" s="180"/>
      <c r="AX245" s="180"/>
      <c r="AY245" s="180"/>
      <c r="AZ245" s="180"/>
      <c r="BA245" s="180"/>
      <c r="BB245" s="180"/>
      <c r="BC245" s="180"/>
      <c r="BD245" s="180"/>
      <c r="BE245" s="180"/>
      <c r="BF245" s="180"/>
      <c r="BG245" s="180"/>
      <c r="BH245" s="180"/>
      <c r="BI245" s="180"/>
      <c r="BJ245" s="180"/>
      <c r="BK245" s="180"/>
      <c r="BL245" s="180"/>
      <c r="BM245" s="180"/>
      <c r="BN245" s="180"/>
      <c r="BO245" s="180"/>
      <c r="BP245" s="180"/>
      <c r="BQ245" s="180"/>
      <c r="BR245" s="180"/>
      <c r="BS245" s="180"/>
      <c r="BT245" s="180"/>
      <c r="BU245" s="180"/>
      <c r="BV245" s="180"/>
      <c r="BW245" s="180"/>
      <c r="BX245" s="180"/>
      <c r="BY245" s="180"/>
      <c r="BZ245" s="180"/>
      <c r="CA245" s="180"/>
      <c r="CB245" s="180"/>
      <c r="CC245" s="180"/>
      <c r="CD245" s="180"/>
      <c r="CE245" s="180"/>
      <c r="CF245" s="180"/>
      <c r="CG245" s="180"/>
      <c r="CH245" s="180"/>
      <c r="CI245" s="180"/>
      <c r="CJ245" s="180"/>
      <c r="CK245" s="180"/>
      <c r="CL245" s="180"/>
      <c r="CM245" s="180"/>
      <c r="CN245" s="180"/>
      <c r="CO245" s="180"/>
      <c r="CP245" s="180"/>
      <c r="CQ245" s="180"/>
      <c r="CR245" s="180"/>
      <c r="CS245" s="180"/>
      <c r="CT245" s="180"/>
      <c r="CU245" s="180"/>
      <c r="CV245" s="180"/>
      <c r="CW245" s="180"/>
      <c r="CX245" s="180"/>
      <c r="CY245" s="180"/>
      <c r="CZ245" s="180"/>
      <c r="DA245" s="180"/>
      <c r="DB245" s="180"/>
      <c r="DC245" s="180"/>
      <c r="DD245" s="180"/>
      <c r="DE245" s="180"/>
      <c r="DF245" s="180"/>
      <c r="DG245" s="180"/>
      <c r="DH245" s="180"/>
      <c r="DI245" s="180"/>
      <c r="DJ245" s="180"/>
      <c r="DK245" s="180"/>
      <c r="DL245" s="180"/>
      <c r="DM245" s="180"/>
      <c r="DN245" s="180"/>
      <c r="DO245" s="180"/>
      <c r="DP245" s="180"/>
      <c r="DQ245" s="180"/>
      <c r="DR245" s="180"/>
      <c r="DS245" s="180"/>
    </row>
    <row r="246" spans="1:123" ht="32.25" customHeight="1" x14ac:dyDescent="0.3">
      <c r="A246" s="100"/>
      <c r="B246" s="489" t="s">
        <v>28</v>
      </c>
      <c r="C246" s="499"/>
      <c r="D246" s="492"/>
      <c r="E246" s="474"/>
      <c r="F246" s="474"/>
      <c r="G246" s="474"/>
      <c r="H246" s="17"/>
      <c r="I246" s="17"/>
      <c r="J246" s="72"/>
      <c r="K246"/>
      <c r="L246" s="547"/>
    </row>
    <row r="247" spans="1:123" ht="68.25" customHeight="1" x14ac:dyDescent="0.3">
      <c r="A247" s="100">
        <v>6</v>
      </c>
      <c r="B247" s="948" t="s">
        <v>1886</v>
      </c>
      <c r="C247" s="4" t="s">
        <v>161</v>
      </c>
      <c r="D247" s="21" t="s">
        <v>760</v>
      </c>
      <c r="E247" s="371" t="e">
        <f>INDEX('PY1 Data(H)'!$A$1:$BV$265,MATCH('Unit Data from Audit Worksheet'!$A247,'PY1 Data(H)'!$A$1:$A$258,0),MATCH('Unit Data from Audit Worksheet'!$D$2,'PY1 Data(H)'!$A$1:$BV$1,0))</f>
        <v>#N/A</v>
      </c>
      <c r="F247" s="793">
        <v>0</v>
      </c>
      <c r="G247" s="401">
        <f>IF(F247&lt;0,"Error: Enter as positive.",)</f>
        <v>0</v>
      </c>
      <c r="H247" s="17"/>
      <c r="I247" s="17"/>
      <c r="J247" s="72"/>
      <c r="K247"/>
      <c r="L247" s="547"/>
    </row>
    <row r="248" spans="1:123" ht="33" customHeight="1" x14ac:dyDescent="0.3">
      <c r="A248" s="100"/>
      <c r="B248" s="489" t="s">
        <v>172</v>
      </c>
      <c r="C248" s="499"/>
      <c r="D248" s="492"/>
      <c r="E248" s="484"/>
      <c r="F248" s="484"/>
      <c r="G248" s="484"/>
      <c r="H248" s="402"/>
      <c r="I248" s="402"/>
      <c r="J248" s="403"/>
      <c r="K248"/>
      <c r="L248" s="547"/>
    </row>
    <row r="249" spans="1:123" ht="141" customHeight="1" x14ac:dyDescent="0.3">
      <c r="A249" s="100">
        <v>541</v>
      </c>
      <c r="B249" s="373" t="s">
        <v>58</v>
      </c>
      <c r="C249" s="373" t="s">
        <v>761</v>
      </c>
      <c r="D249" s="370" t="s">
        <v>762</v>
      </c>
      <c r="E249" s="371" t="e">
        <f>INDEX('PY1 Data(H)'!$A$1:$BV$265,MATCH('Unit Data from Audit Worksheet'!$A249,'PY1 Data(H)'!$A$1:$A$258,0),MATCH('Unit Data from Audit Worksheet'!$D$2,'PY1 Data(H)'!$A$1:$BV$1,0))</f>
        <v>#N/A</v>
      </c>
      <c r="F249" s="793">
        <v>0</v>
      </c>
      <c r="G249" s="401"/>
      <c r="H249" s="402"/>
      <c r="I249" s="402"/>
      <c r="J249" s="403"/>
      <c r="K249"/>
      <c r="L249" s="547"/>
    </row>
    <row r="250" spans="1:123" ht="28.5" customHeight="1" x14ac:dyDescent="0.3">
      <c r="A250" s="100"/>
      <c r="B250" s="489" t="s">
        <v>49</v>
      </c>
      <c r="C250" s="499"/>
      <c r="D250" s="492"/>
      <c r="E250" s="503"/>
      <c r="F250" s="503"/>
      <c r="G250" s="503"/>
      <c r="H250" s="402"/>
      <c r="I250" s="402"/>
      <c r="J250" s="403"/>
      <c r="K250"/>
      <c r="L250" s="547"/>
    </row>
    <row r="251" spans="1:123" ht="91.95" customHeight="1" x14ac:dyDescent="0.3">
      <c r="A251" s="100">
        <v>542</v>
      </c>
      <c r="B251" s="373" t="s">
        <v>58</v>
      </c>
      <c r="C251" s="464" t="s">
        <v>763</v>
      </c>
      <c r="D251" s="26" t="s">
        <v>162</v>
      </c>
      <c r="E251" s="371" t="e">
        <f>INDEX('PY1 Data(H)'!$A$1:$BV$265,MATCH('Unit Data from Audit Worksheet'!$A251,'PY1 Data(H)'!$A$1:$A$258,0),MATCH('Unit Data from Audit Worksheet'!$D$2,'PY1 Data(H)'!$A$1:$BV$1,0))</f>
        <v>#N/A</v>
      </c>
      <c r="F251" s="793">
        <v>0</v>
      </c>
      <c r="G251" s="401"/>
      <c r="H251" s="402"/>
      <c r="I251" s="433"/>
      <c r="J251" s="433"/>
      <c r="K251"/>
      <c r="L251" s="547"/>
    </row>
    <row r="252" spans="1:123" ht="21.6" customHeight="1" x14ac:dyDescent="0.3">
      <c r="A252" s="100"/>
      <c r="B252" s="489" t="s">
        <v>764</v>
      </c>
      <c r="C252" s="704"/>
      <c r="D252" s="467"/>
      <c r="E252" s="486"/>
      <c r="F252" s="486"/>
      <c r="G252" s="486"/>
      <c r="H252" s="17"/>
      <c r="I252" s="17"/>
      <c r="J252" s="72"/>
      <c r="K252"/>
      <c r="L252" s="547"/>
    </row>
    <row r="253" spans="1:123" ht="12.6" customHeight="1" x14ac:dyDescent="0.3">
      <c r="A253" s="100"/>
      <c r="B253" s="738" t="s">
        <v>12</v>
      </c>
      <c r="C253" s="711"/>
      <c r="D253" s="467"/>
      <c r="E253" s="507"/>
      <c r="F253" s="507"/>
      <c r="G253" s="486"/>
      <c r="H253" s="17"/>
      <c r="I253" s="17"/>
      <c r="J253" s="72"/>
      <c r="K253"/>
      <c r="L253" s="547"/>
    </row>
    <row r="254" spans="1:123" ht="77.25" customHeight="1" x14ac:dyDescent="0.3">
      <c r="A254" s="100">
        <v>528</v>
      </c>
      <c r="B254" s="373" t="s">
        <v>54</v>
      </c>
      <c r="C254" s="4" t="s">
        <v>163</v>
      </c>
      <c r="D254" s="322" t="s">
        <v>1869</v>
      </c>
      <c r="E254" s="371" t="e">
        <f>INDEX('PY1 Data(H)'!$A$1:$BV$265,MATCH('Unit Data from Audit Worksheet'!$A254,'PY1 Data(H)'!$A$1:$A$258,0),MATCH('Unit Data from Audit Worksheet'!$D$2,'PY1 Data(H)'!$A$1:$BV$1,0))</f>
        <v>#N/A</v>
      </c>
      <c r="F254" s="793">
        <v>0</v>
      </c>
      <c r="G254" s="401">
        <f>IF(F254="","Error: Unit must enter this information if they levy taxes.",)</f>
        <v>0</v>
      </c>
      <c r="H254" s="434"/>
      <c r="I254" s="17"/>
      <c r="J254" s="72"/>
      <c r="K254"/>
      <c r="L254" s="547"/>
    </row>
    <row r="255" spans="1:123" ht="69" customHeight="1" x14ac:dyDescent="0.3">
      <c r="A255" s="100">
        <v>529</v>
      </c>
      <c r="B255" s="373" t="s">
        <v>54</v>
      </c>
      <c r="C255" s="4" t="s">
        <v>163</v>
      </c>
      <c r="D255" s="322" t="s">
        <v>765</v>
      </c>
      <c r="E255" s="371" t="e">
        <f>INDEX('PY1 Data(H)'!$A$1:$BV$265,MATCH('Unit Data from Audit Worksheet'!$A255,'PY1 Data(H)'!$A$1:$A$258,0),MATCH('Unit Data from Audit Worksheet'!$D$2,'PY1 Data(H)'!$A$1:$BV$1,0))</f>
        <v>#N/A</v>
      </c>
      <c r="F255" s="793">
        <v>0</v>
      </c>
      <c r="G255" s="401">
        <f>IF(F255="","Error: Unit must enter this information if they levy taxes.",)</f>
        <v>0</v>
      </c>
      <c r="H255" s="17"/>
      <c r="I255" s="17"/>
      <c r="J255" s="72"/>
      <c r="K255"/>
      <c r="L255" s="547"/>
    </row>
    <row r="256" spans="1:123" ht="69" customHeight="1" x14ac:dyDescent="0.3">
      <c r="A256" s="100">
        <v>530</v>
      </c>
      <c r="B256" s="373" t="s">
        <v>54</v>
      </c>
      <c r="C256" s="4" t="s">
        <v>163</v>
      </c>
      <c r="D256" s="465" t="s">
        <v>766</v>
      </c>
      <c r="E256" s="371" t="e">
        <f>INDEX('PY1 Data(H)'!$A$1:$BV$265,MATCH('Unit Data from Audit Worksheet'!$A256,'PY1 Data(H)'!$A$1:$A$258,0),MATCH('Unit Data from Audit Worksheet'!$D$2,'PY1 Data(H)'!$A$1:$BV$1,0))</f>
        <v>#N/A</v>
      </c>
      <c r="F256" s="793">
        <v>0</v>
      </c>
      <c r="G256" s="401">
        <f>IF(F256="","Error: Unit must enter this information if they levy taxes.",)</f>
        <v>0</v>
      </c>
      <c r="H256" s="17"/>
      <c r="I256" s="17"/>
      <c r="J256" s="72"/>
      <c r="K256"/>
      <c r="L256" s="547"/>
    </row>
    <row r="257" spans="1:33" ht="55.5" customHeight="1" x14ac:dyDescent="0.3">
      <c r="A257" s="100">
        <v>531</v>
      </c>
      <c r="B257" s="373" t="s">
        <v>54</v>
      </c>
      <c r="C257" s="4" t="s">
        <v>163</v>
      </c>
      <c r="D257" s="465" t="s">
        <v>767</v>
      </c>
      <c r="E257" s="371" t="e">
        <f>INDEX('PY1 Data(H)'!$A$1:$BV$265,MATCH('Unit Data from Audit Worksheet'!$A257,'PY1 Data(H)'!$A$1:$A$258,0),MATCH('Unit Data from Audit Worksheet'!$D$2,'PY1 Data(H)'!$A$1:$BV$1,0))</f>
        <v>#N/A</v>
      </c>
      <c r="F257" s="793">
        <v>0</v>
      </c>
      <c r="G257" s="401">
        <f>IF(F257="","Error: Unit must enter this information if they levy taxes.",)</f>
        <v>0</v>
      </c>
      <c r="H257" s="17"/>
      <c r="I257" s="17"/>
      <c r="J257" s="72"/>
      <c r="K257"/>
      <c r="L257" s="547"/>
    </row>
    <row r="258" spans="1:33" ht="69" customHeight="1" x14ac:dyDescent="0.3">
      <c r="A258" s="100">
        <v>61</v>
      </c>
      <c r="B258" s="4" t="s">
        <v>58</v>
      </c>
      <c r="C258" s="4" t="s">
        <v>163</v>
      </c>
      <c r="D258" s="26" t="s">
        <v>768</v>
      </c>
      <c r="E258" s="800" t="e">
        <f>INDEX('PY1 Data(H)'!$A$1:$BV$265,MATCH('Unit Data from Audit Worksheet'!$A258,'PY1 Data(H)'!$A$1:$A$258,0),MATCH('Unit Data from Audit Worksheet'!$D$2,'PY1 Data(H)'!$A$1:$BV$1,0))</f>
        <v>#N/A</v>
      </c>
      <c r="F258" s="801">
        <v>0</v>
      </c>
      <c r="G258" s="401" t="e">
        <f>IF(F258=H258," ","Please check values in account 528, 529, 530 and  531.")</f>
        <v>#DIV/0!</v>
      </c>
      <c r="H258" s="435" t="e">
        <f>ROUND((F254+F255-F256-F257)/(F254+F255)*100,2)</f>
        <v>#DIV/0!</v>
      </c>
      <c r="I258" s="17"/>
      <c r="J258" s="72"/>
      <c r="K258"/>
      <c r="L258" s="547"/>
    </row>
    <row r="259" spans="1:33" ht="69" customHeight="1" x14ac:dyDescent="0.3">
      <c r="A259" s="100">
        <v>102</v>
      </c>
      <c r="B259" s="4" t="s">
        <v>58</v>
      </c>
      <c r="C259" s="4" t="s">
        <v>163</v>
      </c>
      <c r="D259" s="53" t="s">
        <v>769</v>
      </c>
      <c r="E259" s="800" t="e">
        <f>INDEX('PY1 Data(H)'!$A$1:$BV$265,MATCH('Unit Data from Audit Worksheet'!$A259,'PY1 Data(H)'!$A$1:$A$258,0),MATCH('Unit Data from Audit Worksheet'!$D$2,'PY1 Data(H)'!$A$1:$BV$1,0))</f>
        <v>#N/A</v>
      </c>
      <c r="F259" s="801">
        <v>0</v>
      </c>
      <c r="G259" s="401" t="e">
        <f>IF(F259=H259," ","Please check values in account 528 and 530.")</f>
        <v>#DIV/0!</v>
      </c>
      <c r="H259" s="435" t="e">
        <f>ROUND((F254-F256)/(F254)*100,2)</f>
        <v>#DIV/0!</v>
      </c>
      <c r="I259" s="17"/>
      <c r="J259" s="72"/>
      <c r="K259"/>
      <c r="L259" s="547"/>
    </row>
    <row r="260" spans="1:33" ht="63.75" customHeight="1" x14ac:dyDescent="0.3">
      <c r="A260" s="100">
        <v>103</v>
      </c>
      <c r="B260" s="4" t="s">
        <v>58</v>
      </c>
      <c r="C260" s="4" t="s">
        <v>163</v>
      </c>
      <c r="D260" s="26" t="s">
        <v>770</v>
      </c>
      <c r="E260" s="800" t="e">
        <f>INDEX('PY1 Data(H)'!$A$1:$BV$265,MATCH('Unit Data from Audit Worksheet'!$A260,'PY1 Data(H)'!$A$1:$A$258,0),MATCH('Unit Data from Audit Worksheet'!$D$2,'PY1 Data(H)'!$A$1:$BV$1,0))</f>
        <v>#N/A</v>
      </c>
      <c r="F260" s="801">
        <v>0</v>
      </c>
      <c r="G260" s="401" t="e">
        <f>IF(F260=H260," ","Please check values in account 529 and 531.")</f>
        <v>#DIV/0!</v>
      </c>
      <c r="H260" s="435" t="e">
        <f>ROUND((F255-F257)/F255*100,2)</f>
        <v>#DIV/0!</v>
      </c>
      <c r="I260" s="17"/>
      <c r="J260" s="72"/>
      <c r="K260"/>
      <c r="L260" s="547"/>
      <c r="N260" s="18" t="s">
        <v>555</v>
      </c>
    </row>
    <row r="261" spans="1:33" ht="72" customHeight="1" x14ac:dyDescent="0.3">
      <c r="A261" s="100">
        <v>544</v>
      </c>
      <c r="B261" s="373" t="s">
        <v>58</v>
      </c>
      <c r="C261" s="373" t="s">
        <v>163</v>
      </c>
      <c r="D261" s="21" t="s">
        <v>771</v>
      </c>
      <c r="E261" s="652" t="e">
        <f>INDEX('PY1 Data(H)'!$A$1:$BV$265,MATCH('Unit Data from Audit Worksheet'!$A261,'PY1 Data(H)'!$A$1:$A$258,0),MATCH('Unit Data from Audit Worksheet'!$D$2,'PY1 Data(H)'!$A$1:$BV$1,0))</f>
        <v>#N/A</v>
      </c>
      <c r="F261" s="797">
        <v>0</v>
      </c>
      <c r="G261" s="401"/>
      <c r="H261" s="17"/>
      <c r="I261" s="705"/>
      <c r="J261" s="100"/>
      <c r="K261"/>
      <c r="L261" s="547"/>
      <c r="N261" s="18" t="s">
        <v>50</v>
      </c>
    </row>
    <row r="262" spans="1:33" ht="73.5" customHeight="1" x14ac:dyDescent="0.3">
      <c r="A262" s="100">
        <v>545</v>
      </c>
      <c r="B262" s="373" t="s">
        <v>58</v>
      </c>
      <c r="C262" s="373" t="s">
        <v>163</v>
      </c>
      <c r="D262" s="21" t="s">
        <v>772</v>
      </c>
      <c r="E262" s="529"/>
      <c r="F262" s="797">
        <v>0</v>
      </c>
      <c r="G262" s="401"/>
      <c r="H262" s="17"/>
      <c r="I262" s="1022"/>
      <c r="J262" s="127"/>
      <c r="K262"/>
      <c r="L262" s="547"/>
      <c r="N262" s="18" t="s">
        <v>51</v>
      </c>
    </row>
    <row r="263" spans="1:33" ht="66" customHeight="1" x14ac:dyDescent="0.3">
      <c r="A263" s="117">
        <v>624</v>
      </c>
      <c r="B263" s="117" t="s">
        <v>58</v>
      </c>
      <c r="C263" s="117"/>
      <c r="D263" s="116" t="s">
        <v>355</v>
      </c>
      <c r="E263" s="529"/>
      <c r="F263" s="703"/>
      <c r="G263" s="429" t="str">
        <f>IF(+F263&lt;1,"Please answer this question","")</f>
        <v>Please answer this question</v>
      </c>
      <c r="H263" s="17"/>
      <c r="I263" s="705"/>
      <c r="J263" s="100"/>
      <c r="K263"/>
      <c r="L263" s="547"/>
      <c r="N263" s="18" t="s">
        <v>556</v>
      </c>
    </row>
    <row r="264" spans="1:33" ht="70.5" customHeight="1" x14ac:dyDescent="0.3">
      <c r="A264" s="117">
        <v>648</v>
      </c>
      <c r="B264" s="953" t="s">
        <v>1904</v>
      </c>
      <c r="C264" s="117" t="s">
        <v>163</v>
      </c>
      <c r="D264" s="116" t="s">
        <v>657</v>
      </c>
      <c r="E264" s="652" t="e">
        <f>INDEX('PY1 Data(H)'!$A$1:$BV$265,MATCH('Unit Data from Audit Worksheet'!$A264,'PY1 Data(H)'!$A$1:$A$258,0),MATCH('Unit Data from Audit Worksheet'!$D$2,'PY1 Data(H)'!$A$1:$BV$1,0))</f>
        <v>#N/A</v>
      </c>
      <c r="F264" s="797">
        <v>0</v>
      </c>
      <c r="G264" s="429"/>
      <c r="H264" s="17"/>
      <c r="I264" s="705"/>
      <c r="J264" s="100"/>
      <c r="K264"/>
      <c r="L264" s="547"/>
    </row>
    <row r="265" spans="1:33" ht="180" customHeight="1" x14ac:dyDescent="0.3">
      <c r="A265" s="117">
        <v>991</v>
      </c>
      <c r="B265" s="953" t="s">
        <v>1901</v>
      </c>
      <c r="C265" s="117"/>
      <c r="D265" s="741" t="s">
        <v>1947</v>
      </c>
      <c r="E265" s="522"/>
      <c r="F265" s="703"/>
      <c r="G265" s="429"/>
      <c r="H265" s="1039" t="s">
        <v>1967</v>
      </c>
      <c r="I265" s="180"/>
      <c r="J265" s="180"/>
      <c r="K265" s="180"/>
      <c r="L265" s="180"/>
      <c r="M265" s="180"/>
      <c r="N265" s="180"/>
      <c r="O265" s="180"/>
      <c r="P265" s="180"/>
      <c r="Q265" s="180"/>
      <c r="R265" s="180"/>
      <c r="S265" s="180"/>
      <c r="T265" s="180"/>
      <c r="U265" s="180"/>
      <c r="V265" s="180"/>
      <c r="W265" s="180"/>
      <c r="X265" s="180"/>
      <c r="Y265" s="180"/>
      <c r="Z265" s="180"/>
      <c r="AA265" s="180"/>
      <c r="AB265" s="180"/>
      <c r="AC265" s="180"/>
      <c r="AD265" s="180"/>
      <c r="AE265" s="180"/>
      <c r="AF265" s="180"/>
      <c r="AG265" s="180"/>
    </row>
    <row r="266" spans="1:33" ht="27.75" customHeight="1" x14ac:dyDescent="0.3">
      <c r="A266" s="100"/>
      <c r="B266" s="489" t="s">
        <v>348</v>
      </c>
      <c r="C266" s="489"/>
      <c r="D266" s="489"/>
      <c r="E266" s="508"/>
      <c r="F266" s="508"/>
      <c r="G266" s="509"/>
      <c r="H266" s="17"/>
      <c r="I266" s="705"/>
      <c r="J266" s="100"/>
      <c r="K266"/>
      <c r="L266" s="547"/>
      <c r="N266" s="18" t="s">
        <v>576</v>
      </c>
    </row>
    <row r="267" spans="1:33" ht="84.6" customHeight="1" x14ac:dyDescent="0.3">
      <c r="A267" s="100">
        <v>620</v>
      </c>
      <c r="B267" s="373" t="s">
        <v>58</v>
      </c>
      <c r="C267" s="373"/>
      <c r="D267" s="739" t="s">
        <v>1546</v>
      </c>
      <c r="E267" s="522"/>
      <c r="F267" s="703"/>
      <c r="G267" s="429" t="str">
        <f>IF(F267&lt;1,"Please answer this question","")</f>
        <v>Please answer this question</v>
      </c>
      <c r="H267" s="17"/>
      <c r="I267" s="705"/>
      <c r="J267" s="100"/>
      <c r="K267"/>
      <c r="L267" s="547"/>
      <c r="N267" s="18" t="s">
        <v>577</v>
      </c>
    </row>
    <row r="268" spans="1:33" ht="123.75" customHeight="1" x14ac:dyDescent="0.3">
      <c r="A268" s="706"/>
      <c r="B268" s="1063" t="s">
        <v>458</v>
      </c>
      <c r="C268" s="1063"/>
      <c r="D268" s="1063"/>
      <c r="E268" s="519"/>
      <c r="F268" s="519"/>
      <c r="G268" s="519"/>
      <c r="H268" s="17"/>
      <c r="I268" s="705"/>
      <c r="J268" s="100"/>
      <c r="K268"/>
      <c r="N268" s="18" t="s">
        <v>461</v>
      </c>
    </row>
    <row r="269" spans="1:33" ht="63" customHeight="1" x14ac:dyDescent="0.3">
      <c r="A269" s="189">
        <v>947</v>
      </c>
      <c r="B269" s="460"/>
      <c r="C269" s="460"/>
      <c r="D269" s="343" t="s">
        <v>420</v>
      </c>
      <c r="E269" s="567"/>
      <c r="F269" s="798"/>
      <c r="G269" s="429" t="str">
        <f>IF(ISBLANK(F269),"Please do not leave blank","")</f>
        <v>Please do not leave blank</v>
      </c>
      <c r="H269" s="17"/>
      <c r="I269" s="324"/>
      <c r="J269" s="186"/>
      <c r="K269"/>
      <c r="L269" s="186"/>
      <c r="N269" s="186"/>
      <c r="P269" s="186"/>
    </row>
    <row r="270" spans="1:33" ht="65.25" customHeight="1" x14ac:dyDescent="0.3">
      <c r="A270" s="189">
        <v>948</v>
      </c>
      <c r="B270" s="460"/>
      <c r="C270" s="460"/>
      <c r="D270" s="343" t="s">
        <v>421</v>
      </c>
      <c r="E270" s="567"/>
      <c r="F270" s="798"/>
      <c r="G270" s="429" t="str">
        <f t="shared" ref="G270:G272" si="4">IF(ISBLANK(F270),"Please do not leave blank","")</f>
        <v>Please do not leave blank</v>
      </c>
      <c r="H270" s="17"/>
      <c r="I270" s="324"/>
      <c r="J270" s="186"/>
      <c r="K270"/>
      <c r="L270" s="186"/>
      <c r="N270" s="186"/>
      <c r="P270" s="186"/>
    </row>
    <row r="271" spans="1:33" ht="76.5" customHeight="1" x14ac:dyDescent="0.3">
      <c r="A271" s="189">
        <v>949</v>
      </c>
      <c r="B271" s="460"/>
      <c r="C271" s="460"/>
      <c r="D271" s="343" t="s">
        <v>422</v>
      </c>
      <c r="E271" s="567"/>
      <c r="F271" s="798"/>
      <c r="G271" s="429" t="str">
        <f t="shared" si="4"/>
        <v>Please do not leave blank</v>
      </c>
      <c r="H271" s="17"/>
      <c r="I271" s="324"/>
      <c r="J271" s="186"/>
      <c r="K271"/>
      <c r="L271" s="186"/>
      <c r="N271" s="186"/>
      <c r="P271" s="186"/>
    </row>
    <row r="272" spans="1:33" ht="60" customHeight="1" x14ac:dyDescent="0.3">
      <c r="A272" s="189">
        <v>950</v>
      </c>
      <c r="B272" s="460"/>
      <c r="C272" s="460"/>
      <c r="D272" s="343" t="s">
        <v>1564</v>
      </c>
      <c r="E272" s="567"/>
      <c r="F272" s="798"/>
      <c r="G272" s="429" t="str">
        <f t="shared" si="4"/>
        <v>Please do not leave blank</v>
      </c>
      <c r="H272" s="17"/>
      <c r="I272" s="324"/>
      <c r="J272" s="186"/>
      <c r="K272"/>
      <c r="L272" s="186"/>
      <c r="N272" s="186"/>
      <c r="P272" s="186"/>
    </row>
    <row r="273" spans="1:16" ht="80.400000000000006" customHeight="1" x14ac:dyDescent="0.3">
      <c r="A273" s="189">
        <v>952</v>
      </c>
      <c r="B273" s="460"/>
      <c r="C273" s="460"/>
      <c r="D273" s="414" t="s">
        <v>1542</v>
      </c>
      <c r="E273" s="567"/>
      <c r="F273" s="799"/>
      <c r="G273" s="429" t="s">
        <v>791</v>
      </c>
      <c r="H273" s="17"/>
      <c r="I273" s="1023"/>
      <c r="J273" s="436"/>
      <c r="K273"/>
      <c r="L273" s="186"/>
      <c r="N273" s="186"/>
      <c r="P273" s="186"/>
    </row>
    <row r="274" spans="1:16" ht="33" customHeight="1" thickBot="1" x14ac:dyDescent="0.35">
      <c r="A274" s="100"/>
      <c r="B274" s="510"/>
      <c r="C274" s="511"/>
      <c r="D274" s="512" t="s">
        <v>411</v>
      </c>
      <c r="E274" s="498"/>
      <c r="F274" s="513"/>
      <c r="G274" s="514"/>
      <c r="H274" s="515"/>
      <c r="I274" s="324"/>
      <c r="J274" s="186"/>
      <c r="K274"/>
      <c r="L274" s="186"/>
      <c r="N274" s="186"/>
      <c r="P274" s="186"/>
    </row>
    <row r="275" spans="1:16" ht="15" thickBot="1" x14ac:dyDescent="0.35">
      <c r="B275" s="1060" t="s">
        <v>459</v>
      </c>
      <c r="C275" s="1061"/>
      <c r="D275" s="1061"/>
      <c r="E275" s="1062"/>
      <c r="F275" s="72"/>
      <c r="G275" s="429"/>
      <c r="H275" s="17"/>
      <c r="I275" s="705"/>
      <c r="J275" s="100"/>
      <c r="K275"/>
    </row>
    <row r="276" spans="1:16" ht="75.75" customHeight="1" x14ac:dyDescent="0.3">
      <c r="B276" s="1067" t="s">
        <v>460</v>
      </c>
      <c r="C276" s="1067"/>
      <c r="D276" s="1067"/>
      <c r="E276" s="1067"/>
      <c r="F276" s="72"/>
      <c r="G276" s="429"/>
      <c r="H276" s="17"/>
      <c r="I276" s="705"/>
      <c r="J276" s="100"/>
      <c r="K276"/>
    </row>
    <row r="277" spans="1:16" ht="15" thickBot="1" x14ac:dyDescent="0.35">
      <c r="A277" s="708"/>
      <c r="B277" s="437"/>
      <c r="C277" s="437"/>
      <c r="D277" s="438"/>
      <c r="E277" s="371"/>
      <c r="F277" s="72"/>
      <c r="G277" s="429"/>
      <c r="H277" s="17"/>
      <c r="I277" s="705"/>
      <c r="J277" s="100"/>
      <c r="K277"/>
    </row>
    <row r="278" spans="1:16" ht="15" thickBot="1" x14ac:dyDescent="0.35">
      <c r="B278" s="149" t="s">
        <v>400</v>
      </c>
      <c r="C278" s="150" t="s">
        <v>401</v>
      </c>
      <c r="D278" s="439"/>
      <c r="E278" s="440"/>
      <c r="F278" s="92"/>
      <c r="G278" s="429"/>
      <c r="H278" s="17"/>
      <c r="I278" s="705"/>
      <c r="J278" s="100"/>
      <c r="K278"/>
    </row>
    <row r="279" spans="1:16" ht="44.25" customHeight="1" thickBot="1" x14ac:dyDescent="0.35">
      <c r="B279" s="153" t="s">
        <v>425</v>
      </c>
      <c r="C279" s="152"/>
      <c r="D279" s="151"/>
      <c r="E279" s="374"/>
      <c r="F279" s="441"/>
      <c r="G279" s="429"/>
      <c r="H279" s="17"/>
      <c r="I279" s="705"/>
      <c r="J279" s="100"/>
      <c r="K279"/>
    </row>
    <row r="280" spans="1:16" ht="44.25" customHeight="1" thickBot="1" x14ac:dyDescent="0.35">
      <c r="B280" s="153"/>
      <c r="C280" s="159"/>
      <c r="D280" s="442" t="s">
        <v>449</v>
      </c>
      <c r="E280" s="443"/>
      <c r="F280" s="444"/>
      <c r="G280" s="444"/>
      <c r="H280" s="17"/>
      <c r="I280" s="705"/>
      <c r="J280" s="100"/>
    </row>
    <row r="281" spans="1:16" ht="32.4" customHeight="1" thickBot="1" x14ac:dyDescent="0.35">
      <c r="A281" s="277">
        <v>960</v>
      </c>
      <c r="B281" s="1074" t="s">
        <v>426</v>
      </c>
      <c r="C281" s="1075"/>
      <c r="D281" s="1029"/>
      <c r="E281" s="642" t="str">
        <f>IF(ISBLANK($D281),"&lt;&lt;&lt;&lt;&lt;&lt;&lt;&lt;&lt;&lt;&lt;&lt;&lt;&lt;&lt;","")</f>
        <v>&lt;&lt;&lt;&lt;&lt;&lt;&lt;&lt;&lt;&lt;&lt;&lt;&lt;&lt;&lt;</v>
      </c>
      <c r="F281" s="643" t="str">
        <f>IF(ISBLANK($D281),"Required","")</f>
        <v>Required</v>
      </c>
      <c r="G281" s="520"/>
      <c r="H281" s="402"/>
      <c r="I281" s="705"/>
      <c r="J281" s="100"/>
    </row>
    <row r="282" spans="1:16" ht="32.4" customHeight="1" thickBot="1" x14ac:dyDescent="0.35">
      <c r="A282" s="277">
        <v>962</v>
      </c>
      <c r="B282" s="1072" t="s">
        <v>402</v>
      </c>
      <c r="C282" s="1073"/>
      <c r="D282" s="1029"/>
      <c r="E282" s="642" t="str">
        <f>IF(ISBLANK($D282),"&lt;&lt;&lt;&lt;&lt;&lt;&lt;&lt;&lt;&lt;&lt;&lt;&lt;&lt;&lt;","")</f>
        <v>&lt;&lt;&lt;&lt;&lt;&lt;&lt;&lt;&lt;&lt;&lt;&lt;&lt;&lt;&lt;</v>
      </c>
      <c r="F282" s="643" t="str">
        <f>IF(ISBLANK($D282),"Required","")</f>
        <v>Required</v>
      </c>
      <c r="H282" s="17"/>
      <c r="I282" s="705"/>
      <c r="J282" s="100"/>
    </row>
    <row r="283" spans="1:16" ht="32.4" customHeight="1" thickBot="1" x14ac:dyDescent="0.35">
      <c r="A283" s="277">
        <v>964</v>
      </c>
      <c r="B283" s="1072" t="s">
        <v>403</v>
      </c>
      <c r="C283" s="1073"/>
      <c r="D283" s="1030"/>
      <c r="E283" s="642" t="str">
        <f>IF(ISBLANK($D283),"&lt;&lt;&lt;&lt;&lt;&lt;&lt;&lt;&lt;&lt;&lt;&lt;&lt;&lt;&lt;","")</f>
        <v>&lt;&lt;&lt;&lt;&lt;&lt;&lt;&lt;&lt;&lt;&lt;&lt;&lt;&lt;&lt;</v>
      </c>
      <c r="F283" s="643" t="str">
        <f>IF(ISBLANK($D283),"Required","")</f>
        <v>Required</v>
      </c>
      <c r="H283" s="17"/>
      <c r="I283" s="1024"/>
      <c r="J283" s="234"/>
    </row>
    <row r="284" spans="1:16" ht="32.4" customHeight="1" thickBot="1" x14ac:dyDescent="0.35">
      <c r="A284" s="641">
        <v>966</v>
      </c>
      <c r="B284" s="1068" t="s">
        <v>1540</v>
      </c>
      <c r="C284" s="1069"/>
      <c r="D284" s="1031"/>
      <c r="E284" s="642" t="str">
        <f>IF(ISBLANK($D284),"&lt;&lt;&lt;&lt;&lt;&lt;&lt;&lt;&lt;&lt;&lt;&lt;&lt;&lt;&lt;","")</f>
        <v>&lt;&lt;&lt;&lt;&lt;&lt;&lt;&lt;&lt;&lt;&lt;&lt;&lt;&lt;&lt;</v>
      </c>
      <c r="F284" s="643" t="str">
        <f>IF(ISBLANK($D284),"Required","")</f>
        <v>Required</v>
      </c>
      <c r="G284"/>
      <c r="H284" s="17"/>
      <c r="I284" s="705"/>
      <c r="J284" s="100"/>
    </row>
    <row r="285" spans="1:16" ht="32.4" customHeight="1" thickBot="1" x14ac:dyDescent="0.35">
      <c r="A285" s="641"/>
      <c r="B285" s="1068" t="s">
        <v>1541</v>
      </c>
      <c r="C285" s="1069"/>
      <c r="D285" s="1029"/>
      <c r="E285" s="644"/>
      <c r="F285" s="643"/>
      <c r="G285"/>
      <c r="H285" s="17"/>
      <c r="I285" s="705"/>
      <c r="J285" s="100"/>
    </row>
    <row r="286" spans="1:16" ht="32.4" customHeight="1" thickBot="1" x14ac:dyDescent="0.35">
      <c r="A286" s="277">
        <v>968</v>
      </c>
      <c r="B286" s="1070" t="s">
        <v>405</v>
      </c>
      <c r="C286" s="1071"/>
      <c r="D286" s="1032"/>
      <c r="E286" s="645" t="str">
        <f>IF(ISBLANK($D286),"&lt;&lt;&lt;&lt;&lt;&lt;&lt;&lt;&lt;&lt;&lt;&lt;&lt;&lt;&lt;","")</f>
        <v>&lt;&lt;&lt;&lt;&lt;&lt;&lt;&lt;&lt;&lt;&lt;&lt;&lt;&lt;&lt;</v>
      </c>
      <c r="F286" s="643" t="str">
        <f>IF(ISBLANK($D286),"Required","")</f>
        <v>Required</v>
      </c>
      <c r="H286" s="17"/>
      <c r="I286" s="705"/>
      <c r="J286" s="100"/>
    </row>
    <row r="287" spans="1:16" ht="17.399999999999999" customHeight="1" x14ac:dyDescent="0.3">
      <c r="A287" s="100"/>
      <c r="B287" s="516"/>
      <c r="C287" s="516"/>
      <c r="D287" s="521" t="s">
        <v>45</v>
      </c>
      <c r="E287" s="517"/>
      <c r="F287" s="517"/>
      <c r="G287" s="517"/>
      <c r="H287" s="518"/>
      <c r="I287" s="100"/>
      <c r="J287" s="100"/>
    </row>
    <row r="288" spans="1:16" x14ac:dyDescent="0.3">
      <c r="A288" s="100"/>
      <c r="B288" s="373"/>
      <c r="C288" s="373"/>
      <c r="D288" s="157"/>
      <c r="E288" s="187"/>
      <c r="F288" s="445"/>
      <c r="G288" s="445"/>
      <c r="H288" s="17"/>
      <c r="I288" s="100"/>
      <c r="J288" s="100"/>
    </row>
    <row r="289" spans="1:10" x14ac:dyDescent="0.3">
      <c r="A289" s="100"/>
      <c r="B289" s="373"/>
      <c r="C289" s="373"/>
      <c r="D289" s="21"/>
      <c r="E289" s="371"/>
      <c r="F289" s="445"/>
      <c r="G289" s="445"/>
      <c r="H289" s="17"/>
      <c r="I289" s="100"/>
      <c r="J289" s="100"/>
    </row>
    <row r="290" spans="1:10" x14ac:dyDescent="0.3">
      <c r="A290" s="709">
        <f>SUBTOTAL(109,A9:A286)</f>
        <v>106600</v>
      </c>
      <c r="E290" s="547"/>
    </row>
    <row r="291" spans="1:10" x14ac:dyDescent="0.3">
      <c r="A291" s="100"/>
      <c r="B291" s="466"/>
      <c r="C291" s="466"/>
      <c r="D291" s="446"/>
      <c r="E291" s="250"/>
      <c r="F291" s="18"/>
      <c r="G291" s="447"/>
      <c r="H291" s="17"/>
      <c r="I291" s="100"/>
      <c r="J291" s="100"/>
    </row>
    <row r="292" spans="1:10" x14ac:dyDescent="0.3">
      <c r="B292" s="277"/>
      <c r="C292" s="277"/>
      <c r="D292" s="446" t="s">
        <v>1663</v>
      </c>
      <c r="E292" s="250" t="e">
        <f>SUM(E9:E267)</f>
        <v>#N/A</v>
      </c>
      <c r="F292" s="186"/>
      <c r="G292" s="447"/>
      <c r="H292" s="17"/>
      <c r="I292" s="100"/>
      <c r="J292" s="100"/>
    </row>
    <row r="293" spans="1:10" x14ac:dyDescent="0.3">
      <c r="B293" s="277"/>
      <c r="C293" s="277"/>
      <c r="D293" s="448"/>
      <c r="E293" s="250" t="e">
        <f>E191</f>
        <v>#N/A</v>
      </c>
      <c r="F293" s="186">
        <v>81732462</v>
      </c>
      <c r="G293" s="447"/>
      <c r="H293" s="17"/>
      <c r="I293" s="100"/>
      <c r="J293" s="100"/>
    </row>
    <row r="294" spans="1:10" x14ac:dyDescent="0.3">
      <c r="B294" s="277"/>
      <c r="C294" s="277"/>
      <c r="D294" s="448"/>
      <c r="E294" s="250" t="e">
        <f>E198</f>
        <v>#N/A</v>
      </c>
      <c r="F294" s="186"/>
      <c r="G294" s="447"/>
      <c r="H294" s="17"/>
      <c r="I294" s="100"/>
      <c r="J294" s="100"/>
    </row>
    <row r="295" spans="1:10" x14ac:dyDescent="0.3">
      <c r="B295" s="277"/>
      <c r="C295" s="277"/>
      <c r="D295" s="448"/>
      <c r="E295" s="250" t="e">
        <f>E204</f>
        <v>#N/A</v>
      </c>
      <c r="F295" s="186"/>
      <c r="G295" s="447"/>
      <c r="H295" s="17"/>
      <c r="I295" s="100"/>
      <c r="J295" s="100"/>
    </row>
    <row r="296" spans="1:10" x14ac:dyDescent="0.3">
      <c r="B296" s="277"/>
      <c r="C296" s="277"/>
      <c r="D296" s="448"/>
      <c r="E296" s="250" t="e">
        <f>E210</f>
        <v>#N/A</v>
      </c>
      <c r="F296" s="186"/>
      <c r="G296" s="447"/>
      <c r="H296" s="17"/>
      <c r="I296" s="100"/>
      <c r="J296" s="100"/>
    </row>
    <row r="297" spans="1:10" x14ac:dyDescent="0.3">
      <c r="D297" s="314"/>
      <c r="E297" s="250" t="e">
        <f>E211</f>
        <v>#N/A</v>
      </c>
      <c r="F297" s="186"/>
      <c r="H297" s="17"/>
      <c r="I297" s="100"/>
      <c r="J297" s="100"/>
    </row>
    <row r="298" spans="1:10" x14ac:dyDescent="0.3">
      <c r="D298" s="314"/>
      <c r="E298" s="251"/>
      <c r="F298" s="186"/>
      <c r="H298" s="17"/>
      <c r="I298" s="100"/>
      <c r="J298" s="100"/>
    </row>
    <row r="299" spans="1:10" x14ac:dyDescent="0.3">
      <c r="D299" s="314"/>
      <c r="E299" s="250" t="e">
        <f>E292-E293-E294-E295-E296-E297</f>
        <v>#N/A</v>
      </c>
      <c r="F299" s="186"/>
      <c r="H299" s="17"/>
      <c r="I299" s="100"/>
      <c r="J299" s="100"/>
    </row>
    <row r="300" spans="1:10" x14ac:dyDescent="0.3">
      <c r="D300" s="314"/>
      <c r="E300" s="187"/>
      <c r="F300" s="186"/>
      <c r="I300" s="100"/>
      <c r="J300" s="100"/>
    </row>
    <row r="301" spans="1:10" x14ac:dyDescent="0.3">
      <c r="E301" s="249"/>
      <c r="F301" s="186"/>
      <c r="G301" s="450"/>
      <c r="I301" s="100"/>
      <c r="J301" s="100"/>
    </row>
    <row r="302" spans="1:10" x14ac:dyDescent="0.3">
      <c r="E302" s="187"/>
      <c r="F302" s="186"/>
      <c r="I302" s="100"/>
      <c r="J302" s="100"/>
    </row>
    <row r="303" spans="1:10" x14ac:dyDescent="0.3">
      <c r="E303" s="187"/>
      <c r="F303" s="186"/>
      <c r="I303" s="100"/>
      <c r="J303" s="100"/>
    </row>
    <row r="304" spans="1:10" x14ac:dyDescent="0.3">
      <c r="E304" s="187"/>
      <c r="F304" s="186"/>
      <c r="I304" s="100"/>
      <c r="J304" s="100"/>
    </row>
    <row r="305" spans="9:12" x14ac:dyDescent="0.3">
      <c r="I305" s="100"/>
      <c r="J305" s="100"/>
    </row>
    <row r="306" spans="9:12" x14ac:dyDescent="0.3">
      <c r="I306" s="100"/>
      <c r="J306" s="100"/>
    </row>
    <row r="307" spans="9:12" x14ac:dyDescent="0.3">
      <c r="I307" s="100"/>
      <c r="J307" s="100"/>
    </row>
    <row r="308" spans="9:12" x14ac:dyDescent="0.3">
      <c r="I308" s="100"/>
      <c r="J308" s="100"/>
    </row>
    <row r="309" spans="9:12" x14ac:dyDescent="0.3">
      <c r="I309" s="100"/>
      <c r="J309" s="100"/>
    </row>
    <row r="310" spans="9:12" x14ac:dyDescent="0.3">
      <c r="I310" s="100"/>
      <c r="J310" s="100"/>
    </row>
    <row r="311" spans="9:12" x14ac:dyDescent="0.3">
      <c r="I311" s="100"/>
      <c r="J311" s="100"/>
    </row>
    <row r="312" spans="9:12" x14ac:dyDescent="0.3">
      <c r="I312" s="186"/>
      <c r="J312" s="186"/>
    </row>
    <row r="313" spans="9:12" x14ac:dyDescent="0.3">
      <c r="I313" s="186"/>
      <c r="J313" s="186"/>
      <c r="L313" s="187"/>
    </row>
    <row r="314" spans="9:12" x14ac:dyDescent="0.3">
      <c r="I314" s="186"/>
      <c r="J314" s="186"/>
      <c r="L314" s="187"/>
    </row>
    <row r="315" spans="9:12" x14ac:dyDescent="0.3">
      <c r="I315" s="186"/>
      <c r="J315" s="186"/>
      <c r="L315" s="187"/>
    </row>
    <row r="316" spans="9:12" x14ac:dyDescent="0.3">
      <c r="I316" s="186"/>
      <c r="J316" s="186"/>
      <c r="L316" s="187"/>
    </row>
    <row r="317" spans="9:12" x14ac:dyDescent="0.3">
      <c r="I317" s="186"/>
      <c r="J317" s="186"/>
      <c r="L317" s="187"/>
    </row>
    <row r="318" spans="9:12" x14ac:dyDescent="0.3">
      <c r="I318" s="186"/>
      <c r="J318" s="186"/>
      <c r="L318" s="187"/>
    </row>
    <row r="319" spans="9:12" x14ac:dyDescent="0.3">
      <c r="I319" s="100"/>
      <c r="J319" s="100"/>
      <c r="L319" s="187"/>
    </row>
    <row r="320" spans="9:12" x14ac:dyDescent="0.3">
      <c r="I320" s="100"/>
      <c r="J320" s="100"/>
      <c r="K320" s="187"/>
      <c r="L320" s="187"/>
    </row>
    <row r="321" spans="9:12" x14ac:dyDescent="0.3">
      <c r="I321" s="100"/>
      <c r="J321" s="100"/>
      <c r="K321" s="187"/>
      <c r="L321" s="187"/>
    </row>
    <row r="322" spans="9:12" x14ac:dyDescent="0.3">
      <c r="I322" s="100"/>
      <c r="J322" s="100"/>
      <c r="K322" s="187"/>
      <c r="L322" s="187"/>
    </row>
    <row r="323" spans="9:12" x14ac:dyDescent="0.3">
      <c r="I323" s="100"/>
      <c r="J323" s="100"/>
      <c r="K323" s="187"/>
      <c r="L323" s="187"/>
    </row>
    <row r="324" spans="9:12" x14ac:dyDescent="0.3">
      <c r="I324" s="100"/>
      <c r="J324" s="100"/>
      <c r="K324" s="187"/>
      <c r="L324" s="187"/>
    </row>
    <row r="325" spans="9:12" x14ac:dyDescent="0.3">
      <c r="I325" s="100"/>
      <c r="J325" s="100"/>
      <c r="K325" s="187"/>
      <c r="L325" s="187"/>
    </row>
    <row r="326" spans="9:12" x14ac:dyDescent="0.3">
      <c r="I326" s="100"/>
      <c r="J326" s="100"/>
      <c r="K326" s="187"/>
      <c r="L326" s="187"/>
    </row>
    <row r="327" spans="9:12" x14ac:dyDescent="0.3">
      <c r="I327" s="100"/>
      <c r="J327" s="100"/>
      <c r="K327" s="187"/>
      <c r="L327" s="187"/>
    </row>
    <row r="328" spans="9:12" x14ac:dyDescent="0.3">
      <c r="I328" s="186"/>
      <c r="J328" s="186"/>
      <c r="K328" s="187"/>
      <c r="L328" s="187"/>
    </row>
    <row r="329" spans="9:12" x14ac:dyDescent="0.3">
      <c r="I329" s="186"/>
      <c r="J329" s="186"/>
      <c r="K329" s="187"/>
      <c r="L329" s="187"/>
    </row>
    <row r="330" spans="9:12" x14ac:dyDescent="0.3">
      <c r="I330" s="186"/>
      <c r="J330" s="186"/>
      <c r="K330" s="187"/>
      <c r="L330" s="187"/>
    </row>
    <row r="331" spans="9:12" x14ac:dyDescent="0.3">
      <c r="I331" s="186"/>
      <c r="J331" s="186"/>
      <c r="K331" s="187"/>
      <c r="L331" s="187"/>
    </row>
    <row r="332" spans="9:12" x14ac:dyDescent="0.3">
      <c r="I332" s="186"/>
      <c r="J332" s="186"/>
      <c r="K332" s="187"/>
      <c r="L332" s="187"/>
    </row>
    <row r="333" spans="9:12" x14ac:dyDescent="0.3">
      <c r="I333" s="186"/>
      <c r="J333" s="186"/>
      <c r="K333" s="187"/>
      <c r="L333" s="187"/>
    </row>
    <row r="334" spans="9:12" x14ac:dyDescent="0.3">
      <c r="I334" s="186"/>
      <c r="J334" s="186"/>
      <c r="K334" s="187"/>
      <c r="L334" s="187"/>
    </row>
    <row r="335" spans="9:12" x14ac:dyDescent="0.3">
      <c r="I335" s="186"/>
      <c r="J335" s="186"/>
      <c r="K335" s="187"/>
      <c r="L335" s="187"/>
    </row>
    <row r="336" spans="9:12" x14ac:dyDescent="0.3">
      <c r="I336" s="186"/>
      <c r="J336" s="186"/>
      <c r="K336" s="187"/>
      <c r="L336" s="187"/>
    </row>
    <row r="337" spans="8:12" x14ac:dyDescent="0.3">
      <c r="I337" s="186"/>
      <c r="J337" s="186"/>
      <c r="K337" s="187"/>
      <c r="L337" s="187"/>
    </row>
    <row r="338" spans="8:12" x14ac:dyDescent="0.3">
      <c r="I338" s="186"/>
      <c r="J338" s="186"/>
      <c r="K338" s="187"/>
      <c r="L338" s="187"/>
    </row>
    <row r="339" spans="8:12" x14ac:dyDescent="0.3">
      <c r="I339" s="186"/>
      <c r="J339" s="186"/>
      <c r="K339" s="187"/>
      <c r="L339" s="187"/>
    </row>
    <row r="340" spans="8:12" x14ac:dyDescent="0.3">
      <c r="I340" s="186"/>
      <c r="J340" s="186"/>
      <c r="K340" s="187"/>
      <c r="L340" s="187"/>
    </row>
    <row r="341" spans="8:12" x14ac:dyDescent="0.3">
      <c r="I341" s="186"/>
      <c r="J341" s="186"/>
      <c r="K341" s="187"/>
      <c r="L341" s="187"/>
    </row>
    <row r="342" spans="8:12" x14ac:dyDescent="0.3">
      <c r="I342" s="186"/>
      <c r="J342" s="186"/>
      <c r="K342" s="187"/>
      <c r="L342" s="187"/>
    </row>
    <row r="343" spans="8:12" x14ac:dyDescent="0.3">
      <c r="I343" s="186"/>
      <c r="J343" s="186"/>
      <c r="K343" s="187"/>
      <c r="L343" s="187"/>
    </row>
    <row r="344" spans="8:12" x14ac:dyDescent="0.3">
      <c r="I344" s="186"/>
      <c r="J344" s="186"/>
      <c r="K344" s="187"/>
      <c r="L344" s="187"/>
    </row>
    <row r="345" spans="8:12" x14ac:dyDescent="0.3">
      <c r="I345" s="186"/>
      <c r="J345" s="186"/>
      <c r="K345" s="187"/>
      <c r="L345" s="187"/>
    </row>
    <row r="346" spans="8:12" x14ac:dyDescent="0.3">
      <c r="H346" s="309" t="s">
        <v>1857</v>
      </c>
      <c r="I346" s="186"/>
      <c r="J346" s="186"/>
      <c r="K346" s="187"/>
      <c r="L346" s="187"/>
    </row>
    <row r="347" spans="8:12" x14ac:dyDescent="0.3">
      <c r="I347" s="186"/>
      <c r="J347" s="186"/>
      <c r="K347" s="187"/>
      <c r="L347" s="187"/>
    </row>
    <row r="348" spans="8:12" x14ac:dyDescent="0.3">
      <c r="I348" s="186"/>
      <c r="J348" s="186"/>
      <c r="K348" s="187"/>
      <c r="L348" s="187"/>
    </row>
    <row r="349" spans="8:12" x14ac:dyDescent="0.3">
      <c r="I349" s="186"/>
      <c r="J349" s="186"/>
      <c r="K349" s="187"/>
      <c r="L349" s="187"/>
    </row>
    <row r="350" spans="8:12" x14ac:dyDescent="0.3">
      <c r="I350" s="186"/>
      <c r="J350" s="186"/>
      <c r="K350" s="187"/>
      <c r="L350" s="187"/>
    </row>
    <row r="351" spans="8:12" x14ac:dyDescent="0.3">
      <c r="I351" s="186"/>
      <c r="J351" s="186"/>
      <c r="K351" s="187"/>
      <c r="L351" s="187"/>
    </row>
    <row r="352" spans="8:12" x14ac:dyDescent="0.3">
      <c r="I352" s="186"/>
      <c r="J352" s="186"/>
      <c r="K352" s="187"/>
      <c r="L352" s="187"/>
    </row>
    <row r="353" spans="9:12" x14ac:dyDescent="0.3">
      <c r="I353" s="186"/>
      <c r="J353" s="186"/>
      <c r="K353" s="187"/>
      <c r="L353" s="187"/>
    </row>
    <row r="354" spans="9:12" x14ac:dyDescent="0.3">
      <c r="I354" s="186"/>
      <c r="J354" s="186"/>
      <c r="K354" s="187"/>
      <c r="L354" s="187"/>
    </row>
    <row r="355" spans="9:12" x14ac:dyDescent="0.3">
      <c r="I355" s="186"/>
      <c r="J355" s="186"/>
      <c r="K355" s="187"/>
      <c r="L355" s="187"/>
    </row>
    <row r="356" spans="9:12" x14ac:dyDescent="0.3">
      <c r="I356" s="186"/>
      <c r="J356" s="186"/>
      <c r="K356" s="187"/>
      <c r="L356" s="187"/>
    </row>
    <row r="357" spans="9:12" x14ac:dyDescent="0.3">
      <c r="I357" s="186"/>
      <c r="J357" s="186"/>
      <c r="K357" s="187"/>
      <c r="L357" s="187"/>
    </row>
    <row r="358" spans="9:12" x14ac:dyDescent="0.3">
      <c r="I358" s="186"/>
      <c r="J358" s="186"/>
      <c r="K358" s="187"/>
      <c r="L358" s="187"/>
    </row>
    <row r="359" spans="9:12" x14ac:dyDescent="0.3">
      <c r="I359" s="186"/>
      <c r="J359" s="186"/>
      <c r="K359" s="187"/>
      <c r="L359" s="187"/>
    </row>
    <row r="360" spans="9:12" x14ac:dyDescent="0.3">
      <c r="I360" s="186"/>
      <c r="J360" s="186"/>
      <c r="K360" s="187"/>
      <c r="L360" s="187"/>
    </row>
    <row r="361" spans="9:12" x14ac:dyDescent="0.3">
      <c r="I361" s="186"/>
      <c r="J361" s="186"/>
      <c r="K361" s="187"/>
      <c r="L361" s="187"/>
    </row>
    <row r="362" spans="9:12" x14ac:dyDescent="0.3">
      <c r="I362" s="186"/>
      <c r="J362" s="186"/>
      <c r="K362" s="187"/>
      <c r="L362" s="187"/>
    </row>
    <row r="363" spans="9:12" x14ac:dyDescent="0.3">
      <c r="I363" s="186"/>
      <c r="J363" s="186"/>
      <c r="K363" s="187"/>
      <c r="L363" s="187"/>
    </row>
    <row r="364" spans="9:12" x14ac:dyDescent="0.3">
      <c r="I364" s="186"/>
      <c r="J364" s="186"/>
      <c r="K364" s="187"/>
      <c r="L364" s="187"/>
    </row>
    <row r="365" spans="9:12" x14ac:dyDescent="0.3">
      <c r="I365" s="186"/>
      <c r="J365" s="186"/>
      <c r="K365" s="187"/>
      <c r="L365" s="187"/>
    </row>
    <row r="366" spans="9:12" x14ac:dyDescent="0.3">
      <c r="I366" s="186"/>
      <c r="J366" s="186"/>
      <c r="K366" s="187"/>
      <c r="L366" s="187"/>
    </row>
    <row r="367" spans="9:12" x14ac:dyDescent="0.3">
      <c r="I367" s="186"/>
      <c r="J367" s="186"/>
      <c r="K367" s="187"/>
      <c r="L367" s="187"/>
    </row>
    <row r="368" spans="9:12" x14ac:dyDescent="0.3">
      <c r="I368" s="186"/>
      <c r="J368" s="186"/>
      <c r="K368" s="187"/>
      <c r="L368" s="187"/>
    </row>
    <row r="369" spans="9:12" x14ac:dyDescent="0.3">
      <c r="I369" s="186"/>
      <c r="J369" s="186"/>
      <c r="K369" s="187"/>
      <c r="L369" s="187"/>
    </row>
    <row r="370" spans="9:12" x14ac:dyDescent="0.3">
      <c r="I370" s="186"/>
      <c r="J370" s="186"/>
      <c r="K370" s="187"/>
      <c r="L370" s="187"/>
    </row>
    <row r="371" spans="9:12" x14ac:dyDescent="0.3">
      <c r="I371" s="186"/>
      <c r="J371" s="186"/>
      <c r="K371" s="187"/>
      <c r="L371" s="187"/>
    </row>
    <row r="372" spans="9:12" x14ac:dyDescent="0.3">
      <c r="I372" s="186"/>
      <c r="J372" s="186"/>
      <c r="K372" s="187"/>
      <c r="L372" s="187"/>
    </row>
    <row r="373" spans="9:12" x14ac:dyDescent="0.3">
      <c r="I373" s="186"/>
      <c r="J373" s="186"/>
      <c r="K373" s="187"/>
      <c r="L373" s="187"/>
    </row>
    <row r="374" spans="9:12" x14ac:dyDescent="0.3">
      <c r="I374" s="186"/>
      <c r="J374" s="186"/>
      <c r="K374" s="187"/>
      <c r="L374" s="187"/>
    </row>
    <row r="375" spans="9:12" x14ac:dyDescent="0.3">
      <c r="I375" s="186"/>
      <c r="J375" s="186"/>
      <c r="K375" s="187"/>
      <c r="L375" s="187"/>
    </row>
    <row r="376" spans="9:12" x14ac:dyDescent="0.3">
      <c r="I376" s="186"/>
      <c r="J376" s="186"/>
      <c r="K376" s="187"/>
      <c r="L376" s="187"/>
    </row>
    <row r="377" spans="9:12" x14ac:dyDescent="0.3">
      <c r="I377" s="186"/>
      <c r="J377" s="186"/>
      <c r="K377" s="187"/>
      <c r="L377" s="187"/>
    </row>
    <row r="378" spans="9:12" x14ac:dyDescent="0.3">
      <c r="I378" s="186"/>
      <c r="J378" s="186"/>
      <c r="K378" s="187"/>
      <c r="L378" s="187"/>
    </row>
    <row r="379" spans="9:12" x14ac:dyDescent="0.3">
      <c r="I379" s="186"/>
      <c r="J379" s="186"/>
      <c r="K379" s="187"/>
      <c r="L379" s="187"/>
    </row>
    <row r="380" spans="9:12" x14ac:dyDescent="0.3">
      <c r="I380" s="186"/>
      <c r="J380" s="186"/>
      <c r="K380" s="187"/>
      <c r="L380" s="187"/>
    </row>
    <row r="381" spans="9:12" x14ac:dyDescent="0.3">
      <c r="I381" s="186"/>
      <c r="J381" s="186"/>
      <c r="K381" s="187"/>
      <c r="L381" s="187"/>
    </row>
    <row r="382" spans="9:12" x14ac:dyDescent="0.3">
      <c r="I382" s="186"/>
      <c r="J382" s="186"/>
      <c r="K382" s="187"/>
    </row>
    <row r="383" spans="9:12" x14ac:dyDescent="0.3">
      <c r="I383" s="186"/>
      <c r="J383" s="186"/>
      <c r="K383" s="187"/>
    </row>
    <row r="384" spans="9:12" x14ac:dyDescent="0.3">
      <c r="I384" s="186"/>
      <c r="J384" s="186"/>
      <c r="K384" s="187"/>
    </row>
    <row r="385" spans="9:11" x14ac:dyDescent="0.3">
      <c r="I385" s="186"/>
      <c r="J385" s="186"/>
      <c r="K385" s="187"/>
    </row>
    <row r="386" spans="9:11" x14ac:dyDescent="0.3">
      <c r="I386" s="186"/>
      <c r="J386" s="186"/>
      <c r="K386" s="187"/>
    </row>
    <row r="387" spans="9:11" x14ac:dyDescent="0.3">
      <c r="I387" s="186"/>
      <c r="J387" s="186"/>
      <c r="K387" s="187"/>
    </row>
    <row r="388" spans="9:11" x14ac:dyDescent="0.3">
      <c r="I388" s="186"/>
      <c r="J388" s="186"/>
      <c r="K388" s="187"/>
    </row>
    <row r="389" spans="9:11" x14ac:dyDescent="0.3">
      <c r="I389" s="186"/>
      <c r="J389" s="186"/>
    </row>
    <row r="390" spans="9:11" x14ac:dyDescent="0.3">
      <c r="I390" s="186"/>
      <c r="J390" s="186"/>
    </row>
    <row r="391" spans="9:11" x14ac:dyDescent="0.3">
      <c r="I391" s="186"/>
      <c r="J391" s="186"/>
    </row>
    <row r="392" spans="9:11" x14ac:dyDescent="0.3">
      <c r="I392" s="186"/>
      <c r="J392" s="186"/>
    </row>
    <row r="393" spans="9:11" x14ac:dyDescent="0.3">
      <c r="I393" s="186"/>
      <c r="J393" s="186"/>
    </row>
    <row r="394" spans="9:11" x14ac:dyDescent="0.3">
      <c r="I394" s="186"/>
      <c r="J394" s="186"/>
    </row>
    <row r="395" spans="9:11" x14ac:dyDescent="0.3">
      <c r="I395" s="186"/>
      <c r="J395" s="186"/>
    </row>
    <row r="396" spans="9:11" x14ac:dyDescent="0.3">
      <c r="I396" s="186"/>
      <c r="J396" s="186"/>
    </row>
    <row r="397" spans="9:11" x14ac:dyDescent="0.3">
      <c r="I397" s="100"/>
      <c r="J397" s="100"/>
    </row>
    <row r="398" spans="9:11" x14ac:dyDescent="0.3">
      <c r="I398" s="100"/>
      <c r="J398" s="100"/>
    </row>
    <row r="399" spans="9:11" x14ac:dyDescent="0.3">
      <c r="I399" s="100"/>
      <c r="J399" s="100"/>
    </row>
    <row r="400" spans="9:11" x14ac:dyDescent="0.3">
      <c r="I400" s="100"/>
      <c r="J400" s="100"/>
    </row>
    <row r="401" spans="9:10" x14ac:dyDescent="0.3">
      <c r="I401" s="100"/>
      <c r="J401" s="100"/>
    </row>
    <row r="402" spans="9:10" x14ac:dyDescent="0.3">
      <c r="I402" s="100"/>
      <c r="J402" s="100"/>
    </row>
    <row r="403" spans="9:10" x14ac:dyDescent="0.3">
      <c r="I403" s="100"/>
      <c r="J403" s="100"/>
    </row>
    <row r="404" spans="9:10" x14ac:dyDescent="0.3">
      <c r="I404" s="100"/>
      <c r="J404" s="100"/>
    </row>
    <row r="405" spans="9:10" x14ac:dyDescent="0.3">
      <c r="I405" s="100"/>
      <c r="J405" s="100"/>
    </row>
    <row r="406" spans="9:10" x14ac:dyDescent="0.3">
      <c r="I406" s="100"/>
      <c r="J406" s="100"/>
    </row>
  </sheetData>
  <sheetProtection algorithmName="SHA-512" hashValue="rDI9OMA0tm1nkuR2YOkJ7puz6UVqltKuG+SP/TvO8dxOe5U9Dsv/ONfnB1D3gKOeEkP8UtXqEDLz6RD9VOWQ3g==" saltValue="3UDllI6ulCom2hbvTilgcg==" spinCount="100000" sheet="1" formatCells="0"/>
  <dataConsolidate link="1"/>
  <mergeCells count="14">
    <mergeCell ref="B276:E276"/>
    <mergeCell ref="B284:C284"/>
    <mergeCell ref="B286:C286"/>
    <mergeCell ref="B283:C283"/>
    <mergeCell ref="B281:C281"/>
    <mergeCell ref="B282:C282"/>
    <mergeCell ref="B285:C285"/>
    <mergeCell ref="E2:G2"/>
    <mergeCell ref="B2:C2"/>
    <mergeCell ref="B124:D124"/>
    <mergeCell ref="B275:E275"/>
    <mergeCell ref="B268:D268"/>
    <mergeCell ref="B6:G6"/>
    <mergeCell ref="B7:G7"/>
  </mergeCells>
  <phoneticPr fontId="54" type="noConversion"/>
  <conditionalFormatting sqref="H155">
    <cfRule type="cellIs" dxfId="117" priority="106" stopIfTrue="1" operator="notEqual">
      <formula>0</formula>
    </cfRule>
  </conditionalFormatting>
  <conditionalFormatting sqref="G254:G257 G261:G262">
    <cfRule type="cellIs" dxfId="116" priority="105" stopIfTrue="1" operator="notEqual">
      <formula>0</formula>
    </cfRule>
  </conditionalFormatting>
  <conditionalFormatting sqref="H25">
    <cfRule type="cellIs" dxfId="115" priority="104" stopIfTrue="1" operator="notEqual">
      <formula>0</formula>
    </cfRule>
  </conditionalFormatting>
  <conditionalFormatting sqref="H39:H40">
    <cfRule type="cellIs" dxfId="114" priority="103" stopIfTrue="1" operator="notEqual">
      <formula>0</formula>
    </cfRule>
  </conditionalFormatting>
  <conditionalFormatting sqref="H59">
    <cfRule type="cellIs" dxfId="113" priority="102" stopIfTrue="1" operator="notEqual">
      <formula>0</formula>
    </cfRule>
  </conditionalFormatting>
  <conditionalFormatting sqref="H103">
    <cfRule type="cellIs" dxfId="112" priority="100" stopIfTrue="1" operator="notEqual">
      <formula>0</formula>
    </cfRule>
  </conditionalFormatting>
  <conditionalFormatting sqref="H122">
    <cfRule type="cellIs" dxfId="111" priority="99" stopIfTrue="1" operator="notEqual">
      <formula>0</formula>
    </cfRule>
  </conditionalFormatting>
  <conditionalFormatting sqref="H137">
    <cfRule type="cellIs" dxfId="110" priority="98" stopIfTrue="1" operator="notEqual">
      <formula>0</formula>
    </cfRule>
  </conditionalFormatting>
  <conditionalFormatting sqref="H138">
    <cfRule type="cellIs" dxfId="109" priority="97" stopIfTrue="1" operator="notEqual">
      <formula>0</formula>
    </cfRule>
  </conditionalFormatting>
  <conditionalFormatting sqref="G236">
    <cfRule type="cellIs" priority="69" stopIfTrue="1" operator="equal">
      <formula>";;;"</formula>
    </cfRule>
  </conditionalFormatting>
  <conditionalFormatting sqref="G236">
    <cfRule type="cellIs" dxfId="108" priority="68" stopIfTrue="1" operator="equal">
      <formula>0</formula>
    </cfRule>
  </conditionalFormatting>
  <conditionalFormatting sqref="G235">
    <cfRule type="cellIs" priority="66" stopIfTrue="1" operator="equal">
      <formula>";;;"</formula>
    </cfRule>
  </conditionalFormatting>
  <conditionalFormatting sqref="G235">
    <cfRule type="cellIs" dxfId="107" priority="65" stopIfTrue="1" operator="equal">
      <formula>0</formula>
    </cfRule>
  </conditionalFormatting>
  <conditionalFormatting sqref="G235">
    <cfRule type="cellIs" dxfId="106" priority="64" stopIfTrue="1" operator="equal">
      <formula>0</formula>
    </cfRule>
  </conditionalFormatting>
  <conditionalFormatting sqref="G234">
    <cfRule type="cellIs" priority="54" stopIfTrue="1" operator="equal">
      <formula>";;;"</formula>
    </cfRule>
  </conditionalFormatting>
  <conditionalFormatting sqref="G234">
    <cfRule type="cellIs" dxfId="105" priority="53" stopIfTrue="1" operator="equal">
      <formula>0</formula>
    </cfRule>
  </conditionalFormatting>
  <conditionalFormatting sqref="G234">
    <cfRule type="cellIs" dxfId="104" priority="52" stopIfTrue="1" operator="equal">
      <formula>0</formula>
    </cfRule>
  </conditionalFormatting>
  <conditionalFormatting sqref="G229">
    <cfRule type="cellIs" priority="21" stopIfTrue="1" operator="equal">
      <formula>";;;"</formula>
    </cfRule>
  </conditionalFormatting>
  <conditionalFormatting sqref="G229">
    <cfRule type="cellIs" dxfId="103" priority="20" stopIfTrue="1" operator="equal">
      <formula>0</formula>
    </cfRule>
  </conditionalFormatting>
  <conditionalFormatting sqref="G229">
    <cfRule type="cellIs" dxfId="102" priority="19" stopIfTrue="1" operator="equal">
      <formula>0</formula>
    </cfRule>
  </conditionalFormatting>
  <conditionalFormatting sqref="G227">
    <cfRule type="cellIs" priority="18" stopIfTrue="1" operator="equal">
      <formula>";;;"</formula>
    </cfRule>
  </conditionalFormatting>
  <conditionalFormatting sqref="G227">
    <cfRule type="cellIs" dxfId="101" priority="17" stopIfTrue="1" operator="equal">
      <formula>0</formula>
    </cfRule>
  </conditionalFormatting>
  <conditionalFormatting sqref="G227">
    <cfRule type="cellIs" dxfId="100" priority="16" stopIfTrue="1" operator="equal">
      <formula>0</formula>
    </cfRule>
  </conditionalFormatting>
  <conditionalFormatting sqref="G228">
    <cfRule type="cellIs" priority="15" stopIfTrue="1" operator="equal">
      <formula>";;;"</formula>
    </cfRule>
  </conditionalFormatting>
  <conditionalFormatting sqref="G228">
    <cfRule type="cellIs" dxfId="99" priority="14" stopIfTrue="1" operator="equal">
      <formula>0</formula>
    </cfRule>
  </conditionalFormatting>
  <conditionalFormatting sqref="G228">
    <cfRule type="cellIs" dxfId="98" priority="13" stopIfTrue="1" operator="equal">
      <formula>0</formula>
    </cfRule>
  </conditionalFormatting>
  <conditionalFormatting sqref="G231">
    <cfRule type="cellIs" priority="12" stopIfTrue="1" operator="equal">
      <formula>";;;"</formula>
    </cfRule>
  </conditionalFormatting>
  <conditionalFormatting sqref="G231">
    <cfRule type="cellIs" dxfId="97" priority="11" stopIfTrue="1" operator="equal">
      <formula>0</formula>
    </cfRule>
  </conditionalFormatting>
  <conditionalFormatting sqref="G231">
    <cfRule type="cellIs" dxfId="96" priority="10" stopIfTrue="1" operator="equal">
      <formula>0</formula>
    </cfRule>
  </conditionalFormatting>
  <conditionalFormatting sqref="G233">
    <cfRule type="cellIs" priority="4" stopIfTrue="1" operator="equal">
      <formula>";;;"</formula>
    </cfRule>
  </conditionalFormatting>
  <conditionalFormatting sqref="G233">
    <cfRule type="cellIs" dxfId="95" priority="3" stopIfTrue="1" operator="equal">
      <formula>0</formula>
    </cfRule>
  </conditionalFormatting>
  <conditionalFormatting sqref="G233">
    <cfRule type="cellIs" dxfId="94" priority="2" stopIfTrue="1" operator="equal">
      <formula>0</formula>
    </cfRule>
  </conditionalFormatting>
  <conditionalFormatting sqref="H77">
    <cfRule type="expression" dxfId="93" priority="1">
      <formula>$F$77=""</formula>
    </cfRule>
  </conditionalFormatting>
  <dataValidations xWindow="829" yWindow="690" count="19">
    <dataValidation type="list" allowBlank="1" showInputMessage="1" showErrorMessage="1" prompt="Please select your answer from the drop-down list." sqref="F85" xr:uid="{00000000-0002-0000-0100-000005000000}">
      <formula1>$O$2:$O$4</formula1>
    </dataValidation>
    <dataValidation type="list" allowBlank="1" showInputMessage="1" showErrorMessage="1" prompt="Please select your answer from the drop down list." sqref="F267 F263 F224" xr:uid="{FCE57F22-20D9-4CFA-AFE5-1751E216D3C1}">
      <formula1>$P$1:$P$2</formula1>
    </dataValidation>
    <dataValidation type="list" allowBlank="1" showInputMessage="1" showErrorMessage="1" prompt="Please select your answer from the drop down list." sqref="F232" xr:uid="{2CD3BDAD-30EF-425F-BB01-D3FF43CDAA81}">
      <formula1>$P$1:$P$4</formula1>
    </dataValidation>
    <dataValidation type="list" allowBlank="1" showInputMessage="1" showErrorMessage="1" prompt="Please select your response from the drop-down menu." sqref="F271" xr:uid="{DB0EB8F5-2DE0-4833-AFDF-F7BB7A8D56E1}">
      <formula1>$N$8:$N$10</formula1>
    </dataValidation>
    <dataValidation type="list" allowBlank="1" showInputMessage="1" showErrorMessage="1" prompt="Please select your answer from the drop down list." sqref="F265" xr:uid="{7FCE12A8-B6A0-48F9-9BA0-C3D89D188CEE}">
      <formula1>"20,21,22,23"</formula1>
    </dataValidation>
    <dataValidation type="list" operator="greaterThan" allowBlank="1" showInputMessage="1" showErrorMessage="1" prompt="Please select appropriate answer from drop down list." sqref="F185" xr:uid="{D9A20B08-5895-4736-8659-042438D0E620}">
      <formula1>"1,2,3"</formula1>
    </dataValidation>
    <dataValidation type="custom" allowBlank="1" showInputMessage="1" showErrorMessage="1" error="Please enter a numeric value.  If this data is not applicable to your unit of government, the cell should be populated with zero." sqref="F177 F173 F157 F30:F41 F27:F28 F46:F61 F63:F76 F160:F169 F86:F103 F105:F122 F125:F138 F142:F155 F81 F181:F183 F20:F25 F78:F79 F43:F44" xr:uid="{B5815DCD-160E-4CA9-A461-76D5F396E4F1}">
      <formula1>ISNUMBER(F20)</formula1>
    </dataValidation>
    <dataValidation type="custom" allowBlank="1" showErrorMessage="1" error="Please enter a numeric value.  If this data is not applicable to your unit of government, the cell should be populated with zero." prompt="_x000a__x000a_" sqref="F221 F200:F203 F206:F209 F194:F197 F218:F219 F214:F216" xr:uid="{DA17F63A-7740-447E-B0DD-1FD94F0BE4C8}">
      <formula1>ISNUMBER(F194)</formula1>
    </dataValidation>
    <dataValidation type="custom" allowBlank="1" showErrorMessage="1" error="Please enter a numeric value.  If this data is not applicable to your unit of government, the cell should be populated with zero." sqref="F264 F254:F262 F251 F247 F226:F229 F233:F235 F249 F238:F245" xr:uid="{6656F482-2030-43E8-B669-24F0F4187CE8}">
      <formula1>ISNUMBER(F226)</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230" xr:uid="{8DAFED68-C7CC-4E4B-B0DE-1B3BA6E17585}">
      <formula1>-ISNUMBER(221)</formula1>
    </dataValidation>
    <dataValidation type="list" allowBlank="1" showInputMessage="1" showErrorMessage="1" prompt="Please select appropriate answer from drop down list." sqref="F184" xr:uid="{15C60609-2D17-4E28-A2AB-41834F9A09EE}">
      <formula1>"1,2"</formula1>
    </dataValidation>
    <dataValidation type="custom" allowBlank="1" showInputMessage="1" showErrorMessage="1" error="Please enter a numeric value. If this data is not applicable to your unit of government, the cell should be populated with zero." sqref="F9:F19" xr:uid="{2B8A4F99-9CD2-4D02-A062-E988EF3799E5}">
      <formula1>ISNUMBER(F9)</formula1>
    </dataValidation>
    <dataValidation type="list" allowBlank="1" showInputMessage="1" showErrorMessage="1" prompt="Please select your answer from drop down list." sqref="F175 F139:F140" xr:uid="{B28A4ED8-9280-4348-99A1-3B99F5248D33}">
      <formula1>$P$1:$P$2</formula1>
    </dataValidation>
    <dataValidation type="custom" allowBlank="1" showErrorMessage="1" error="Please enter a numeric value.  If this data is not applicable to your unit of government, the cell should be populated wih zero." sqref="F231" xr:uid="{EE3DADAD-5656-406D-A714-9D6C22BCD542}">
      <formula1>ISNUMBER(F231)</formula1>
    </dataValidation>
    <dataValidation type="list" allowBlank="1" showInputMessage="1" showErrorMessage="1" error="Please enter a numeric value.  If this data is not applicable to your unit of government, the cell should be populated with zero." prompt="Please select your answer from the drop down list._x000a_" sqref="F171" xr:uid="{D5C6965D-2887-4BB7-9AAD-B150E1F049E6}">
      <formula1>"1, 2,3"</formula1>
    </dataValidation>
    <dataValidation type="list" allowBlank="1" showInputMessage="1" showErrorMessage="1" error="Please enter a numeric value.  If this data is not applicable to your unit of government, the cell should be populated with zero." prompt="Please select your answer from the drop down list." sqref="F170" xr:uid="{CB2C6E7F-7BC8-4064-AC01-4376819B3BBA}">
      <formula1>"1, 2,3"</formula1>
    </dataValidation>
    <dataValidation type="list" allowBlank="1" showInputMessage="1" showErrorMessage="1" prompt="Please select your response from the drop-down menu." sqref="F272" xr:uid="{4AB0A0E0-96FC-4194-B5A7-E7BCBCE1281A}">
      <formula1>$N$1:$N$2</formula1>
    </dataValidation>
    <dataValidation type="list" allowBlank="1" showInputMessage="1" showErrorMessage="1" prompt="Please select your answer  from the drop down list." sqref="F77" xr:uid="{A85FF889-D99F-45B3-A284-6701B76512B6}">
      <formula1>$N$4:$N$6</formula1>
    </dataValidation>
    <dataValidation type="date" operator="greaterThan" allowBlank="1" showInputMessage="1" showErrorMessage="1" sqref="D283" xr:uid="{87987CFB-254C-4218-8C1E-4ED20C439C6B}">
      <formula1>45107</formula1>
    </dataValidation>
  </dataValidations>
  <printOptions headings="1" gridLines="1"/>
  <pageMargins left="0.25" right="0.25" top="0.25" bottom="0.75" header="0.3" footer="0.3"/>
  <pageSetup scale="74" fitToHeight="0" orientation="portrait" r:id="rId1"/>
  <headerFooter>
    <oddFooter>&amp;LPage &amp;P&amp;R&amp;Z&amp;F</oddFooter>
  </headerFooter>
  <ignoredErrors>
    <ignoredError sqref="H258:H260" unlockedFormula="1"/>
  </ignoredErrors>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Names(H)'!$A$1:$A$72</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5F4B-0208-438D-B7E1-1D455154237E}">
  <sheetPr codeName="Sheet3"/>
  <dimension ref="A1:M52"/>
  <sheetViews>
    <sheetView zoomScaleNormal="100" workbookViewId="0">
      <selection activeCell="C11" sqref="C11"/>
    </sheetView>
  </sheetViews>
  <sheetFormatPr defaultRowHeight="14.4" x14ac:dyDescent="0.3"/>
  <cols>
    <col min="1" max="1" width="5.88671875" style="155" customWidth="1"/>
    <col min="2" max="2" width="86.33203125" customWidth="1"/>
    <col min="3" max="3" width="19" customWidth="1"/>
    <col min="4" max="4" width="50.33203125" style="524" customWidth="1"/>
    <col min="5" max="5" width="25.5546875" customWidth="1"/>
    <col min="6" max="6" width="23" customWidth="1"/>
    <col min="7" max="7" width="32.109375" customWidth="1"/>
    <col min="8" max="9" width="8.88671875" style="624"/>
    <col min="10" max="10" width="1.6640625" style="624" customWidth="1"/>
    <col min="11" max="12" width="8.88671875" style="624" hidden="1" customWidth="1"/>
    <col min="13" max="13" width="13" style="624" customWidth="1"/>
  </cols>
  <sheetData>
    <row r="1" spans="1:13" s="558" customFormat="1" ht="12" customHeight="1" thickBot="1" x14ac:dyDescent="0.35">
      <c r="A1" s="557"/>
      <c r="D1" s="617"/>
      <c r="E1"/>
      <c r="F1"/>
      <c r="G1"/>
      <c r="H1" s="623"/>
      <c r="I1" s="623"/>
      <c r="J1" s="623"/>
      <c r="K1" s="623"/>
      <c r="L1" s="623"/>
      <c r="M1" s="623"/>
    </row>
    <row r="2" spans="1:13" ht="34.950000000000003" customHeight="1" thickBot="1" x14ac:dyDescent="0.35">
      <c r="A2" s="1078" t="s">
        <v>1462</v>
      </c>
      <c r="B2" s="1079"/>
      <c r="C2" s="1079"/>
      <c r="D2" s="1080"/>
    </row>
    <row r="3" spans="1:13" s="558" customFormat="1" ht="8.4" customHeight="1" thickBot="1" x14ac:dyDescent="0.35">
      <c r="A3" s="616"/>
      <c r="D3" s="617"/>
      <c r="E3"/>
      <c r="F3"/>
      <c r="G3"/>
      <c r="H3" s="623"/>
      <c r="I3" s="623"/>
      <c r="J3" s="623"/>
      <c r="K3" s="623"/>
      <c r="L3" s="623"/>
      <c r="M3" s="623"/>
    </row>
    <row r="4" spans="1:13" ht="16.95" customHeight="1" thickBot="1" x14ac:dyDescent="0.35">
      <c r="A4" s="1081" t="s">
        <v>1463</v>
      </c>
      <c r="B4" s="1082"/>
      <c r="C4" s="1082"/>
      <c r="D4" s="1083"/>
    </row>
    <row r="5" spans="1:13" ht="9" customHeight="1" thickBot="1" x14ac:dyDescent="0.35">
      <c r="A5"/>
      <c r="D5"/>
      <c r="H5"/>
      <c r="I5"/>
      <c r="J5"/>
      <c r="K5"/>
      <c r="L5"/>
      <c r="M5"/>
    </row>
    <row r="6" spans="1:13" ht="18.600000000000001" customHeight="1" thickBot="1" x14ac:dyDescent="0.35">
      <c r="A6" s="1084" t="s">
        <v>859</v>
      </c>
      <c r="B6" s="1085"/>
      <c r="C6" s="1085"/>
      <c r="D6" s="1086"/>
    </row>
    <row r="7" spans="1:13" s="180" customFormat="1" ht="7.95" customHeight="1" thickBot="1" x14ac:dyDescent="0.35"/>
    <row r="8" spans="1:13" s="180" customFormat="1" ht="36.6" customHeight="1" thickBot="1" x14ac:dyDescent="0.4">
      <c r="A8" s="1087" t="s">
        <v>1874</v>
      </c>
      <c r="B8" s="1088"/>
      <c r="C8" s="1088"/>
      <c r="D8" s="1089"/>
    </row>
    <row r="9" spans="1:13" s="558" customFormat="1" ht="13.95" customHeight="1" thickBot="1" x14ac:dyDescent="0.35">
      <c r="A9" s="618"/>
      <c r="B9" s="619"/>
      <c r="C9" s="619"/>
      <c r="D9" s="622"/>
      <c r="E9" s="1076" t="s">
        <v>1885</v>
      </c>
      <c r="F9"/>
      <c r="G9"/>
      <c r="H9" s="623"/>
      <c r="I9" s="623"/>
      <c r="J9" s="623"/>
      <c r="K9" s="623"/>
      <c r="L9" s="623"/>
      <c r="M9" s="623"/>
    </row>
    <row r="10" spans="1:13" ht="47.25" customHeight="1" x14ac:dyDescent="0.3">
      <c r="A10" s="756" t="s">
        <v>799</v>
      </c>
      <c r="B10" s="757"/>
      <c r="C10" s="757"/>
      <c r="D10" s="758"/>
      <c r="E10" s="1077"/>
    </row>
    <row r="11" spans="1:13" s="535" customFormat="1" ht="40.200000000000003" customHeight="1" x14ac:dyDescent="0.3">
      <c r="A11" s="648">
        <v>906</v>
      </c>
      <c r="B11" s="649" t="s">
        <v>462</v>
      </c>
      <c r="C11" s="742"/>
      <c r="D11" s="929" t="str">
        <f t="shared" ref="D11:D32" si="0">IF(C11="","This Question must be answered before uploading, the report will not be processed if left blank","")</f>
        <v>This Question must be answered before uploading, the report will not be processed if left blank</v>
      </c>
      <c r="E11" s="1017"/>
      <c r="F11"/>
      <c r="G11"/>
      <c r="H11" s="625"/>
      <c r="I11" s="625"/>
      <c r="J11" s="625"/>
      <c r="K11" s="625"/>
      <c r="L11" s="625"/>
      <c r="M11" s="625"/>
    </row>
    <row r="12" spans="1:13" ht="40.200000000000003" customHeight="1" x14ac:dyDescent="0.3">
      <c r="A12" s="648">
        <v>907</v>
      </c>
      <c r="B12" s="649" t="s">
        <v>1445</v>
      </c>
      <c r="C12" s="742"/>
      <c r="D12" s="929" t="str">
        <f t="shared" si="0"/>
        <v>This Question must be answered before uploading, the report will not be processed if left blank</v>
      </c>
      <c r="E12" s="1018"/>
      <c r="H12" s="625"/>
      <c r="I12" s="625"/>
      <c r="J12" s="625"/>
      <c r="K12" s="625"/>
      <c r="L12" s="625"/>
    </row>
    <row r="13" spans="1:13" s="180" customFormat="1" ht="51.6" customHeight="1" x14ac:dyDescent="0.3">
      <c r="A13" s="777">
        <v>1055</v>
      </c>
      <c r="B13" s="649" t="s">
        <v>1870</v>
      </c>
      <c r="C13" s="742"/>
      <c r="D13" s="712" t="str">
        <f>IF(C13="","This question must be answered before uploading. The report will not be processed if left blank.",IF(C13="Yes","Financial Performance Indicator of Concern that requires a response.  Please provide source document and page number in cell E13.",""))</f>
        <v>This question must be answered before uploading. The report will not be processed if left blank.</v>
      </c>
      <c r="E13" s="1019"/>
      <c r="F13"/>
      <c r="G13"/>
      <c r="H13" s="625"/>
      <c r="I13" s="625"/>
      <c r="J13" s="625"/>
      <c r="K13" s="625"/>
      <c r="L13" s="625"/>
      <c r="M13" s="624"/>
    </row>
    <row r="14" spans="1:13" s="180" customFormat="1" ht="48.6" customHeight="1" x14ac:dyDescent="0.3">
      <c r="A14" s="777">
        <v>1056</v>
      </c>
      <c r="B14" s="649" t="s">
        <v>1442</v>
      </c>
      <c r="C14" s="742"/>
      <c r="D14" s="929" t="str">
        <f>IF(C14="","This question must be answered before uploading. The report will not be processed if left blank.",IF(C14="Yes"," Financial Performance Indicator of Concern that requires a response.  Please provide source document and page number in cell E14.",""))</f>
        <v>This question must be answered before uploading. The report will not be processed if left blank.</v>
      </c>
      <c r="E14" s="1019"/>
      <c r="F14"/>
      <c r="G14"/>
      <c r="H14" s="625"/>
      <c r="I14" s="625"/>
      <c r="J14" s="625"/>
      <c r="K14" s="625"/>
      <c r="L14" s="625"/>
      <c r="M14" s="624"/>
    </row>
    <row r="15" spans="1:13" s="180" customFormat="1" ht="55.2" customHeight="1" x14ac:dyDescent="0.3">
      <c r="A15" s="648">
        <v>1057</v>
      </c>
      <c r="B15" s="620" t="s">
        <v>1881</v>
      </c>
      <c r="C15" s="742"/>
      <c r="D15" s="929" t="str">
        <f>IF(C15="","This question must be answered before uploading. The report will not be processed if left blank.",IF(C15="Yes","Financial Performance Indicator of Concern that requires a response.  Please provide source document and page number in cell E15.",""))</f>
        <v>This question must be answered before uploading. The report will not be processed if left blank.</v>
      </c>
      <c r="E15" s="1018"/>
      <c r="F15"/>
      <c r="G15"/>
      <c r="H15" s="625"/>
      <c r="I15" s="625"/>
      <c r="J15" s="625"/>
      <c r="K15" s="625"/>
      <c r="L15" s="625"/>
      <c r="M15" s="624"/>
    </row>
    <row r="16" spans="1:13" ht="57" customHeight="1" x14ac:dyDescent="0.3">
      <c r="A16" s="777">
        <v>1058</v>
      </c>
      <c r="B16" s="649" t="s">
        <v>1882</v>
      </c>
      <c r="C16" s="742"/>
      <c r="D16" s="929" t="str">
        <f>IF(C16="","This question must be answered before uploading. The report will not be processed if left blank.",IF(C16="Yes","Financial Performance Indicator of Concern that requires a response.  Please provide source document and page number in cell E16.",""))</f>
        <v>This question must be answered before uploading. The report will not be processed if left blank.</v>
      </c>
      <c r="E16" s="1018"/>
    </row>
    <row r="17" spans="1:13" ht="113.4" customHeight="1" x14ac:dyDescent="0.3">
      <c r="A17" s="648">
        <v>1059</v>
      </c>
      <c r="B17" s="620" t="s">
        <v>1906</v>
      </c>
      <c r="C17" s="742"/>
      <c r="D17" s="929" t="str">
        <f>IF(C17="","This question must be answered before uploading. The report will not be processed if left blank.",IF(C17="No","Financial Performance Indicator of Concern that requires a response.  Please provide source document and page number in cell E17.",""))</f>
        <v>This question must be answered before uploading. The report will not be processed if left blank.</v>
      </c>
      <c r="E17" s="1018"/>
      <c r="H17" s="625"/>
      <c r="I17" s="625"/>
      <c r="J17" s="625"/>
      <c r="K17" s="625"/>
      <c r="L17" s="625"/>
    </row>
    <row r="18" spans="1:13" s="180" customFormat="1" ht="113.4" customHeight="1" x14ac:dyDescent="0.3">
      <c r="A18" s="648">
        <v>1078</v>
      </c>
      <c r="B18" s="620" t="s">
        <v>1921</v>
      </c>
      <c r="C18" s="742"/>
      <c r="D18" s="929" t="str">
        <f>IF(C18="","This question must be answered before uploading. The report will not be processed if left blank.",IF(C18="Yes","Please provide source document and page number in cell E18.",""))</f>
        <v>This question must be answered before uploading. The report will not be processed if left blank.</v>
      </c>
      <c r="E18" s="1018"/>
      <c r="F18"/>
      <c r="H18" s="625"/>
      <c r="I18" s="625"/>
      <c r="J18" s="625"/>
      <c r="K18" s="625"/>
      <c r="L18" s="625"/>
      <c r="M18" s="624"/>
    </row>
    <row r="19" spans="1:13" s="180" customFormat="1" ht="78.599999999999994" customHeight="1" x14ac:dyDescent="0.3">
      <c r="A19" s="764">
        <v>1067</v>
      </c>
      <c r="B19" s="621" t="s">
        <v>1666</v>
      </c>
      <c r="C19" s="742"/>
      <c r="D19" s="929" t="str">
        <f>IF(C19="","This question must be answered before uploading. The report will not be processed if left blank.",IF(C19="No","Financial Performance Indicator of Concern that requires a response.  Please provide source document and page number in cell E19.",""))</f>
        <v>This question must be answered before uploading. The report will not be processed if left blank.</v>
      </c>
      <c r="E19" s="1018"/>
      <c r="G19"/>
      <c r="H19" s="625"/>
      <c r="I19" s="625"/>
      <c r="J19" s="625"/>
      <c r="K19" s="625"/>
      <c r="L19" s="625"/>
      <c r="M19" s="624"/>
    </row>
    <row r="20" spans="1:13" ht="40.200000000000003" customHeight="1" x14ac:dyDescent="0.3">
      <c r="A20" s="648">
        <v>951</v>
      </c>
      <c r="B20" s="649" t="s">
        <v>1446</v>
      </c>
      <c r="C20" s="742"/>
      <c r="D20" s="929" t="str">
        <f t="shared" si="0"/>
        <v>This Question must be answered before uploading, the report will not be processed if left blank</v>
      </c>
      <c r="E20" s="1018"/>
      <c r="H20" s="625"/>
      <c r="I20" s="625"/>
      <c r="J20" s="625"/>
      <c r="K20" s="625"/>
      <c r="L20" s="625"/>
    </row>
    <row r="21" spans="1:13" ht="40.200000000000003" customHeight="1" x14ac:dyDescent="0.3">
      <c r="A21" s="648">
        <v>953</v>
      </c>
      <c r="B21" s="620" t="s">
        <v>1571</v>
      </c>
      <c r="C21" s="742"/>
      <c r="D21" s="929" t="str">
        <f t="shared" si="0"/>
        <v>This Question must be answered before uploading, the report will not be processed if left blank</v>
      </c>
      <c r="E21" s="1018"/>
      <c r="H21" s="625"/>
      <c r="I21" s="625"/>
      <c r="J21" s="625"/>
      <c r="K21" s="625"/>
      <c r="L21" s="625"/>
    </row>
    <row r="22" spans="1:13" ht="52.95" customHeight="1" x14ac:dyDescent="0.3">
      <c r="A22" s="777">
        <v>955</v>
      </c>
      <c r="B22" s="620" t="s">
        <v>1572</v>
      </c>
      <c r="C22" s="742"/>
      <c r="D22" s="929" t="str">
        <f>IF(C22="","This question must be answered before uploading. The report will not be processed if left blank.",IF(C22&gt;0,"Financial Performance Indicator of Concern that requires a response.  Please provide source document and page number in E22.",""))</f>
        <v>This question must be answered before uploading. The report will not be processed if left blank.</v>
      </c>
      <c r="E22" s="1018"/>
      <c r="H22" s="625"/>
      <c r="I22" s="625"/>
      <c r="J22" s="625"/>
      <c r="K22" s="625"/>
      <c r="L22" s="625"/>
    </row>
    <row r="23" spans="1:13" ht="48" customHeight="1" x14ac:dyDescent="0.3">
      <c r="A23" s="777">
        <v>957</v>
      </c>
      <c r="B23" s="620" t="s">
        <v>1575</v>
      </c>
      <c r="C23" s="742"/>
      <c r="D23" s="929" t="str">
        <f>IF(C23="","This question must be answered before uploading. The report will not be processed if left blank.",IF(C23&gt;0,"Financial Performance Indicator of Concern that requires a response.",""))</f>
        <v>This question must be answered before uploading. The report will not be processed if left blank.</v>
      </c>
      <c r="E23" s="1018"/>
      <c r="H23" s="625"/>
      <c r="I23" s="625"/>
      <c r="J23" s="625"/>
      <c r="K23" s="625"/>
      <c r="L23" s="625"/>
    </row>
    <row r="24" spans="1:13" s="180" customFormat="1" ht="115.8" customHeight="1" x14ac:dyDescent="0.3">
      <c r="A24" s="648">
        <v>973</v>
      </c>
      <c r="B24" s="620" t="s">
        <v>1883</v>
      </c>
      <c r="C24" s="742"/>
      <c r="D24" s="929" t="str">
        <f>IF(C24="","This question must be answered before uploading. The report will not be processed if left blank.",IF(C24&gt;0,"Financial Performance Indicator of Concern that requires a response.",""))</f>
        <v>This question must be answered before uploading. The report will not be processed if left blank.</v>
      </c>
      <c r="E24" s="1018"/>
      <c r="F24"/>
      <c r="G24"/>
      <c r="H24" s="625"/>
      <c r="I24" s="625"/>
      <c r="J24" s="625"/>
      <c r="K24" s="625"/>
      <c r="L24" s="625"/>
      <c r="M24" s="624"/>
    </row>
    <row r="25" spans="1:13" s="180" customFormat="1" ht="52.8" customHeight="1" x14ac:dyDescent="0.3">
      <c r="A25" s="648">
        <v>959</v>
      </c>
      <c r="B25" s="649" t="s">
        <v>645</v>
      </c>
      <c r="C25" s="742"/>
      <c r="D25" s="929" t="str">
        <f>IF(C25="","This question must be answered before uploading. The report will not be processed if left blank.",IF(C25="Yes","Financial Performance Indicator of Concern that requires a response.  Please provide  source document and page number in cell E25.",""))</f>
        <v>This question must be answered before uploading. The report will not be processed if left blank.</v>
      </c>
      <c r="E25" s="1018"/>
      <c r="F25"/>
      <c r="G25"/>
      <c r="H25" s="625"/>
      <c r="I25" s="625"/>
      <c r="J25" s="625"/>
      <c r="K25" s="625"/>
      <c r="L25" s="625"/>
      <c r="M25" s="624"/>
    </row>
    <row r="26" spans="1:13" ht="93" customHeight="1" x14ac:dyDescent="0.3">
      <c r="A26" s="648">
        <v>974</v>
      </c>
      <c r="B26" s="649" t="s">
        <v>648</v>
      </c>
      <c r="C26" s="742"/>
      <c r="D26" s="929" t="str">
        <f>IF(C26="","This question must be answered before uploading. The report will not be processed if left blank.",IF(C26="Yes","Financial Performance Indicator of Concern that requires a response.  Please provide source document and page number in cell E26.",""))</f>
        <v>This question must be answered before uploading. The report will not be processed if left blank.</v>
      </c>
      <c r="E26" s="1018"/>
      <c r="H26" s="625"/>
      <c r="I26" s="625"/>
      <c r="J26" s="625"/>
      <c r="K26" s="625"/>
      <c r="L26" s="625"/>
    </row>
    <row r="27" spans="1:13" ht="40.200000000000003" customHeight="1" x14ac:dyDescent="0.3">
      <c r="A27" s="648" t="s">
        <v>599</v>
      </c>
      <c r="B27" s="649" t="s">
        <v>2049</v>
      </c>
      <c r="C27" s="742"/>
      <c r="D27" s="929" t="str">
        <f>IF(C27="","This Question must be answered before uploading, the report will not be processed if left blank",IF(C27="Yes","Please submit copy via LGC File Portal.",""))</f>
        <v>This Question must be answered before uploading, the report will not be processed if left blank</v>
      </c>
      <c r="E27" s="1018"/>
      <c r="H27" s="625"/>
      <c r="I27" s="625"/>
      <c r="J27" s="625"/>
      <c r="K27" s="625"/>
      <c r="L27" s="625"/>
    </row>
    <row r="28" spans="1:13" ht="40.200000000000003" customHeight="1" x14ac:dyDescent="0.3">
      <c r="A28" s="648" t="s">
        <v>600</v>
      </c>
      <c r="B28" s="649" t="s">
        <v>1860</v>
      </c>
      <c r="C28" s="742"/>
      <c r="D28" s="929" t="str">
        <f t="shared" ref="D28:D29" si="1">IF(C28="","This Question must be answered before uploading, the report will not be processed if left blank",IF(C28="Yes","Please submit copy via LGC File Portal.",""))</f>
        <v>This Question must be answered before uploading, the report will not be processed if left blank</v>
      </c>
      <c r="E28" s="1018"/>
      <c r="H28" s="625"/>
      <c r="I28" s="625"/>
      <c r="J28" s="625"/>
      <c r="K28" s="625"/>
      <c r="L28" s="625"/>
    </row>
    <row r="29" spans="1:13" ht="40.200000000000003" customHeight="1" x14ac:dyDescent="0.3">
      <c r="A29" s="648" t="s">
        <v>601</v>
      </c>
      <c r="B29" s="649" t="s">
        <v>1863</v>
      </c>
      <c r="C29" s="742"/>
      <c r="D29" s="929" t="str">
        <f t="shared" si="1"/>
        <v>This Question must be answered before uploading, the report will not be processed if left blank</v>
      </c>
      <c r="E29" s="1018"/>
      <c r="H29" s="625"/>
      <c r="I29" s="625"/>
      <c r="J29" s="625"/>
      <c r="K29" s="625"/>
      <c r="L29" s="625"/>
    </row>
    <row r="30" spans="1:13" s="180" customFormat="1" ht="40.200000000000003" customHeight="1" x14ac:dyDescent="0.3">
      <c r="A30" s="648" t="s">
        <v>1934</v>
      </c>
      <c r="B30" s="996" t="s">
        <v>1961</v>
      </c>
      <c r="C30" s="743">
        <v>45473</v>
      </c>
      <c r="D30" s="995" t="s">
        <v>1968</v>
      </c>
      <c r="E30" s="1018"/>
      <c r="H30" s="625"/>
      <c r="I30" s="625"/>
      <c r="J30" s="625"/>
      <c r="K30" s="625"/>
      <c r="L30" s="625"/>
      <c r="M30" s="624"/>
    </row>
    <row r="31" spans="1:13" ht="40.200000000000003" customHeight="1" x14ac:dyDescent="0.3">
      <c r="A31" s="648">
        <v>1079</v>
      </c>
      <c r="B31" s="649" t="s">
        <v>1944</v>
      </c>
      <c r="C31" s="743"/>
      <c r="D31" s="929" t="str">
        <f>IF(C31="","This question must be answered before uploading. The report will not be processed if left blank.",IF(C31&gt;'Performance  Indicators Print'!N30,"Financial Performance Indicator of Concern that requires a response.",""))</f>
        <v>This question must be answered before uploading. The report will not be processed if left blank.</v>
      </c>
      <c r="E31" s="1019"/>
      <c r="F31" s="180"/>
      <c r="H31" s="625"/>
      <c r="I31" s="625"/>
      <c r="J31" s="625"/>
      <c r="K31" s="625"/>
      <c r="L31" s="625"/>
    </row>
    <row r="32" spans="1:13" ht="52.95" customHeight="1" x14ac:dyDescent="0.3">
      <c r="A32" s="648">
        <v>980</v>
      </c>
      <c r="B32" s="649" t="s">
        <v>1948</v>
      </c>
      <c r="C32" s="743"/>
      <c r="D32" s="929" t="str">
        <f t="shared" si="0"/>
        <v>This Question must be answered before uploading, the report will not be processed if left blank</v>
      </c>
      <c r="E32" s="1018"/>
      <c r="H32"/>
      <c r="I32"/>
      <c r="J32"/>
      <c r="K32"/>
      <c r="L32"/>
      <c r="M32"/>
    </row>
    <row r="33" spans="1:13" ht="40.200000000000003" customHeight="1" x14ac:dyDescent="0.3">
      <c r="A33" s="1009">
        <v>975</v>
      </c>
      <c r="B33" s="1025" t="s">
        <v>1884</v>
      </c>
      <c r="C33" s="1010"/>
      <c r="D33" s="1011" t="str">
        <f>IF(C33="","This question must be answered before uploading. The report will not be processed if left blank.",IF(C33="Yes","Financial Performance Indicator of Concern that requires a response.",""))</f>
        <v>This question must be answered before uploading. The report will not be processed if left blank.</v>
      </c>
      <c r="E33" s="1018"/>
      <c r="H33" s="625"/>
      <c r="I33" s="625"/>
      <c r="J33" s="625"/>
      <c r="K33" s="625"/>
      <c r="L33" s="625"/>
    </row>
    <row r="34" spans="1:13" ht="25.95" customHeight="1" x14ac:dyDescent="0.3">
      <c r="A34" s="1013" t="s">
        <v>1566</v>
      </c>
      <c r="B34" s="1014"/>
      <c r="C34" s="1015"/>
      <c r="D34" s="1016"/>
      <c r="E34" s="1020"/>
      <c r="H34"/>
      <c r="I34"/>
      <c r="J34"/>
      <c r="K34"/>
      <c r="L34"/>
      <c r="M34"/>
    </row>
    <row r="35" spans="1:13" ht="43.2" customHeight="1" x14ac:dyDescent="0.3">
      <c r="A35" s="1035">
        <v>1068</v>
      </c>
      <c r="B35" s="1036" t="s">
        <v>1567</v>
      </c>
      <c r="C35" s="1012"/>
      <c r="D35" s="1026" t="str">
        <f>IF(C35="","This Question must be answered before uploading, the report will not be processed if left blank","")</f>
        <v>This Question must be answered before uploading, the report will not be processed if left blank</v>
      </c>
      <c r="E35" s="1020"/>
      <c r="H35"/>
      <c r="I35"/>
      <c r="J35"/>
      <c r="K35"/>
      <c r="L35"/>
      <c r="M35"/>
    </row>
    <row r="36" spans="1:13" ht="43.2" customHeight="1" x14ac:dyDescent="0.3">
      <c r="A36" s="648">
        <v>1069</v>
      </c>
      <c r="B36" s="649" t="s">
        <v>1573</v>
      </c>
      <c r="C36" s="742"/>
      <c r="D36" s="712" t="str">
        <f t="shared" ref="D36:D38" si="2">IF(C36="","This Question must be answered before uploading, the report will not be processed if left blank","")</f>
        <v>This Question must be answered before uploading, the report will not be processed if left blank</v>
      </c>
      <c r="E36" s="1020"/>
      <c r="H36"/>
      <c r="I36"/>
      <c r="J36"/>
      <c r="K36"/>
      <c r="L36"/>
      <c r="M36"/>
    </row>
    <row r="37" spans="1:13" ht="43.2" customHeight="1" x14ac:dyDescent="0.3">
      <c r="A37" s="648">
        <v>1070</v>
      </c>
      <c r="B37" s="649" t="s">
        <v>1872</v>
      </c>
      <c r="C37" s="742"/>
      <c r="D37" s="712" t="str">
        <f t="shared" si="2"/>
        <v>This Question must be answered before uploading, the report will not be processed if left blank</v>
      </c>
      <c r="E37" s="1020"/>
      <c r="H37"/>
      <c r="I37"/>
      <c r="J37"/>
      <c r="K37"/>
      <c r="L37"/>
      <c r="M37"/>
    </row>
    <row r="38" spans="1:13" ht="43.2" customHeight="1" x14ac:dyDescent="0.3">
      <c r="A38" s="648">
        <v>1071</v>
      </c>
      <c r="B38" s="649" t="s">
        <v>1946</v>
      </c>
      <c r="C38" s="771"/>
      <c r="D38" s="712" t="str">
        <f t="shared" si="2"/>
        <v>This Question must be answered before uploading, the report will not be processed if left blank</v>
      </c>
      <c r="E38" s="1020"/>
      <c r="H38"/>
      <c r="I38"/>
      <c r="J38"/>
      <c r="K38"/>
      <c r="L38"/>
      <c r="M38"/>
    </row>
    <row r="39" spans="1:13" x14ac:dyDescent="0.3">
      <c r="A39"/>
      <c r="D39"/>
      <c r="E39" s="524"/>
      <c r="H39"/>
      <c r="I39"/>
      <c r="J39"/>
      <c r="K39"/>
      <c r="L39"/>
      <c r="M39"/>
    </row>
    <row r="40" spans="1:13" s="180" customFormat="1" ht="40.200000000000003" customHeight="1" x14ac:dyDescent="0.3">
      <c r="A40" s="648" t="s">
        <v>602</v>
      </c>
      <c r="B40" s="712" t="str">
        <f>IF(D40="","This Question must be answered before uploading, the report will not be processed if left blank","")</f>
        <v>This Question must be answered before uploading, the report will not be processed if left blank</v>
      </c>
      <c r="C40" s="653" t="s">
        <v>463</v>
      </c>
      <c r="D40" s="1027"/>
      <c r="E40" s="524"/>
      <c r="F40"/>
      <c r="G40"/>
      <c r="H40" s="624"/>
      <c r="I40" s="624"/>
      <c r="J40" s="624"/>
      <c r="K40" s="624"/>
      <c r="L40" s="624"/>
      <c r="M40" s="624"/>
    </row>
    <row r="41" spans="1:13" ht="14.4" customHeight="1" x14ac:dyDescent="0.3">
      <c r="A41" s="557"/>
      <c r="B41" s="617"/>
      <c r="C41" s="558"/>
      <c r="D41" s="1028"/>
      <c r="E41" s="524"/>
    </row>
    <row r="42" spans="1:13" ht="40.200000000000003" customHeight="1" x14ac:dyDescent="0.3">
      <c r="A42" s="648" t="s">
        <v>603</v>
      </c>
      <c r="B42" s="712" t="str">
        <f>IF(D42="","This Question must be answered before uploading, the report will not be processed if left blank","")</f>
        <v>This Question must be answered before uploading, the report will not be processed if left blank</v>
      </c>
      <c r="C42" s="653" t="s">
        <v>464</v>
      </c>
      <c r="D42" s="1027"/>
      <c r="E42" s="524"/>
    </row>
    <row r="43" spans="1:13" ht="14.4" customHeight="1" x14ac:dyDescent="0.3">
      <c r="A43" s="557"/>
      <c r="B43" s="617"/>
      <c r="C43" s="558"/>
      <c r="D43" s="1028"/>
      <c r="E43" s="524"/>
    </row>
    <row r="44" spans="1:13" s="180" customFormat="1" ht="40.200000000000003" customHeight="1" x14ac:dyDescent="0.3">
      <c r="A44" s="648" t="s">
        <v>857</v>
      </c>
      <c r="B44" s="712" t="str">
        <f>IF(D44="","This Question must be answered before uploading, the report will not be processed if left blank","")</f>
        <v>This Question must be answered before uploading, the report will not be processed if left blank</v>
      </c>
      <c r="C44" s="653" t="s">
        <v>1447</v>
      </c>
      <c r="D44" s="759"/>
      <c r="E44" s="524"/>
      <c r="F44"/>
      <c r="G44"/>
      <c r="H44" s="624"/>
      <c r="I44" s="624"/>
      <c r="J44" s="624"/>
      <c r="K44" s="624"/>
      <c r="L44" s="624"/>
      <c r="M44" s="624"/>
    </row>
    <row r="48" spans="1:13" x14ac:dyDescent="0.3">
      <c r="A48" s="744"/>
      <c r="B48" s="745" t="s">
        <v>465</v>
      </c>
      <c r="C48" s="746">
        <v>1</v>
      </c>
      <c r="D48" s="747"/>
    </row>
    <row r="50" spans="1:4" x14ac:dyDescent="0.3">
      <c r="A50" s="748"/>
      <c r="B50" s="749" t="s">
        <v>466</v>
      </c>
      <c r="C50" s="750">
        <v>45535</v>
      </c>
      <c r="D50" s="751"/>
    </row>
    <row r="51" spans="1:4" x14ac:dyDescent="0.3">
      <c r="B51" s="558"/>
      <c r="C51" s="617"/>
    </row>
    <row r="52" spans="1:4" x14ac:dyDescent="0.3">
      <c r="B52" s="558"/>
      <c r="C52" s="617"/>
    </row>
  </sheetData>
  <sheetProtection algorithmName="SHA-512" hashValue="0MtV+Fk1ENT2zUrqesz9Rooy/KChYUneAZ0a61MS4skxbuAY6n8o0V+Iu9R+RrlPvpeXttN3u2tmnPYUcIwqqQ==" saltValue="uIiPY+Jq9E1CFC/qcULvkg==" spinCount="100000" sheet="1" objects="1" scenarios="1"/>
  <dataConsolidate/>
  <mergeCells count="5">
    <mergeCell ref="E9:E10"/>
    <mergeCell ref="A2:D2"/>
    <mergeCell ref="A4:D4"/>
    <mergeCell ref="A6:D6"/>
    <mergeCell ref="A8:D8"/>
  </mergeCells>
  <conditionalFormatting sqref="C13">
    <cfRule type="expression" dxfId="92" priority="27">
      <formula>"IF(C13=""Yes""|"" ""| "" "")"</formula>
    </cfRule>
  </conditionalFormatting>
  <conditionalFormatting sqref="E13">
    <cfRule type="expression" dxfId="91" priority="19">
      <formula>C13="yes"</formula>
    </cfRule>
  </conditionalFormatting>
  <conditionalFormatting sqref="E14">
    <cfRule type="expression" dxfId="90" priority="18">
      <formula>C14="Yes"</formula>
    </cfRule>
  </conditionalFormatting>
  <conditionalFormatting sqref="E15">
    <cfRule type="expression" dxfId="89" priority="17">
      <formula>C15="Yes"</formula>
    </cfRule>
  </conditionalFormatting>
  <conditionalFormatting sqref="E16">
    <cfRule type="expression" dxfId="88" priority="16">
      <formula>C16="Yes"</formula>
    </cfRule>
  </conditionalFormatting>
  <conditionalFormatting sqref="E17">
    <cfRule type="expression" dxfId="87" priority="14">
      <formula>C17="No"</formula>
    </cfRule>
  </conditionalFormatting>
  <conditionalFormatting sqref="E19">
    <cfRule type="expression" dxfId="86" priority="13">
      <formula>C19="No"</formula>
    </cfRule>
  </conditionalFormatting>
  <conditionalFormatting sqref="E25">
    <cfRule type="expression" dxfId="85" priority="11">
      <formula>C25="Yes"</formula>
    </cfRule>
  </conditionalFormatting>
  <conditionalFormatting sqref="E26">
    <cfRule type="expression" dxfId="84" priority="10">
      <formula>C26="Yes"</formula>
    </cfRule>
  </conditionalFormatting>
  <conditionalFormatting sqref="E22">
    <cfRule type="expression" dxfId="83" priority="7">
      <formula>$C$22&gt;0</formula>
    </cfRule>
  </conditionalFormatting>
  <conditionalFormatting sqref="E23">
    <cfRule type="expression" dxfId="82" priority="6">
      <formula>$C$23&gt;0</formula>
    </cfRule>
  </conditionalFormatting>
  <conditionalFormatting sqref="E18">
    <cfRule type="expression" dxfId="81" priority="5">
      <formula>$C$18="Yes"</formula>
    </cfRule>
  </conditionalFormatting>
  <conditionalFormatting sqref="E31">
    <cfRule type="expression" dxfId="80" priority="1">
      <formula>$D$31="Financial Performance Indicator of Concern that requires a response."</formula>
    </cfRule>
  </conditionalFormatting>
  <dataValidations xWindow="697" yWindow="411" count="13">
    <dataValidation type="list" allowBlank="1" showInputMessage="1" showErrorMessage="1" prompt="Please select Yes or No from the drop down list" sqref="C21 C17 C37 C33:C35 C19 C15 C27:C29" xr:uid="{42DC82DB-0AE6-4795-B8A2-67794DECDEAD}">
      <formula1>"Yes, No"</formula1>
    </dataValidation>
    <dataValidation type="whole" operator="greaterThan" allowBlank="1" showInputMessage="1" showErrorMessage="1" prompt="Please enter a whole number.  If there are no findings please enter 0" sqref="C22:C24" xr:uid="{22039F36-BF2D-4D90-ACF3-F17B7FAD9827}">
      <formula1>-1</formula1>
    </dataValidation>
    <dataValidation type="list" allowBlank="1" showInputMessage="1" showErrorMessage="1" prompt="Please select Yes, No or N/A from the drop down list" sqref="C36 C26" xr:uid="{1338E819-A8A7-4AB4-965C-9AAE0E62C78A}">
      <formula1>"Yes, No, N/A"</formula1>
    </dataValidation>
    <dataValidation type="date" operator="greaterThan" showInputMessage="1" showErrorMessage="1" promptTitle="MM/DD/YYYY" prompt="This cannot be blank" sqref="C32" xr:uid="{F2F609DE-2DD8-4C56-AEA4-B39EA636E384}">
      <formula1>45107</formula1>
    </dataValidation>
    <dataValidation type="list" allowBlank="1" showInputMessage="1" showErrorMessage="1" prompt="Please select Yes or No from the drop down list" sqref="C32" xr:uid="{B4C96C02-4742-4E38-B12A-360ABBD230F0}">
      <formula1>"Yes,No"</formula1>
    </dataValidation>
    <dataValidation type="list" allowBlank="1" showInputMessage="1" showErrorMessage="1" sqref="C32" xr:uid="{C1CF9E65-608C-4B9B-B8C1-8E5A300F6B99}">
      <formula1>"Yes, No"</formula1>
    </dataValidation>
    <dataValidation type="list" allowBlank="1" showInputMessage="1" showErrorMessage="1" sqref="C32" xr:uid="{2F6B1B33-D794-41C2-9ACB-1601D80589F6}">
      <formula1>"Yes,No"</formula1>
    </dataValidation>
    <dataValidation type="date" operator="greaterThan" allowBlank="1" showInputMessage="1" showErrorMessage="1" sqref="D44" xr:uid="{C03418DF-3B42-4CD5-A316-291388505573}">
      <formula1>45107</formula1>
    </dataValidation>
    <dataValidation type="list" allowBlank="1" showInputMessage="1" showErrorMessage="1" prompt="Please select Yes or No from the drop down list." sqref="C11:C14 C20" xr:uid="{09FCC64E-5331-4E1E-8B61-60F4B5075DD5}">
      <formula1>"Yes, No"</formula1>
    </dataValidation>
    <dataValidation type="list" allowBlank="1" showInputMessage="1" showErrorMessage="1" prompt="Please select Yes, No or NA _x000a_from the drop down list" sqref="C25" xr:uid="{C0840E4D-A4F7-4799-B300-7B0B69A66EF6}">
      <formula1>"Yes, No, N/A"</formula1>
    </dataValidation>
    <dataValidation type="list" allowBlank="1" showInputMessage="1" showErrorMessage="1" prompt="Please select Yes, No or N/A from the dropdown list." sqref="C18" xr:uid="{BBD61488-A95B-4373-951D-49CD8B12B95C}">
      <formula1>"Yes, No, N/A"</formula1>
    </dataValidation>
    <dataValidation type="list" allowBlank="1" showInputMessage="1" showErrorMessage="1" prompt="Please select Yes or No from the d dropdown list._x000a_" sqref="C16" xr:uid="{468EDED7-463E-41FB-90A2-04A2B2950869}">
      <formula1>"Yes, No"</formula1>
    </dataValidation>
    <dataValidation type="custom" allowBlank="1" showInputMessage="1" showErrorMessage="1" error="Submit Date is prior to fiscal year end." sqref="C31" xr:uid="{9C37E483-AF95-4F2C-88DC-919785B2EB15}">
      <formula1>C30&lt;C31</formula1>
    </dataValidation>
  </dataValidations>
  <pageMargins left="0.7" right="0.7" top="0.75" bottom="0.75" header="0.3" footer="0.3"/>
  <pageSetup scale="51" orientation="portrait" r:id="rId1"/>
  <colBreaks count="1" manualBreakCount="1">
    <brk id="4"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C707-5E48-4ACE-9ED0-D0FEE0779031}">
  <sheetPr codeName="Sheet5">
    <pageSetUpPr fitToPage="1"/>
  </sheetPr>
  <dimension ref="A1:CC47"/>
  <sheetViews>
    <sheetView showGridLines="0" zoomScale="80" zoomScaleNormal="80" workbookViewId="0">
      <selection activeCell="C5" sqref="C5:E5"/>
    </sheetView>
  </sheetViews>
  <sheetFormatPr defaultColWidth="9.109375" defaultRowHeight="14.4" x14ac:dyDescent="0.3"/>
  <cols>
    <col min="1" max="1" width="6.33203125" style="813" customWidth="1"/>
    <col min="2" max="2" width="57.6640625" style="813" customWidth="1"/>
    <col min="3" max="4" width="14.33203125" style="813" customWidth="1"/>
    <col min="5" max="7" width="17.33203125" style="813" customWidth="1"/>
    <col min="8" max="8" width="71.44140625" style="813" customWidth="1"/>
    <col min="9" max="9" width="56.77734375" style="923" customWidth="1"/>
    <col min="10" max="10" width="46.109375" style="923" customWidth="1"/>
    <col min="11" max="11" width="9.109375" style="922" customWidth="1"/>
    <col min="12" max="12" width="23.6640625" style="810" hidden="1" customWidth="1"/>
    <col min="13" max="13" width="21.109375" style="810" hidden="1" customWidth="1"/>
    <col min="14" max="14" width="24" style="810" hidden="1" customWidth="1"/>
    <col min="15" max="15" width="21" style="810" hidden="1" customWidth="1"/>
    <col min="16" max="16" width="25" style="811" hidden="1" customWidth="1"/>
    <col min="17" max="17" width="25.6640625" style="812" hidden="1" customWidth="1"/>
    <col min="18" max="18" width="33.77734375" style="812" customWidth="1"/>
    <col min="19" max="19" width="9.109375" style="812" customWidth="1"/>
    <col min="20" max="59" width="9.109375" style="812"/>
    <col min="60" max="16384" width="9.109375" style="813"/>
  </cols>
  <sheetData>
    <row r="1" spans="1:78" ht="40.5" customHeight="1" thickBot="1" x14ac:dyDescent="0.35">
      <c r="A1" s="808"/>
      <c r="B1" s="1120" t="s">
        <v>1065</v>
      </c>
      <c r="C1" s="1120"/>
      <c r="D1" s="1120"/>
      <c r="E1" s="1120"/>
      <c r="F1" s="1120"/>
      <c r="G1" s="1120"/>
      <c r="H1" s="1121"/>
      <c r="I1" s="1118"/>
      <c r="J1" s="1119"/>
      <c r="K1" s="809"/>
    </row>
    <row r="2" spans="1:78" ht="72" customHeight="1" thickBot="1" x14ac:dyDescent="0.35">
      <c r="A2" s="814"/>
      <c r="B2" s="1122" t="s">
        <v>1066</v>
      </c>
      <c r="C2" s="1123"/>
      <c r="D2" s="1123"/>
      <c r="E2" s="1123"/>
      <c r="F2" s="1123"/>
      <c r="G2" s="1123"/>
      <c r="H2" s="1124"/>
      <c r="I2" s="1137" t="s">
        <v>1067</v>
      </c>
      <c r="J2" s="1140" t="s">
        <v>1474</v>
      </c>
      <c r="K2" s="815"/>
    </row>
    <row r="3" spans="1:78" ht="15" customHeight="1" thickBot="1" x14ac:dyDescent="0.35">
      <c r="A3" s="816"/>
      <c r="B3" s="817"/>
      <c r="C3" s="818"/>
      <c r="D3" s="818"/>
      <c r="E3" s="818"/>
      <c r="F3" s="818"/>
      <c r="G3" s="819"/>
      <c r="H3" s="820"/>
      <c r="I3" s="1138"/>
      <c r="J3" s="1141"/>
      <c r="K3" s="815"/>
    </row>
    <row r="4" spans="1:78" ht="21.75" customHeight="1" thickBot="1" x14ac:dyDescent="0.35">
      <c r="A4" s="821"/>
      <c r="B4" s="822" t="s">
        <v>598</v>
      </c>
      <c r="C4" s="1125" t="str">
        <f>'Unit Data from Audit Worksheet'!D2</f>
        <v>Select Unit Name from Drop Down List</v>
      </c>
      <c r="D4" s="1126"/>
      <c r="E4" s="1127"/>
      <c r="F4" s="1128" t="s">
        <v>1962</v>
      </c>
      <c r="G4" s="1129"/>
      <c r="H4" s="1132" t="s">
        <v>1471</v>
      </c>
      <c r="I4" s="1138"/>
      <c r="J4" s="1141"/>
      <c r="K4" s="823"/>
      <c r="L4" s="824"/>
    </row>
    <row r="5" spans="1:78" ht="21.6" thickBot="1" x14ac:dyDescent="0.35">
      <c r="A5" s="825"/>
      <c r="B5" s="826" t="s">
        <v>579</v>
      </c>
      <c r="C5" s="1134" t="e">
        <f>'Unit Data from Audit Worksheet'!D3</f>
        <v>#N/A</v>
      </c>
      <c r="D5" s="1135"/>
      <c r="E5" s="1136"/>
      <c r="F5" s="1130"/>
      <c r="G5" s="1131"/>
      <c r="H5" s="1133"/>
      <c r="I5" s="1138"/>
      <c r="J5" s="1141"/>
      <c r="K5" s="827"/>
      <c r="L5" s="828" t="s">
        <v>588</v>
      </c>
    </row>
    <row r="6" spans="1:78" ht="18.75" customHeight="1" x14ac:dyDescent="0.3">
      <c r="A6" s="816"/>
      <c r="B6" s="1143" t="s">
        <v>1424</v>
      </c>
      <c r="C6" s="1143"/>
      <c r="D6" s="1143"/>
      <c r="E6" s="1143"/>
      <c r="F6" s="1143"/>
      <c r="G6" s="1143"/>
      <c r="H6" s="1144"/>
      <c r="I6" s="1138"/>
      <c r="J6" s="1141"/>
      <c r="K6" s="827"/>
      <c r="L6" s="828"/>
    </row>
    <row r="7" spans="1:78" ht="116.25" customHeight="1" thickBot="1" x14ac:dyDescent="0.35">
      <c r="A7" s="829"/>
      <c r="B7" s="1145"/>
      <c r="C7" s="1145"/>
      <c r="D7" s="1145"/>
      <c r="E7" s="1145"/>
      <c r="F7" s="1145"/>
      <c r="G7" s="1145"/>
      <c r="H7" s="1146"/>
      <c r="I7" s="1139"/>
      <c r="J7" s="1142"/>
      <c r="K7" s="827"/>
      <c r="L7" s="828"/>
    </row>
    <row r="8" spans="1:78" ht="185.1" customHeight="1" thickBot="1" x14ac:dyDescent="0.35">
      <c r="A8" s="830"/>
      <c r="B8" s="1112"/>
      <c r="C8" s="1112"/>
      <c r="D8" s="1112"/>
      <c r="E8" s="1112"/>
      <c r="F8" s="1112"/>
      <c r="G8" s="1113"/>
      <c r="H8" s="1149" t="s">
        <v>1070</v>
      </c>
      <c r="I8" s="831"/>
      <c r="J8" s="1147"/>
      <c r="K8" s="827"/>
      <c r="L8" s="832" t="b">
        <f>IF($L$9&gt;10000000,"25%",IF($L$9&gt;999999,"34%",IF($L$9&gt;99999,"71%",IF($L$9&gt;1,"100%"))))</f>
        <v>0</v>
      </c>
      <c r="N8" s="833"/>
    </row>
    <row r="9" spans="1:78" ht="132" customHeight="1" thickBot="1" x14ac:dyDescent="0.35">
      <c r="A9" s="830"/>
      <c r="B9" s="1114"/>
      <c r="C9" s="1114"/>
      <c r="D9" s="1114"/>
      <c r="E9" s="1114"/>
      <c r="F9" s="1114"/>
      <c r="G9" s="1115"/>
      <c r="H9" s="1150"/>
      <c r="I9" s="831"/>
      <c r="J9" s="1148"/>
      <c r="K9" s="827"/>
      <c r="L9" s="832">
        <f>Import!L59+Import!L65+Import!L62-Import!L63-Import!L64-Import!L60</f>
        <v>0</v>
      </c>
      <c r="N9" s="833"/>
    </row>
    <row r="10" spans="1:78" ht="91.8" customHeight="1" thickBot="1" x14ac:dyDescent="0.35">
      <c r="A10" s="834"/>
      <c r="B10" s="1098" t="s">
        <v>1912</v>
      </c>
      <c r="C10" s="1099"/>
      <c r="D10" s="1099"/>
      <c r="E10" s="1099"/>
      <c r="F10" s="835" t="s">
        <v>651</v>
      </c>
      <c r="G10" s="835" t="s">
        <v>847</v>
      </c>
      <c r="H10" s="836"/>
      <c r="I10" s="837"/>
      <c r="J10" s="837"/>
      <c r="K10" s="838"/>
      <c r="L10" s="810">
        <v>2022</v>
      </c>
      <c r="M10" s="824">
        <v>2023</v>
      </c>
      <c r="N10" s="810">
        <v>2024</v>
      </c>
      <c r="O10" s="839"/>
      <c r="P10" s="840"/>
    </row>
    <row r="11" spans="1:78" ht="261.60000000000002" customHeight="1" thickBot="1" x14ac:dyDescent="0.35">
      <c r="A11" s="830" t="s">
        <v>1068</v>
      </c>
      <c r="B11" s="1092"/>
      <c r="C11" s="1093"/>
      <c r="D11" s="1093"/>
      <c r="E11" s="1094"/>
      <c r="F11" s="803" t="b">
        <f>IF($L$9&gt;10000000,"25% -- Average of similar units is 46%",IF($L$9&gt;999999,"34% -- Average of similar units is 63%",IF($L$9&gt;99999,"71% -- Average of similar units is 132%",IF($L$9&gt;1,"100 %-- Average of similar units is 260%"))))</f>
        <v>0</v>
      </c>
      <c r="G11" s="954" t="str">
        <f>N11</f>
        <v/>
      </c>
      <c r="H11" s="936" t="s">
        <v>1667</v>
      </c>
      <c r="I11" s="842" t="s">
        <v>1531</v>
      </c>
      <c r="J11" s="805"/>
      <c r="K11" s="827"/>
      <c r="L11" s="960" t="e">
        <f>IFERROR(HLOOKUP(C5,'PY2 Data(H)'!$D$2:$CZ$278,275,FALSE),#N/A)</f>
        <v>#N/A</v>
      </c>
      <c r="M11" s="844" t="e">
        <f>IFERROR(HLOOKUP(C5,'PY1 Data(H)'!$D$2:$BV$279,277,FALSE),#N/A)</f>
        <v>#N/A</v>
      </c>
      <c r="N11" s="845" t="str">
        <f>IFERROR((Import!L38+Import!L39-Import!L43-Import!L44-Import!L196-Import!L48+Import!L69)/(Import!L59+Import!L65+Import!L62-Import!L63-Import!L64-Import!L60),"")</f>
        <v/>
      </c>
      <c r="O11" s="846" t="e">
        <f>IF(N11&lt;VALUE(L8),1,0)</f>
        <v>#VALUE!</v>
      </c>
      <c r="P11" s="840"/>
    </row>
    <row r="12" spans="1:78" ht="27.75" customHeight="1" thickBot="1" x14ac:dyDescent="0.35">
      <c r="A12" s="830"/>
      <c r="B12" s="1116" t="s">
        <v>846</v>
      </c>
      <c r="C12" s="1117"/>
      <c r="D12" s="1117"/>
      <c r="E12" s="1117"/>
      <c r="F12" s="835" t="s">
        <v>651</v>
      </c>
      <c r="G12" s="835" t="s">
        <v>847</v>
      </c>
      <c r="H12" s="847"/>
      <c r="I12" s="842"/>
      <c r="J12" s="848"/>
      <c r="K12" s="827"/>
      <c r="L12" s="843"/>
      <c r="M12" s="845"/>
      <c r="N12" s="845"/>
      <c r="P12" s="840"/>
    </row>
    <row r="13" spans="1:78" ht="95.25" customHeight="1" thickBot="1" x14ac:dyDescent="0.35">
      <c r="A13" s="830" t="s">
        <v>1069</v>
      </c>
      <c r="B13" s="1095" t="s">
        <v>1878</v>
      </c>
      <c r="C13" s="1096"/>
      <c r="D13" s="1096"/>
      <c r="E13" s="1097"/>
      <c r="F13" s="803" t="s">
        <v>1466</v>
      </c>
      <c r="G13" s="971" t="b">
        <f>IF(AND(L13="Operations",M13&lt;0),"Operations",IF(AND(L13="Capital",M13&lt;0),"Capital",IF(L13="N/A","N/A")))</f>
        <v>0</v>
      </c>
      <c r="H13" s="847" t="s">
        <v>1472</v>
      </c>
      <c r="I13" s="849" t="s">
        <v>1911</v>
      </c>
      <c r="J13" s="805"/>
      <c r="K13" s="827"/>
      <c r="L13" s="934">
        <f>'Unit Data from Audit Worksheet'!F77</f>
        <v>0</v>
      </c>
      <c r="M13" s="935">
        <f>'Unit Data from Audit Worksheet'!F76</f>
        <v>0</v>
      </c>
      <c r="N13" s="845"/>
      <c r="O13" s="839"/>
      <c r="P13" s="840"/>
    </row>
    <row r="14" spans="1:78" ht="177" customHeight="1" thickBot="1" x14ac:dyDescent="0.35">
      <c r="A14" s="830" t="s">
        <v>1071</v>
      </c>
      <c r="B14" s="1095" t="s">
        <v>1467</v>
      </c>
      <c r="C14" s="1096"/>
      <c r="D14" s="1096"/>
      <c r="E14" s="1097"/>
      <c r="F14" s="803" t="s">
        <v>1464</v>
      </c>
      <c r="G14" s="850">
        <f>Import!L51</f>
        <v>0</v>
      </c>
      <c r="H14" s="847" t="s">
        <v>1465</v>
      </c>
      <c r="I14" s="849" t="s">
        <v>1480</v>
      </c>
      <c r="J14" s="805"/>
      <c r="K14" s="827"/>
      <c r="L14" s="845"/>
      <c r="M14" s="845"/>
      <c r="N14" s="845"/>
      <c r="O14" s="839"/>
      <c r="P14" s="840"/>
    </row>
    <row r="15" spans="1:78" ht="81" customHeight="1" thickBot="1" x14ac:dyDescent="0.35">
      <c r="A15" s="851"/>
      <c r="B15" s="1151" t="s">
        <v>1913</v>
      </c>
      <c r="C15" s="1151"/>
      <c r="D15" s="1151"/>
      <c r="E15" s="1098"/>
      <c r="F15" s="835" t="s">
        <v>651</v>
      </c>
      <c r="G15" s="835" t="s">
        <v>847</v>
      </c>
      <c r="H15" s="852" t="s">
        <v>1073</v>
      </c>
      <c r="I15" s="853"/>
      <c r="J15" s="854"/>
      <c r="K15" s="827"/>
      <c r="L15" s="977" t="e">
        <f>HLOOKUP($C$5,'PY2 Data(H)'!$D$2:$CZ$276,236,FALSE)</f>
        <v>#N/A</v>
      </c>
      <c r="M15" s="856" t="e">
        <f>HLOOKUP($C$5,'PY1 Data(H)'!$D$2:$BV$279,230,FALSE)</f>
        <v>#N/A</v>
      </c>
      <c r="N15" s="857" t="e">
        <f>Import!L240</f>
        <v>#N/A</v>
      </c>
      <c r="O15" s="858"/>
      <c r="P15" s="962"/>
      <c r="Q15" s="963"/>
      <c r="R15" s="859"/>
      <c r="S15" s="859"/>
      <c r="T15" s="859"/>
      <c r="U15" s="859"/>
      <c r="V15" s="859"/>
      <c r="W15" s="859"/>
      <c r="X15" s="859"/>
      <c r="Y15" s="859"/>
      <c r="Z15" s="859"/>
      <c r="AA15" s="859"/>
      <c r="AB15" s="859"/>
      <c r="AC15" s="859"/>
      <c r="AD15" s="859"/>
      <c r="AE15" s="859"/>
      <c r="AF15" s="859"/>
      <c r="AG15" s="859"/>
      <c r="AH15" s="859"/>
      <c r="AI15" s="859"/>
      <c r="AJ15" s="859"/>
      <c r="AK15" s="859"/>
      <c r="AL15" s="859"/>
      <c r="AM15" s="859"/>
      <c r="AN15" s="859"/>
      <c r="AO15" s="859"/>
      <c r="AP15" s="859"/>
      <c r="AQ15" s="859"/>
      <c r="AR15" s="859"/>
      <c r="AS15" s="859"/>
      <c r="AT15" s="859"/>
      <c r="AU15" s="859"/>
      <c r="AV15" s="859"/>
      <c r="AW15" s="859"/>
      <c r="AX15" s="859"/>
      <c r="AY15" s="859"/>
      <c r="AZ15" s="859"/>
      <c r="BA15" s="859"/>
      <c r="BB15" s="859"/>
      <c r="BC15" s="859"/>
      <c r="BD15" s="859"/>
      <c r="BE15" s="859"/>
      <c r="BF15" s="859"/>
      <c r="BG15" s="859"/>
      <c r="BH15" s="860"/>
      <c r="BI15" s="860"/>
      <c r="BJ15" s="860"/>
      <c r="BK15" s="860"/>
      <c r="BL15" s="860"/>
      <c r="BM15" s="860"/>
      <c r="BN15" s="860"/>
      <c r="BO15" s="860"/>
      <c r="BP15" s="860"/>
      <c r="BQ15" s="860"/>
      <c r="BR15" s="860"/>
      <c r="BS15" s="860"/>
      <c r="BT15" s="860"/>
      <c r="BU15" s="860"/>
      <c r="BV15" s="860"/>
      <c r="BW15" s="860"/>
      <c r="BX15" s="860"/>
      <c r="BY15" s="860"/>
      <c r="BZ15" s="860"/>
    </row>
    <row r="16" spans="1:78" ht="202.5" customHeight="1" thickBot="1" x14ac:dyDescent="0.35">
      <c r="A16" s="830" t="s">
        <v>1072</v>
      </c>
      <c r="B16" s="861"/>
      <c r="C16" s="862"/>
      <c r="D16" s="862"/>
      <c r="E16" s="863"/>
      <c r="F16" s="864" t="s">
        <v>580</v>
      </c>
      <c r="G16" s="955" t="e">
        <f>N16</f>
        <v>#DIV/0!</v>
      </c>
      <c r="H16" s="841" t="s">
        <v>848</v>
      </c>
      <c r="I16" s="849" t="s">
        <v>582</v>
      </c>
      <c r="J16" s="805"/>
      <c r="K16" s="827"/>
      <c r="L16" s="967" t="e">
        <f>IF(AND(HLOOKUP($C$5,'PY2 Data(H)'!$D$2:$CZ$277,236,FALSE)=0.01,(HLOOKUP($C$5,'PY2 Data(H)'!$D$2:$CZ$277,265,FALSE)&gt;0)),P16,#N/A)</f>
        <v>#N/A</v>
      </c>
      <c r="M16" s="968" t="e">
        <f>IF(AND(HLOOKUP($C$5,'PY1 Data(H)'!$D$2:$BV$279,230,FALSE)=0.01,(HLOOKUP($C$5,'PY1 Data(H)'!$D$2:$BV$279,267,FALSE)&gt;0)),Q16,#N/A)</f>
        <v>#N/A</v>
      </c>
      <c r="N16" s="857" t="e">
        <f>(+Import!L76-Import!L77-Import!L74-Import!L75)/(Import!L80-Import!L81-Import!L82-Import!L83-Import!L$84-Import!L85-Import!L79)</f>
        <v>#DIV/0!</v>
      </c>
      <c r="O16" s="961"/>
      <c r="P16" s="969" t="e">
        <f>HLOOKUP($C$5,'PY2 Data(H)'!$D$2:$CZ$276,265,FALSE)</f>
        <v>#N/A</v>
      </c>
      <c r="Q16" s="966" t="e">
        <f>HLOOKUP($C$5,'PY1 Data(H)'!$D$2:$BV$279,267,FALSE)</f>
        <v>#N/A</v>
      </c>
      <c r="R16"/>
    </row>
    <row r="17" spans="1:81" ht="27.75" customHeight="1" thickBot="1" x14ac:dyDescent="0.35">
      <c r="A17" s="834"/>
      <c r="B17" s="865" t="s">
        <v>1075</v>
      </c>
      <c r="C17" s="866">
        <v>2022</v>
      </c>
      <c r="D17" s="866">
        <v>2023</v>
      </c>
      <c r="E17" s="866">
        <v>2024</v>
      </c>
      <c r="F17" s="835" t="s">
        <v>651</v>
      </c>
      <c r="G17" s="835" t="s">
        <v>847</v>
      </c>
      <c r="H17" s="867"/>
      <c r="I17" s="853"/>
      <c r="J17" s="854"/>
      <c r="K17" s="827"/>
      <c r="L17" s="857"/>
      <c r="M17" s="857"/>
      <c r="N17" s="857"/>
      <c r="P17" s="964"/>
      <c r="Q17" s="965"/>
    </row>
    <row r="18" spans="1:81" ht="93.6" customHeight="1" thickBot="1" x14ac:dyDescent="0.35">
      <c r="A18" s="830" t="s">
        <v>1074</v>
      </c>
      <c r="B18" s="868" t="s">
        <v>1482</v>
      </c>
      <c r="C18" s="850" t="e">
        <f>IF(L15=0,"N/A",L18)</f>
        <v>#N/A</v>
      </c>
      <c r="D18" s="850" t="e">
        <f>IF(M15=0,"N/A",M18)</f>
        <v>#N/A</v>
      </c>
      <c r="E18" s="869" t="e">
        <f>IF(N15=0,"N/A",N18)</f>
        <v>#N/A</v>
      </c>
      <c r="F18" s="803" t="s">
        <v>849</v>
      </c>
      <c r="G18" s="956" t="e">
        <f>E18</f>
        <v>#N/A</v>
      </c>
      <c r="H18" s="841" t="s">
        <v>1556</v>
      </c>
      <c r="I18" s="849" t="s">
        <v>1558</v>
      </c>
      <c r="J18" s="805"/>
      <c r="K18" s="827"/>
      <c r="L18" s="975" t="e">
        <f>IF(HLOOKUP($C$5,'PY2 Data(H)'!$D$2:$CZ$277,266,FALSE)=0,"Prior year data not submitted as of workbook published date.",(HLOOKUP($C$5,'PY2 Data(H)'!$D$2:$CZ$277,266,FALSE)))</f>
        <v>#N/A</v>
      </c>
      <c r="M18" s="1044" t="e">
        <f>IF(HLOOKUP($C$5,'PY1 Data(H)'!$D$2:$BV$279,268,FALSE)=0,"Prior year data not submitted as of workbook published date.",(HLOOKUP($C$5,'PY1 Data(H)'!$D$2:$BV$279,268,FALSE)))</f>
        <v>#N/A</v>
      </c>
      <c r="N18" s="870">
        <f>+Import!L109-Import!L111+Import!L110-Import!L140-Import!L112</f>
        <v>0</v>
      </c>
      <c r="P18" s="1051"/>
      <c r="Q18" s="1049"/>
    </row>
    <row r="19" spans="1:81" ht="124.2" customHeight="1" thickBot="1" x14ac:dyDescent="0.35">
      <c r="A19" s="830" t="s">
        <v>1076</v>
      </c>
      <c r="B19" s="871" t="s">
        <v>1570</v>
      </c>
      <c r="C19" s="931" t="e">
        <f>IF(L15=0,"N/A",L19)</f>
        <v>#N/A</v>
      </c>
      <c r="D19" s="931" t="e">
        <f>IF(M15=0,"N/A",M19)</f>
        <v>#N/A</v>
      </c>
      <c r="E19" s="872" t="e">
        <f>IF(N15=0,"N/A",N19)</f>
        <v>#N/A</v>
      </c>
      <c r="F19" s="803" t="s">
        <v>795</v>
      </c>
      <c r="G19" s="957" t="e">
        <f>E19</f>
        <v>#N/A</v>
      </c>
      <c r="H19" s="841" t="s">
        <v>1861</v>
      </c>
      <c r="I19" s="849" t="s">
        <v>1561</v>
      </c>
      <c r="J19" s="806"/>
      <c r="K19" s="827"/>
      <c r="L19" s="1054" t="e">
        <f>IF(P19="Blank","Prior year data not submitted as of workbook published date.",(HLOOKUP($C$5,'PY2 Data(H)'!$D$2:$CZ$279,267,FALSE)))</f>
        <v>#N/A</v>
      </c>
      <c r="M19" s="930" t="e">
        <f>IF(Q19="Blank","Prior year data not submitted as of workbook published date.",(HLOOKUP($C$5,'PY1 Data(H)'!$D$2:$CZ$279,269,FALSE)))</f>
        <v>#N/A</v>
      </c>
      <c r="N19" s="873" t="e">
        <f>Import!L72/(Import!L111+Import!L114-Import!L110+Import!L140)</f>
        <v>#DIV/0!</v>
      </c>
      <c r="O19" s="874"/>
      <c r="P19" s="1052" t="str">
        <f>IF(ISBLANK(HLOOKUP($C$5,'PY2 Data(H)'!$D$2:$CZ$279,24,FALSE)),"Blank","Not Blank")</f>
        <v>Not Blank</v>
      </c>
      <c r="Q19" s="1050" t="str">
        <f>IF(ISBLANK(HLOOKUP($C$5,'PY1 Data(H)'!$D$2:$CZ$279,24,FALSE)),"Blank","Not Blank")</f>
        <v>Not Blank</v>
      </c>
      <c r="R19" s="811"/>
    </row>
    <row r="20" spans="1:81" ht="75" customHeight="1" thickBot="1" x14ac:dyDescent="0.35">
      <c r="A20" s="830" t="s">
        <v>1077</v>
      </c>
      <c r="B20" s="1110" t="s">
        <v>1910</v>
      </c>
      <c r="C20" s="1110"/>
      <c r="D20" s="1111"/>
      <c r="E20" s="875" t="str">
        <f>IF(N20&lt;0,"Yes","No")</f>
        <v>No</v>
      </c>
      <c r="F20" s="876"/>
      <c r="G20" s="877" t="str">
        <f>E20</f>
        <v>No</v>
      </c>
      <c r="H20" s="841" t="s">
        <v>1078</v>
      </c>
      <c r="I20" s="849" t="s">
        <v>796</v>
      </c>
      <c r="J20" s="805"/>
      <c r="K20" s="827"/>
      <c r="L20" s="878"/>
      <c r="M20" s="879">
        <f>((Import!L114+Import!L111)*0.03)-Import!L118</f>
        <v>0</v>
      </c>
      <c r="N20" s="880">
        <f>M20*0.03</f>
        <v>0</v>
      </c>
      <c r="P20" s="964"/>
      <c r="Q20" s="965"/>
    </row>
    <row r="21" spans="1:81" ht="75" customHeight="1" thickBot="1" x14ac:dyDescent="0.35">
      <c r="A21" s="914">
        <v>8</v>
      </c>
      <c r="B21" s="938" t="s">
        <v>1928</v>
      </c>
      <c r="C21" s="943" t="e">
        <f>L21</f>
        <v>#N/A</v>
      </c>
      <c r="D21" s="943" t="e">
        <f>M21</f>
        <v>#N/A</v>
      </c>
      <c r="E21" s="985" t="e">
        <f>N21</f>
        <v>#DIV/0!</v>
      </c>
      <c r="F21" s="974" t="s">
        <v>1931</v>
      </c>
      <c r="G21" s="944" t="e">
        <f>E21</f>
        <v>#DIV/0!</v>
      </c>
      <c r="H21" s="984" t="s">
        <v>1929</v>
      </c>
      <c r="I21" s="939" t="s">
        <v>1907</v>
      </c>
      <c r="J21" s="806"/>
      <c r="K21" s="827"/>
      <c r="L21" s="940" t="e">
        <f>IF(HLOOKUP($C$5,'PY2 Data(H)'!$D$2:$CZ$277,276,FALSE)=0,"Prior year data not submitted as of workbook published date.",(HLOOKUP($C$5,'PY2 Data(H)'!$D$2:$CZ$277,276,FALSE)))</f>
        <v>#N/A</v>
      </c>
      <c r="M21" s="941" t="e">
        <f>IF(HLOOKUP($C$5,'PY1 Data(H)'!$D$2:$BV$279,278,FALSE)=0,"Prior year data not submitted as of workbook published date.",(HLOOKUP($C$5,'PY1 Data(H)'!$D$2:$BV$279,278,FALSE)))</f>
        <v>#N/A</v>
      </c>
      <c r="N21" s="942" t="e">
        <f>1-(Import!L166+Import!L167+Import!L168+Import!L169)/(Import!L158+Import!L159+Import!L160+Import!L161)</f>
        <v>#DIV/0!</v>
      </c>
    </row>
    <row r="23" spans="1:81" ht="15" thickBot="1" x14ac:dyDescent="0.35"/>
    <row r="24" spans="1:81" ht="87" customHeight="1" thickBot="1" x14ac:dyDescent="0.35">
      <c r="A24" s="851"/>
      <c r="B24" s="1151" t="s">
        <v>1914</v>
      </c>
      <c r="C24" s="1151"/>
      <c r="D24" s="1151"/>
      <c r="E24" s="1151"/>
      <c r="F24" s="835" t="s">
        <v>651</v>
      </c>
      <c r="G24" s="835" t="s">
        <v>847</v>
      </c>
      <c r="H24" s="852" t="s">
        <v>1079</v>
      </c>
      <c r="I24" s="881"/>
      <c r="J24" s="882"/>
      <c r="K24" s="827"/>
      <c r="L24" s="855" t="e">
        <f>HLOOKUP($C$5,'PY2 Data(H)'!$D$2:$CZ$277,235,FALSE)</f>
        <v>#N/A</v>
      </c>
      <c r="M24" s="856" t="e">
        <f>HLOOKUP($C$5,'PY1 Data(H)'!$D$2:$BV$279,229,FALSE)</f>
        <v>#N/A</v>
      </c>
      <c r="N24" s="883" t="e">
        <f>Import!L239</f>
        <v>#N/A</v>
      </c>
    </row>
    <row r="25" spans="1:81" ht="202.5" customHeight="1" thickBot="1" x14ac:dyDescent="0.35">
      <c r="A25" s="830">
        <v>9</v>
      </c>
      <c r="B25" s="1153"/>
      <c r="C25" s="1153"/>
      <c r="D25" s="1153"/>
      <c r="E25" s="1154"/>
      <c r="F25" s="803" t="s">
        <v>580</v>
      </c>
      <c r="G25" s="958" t="e">
        <f>N25</f>
        <v>#DIV/0!</v>
      </c>
      <c r="H25" s="841" t="s">
        <v>850</v>
      </c>
      <c r="I25" s="849" t="s">
        <v>589</v>
      </c>
      <c r="J25" s="805"/>
      <c r="K25" s="827"/>
      <c r="L25" s="967" t="e">
        <f>IF(AND(HLOOKUP($C$5,'PY2 Data(H)'!$D$2:$CZ$277,235,FALSE)&gt;0,(HLOOKUP($C$5,'PY2 Data(H)'!$D$2:$CZ$277,269,FALSE)&gt;0)),P25,#N/A)</f>
        <v>#N/A</v>
      </c>
      <c r="M25" s="968" t="e">
        <f>IF(AND(HLOOKUP($C$5,'PY1 Data(H)'!$D$2:$BV$279,229,FALSE)&gt;0,(HLOOKUP($C$5,'PY1 Data(H)'!$D$2:$BV$279,271,FALSE)&gt;0)),Q25,#N/A)</f>
        <v>#N/A</v>
      </c>
      <c r="N25" s="857" t="e">
        <f>+(Import!L94-Import!L95-Import!L93-Import!L92)/(Import!L99-Import!L100-Import!L101-Import!L102-Import!L103-Import!L104-Import!L98)</f>
        <v>#DIV/0!</v>
      </c>
      <c r="P25" s="967" t="e">
        <f>HLOOKUP($C$5,'PY2 Data(H)'!$D$2:$CZ$277,269,FALSE)</f>
        <v>#N/A</v>
      </c>
      <c r="Q25" s="968" t="e">
        <f>HLOOKUP($C$5,'PY1 Data(H)'!$D$2:$BV$279,271,FALSE)</f>
        <v>#N/A</v>
      </c>
    </row>
    <row r="26" spans="1:81" ht="27.75" customHeight="1" thickBot="1" x14ac:dyDescent="0.35">
      <c r="A26" s="834"/>
      <c r="B26" s="884" t="s">
        <v>1075</v>
      </c>
      <c r="C26" s="866">
        <v>2022</v>
      </c>
      <c r="D26" s="866">
        <v>2023</v>
      </c>
      <c r="E26" s="866">
        <v>2024</v>
      </c>
      <c r="F26" s="835" t="s">
        <v>651</v>
      </c>
      <c r="G26" s="835" t="s">
        <v>847</v>
      </c>
      <c r="H26" s="885"/>
      <c r="I26" s="886"/>
      <c r="J26" s="887"/>
      <c r="K26" s="827"/>
      <c r="L26" s="888"/>
      <c r="M26" s="857"/>
      <c r="N26" s="857"/>
    </row>
    <row r="27" spans="1:81" ht="84.6" customHeight="1" thickBot="1" x14ac:dyDescent="0.35">
      <c r="A27" s="830">
        <v>10</v>
      </c>
      <c r="B27" s="868" t="s">
        <v>1482</v>
      </c>
      <c r="C27" s="933" t="e">
        <f>IF(L24=0,"N/A",L27)</f>
        <v>#N/A</v>
      </c>
      <c r="D27" s="933" t="e">
        <f>IF(M24=0,"N/A",M27)</f>
        <v>#N/A</v>
      </c>
      <c r="E27" s="889" t="e">
        <f>IF(N24=0,"N/A",N27)</f>
        <v>#N/A</v>
      </c>
      <c r="F27" s="803" t="s">
        <v>849</v>
      </c>
      <c r="G27" s="959" t="e">
        <f>E27</f>
        <v>#N/A</v>
      </c>
      <c r="H27" s="841" t="s">
        <v>1557</v>
      </c>
      <c r="I27" s="890" t="s">
        <v>1559</v>
      </c>
      <c r="J27" s="805"/>
      <c r="K27" s="827"/>
      <c r="L27" s="976" t="e">
        <f>IF(HLOOKUP($C$5,'PY2 Data(H)'!$D$2:$CZ$277,270,FALSE)=0,"Prior year data not submitted as of workbook published date.",(HLOOKUP($C$5,'PY2 Data(H)'!$D$2:$CZ$277,270,FALSE)))</f>
        <v>#N/A</v>
      </c>
      <c r="M27" s="932" t="e">
        <f>IF(HLOOKUP($C$5,'PY1 Data(H)'!$D$2:$BV$279,272,FALSE)=0,"Prior year data not submitted as of workbook published date.",(HLOOKUP($C$5,'PY1 Data(H)'!$D$2:$BV$279,272,FALSE)))</f>
        <v>#N/A</v>
      </c>
      <c r="N27" s="891">
        <f>+Import!L125-Import!L128+Import!L127-Import!L143-Import!L129</f>
        <v>0</v>
      </c>
      <c r="P27" s="1051"/>
      <c r="Q27" s="1049"/>
    </row>
    <row r="28" spans="1:81" s="855" customFormat="1" ht="120" customHeight="1" thickBot="1" x14ac:dyDescent="0.35">
      <c r="A28" s="830">
        <v>11</v>
      </c>
      <c r="B28" s="871" t="s">
        <v>1570</v>
      </c>
      <c r="C28" s="931" t="e">
        <f>IF(L24=0,"N/A",L28)</f>
        <v>#N/A</v>
      </c>
      <c r="D28" s="931" t="e">
        <f>IF(M24=0,"N/A",M28)</f>
        <v>#N/A</v>
      </c>
      <c r="E28" s="872" t="e">
        <f>IF(N24=0,"N/A",N28)</f>
        <v>#N/A</v>
      </c>
      <c r="F28" s="803" t="s">
        <v>795</v>
      </c>
      <c r="G28" s="957" t="e">
        <f>E28</f>
        <v>#N/A</v>
      </c>
      <c r="H28" s="841" t="s">
        <v>1861</v>
      </c>
      <c r="I28" s="890" t="s">
        <v>1560</v>
      </c>
      <c r="J28" s="806"/>
      <c r="K28" s="827"/>
      <c r="L28" s="1053" t="e">
        <f>IF(P28="Blank","Prior year data not submitted as of workbook published date.",(HLOOKUP($C$5,'PY2 Data(H)'!$D$2:$CZ$279,271,FALSE)))</f>
        <v>#N/A</v>
      </c>
      <c r="M28" s="930" t="e">
        <f>IF(Q28="Blank","Prior year data not submitted as of workbook published date.",(HLOOKUP($C$5,'PY1 Data(H)'!$D$2:$CZ$279,273,FALSE)))</f>
        <v>#N/A</v>
      </c>
      <c r="N28" s="873" t="e">
        <f>+Import!L90/(Import!L131+Import!L128-Import!L127+Import!L143)</f>
        <v>#DIV/0!</v>
      </c>
      <c r="O28" s="810"/>
      <c r="P28" s="1052" t="str">
        <f>IF(ISBLANK(HLOOKUP($C$5,'PY2 Data(H)'!$D$2:$CZ$279,32,FALSE)),"Blank","Not Blank")</f>
        <v>Not Blank</v>
      </c>
      <c r="Q28" s="1050" t="str">
        <f>IF(ISBLANK(HLOOKUP($C$5,'PY1 Data(H)'!$D$2:$CZ$279,32,FALSE)),"Blank","Not Blank")</f>
        <v>Not Blank</v>
      </c>
      <c r="R28" s="811"/>
      <c r="S28" s="812"/>
      <c r="T28" s="812"/>
      <c r="U28" s="812"/>
      <c r="V28" s="812"/>
      <c r="W28" s="812"/>
      <c r="X28" s="812"/>
      <c r="Y28" s="812"/>
      <c r="Z28" s="812"/>
      <c r="AA28" s="812"/>
      <c r="AB28" s="812"/>
      <c r="AC28" s="812"/>
      <c r="AD28" s="812"/>
      <c r="AE28" s="812"/>
      <c r="AF28" s="812"/>
      <c r="AG28" s="812"/>
      <c r="AH28" s="812"/>
      <c r="AI28" s="812"/>
      <c r="AJ28" s="812"/>
      <c r="AK28" s="812"/>
      <c r="AL28" s="812"/>
      <c r="AM28" s="812"/>
      <c r="AN28" s="812"/>
      <c r="AO28" s="812"/>
      <c r="AP28" s="812"/>
      <c r="AQ28" s="812"/>
      <c r="AR28" s="812"/>
      <c r="AS28" s="812"/>
      <c r="AT28" s="812"/>
      <c r="AU28" s="812"/>
      <c r="AV28" s="812"/>
      <c r="AW28" s="812"/>
      <c r="AX28" s="812"/>
      <c r="AY28" s="812"/>
      <c r="AZ28" s="812"/>
      <c r="BA28" s="812"/>
      <c r="BB28" s="812"/>
      <c r="BC28" s="812"/>
      <c r="BD28" s="812"/>
      <c r="BE28" s="812"/>
      <c r="BF28" s="812"/>
      <c r="BG28" s="812"/>
      <c r="BH28" s="813"/>
      <c r="BI28" s="813"/>
      <c r="BJ28" s="813"/>
      <c r="BK28" s="813"/>
      <c r="BL28" s="813"/>
      <c r="BM28" s="813"/>
      <c r="BN28" s="813"/>
      <c r="BO28" s="813"/>
      <c r="BP28" s="813"/>
      <c r="BQ28" s="813"/>
      <c r="BR28" s="813"/>
      <c r="BS28" s="813"/>
      <c r="BT28" s="813"/>
      <c r="BU28" s="813"/>
      <c r="BV28" s="813"/>
      <c r="BW28" s="813"/>
      <c r="BX28" s="813"/>
      <c r="BY28" s="813"/>
      <c r="BZ28" s="813"/>
      <c r="CA28" s="813"/>
      <c r="CB28" s="813"/>
      <c r="CC28" s="813"/>
    </row>
    <row r="29" spans="1:81" s="855" customFormat="1" ht="18.600000000000001" thickBot="1" x14ac:dyDescent="0.35">
      <c r="A29" s="892"/>
      <c r="B29" s="1108" t="s">
        <v>851</v>
      </c>
      <c r="C29" s="1108"/>
      <c r="D29" s="1108"/>
      <c r="E29" s="866">
        <v>2024</v>
      </c>
      <c r="F29" s="893" t="s">
        <v>852</v>
      </c>
      <c r="G29" s="894"/>
      <c r="H29" s="895"/>
      <c r="I29" s="896"/>
      <c r="J29" s="897"/>
      <c r="K29" s="827"/>
      <c r="L29" s="810"/>
      <c r="M29" s="810"/>
      <c r="N29" s="810"/>
      <c r="O29" s="810"/>
      <c r="Q29" s="965"/>
      <c r="R29" s="812"/>
      <c r="S29" s="812"/>
      <c r="T29" s="812"/>
      <c r="U29" s="812"/>
      <c r="V29" s="812"/>
      <c r="W29" s="812"/>
      <c r="X29" s="812"/>
      <c r="Y29" s="812"/>
      <c r="Z29" s="812"/>
      <c r="AA29" s="812"/>
      <c r="AB29" s="812"/>
      <c r="AC29" s="812"/>
      <c r="AD29" s="812"/>
      <c r="AE29" s="812"/>
      <c r="AF29" s="812"/>
      <c r="AG29" s="812"/>
      <c r="AH29" s="812"/>
      <c r="AI29" s="812"/>
      <c r="AJ29" s="812"/>
      <c r="AK29" s="812"/>
      <c r="AL29" s="812"/>
      <c r="AM29" s="812"/>
      <c r="AN29" s="812"/>
      <c r="AO29" s="812"/>
      <c r="AP29" s="812"/>
      <c r="AQ29" s="812"/>
      <c r="AR29" s="812"/>
      <c r="AS29" s="812"/>
      <c r="AT29" s="812"/>
      <c r="AU29" s="812"/>
      <c r="AV29" s="812"/>
      <c r="AW29" s="812"/>
      <c r="AX29" s="812"/>
      <c r="AY29" s="812"/>
      <c r="AZ29" s="812"/>
      <c r="BA29" s="812"/>
      <c r="BB29" s="812"/>
      <c r="BC29" s="812"/>
      <c r="BD29" s="812"/>
      <c r="BE29" s="812"/>
      <c r="BF29" s="812"/>
      <c r="BG29" s="812"/>
      <c r="BH29" s="813"/>
      <c r="BI29" s="813"/>
      <c r="BJ29" s="813"/>
      <c r="BK29" s="813"/>
      <c r="BL29" s="813"/>
      <c r="BM29" s="813"/>
      <c r="BN29" s="813"/>
      <c r="BO29" s="813"/>
      <c r="BP29" s="813"/>
      <c r="BQ29" s="813"/>
      <c r="BR29" s="813"/>
      <c r="BS29" s="813"/>
      <c r="BT29" s="813"/>
      <c r="BU29" s="813"/>
      <c r="BV29" s="813"/>
      <c r="BW29" s="813"/>
      <c r="BX29" s="813"/>
      <c r="BY29" s="813"/>
      <c r="BZ29" s="813"/>
      <c r="CA29" s="813"/>
      <c r="CB29" s="813"/>
      <c r="CC29" s="813"/>
    </row>
    <row r="30" spans="1:81" s="855" customFormat="1" ht="119.4" customHeight="1" thickBot="1" x14ac:dyDescent="0.35">
      <c r="A30" s="898" t="s">
        <v>1915</v>
      </c>
      <c r="B30" s="1155" t="s">
        <v>1932</v>
      </c>
      <c r="C30" s="1156"/>
      <c r="D30" s="1156"/>
      <c r="E30" s="992">
        <f>Import!L259</f>
        <v>0</v>
      </c>
      <c r="F30" s="990"/>
      <c r="G30" s="992" t="str">
        <f>IF('TD Info Completed by Auditor'!C31&gt;N30,"Late","Response Not Required")</f>
        <v>Response Not Required</v>
      </c>
      <c r="H30" s="899" t="s">
        <v>853</v>
      </c>
      <c r="I30" s="1046" t="s">
        <v>1926</v>
      </c>
      <c r="J30" s="807"/>
      <c r="K30" s="827"/>
      <c r="L30" s="997">
        <f>'TD Info Completed by Auditor'!C31</f>
        <v>0</v>
      </c>
      <c r="M30" s="998">
        <f>'TD Info Completed by Auditor'!C30</f>
        <v>45473</v>
      </c>
      <c r="N30" s="999">
        <f>IF(M30=DATEVALUE("6/30/2024"),N32,IF(M30=DATEVALUE("9/30/2024"),N33,IF(M30=DATEVALUE("12/31/2024"),N34,IF(M30=DATEVALUE("3/31/2025"),N35))))</f>
        <v>45657</v>
      </c>
      <c r="P30" s="994"/>
      <c r="Q30" s="812"/>
      <c r="R30" s="812"/>
      <c r="S30" s="812"/>
      <c r="T30" s="812"/>
      <c r="U30" s="812"/>
      <c r="V30" s="812"/>
      <c r="W30" s="812"/>
      <c r="X30" s="812"/>
      <c r="Y30" s="812"/>
      <c r="Z30" s="812"/>
      <c r="AA30" s="812"/>
      <c r="AB30" s="812"/>
      <c r="AC30" s="812"/>
      <c r="AD30" s="812"/>
      <c r="AE30" s="812"/>
      <c r="AF30" s="812"/>
      <c r="AG30" s="812"/>
      <c r="AH30" s="812"/>
      <c r="AI30" s="812"/>
      <c r="AJ30" s="812"/>
      <c r="AK30" s="812"/>
      <c r="AL30" s="812"/>
      <c r="AM30" s="812"/>
      <c r="AN30" s="812"/>
      <c r="AO30" s="812"/>
      <c r="AP30" s="812"/>
      <c r="AQ30" s="812"/>
      <c r="AR30" s="812"/>
      <c r="AS30" s="812"/>
      <c r="AT30" s="812"/>
      <c r="AU30" s="812"/>
      <c r="AV30" s="812"/>
      <c r="AW30" s="812"/>
      <c r="AX30" s="812"/>
      <c r="AY30" s="812"/>
      <c r="AZ30" s="812"/>
      <c r="BA30" s="812"/>
      <c r="BB30" s="812"/>
      <c r="BC30" s="812"/>
      <c r="BD30" s="812"/>
      <c r="BE30" s="812"/>
      <c r="BF30" s="812"/>
      <c r="BG30" s="812"/>
      <c r="BH30" s="813"/>
      <c r="BI30" s="813"/>
      <c r="BJ30" s="813"/>
      <c r="BK30" s="813"/>
      <c r="BL30" s="813"/>
      <c r="BM30" s="813"/>
      <c r="BN30" s="813"/>
      <c r="BO30" s="813"/>
      <c r="BP30" s="813"/>
      <c r="BQ30" s="813"/>
      <c r="BR30" s="813"/>
      <c r="BS30" s="813"/>
      <c r="BT30" s="813"/>
      <c r="BU30" s="813"/>
      <c r="BV30" s="813"/>
      <c r="BW30" s="813"/>
      <c r="BX30" s="813"/>
      <c r="BY30" s="813"/>
      <c r="BZ30" s="813"/>
      <c r="CA30" s="813"/>
      <c r="CB30" s="813"/>
      <c r="CC30" s="813"/>
    </row>
    <row r="31" spans="1:81" s="855" customFormat="1" ht="18" customHeight="1" thickBot="1" x14ac:dyDescent="0.35">
      <c r="A31" s="900"/>
      <c r="B31" s="1100"/>
      <c r="C31" s="1100"/>
      <c r="D31" s="1101"/>
      <c r="E31" s="866">
        <v>2024</v>
      </c>
      <c r="F31" s="901" t="s">
        <v>852</v>
      </c>
      <c r="G31" s="902"/>
      <c r="H31" s="902"/>
      <c r="I31" s="903"/>
      <c r="J31" s="904"/>
      <c r="K31" s="827"/>
      <c r="L31" s="1000" t="s">
        <v>1935</v>
      </c>
      <c r="M31" s="1001" t="s">
        <v>1936</v>
      </c>
      <c r="N31" s="1002"/>
      <c r="P31" s="811"/>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2"/>
      <c r="AY31" s="812"/>
      <c r="AZ31" s="812"/>
      <c r="BA31" s="812"/>
      <c r="BB31" s="812"/>
      <c r="BC31" s="812"/>
      <c r="BD31" s="812"/>
      <c r="BE31" s="812"/>
      <c r="BF31" s="812"/>
      <c r="BG31" s="812"/>
      <c r="BH31" s="813"/>
      <c r="BI31" s="813"/>
      <c r="BJ31" s="813"/>
      <c r="BK31" s="813"/>
      <c r="BL31" s="813"/>
      <c r="BM31" s="813"/>
      <c r="BN31" s="813"/>
      <c r="BO31" s="813"/>
      <c r="BP31" s="813"/>
      <c r="BQ31" s="813"/>
      <c r="BR31" s="813"/>
      <c r="BS31" s="813"/>
      <c r="BT31" s="813"/>
      <c r="BU31" s="813"/>
      <c r="BV31" s="813"/>
      <c r="BW31" s="813"/>
      <c r="BX31" s="813"/>
      <c r="BY31" s="813"/>
      <c r="BZ31" s="813"/>
      <c r="CA31" s="813"/>
      <c r="CB31" s="813"/>
      <c r="CC31" s="813"/>
    </row>
    <row r="32" spans="1:81" s="855" customFormat="1" ht="114.6" customHeight="1" thickBot="1" x14ac:dyDescent="0.35">
      <c r="A32" s="830">
        <v>13</v>
      </c>
      <c r="B32" s="1091" t="s">
        <v>1481</v>
      </c>
      <c r="C32" s="1102"/>
      <c r="D32" s="1102"/>
      <c r="E32" s="905" t="str">
        <f>IFERROR((Import!L54-Import!L55)/Import!L55,"This question must be answered unless the unit does not levy ad valorem taxes. See cells F63 &amp; F64 on Unit Data from Audit")</f>
        <v>This question must be answered unless the unit does not levy ad valorem taxes. See cells F63 &amp; F64 on Unit Data from Audit</v>
      </c>
      <c r="F32" s="803" t="s">
        <v>581</v>
      </c>
      <c r="G32" s="906" t="str">
        <f>+E32</f>
        <v>This question must be answered unless the unit does not levy ad valorem taxes. See cells F63 &amp; F64 on Unit Data from Audit</v>
      </c>
      <c r="H32" s="841" t="s">
        <v>1425</v>
      </c>
      <c r="I32" s="890" t="s">
        <v>585</v>
      </c>
      <c r="J32" s="807"/>
      <c r="K32" s="827"/>
      <c r="L32" s="1000"/>
      <c r="M32" s="1003">
        <v>45473</v>
      </c>
      <c r="N32" s="1004">
        <v>45657</v>
      </c>
      <c r="O32" s="810"/>
      <c r="P32" s="811"/>
      <c r="Q32" s="812"/>
      <c r="R32" s="812"/>
      <c r="S32" s="812"/>
      <c r="T32" s="812"/>
      <c r="U32" s="812"/>
      <c r="V32" s="812"/>
      <c r="W32" s="812"/>
      <c r="X32" s="812"/>
      <c r="Y32" s="812"/>
      <c r="Z32" s="812"/>
      <c r="AA32" s="812"/>
      <c r="AB32" s="812"/>
      <c r="AC32" s="812"/>
      <c r="AD32" s="812"/>
      <c r="AE32" s="812"/>
      <c r="AF32" s="812"/>
      <c r="AG32" s="812"/>
      <c r="AH32" s="812"/>
      <c r="AI32" s="812"/>
      <c r="AJ32" s="812"/>
      <c r="AK32" s="812"/>
      <c r="AL32" s="812"/>
      <c r="AM32" s="812"/>
      <c r="AN32" s="812"/>
      <c r="AO32" s="812"/>
      <c r="AP32" s="812"/>
      <c r="AQ32" s="812"/>
      <c r="AR32" s="812"/>
      <c r="AS32" s="812"/>
      <c r="AT32" s="812"/>
      <c r="AU32" s="812"/>
      <c r="AV32" s="812"/>
      <c r="AW32" s="812"/>
      <c r="AX32" s="812"/>
      <c r="AY32" s="812"/>
      <c r="AZ32" s="812"/>
      <c r="BA32" s="812"/>
      <c r="BB32" s="812"/>
      <c r="BC32" s="812"/>
      <c r="BD32" s="812"/>
      <c r="BE32" s="812"/>
      <c r="BF32" s="812"/>
      <c r="BG32" s="812"/>
      <c r="BH32" s="813"/>
      <c r="BI32" s="813"/>
      <c r="BJ32" s="813"/>
      <c r="BK32" s="813"/>
      <c r="BL32" s="813"/>
      <c r="BM32" s="813"/>
      <c r="BN32" s="813"/>
      <c r="BO32" s="813"/>
      <c r="BP32" s="813"/>
      <c r="BQ32" s="813"/>
      <c r="BR32" s="813"/>
      <c r="BS32" s="813"/>
      <c r="BT32" s="813"/>
      <c r="BU32" s="813"/>
      <c r="BV32" s="813"/>
      <c r="BW32" s="813"/>
      <c r="BX32" s="813"/>
      <c r="BY32" s="813"/>
      <c r="BZ32" s="813"/>
      <c r="CA32" s="813"/>
      <c r="CB32" s="813"/>
      <c r="CC32" s="813"/>
    </row>
    <row r="33" spans="1:81" s="855" customFormat="1" ht="18" customHeight="1" thickBot="1" x14ac:dyDescent="0.35">
      <c r="A33" s="907"/>
      <c r="B33" s="1100"/>
      <c r="C33" s="1100"/>
      <c r="D33" s="1101"/>
      <c r="E33" s="866">
        <v>2024</v>
      </c>
      <c r="F33" s="901" t="s">
        <v>852</v>
      </c>
      <c r="G33" s="902"/>
      <c r="H33" s="902"/>
      <c r="I33" s="903"/>
      <c r="J33" s="904"/>
      <c r="K33" s="809"/>
      <c r="L33" s="1000"/>
      <c r="M33" s="1003">
        <v>45565</v>
      </c>
      <c r="N33" s="1004">
        <v>45747</v>
      </c>
      <c r="O33" s="810"/>
      <c r="P33" s="811"/>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2"/>
      <c r="AY33" s="812"/>
      <c r="AZ33" s="812"/>
      <c r="BA33" s="812"/>
      <c r="BB33" s="812"/>
      <c r="BC33" s="812"/>
      <c r="BD33" s="812"/>
      <c r="BE33" s="812"/>
      <c r="BF33" s="812"/>
      <c r="BG33" s="812"/>
      <c r="BH33" s="813"/>
      <c r="BI33" s="813"/>
      <c r="BJ33" s="813"/>
      <c r="BK33" s="813"/>
      <c r="BL33" s="813"/>
      <c r="BM33" s="813"/>
      <c r="BN33" s="813"/>
      <c r="BO33" s="813"/>
      <c r="BP33" s="813"/>
      <c r="BQ33" s="813"/>
      <c r="BR33" s="813"/>
      <c r="BS33" s="813"/>
      <c r="BT33" s="813"/>
      <c r="BU33" s="813"/>
      <c r="BV33" s="813"/>
      <c r="BW33" s="813"/>
      <c r="BX33" s="813"/>
      <c r="BY33" s="813"/>
      <c r="BZ33" s="813"/>
      <c r="CA33" s="813"/>
      <c r="CB33" s="813"/>
      <c r="CC33" s="813"/>
    </row>
    <row r="34" spans="1:81" s="855" customFormat="1" ht="97.5" customHeight="1" thickBot="1" x14ac:dyDescent="0.35">
      <c r="A34" s="830">
        <v>14</v>
      </c>
      <c r="B34" s="1111" t="s">
        <v>1081</v>
      </c>
      <c r="C34" s="1152"/>
      <c r="D34" s="1152"/>
      <c r="E34" s="908" t="str">
        <f>IF(Import!L210=20,"Increase",IF(Import!L210=21,"Decrease",IF(Import!L210=22,"No Change",IF(Import!L210=23,"N/A","This question must be answered. See cell F265 on Unit Data from Audit"))))</f>
        <v>This question must be answered. See cell F265 on Unit Data from Audit</v>
      </c>
      <c r="F34" s="803" t="s">
        <v>854</v>
      </c>
      <c r="G34" s="908" t="str">
        <f>E34</f>
        <v>This question must be answered. See cell F265 on Unit Data from Audit</v>
      </c>
      <c r="H34" s="841" t="s">
        <v>855</v>
      </c>
      <c r="I34" s="890" t="s">
        <v>586</v>
      </c>
      <c r="J34" s="807"/>
      <c r="K34" s="909"/>
      <c r="L34" s="1000"/>
      <c r="M34" s="1003">
        <v>45657</v>
      </c>
      <c r="N34" s="1004">
        <v>45838</v>
      </c>
      <c r="O34" s="810"/>
      <c r="P34" s="811"/>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2"/>
      <c r="AY34" s="812"/>
      <c r="AZ34" s="812"/>
      <c r="BA34" s="812"/>
      <c r="BB34" s="812"/>
      <c r="BC34" s="812"/>
      <c r="BD34" s="812"/>
      <c r="BE34" s="812"/>
      <c r="BF34" s="812"/>
      <c r="BG34" s="812"/>
      <c r="BH34" s="813"/>
      <c r="BI34" s="813"/>
      <c r="BJ34" s="813"/>
      <c r="BK34" s="813"/>
      <c r="BL34" s="813"/>
      <c r="BM34" s="813"/>
      <c r="BN34" s="813"/>
      <c r="BO34" s="813"/>
      <c r="BP34" s="813"/>
      <c r="BQ34" s="813"/>
      <c r="BR34" s="813"/>
      <c r="BS34" s="813"/>
      <c r="BT34" s="813"/>
      <c r="BU34" s="813"/>
      <c r="BV34" s="813"/>
      <c r="BW34" s="813"/>
      <c r="BX34" s="813"/>
      <c r="BY34" s="813"/>
      <c r="BZ34" s="813"/>
      <c r="CA34" s="813"/>
      <c r="CB34" s="813"/>
      <c r="CC34" s="813"/>
    </row>
    <row r="35" spans="1:81" s="855" customFormat="1" ht="18" customHeight="1" thickBot="1" x14ac:dyDescent="0.35">
      <c r="A35" s="907"/>
      <c r="B35" s="1100"/>
      <c r="C35" s="1100"/>
      <c r="D35" s="1101"/>
      <c r="E35" s="866">
        <v>2024</v>
      </c>
      <c r="F35" s="901" t="s">
        <v>852</v>
      </c>
      <c r="G35" s="902"/>
      <c r="H35" s="910"/>
      <c r="I35" s="903"/>
      <c r="J35" s="904"/>
      <c r="K35" s="911"/>
      <c r="L35" s="1005"/>
      <c r="M35" s="1006">
        <v>45747</v>
      </c>
      <c r="N35" s="1007">
        <v>45930</v>
      </c>
      <c r="O35" s="810"/>
      <c r="P35" s="811"/>
      <c r="Q35" s="812"/>
      <c r="R35" s="812"/>
      <c r="S35" s="812"/>
      <c r="T35" s="812"/>
      <c r="U35" s="812"/>
      <c r="V35" s="812"/>
      <c r="W35" s="812"/>
      <c r="X35" s="812"/>
      <c r="Y35" s="812"/>
      <c r="Z35" s="812"/>
      <c r="AA35" s="812"/>
      <c r="AB35" s="812"/>
      <c r="AC35" s="812"/>
      <c r="AD35" s="812"/>
      <c r="AE35" s="812"/>
      <c r="AF35" s="812"/>
      <c r="AG35" s="812"/>
      <c r="AH35" s="812"/>
      <c r="AI35" s="812"/>
      <c r="AJ35" s="812"/>
      <c r="AK35" s="812"/>
      <c r="AL35" s="812"/>
      <c r="AM35" s="812"/>
      <c r="AN35" s="812"/>
      <c r="AO35" s="812"/>
      <c r="AP35" s="812"/>
      <c r="AQ35" s="812"/>
      <c r="AR35" s="812"/>
      <c r="AS35" s="812"/>
      <c r="AT35" s="812"/>
      <c r="AU35" s="812"/>
      <c r="AV35" s="812"/>
      <c r="AW35" s="812"/>
      <c r="AX35" s="812"/>
      <c r="AY35" s="812"/>
      <c r="AZ35" s="812"/>
      <c r="BA35" s="812"/>
      <c r="BB35" s="812"/>
      <c r="BC35" s="812"/>
      <c r="BD35" s="812"/>
      <c r="BE35" s="812"/>
      <c r="BF35" s="812"/>
      <c r="BG35" s="812"/>
      <c r="BH35" s="813"/>
      <c r="BI35" s="813"/>
      <c r="BJ35" s="813"/>
      <c r="BK35" s="813"/>
      <c r="BL35" s="813"/>
      <c r="BM35" s="813"/>
      <c r="BN35" s="813"/>
      <c r="BO35" s="813"/>
      <c r="BP35" s="813"/>
      <c r="BQ35" s="813"/>
      <c r="BR35" s="813"/>
      <c r="BS35" s="813"/>
      <c r="BT35" s="813"/>
      <c r="BU35" s="813"/>
      <c r="BV35" s="813"/>
      <c r="BW35" s="813"/>
      <c r="BX35" s="813"/>
      <c r="BY35" s="813"/>
      <c r="BZ35" s="813"/>
      <c r="CA35" s="813"/>
      <c r="CB35" s="813"/>
      <c r="CC35" s="813"/>
    </row>
    <row r="36" spans="1:81" s="855" customFormat="1" ht="88.2" customHeight="1" thickBot="1" x14ac:dyDescent="0.35">
      <c r="A36" s="830">
        <v>15</v>
      </c>
      <c r="B36" s="1105" t="s">
        <v>1881</v>
      </c>
      <c r="C36" s="1106"/>
      <c r="D36" s="1107"/>
      <c r="E36" s="803" t="str">
        <f>IF(Import!L216=1,"Yes",IF(Import!L216=2,"No",IF(Import!L216=0,"This question must be answered.  See cell C15 on TD")))</f>
        <v>This question must be answered.  See cell C15 on TD</v>
      </c>
      <c r="F36" s="803" t="s">
        <v>587</v>
      </c>
      <c r="G36" s="803" t="str">
        <f>+E36</f>
        <v>This question must be answered.  See cell C15 on TD</v>
      </c>
      <c r="H36" s="912" t="s">
        <v>1082</v>
      </c>
      <c r="I36" s="890" t="s">
        <v>1461</v>
      </c>
      <c r="J36" s="807"/>
      <c r="K36" s="827"/>
      <c r="L36" s="810"/>
      <c r="M36" s="810"/>
      <c r="N36" s="993"/>
      <c r="O36" s="810"/>
      <c r="P36" s="811"/>
      <c r="Q36" s="812"/>
      <c r="R36" s="812"/>
      <c r="S36" s="812"/>
      <c r="T36" s="812"/>
      <c r="U36" s="812"/>
      <c r="V36" s="812"/>
      <c r="W36" s="812"/>
      <c r="X36" s="812"/>
      <c r="Y36" s="812"/>
      <c r="Z36" s="812"/>
      <c r="AA36" s="812"/>
      <c r="AB36" s="812"/>
      <c r="AC36" s="812"/>
      <c r="AD36" s="812"/>
      <c r="AE36" s="812"/>
      <c r="AF36" s="812"/>
      <c r="AG36" s="812"/>
      <c r="AH36" s="812"/>
      <c r="AI36" s="812"/>
      <c r="AJ36" s="812"/>
      <c r="AK36" s="812"/>
      <c r="AL36" s="812"/>
      <c r="AM36" s="812"/>
      <c r="AN36" s="812"/>
      <c r="AO36" s="812"/>
      <c r="AP36" s="812"/>
      <c r="AQ36" s="812"/>
      <c r="AR36" s="812"/>
      <c r="AS36" s="812"/>
      <c r="AT36" s="812"/>
      <c r="AU36" s="812"/>
      <c r="AV36" s="812"/>
      <c r="AW36" s="812"/>
      <c r="AX36" s="812"/>
      <c r="AY36" s="812"/>
      <c r="AZ36" s="812"/>
      <c r="BA36" s="812"/>
      <c r="BB36" s="812"/>
      <c r="BC36" s="812"/>
      <c r="BD36" s="812"/>
      <c r="BE36" s="812"/>
      <c r="BF36" s="812"/>
      <c r="BG36" s="812"/>
      <c r="BH36" s="813"/>
      <c r="BI36" s="813"/>
      <c r="BJ36" s="813"/>
      <c r="BK36" s="813"/>
      <c r="BL36" s="813"/>
      <c r="BM36" s="813"/>
      <c r="BN36" s="813"/>
      <c r="BO36" s="813"/>
      <c r="BP36" s="813"/>
      <c r="BQ36" s="813"/>
      <c r="BR36" s="813"/>
      <c r="BS36" s="813"/>
      <c r="BT36" s="813"/>
      <c r="BU36" s="813"/>
      <c r="BV36" s="813"/>
      <c r="BW36" s="813"/>
      <c r="BX36" s="813"/>
      <c r="BY36" s="813"/>
      <c r="BZ36" s="813"/>
      <c r="CA36" s="813"/>
      <c r="CB36" s="813"/>
      <c r="CC36" s="813"/>
    </row>
    <row r="37" spans="1:81" s="855" customFormat="1" ht="18" customHeight="1" thickBot="1" x14ac:dyDescent="0.35">
      <c r="A37" s="907"/>
      <c r="B37" s="1100"/>
      <c r="C37" s="1100"/>
      <c r="D37" s="1101"/>
      <c r="E37" s="866">
        <v>2024</v>
      </c>
      <c r="F37" s="901" t="s">
        <v>852</v>
      </c>
      <c r="G37" s="902"/>
      <c r="H37" s="910"/>
      <c r="I37" s="903"/>
      <c r="J37" s="904"/>
      <c r="K37" s="827"/>
      <c r="L37" s="810"/>
      <c r="M37" s="810"/>
      <c r="N37" s="810"/>
      <c r="O37" s="810"/>
      <c r="P37" s="811"/>
      <c r="Q37" s="812"/>
      <c r="R37" s="812"/>
      <c r="S37" s="812"/>
      <c r="T37" s="812"/>
      <c r="U37" s="812"/>
      <c r="V37" s="812"/>
      <c r="W37" s="812"/>
      <c r="X37" s="812"/>
      <c r="Y37" s="812"/>
      <c r="Z37" s="812"/>
      <c r="AA37" s="812"/>
      <c r="AB37" s="812"/>
      <c r="AC37" s="812"/>
      <c r="AD37" s="812"/>
      <c r="AE37" s="812"/>
      <c r="AF37" s="812"/>
      <c r="AG37" s="812"/>
      <c r="AH37" s="812"/>
      <c r="AI37" s="812"/>
      <c r="AJ37" s="812"/>
      <c r="AK37" s="812"/>
      <c r="AL37" s="812"/>
      <c r="AM37" s="812"/>
      <c r="AN37" s="812"/>
      <c r="AO37" s="812"/>
      <c r="AP37" s="812"/>
      <c r="AQ37" s="812"/>
      <c r="AR37" s="812"/>
      <c r="AS37" s="812"/>
      <c r="AT37" s="812"/>
      <c r="AU37" s="812"/>
      <c r="AV37" s="812"/>
      <c r="AW37" s="812"/>
      <c r="AX37" s="812"/>
      <c r="AY37" s="812"/>
      <c r="AZ37" s="812"/>
      <c r="BA37" s="812"/>
      <c r="BB37" s="812"/>
      <c r="BC37" s="812"/>
      <c r="BD37" s="812"/>
      <c r="BE37" s="812"/>
      <c r="BF37" s="812"/>
      <c r="BG37" s="812"/>
      <c r="BH37" s="813"/>
      <c r="BI37" s="813"/>
      <c r="BJ37" s="813"/>
      <c r="BK37" s="813"/>
      <c r="BL37" s="813"/>
      <c r="BM37" s="813"/>
      <c r="BN37" s="813"/>
      <c r="BO37" s="813"/>
      <c r="BP37" s="813"/>
      <c r="BQ37" s="813"/>
      <c r="BR37" s="813"/>
      <c r="BS37" s="813"/>
      <c r="BT37" s="813"/>
      <c r="BU37" s="813"/>
      <c r="BV37" s="813"/>
      <c r="BW37" s="813"/>
      <c r="BX37" s="813"/>
      <c r="BY37" s="813"/>
      <c r="BZ37" s="813"/>
      <c r="CA37" s="813"/>
      <c r="CB37" s="813"/>
      <c r="CC37" s="813"/>
    </row>
    <row r="38" spans="1:81" s="855" customFormat="1" ht="109.8" customHeight="1" thickBot="1" x14ac:dyDescent="0.35">
      <c r="A38" s="830">
        <v>16</v>
      </c>
      <c r="B38" s="1090" t="s">
        <v>1578</v>
      </c>
      <c r="C38" s="1090"/>
      <c r="D38" s="1091"/>
      <c r="E38" s="925" t="str">
        <f>IF(AND(Import!L214=2,Import!L215=2,Import!L217=2,AND(Import!L223&lt;=0,Import!L224&lt;=0)),"No","Yes")</f>
        <v>Yes</v>
      </c>
      <c r="F38" s="913"/>
      <c r="G38" s="875" t="str">
        <f>E38</f>
        <v>Yes</v>
      </c>
      <c r="H38" s="1047" t="s">
        <v>1864</v>
      </c>
      <c r="I38" s="849" t="s">
        <v>1473</v>
      </c>
      <c r="J38" s="807"/>
      <c r="K38" s="827"/>
      <c r="L38" s="810"/>
      <c r="M38" s="810"/>
      <c r="N38" s="810"/>
      <c r="O38" s="810"/>
      <c r="P38" s="811"/>
      <c r="Q38" s="812"/>
      <c r="R38" s="812"/>
      <c r="S38" s="812"/>
      <c r="T38" s="812"/>
      <c r="U38" s="812"/>
      <c r="V38" s="812"/>
      <c r="W38" s="812"/>
      <c r="X38" s="812"/>
      <c r="Y38" s="812"/>
      <c r="Z38" s="812"/>
      <c r="AA38" s="812"/>
      <c r="AB38" s="812"/>
      <c r="AC38" s="812"/>
      <c r="AD38" s="812"/>
      <c r="AE38" s="812"/>
      <c r="AF38" s="812"/>
      <c r="AG38" s="812"/>
      <c r="AH38" s="812"/>
      <c r="AI38" s="812"/>
      <c r="AJ38" s="812"/>
      <c r="AK38" s="812"/>
      <c r="AL38" s="812"/>
      <c r="AM38" s="812"/>
      <c r="AN38" s="812"/>
      <c r="AO38" s="812"/>
      <c r="AP38" s="812"/>
      <c r="AQ38" s="812"/>
      <c r="AR38" s="812"/>
      <c r="AS38" s="812"/>
      <c r="AT38" s="812"/>
      <c r="AU38" s="812"/>
      <c r="AV38" s="812"/>
      <c r="AW38" s="812"/>
      <c r="AX38" s="812"/>
      <c r="AY38" s="812"/>
      <c r="AZ38" s="812"/>
      <c r="BA38" s="812"/>
      <c r="BB38" s="812"/>
      <c r="BC38" s="812"/>
      <c r="BD38" s="812"/>
      <c r="BE38" s="812"/>
      <c r="BF38" s="812"/>
      <c r="BG38" s="812"/>
      <c r="BH38" s="813"/>
      <c r="BI38" s="813"/>
      <c r="BJ38" s="813"/>
      <c r="BK38" s="813"/>
      <c r="BL38" s="813"/>
      <c r="BM38" s="813"/>
      <c r="BN38" s="813"/>
      <c r="BO38" s="813"/>
      <c r="BP38" s="813"/>
      <c r="BQ38" s="813"/>
      <c r="BR38" s="813"/>
      <c r="BS38" s="813"/>
      <c r="BT38" s="813"/>
      <c r="BU38" s="813"/>
      <c r="BV38" s="813"/>
      <c r="BW38" s="813"/>
      <c r="BX38" s="813"/>
      <c r="BY38" s="813"/>
      <c r="BZ38" s="813"/>
      <c r="CA38" s="813"/>
      <c r="CB38" s="813"/>
      <c r="CC38" s="813"/>
    </row>
    <row r="39" spans="1:81" s="855" customFormat="1" ht="98.4" customHeight="1" thickBot="1" x14ac:dyDescent="0.35">
      <c r="A39" s="973">
        <v>17</v>
      </c>
      <c r="B39" s="1105" t="s">
        <v>1906</v>
      </c>
      <c r="C39" s="1106"/>
      <c r="D39" s="1107"/>
      <c r="E39" s="875" t="str">
        <f>IF(Import!L218=1,"Yes",IF(Import!L218=2,"No",IF(Import!L218=0,"This question must be answered.  See cell C17 on TD")))</f>
        <v>This question must be answered.  See cell C17 on TD</v>
      </c>
      <c r="F39" s="913"/>
      <c r="G39" s="875" t="str">
        <f>E39</f>
        <v>This question must be answered.  See cell C17 on TD</v>
      </c>
      <c r="H39" s="912" t="s">
        <v>1930</v>
      </c>
      <c r="I39" s="849" t="s">
        <v>1468</v>
      </c>
      <c r="J39" s="807"/>
      <c r="K39" s="827"/>
      <c r="L39" s="810"/>
      <c r="M39" s="810"/>
      <c r="N39" s="810"/>
      <c r="O39" s="810"/>
      <c r="P39" s="811"/>
      <c r="Q39" s="812"/>
      <c r="U39" s="812"/>
      <c r="V39" s="812"/>
      <c r="W39" s="812"/>
      <c r="X39" s="812"/>
      <c r="Y39" s="812"/>
      <c r="Z39" s="812"/>
      <c r="AA39" s="812"/>
      <c r="AB39" s="812"/>
      <c r="AC39" s="812"/>
      <c r="AD39" s="812"/>
      <c r="AE39" s="812"/>
      <c r="AF39" s="812"/>
      <c r="AG39" s="812"/>
      <c r="AH39" s="812"/>
      <c r="AI39" s="812"/>
      <c r="AJ39" s="812"/>
      <c r="AK39" s="812"/>
      <c r="AL39" s="812"/>
      <c r="AM39" s="812"/>
      <c r="AN39" s="812"/>
      <c r="AO39" s="812"/>
      <c r="AP39" s="812"/>
      <c r="AQ39" s="812"/>
      <c r="AR39" s="812"/>
      <c r="AS39" s="812"/>
      <c r="AT39" s="812"/>
      <c r="AU39" s="812"/>
      <c r="AV39" s="812"/>
      <c r="AW39" s="812"/>
      <c r="AX39" s="812"/>
      <c r="AY39" s="812"/>
      <c r="AZ39" s="812"/>
      <c r="BA39" s="812"/>
      <c r="BB39" s="812"/>
      <c r="BC39" s="812"/>
      <c r="BD39" s="812"/>
      <c r="BE39" s="812"/>
      <c r="BF39" s="812"/>
      <c r="BG39" s="812"/>
      <c r="BH39" s="813"/>
      <c r="BI39" s="813"/>
      <c r="BJ39" s="813"/>
      <c r="BK39" s="813"/>
      <c r="BL39" s="813"/>
      <c r="BM39" s="813"/>
      <c r="BN39" s="813"/>
      <c r="BO39" s="813"/>
      <c r="BP39" s="813"/>
      <c r="BQ39" s="813"/>
      <c r="BR39" s="813"/>
      <c r="BS39" s="813"/>
      <c r="BT39" s="813"/>
      <c r="BU39" s="813"/>
      <c r="BV39" s="813"/>
      <c r="BW39" s="813"/>
      <c r="BX39" s="813"/>
      <c r="BY39" s="813"/>
      <c r="BZ39" s="813"/>
      <c r="CA39" s="813"/>
      <c r="CB39" s="813"/>
      <c r="CC39" s="813"/>
    </row>
    <row r="40" spans="1:81" s="855" customFormat="1" ht="106.2" customHeight="1" thickBot="1" x14ac:dyDescent="0.35">
      <c r="A40" s="973">
        <v>18</v>
      </c>
      <c r="B40" s="1105" t="s">
        <v>1666</v>
      </c>
      <c r="C40" s="1106"/>
      <c r="D40" s="1107"/>
      <c r="E40" s="875" t="str">
        <f>IF(Import!L220=1,"Yes",IF(Import!L220=2,"No",IF(Import!L220=0,"This question must be answered.  See cell C19 on TD")))</f>
        <v>This question must be answered.  See cell C19 on TD</v>
      </c>
      <c r="F40" s="913"/>
      <c r="G40" s="875" t="str">
        <f>E40</f>
        <v>This question must be answered.  See cell C19 on TD</v>
      </c>
      <c r="H40" s="912" t="s">
        <v>1938</v>
      </c>
      <c r="I40" s="849" t="s">
        <v>1565</v>
      </c>
      <c r="J40" s="807"/>
      <c r="K40" s="827"/>
      <c r="L40" s="810"/>
      <c r="M40" s="810"/>
      <c r="N40" s="810"/>
      <c r="O40" s="810"/>
      <c r="P40" s="811"/>
      <c r="Q40" s="812"/>
      <c r="R40" s="812"/>
      <c r="S40" s="812"/>
      <c r="T40" s="812"/>
      <c r="U40" s="812"/>
      <c r="V40" s="812"/>
      <c r="W40" s="812"/>
      <c r="X40" s="812"/>
      <c r="Y40" s="812"/>
      <c r="Z40" s="812"/>
      <c r="AA40" s="812"/>
      <c r="AB40" s="812"/>
      <c r="AC40" s="812"/>
      <c r="AD40" s="812"/>
      <c r="AE40" s="812"/>
      <c r="AF40" s="812"/>
      <c r="AG40" s="812"/>
      <c r="AH40" s="812"/>
      <c r="AI40" s="812"/>
      <c r="AJ40" s="812"/>
      <c r="AK40" s="812"/>
      <c r="AL40" s="812"/>
      <c r="AM40" s="812"/>
      <c r="AN40" s="812"/>
      <c r="AO40" s="812"/>
      <c r="AP40" s="812"/>
      <c r="AQ40" s="812"/>
      <c r="AR40" s="812"/>
      <c r="AS40" s="812"/>
      <c r="AT40" s="812"/>
      <c r="AU40" s="812"/>
      <c r="AV40" s="812"/>
      <c r="AW40" s="812"/>
      <c r="AX40" s="812"/>
      <c r="AY40" s="812"/>
      <c r="AZ40" s="812"/>
      <c r="BA40" s="812"/>
      <c r="BB40" s="812"/>
      <c r="BC40" s="812"/>
      <c r="BD40" s="812"/>
      <c r="BE40" s="812"/>
      <c r="BF40" s="812"/>
      <c r="BG40" s="812"/>
      <c r="BH40" s="813"/>
      <c r="BI40" s="813"/>
      <c r="BJ40" s="813"/>
      <c r="BK40" s="813"/>
      <c r="BL40" s="813"/>
      <c r="BM40" s="813"/>
      <c r="BN40" s="813"/>
      <c r="BO40" s="813"/>
      <c r="BP40" s="813"/>
      <c r="BQ40" s="813"/>
      <c r="BR40" s="813"/>
      <c r="BS40" s="813"/>
      <c r="BT40" s="813"/>
      <c r="BU40" s="813"/>
      <c r="BV40" s="813"/>
      <c r="BW40" s="813"/>
      <c r="BX40" s="813"/>
      <c r="BY40" s="813"/>
      <c r="BZ40" s="813"/>
      <c r="CA40" s="813"/>
      <c r="CB40" s="813"/>
      <c r="CC40" s="813"/>
    </row>
    <row r="41" spans="1:81" s="855" customFormat="1" ht="18" customHeight="1" thickBot="1" x14ac:dyDescent="0.35">
      <c r="A41" s="907"/>
      <c r="B41" s="1108" t="s">
        <v>851</v>
      </c>
      <c r="C41" s="1108"/>
      <c r="D41" s="1109"/>
      <c r="E41" s="866">
        <v>2024</v>
      </c>
      <c r="F41" s="901" t="s">
        <v>852</v>
      </c>
      <c r="G41" s="915"/>
      <c r="H41" s="902"/>
      <c r="I41" s="916"/>
      <c r="J41" s="904"/>
      <c r="K41" s="827"/>
      <c r="L41" s="810"/>
      <c r="M41" s="810"/>
      <c r="N41" s="810"/>
      <c r="O41" s="810"/>
      <c r="P41" s="811"/>
      <c r="Q41" s="812"/>
      <c r="R41" s="812"/>
      <c r="S41" s="812"/>
      <c r="T41" s="812"/>
      <c r="U41" s="812"/>
      <c r="V41" s="812"/>
      <c r="W41" s="812"/>
      <c r="X41" s="812"/>
      <c r="Y41" s="812"/>
      <c r="Z41" s="812"/>
      <c r="AA41" s="812"/>
      <c r="AB41" s="812"/>
      <c r="AC41" s="812"/>
      <c r="AD41" s="812"/>
      <c r="AE41" s="812"/>
      <c r="AF41" s="812"/>
      <c r="AG41" s="812"/>
      <c r="AH41" s="812"/>
      <c r="AI41" s="812"/>
      <c r="AJ41" s="812"/>
      <c r="AK41" s="812"/>
      <c r="AL41" s="812"/>
      <c r="AM41" s="812"/>
      <c r="AN41" s="812"/>
      <c r="AO41" s="812"/>
      <c r="AP41" s="812"/>
      <c r="AQ41" s="812"/>
      <c r="AR41" s="812"/>
      <c r="AS41" s="812"/>
      <c r="AT41" s="812"/>
      <c r="AU41" s="812"/>
      <c r="AV41" s="812"/>
      <c r="AW41" s="812"/>
      <c r="AX41" s="812"/>
      <c r="AY41" s="812"/>
      <c r="AZ41" s="812"/>
      <c r="BA41" s="812"/>
      <c r="BB41" s="812"/>
      <c r="BC41" s="812"/>
      <c r="BD41" s="812"/>
      <c r="BE41" s="812"/>
      <c r="BF41" s="812"/>
      <c r="BG41" s="812"/>
      <c r="BH41" s="813"/>
      <c r="BI41" s="813"/>
      <c r="BJ41" s="813"/>
      <c r="BK41" s="813"/>
      <c r="BL41" s="813"/>
      <c r="BM41" s="813"/>
      <c r="BN41" s="813"/>
      <c r="BO41" s="813"/>
      <c r="BP41" s="813"/>
      <c r="BQ41" s="813"/>
      <c r="BR41" s="813"/>
      <c r="BS41" s="813"/>
      <c r="BT41" s="813"/>
      <c r="BU41" s="813"/>
      <c r="BV41" s="813"/>
      <c r="BW41" s="813"/>
      <c r="BX41" s="813"/>
      <c r="BY41" s="813"/>
      <c r="BZ41" s="813"/>
      <c r="CA41" s="813"/>
      <c r="CB41" s="813"/>
      <c r="CC41" s="813"/>
    </row>
    <row r="42" spans="1:81" s="855" customFormat="1" ht="82.8" customHeight="1" thickBot="1" x14ac:dyDescent="0.35">
      <c r="A42" s="973">
        <v>19</v>
      </c>
      <c r="B42" s="1110" t="s">
        <v>1080</v>
      </c>
      <c r="C42" s="1110"/>
      <c r="D42" s="1111"/>
      <c r="E42" s="875" t="str">
        <f>IF(Import!L227=1,"Yes",IF(Import!L227=2,"No",IF(Import!L227=3,"N/A",IF(Import!L227=0,"This question must be answered.  See cell C26 on TD"))))</f>
        <v>This question must be answered.  See cell C26 on TD</v>
      </c>
      <c r="F42" s="913"/>
      <c r="G42" s="875" t="str">
        <f>E42</f>
        <v>This question must be answered.  See cell C26 on TD</v>
      </c>
      <c r="H42" s="912" t="s">
        <v>1865</v>
      </c>
      <c r="I42" s="890" t="s">
        <v>649</v>
      </c>
      <c r="J42" s="807"/>
      <c r="K42" s="827"/>
      <c r="L42" s="810"/>
      <c r="M42" s="810"/>
      <c r="N42" s="810"/>
      <c r="O42" s="810"/>
      <c r="P42" s="811"/>
      <c r="Q42" s="812"/>
      <c r="R42" s="812"/>
      <c r="S42" s="812"/>
      <c r="T42" s="812"/>
      <c r="U42" s="812"/>
      <c r="V42" s="812"/>
      <c r="W42" s="812"/>
      <c r="X42" s="812"/>
      <c r="Y42" s="812"/>
      <c r="Z42" s="812"/>
      <c r="AA42" s="812"/>
      <c r="AB42" s="812"/>
      <c r="AC42" s="812"/>
      <c r="AD42" s="812"/>
      <c r="AE42" s="812"/>
      <c r="AF42" s="812"/>
      <c r="AG42" s="812"/>
      <c r="AH42" s="812"/>
      <c r="AI42" s="812"/>
      <c r="AJ42" s="812"/>
      <c r="AK42" s="812"/>
      <c r="AL42" s="812"/>
      <c r="AM42" s="812"/>
      <c r="AN42" s="812"/>
      <c r="AO42" s="812"/>
      <c r="AP42" s="812"/>
      <c r="AQ42" s="812"/>
      <c r="AR42" s="812"/>
      <c r="AS42" s="812"/>
      <c r="AT42" s="812"/>
      <c r="AU42" s="812"/>
      <c r="AV42" s="812"/>
      <c r="AW42" s="812"/>
      <c r="AX42" s="812"/>
      <c r="AY42" s="812"/>
      <c r="AZ42" s="812"/>
      <c r="BA42" s="812"/>
      <c r="BB42" s="812"/>
      <c r="BC42" s="812"/>
      <c r="BD42" s="812"/>
      <c r="BE42" s="812"/>
      <c r="BF42" s="812"/>
      <c r="BG42" s="812"/>
      <c r="BH42" s="813"/>
      <c r="BI42" s="813"/>
      <c r="BJ42" s="813"/>
      <c r="BK42" s="813"/>
      <c r="BL42" s="813"/>
      <c r="BM42" s="813"/>
      <c r="BN42" s="813"/>
      <c r="BO42" s="813"/>
      <c r="BP42" s="813"/>
      <c r="BQ42" s="813"/>
      <c r="BR42" s="813"/>
      <c r="BS42" s="813"/>
      <c r="BT42" s="813"/>
      <c r="BU42" s="813"/>
      <c r="BV42" s="813"/>
      <c r="BW42" s="813"/>
      <c r="BX42" s="813"/>
      <c r="BY42" s="813"/>
      <c r="BZ42" s="813"/>
      <c r="CA42" s="813"/>
      <c r="CB42" s="813"/>
      <c r="CC42" s="813"/>
    </row>
    <row r="43" spans="1:81" s="855" customFormat="1" ht="18" customHeight="1" thickBot="1" x14ac:dyDescent="0.35">
      <c r="A43" s="907"/>
      <c r="B43" s="1100"/>
      <c r="C43" s="1100"/>
      <c r="D43" s="1101"/>
      <c r="E43" s="866">
        <v>2024</v>
      </c>
      <c r="F43" s="893" t="s">
        <v>852</v>
      </c>
      <c r="G43" s="902"/>
      <c r="H43" s="910"/>
      <c r="I43" s="903"/>
      <c r="J43" s="904"/>
      <c r="K43" s="827"/>
      <c r="L43" s="810"/>
      <c r="M43" s="810"/>
      <c r="N43" s="810"/>
      <c r="O43" s="810"/>
      <c r="P43" s="811"/>
      <c r="Q43" s="812"/>
      <c r="R43" s="812"/>
      <c r="S43" s="812"/>
      <c r="T43" s="812"/>
      <c r="U43" s="812"/>
      <c r="V43" s="812"/>
      <c r="W43" s="812"/>
      <c r="X43" s="812"/>
      <c r="Y43" s="812"/>
      <c r="Z43" s="812"/>
      <c r="AA43" s="812"/>
      <c r="AB43" s="812"/>
      <c r="AC43" s="812"/>
      <c r="AD43" s="812"/>
      <c r="AE43" s="812"/>
      <c r="AF43" s="812"/>
      <c r="AG43" s="812"/>
      <c r="AH43" s="812"/>
      <c r="AI43" s="812"/>
      <c r="AJ43" s="812"/>
      <c r="AK43" s="812"/>
      <c r="AL43" s="812"/>
      <c r="AM43" s="812"/>
      <c r="AN43" s="812"/>
      <c r="AO43" s="812"/>
      <c r="AP43" s="812"/>
      <c r="AQ43" s="812"/>
      <c r="AR43" s="812"/>
      <c r="AS43" s="812"/>
      <c r="AT43" s="812"/>
      <c r="AU43" s="812"/>
      <c r="AV43" s="812"/>
      <c r="AW43" s="812"/>
      <c r="AX43" s="812"/>
      <c r="AY43" s="812"/>
      <c r="AZ43" s="812"/>
      <c r="BA43" s="812"/>
      <c r="BB43" s="812"/>
      <c r="BC43" s="812"/>
      <c r="BD43" s="812"/>
      <c r="BE43" s="812"/>
      <c r="BF43" s="812"/>
      <c r="BG43" s="812"/>
      <c r="BH43" s="813"/>
      <c r="BI43" s="813"/>
      <c r="BJ43" s="813"/>
      <c r="BK43" s="813"/>
      <c r="BL43" s="813"/>
      <c r="BM43" s="813"/>
      <c r="BN43" s="813"/>
      <c r="BO43" s="813"/>
      <c r="BP43" s="813"/>
      <c r="BQ43" s="813"/>
      <c r="BR43" s="813"/>
      <c r="BS43" s="813"/>
      <c r="BT43" s="813"/>
      <c r="BU43" s="813"/>
      <c r="BV43" s="813"/>
      <c r="BW43" s="813"/>
      <c r="BX43" s="813"/>
      <c r="BY43" s="813"/>
      <c r="BZ43" s="813"/>
      <c r="CA43" s="813"/>
      <c r="CB43" s="813"/>
      <c r="CC43" s="813"/>
    </row>
    <row r="44" spans="1:81" s="855" customFormat="1" ht="130.19999999999999" customHeight="1" thickBot="1" x14ac:dyDescent="0.35">
      <c r="A44" s="830">
        <v>20</v>
      </c>
      <c r="B44" s="1091" t="s">
        <v>1479</v>
      </c>
      <c r="C44" s="1102"/>
      <c r="D44" s="1102"/>
      <c r="E44" s="917" t="str">
        <f>IF('Electric trans'!F24="No, unit exceeds limit by:","Yes","No")</f>
        <v>No</v>
      </c>
      <c r="F44" s="913"/>
      <c r="G44" s="917" t="str">
        <f>+E44</f>
        <v>No</v>
      </c>
      <c r="H44" s="841" t="s">
        <v>1868</v>
      </c>
      <c r="I44" s="890" t="s">
        <v>1483</v>
      </c>
      <c r="J44" s="807"/>
      <c r="K44" s="827"/>
      <c r="L44" s="810"/>
      <c r="M44" s="810"/>
      <c r="N44" s="810"/>
      <c r="O44" s="810"/>
      <c r="P44" s="811"/>
      <c r="Q44" s="812"/>
      <c r="R44" s="812"/>
      <c r="S44" s="812"/>
      <c r="T44" s="812"/>
      <c r="U44" s="812"/>
      <c r="V44" s="812"/>
      <c r="W44" s="812"/>
      <c r="X44" s="812"/>
      <c r="Y44" s="812"/>
      <c r="Z44" s="812"/>
      <c r="AA44" s="812"/>
      <c r="AB44" s="812"/>
      <c r="AC44" s="812"/>
      <c r="AD44" s="812"/>
      <c r="AE44" s="812"/>
      <c r="AF44" s="812"/>
      <c r="AG44" s="812"/>
      <c r="AH44" s="812"/>
      <c r="AI44" s="812"/>
      <c r="AJ44" s="812"/>
      <c r="AK44" s="812"/>
      <c r="AL44" s="812"/>
      <c r="AM44" s="812"/>
      <c r="AN44" s="812"/>
      <c r="AO44" s="812"/>
      <c r="AP44" s="812"/>
      <c r="AQ44" s="812"/>
      <c r="AR44" s="812"/>
      <c r="AS44" s="812"/>
      <c r="AT44" s="812"/>
      <c r="AU44" s="812"/>
      <c r="AV44" s="812"/>
      <c r="AW44" s="812"/>
      <c r="AX44" s="812"/>
      <c r="AY44" s="812"/>
      <c r="AZ44" s="812"/>
      <c r="BA44" s="812"/>
      <c r="BB44" s="812"/>
      <c r="BC44" s="812"/>
      <c r="BD44" s="812"/>
      <c r="BE44" s="812"/>
      <c r="BF44" s="812"/>
      <c r="BG44" s="812"/>
      <c r="BH44" s="813"/>
      <c r="BI44" s="813"/>
      <c r="BJ44" s="813"/>
      <c r="BK44" s="813"/>
      <c r="BL44" s="813"/>
      <c r="BM44" s="813"/>
      <c r="BN44" s="813"/>
      <c r="BO44" s="813"/>
      <c r="BP44" s="813"/>
      <c r="BQ44" s="813"/>
      <c r="BR44" s="813"/>
      <c r="BS44" s="813"/>
      <c r="BT44" s="813"/>
      <c r="BU44" s="813"/>
      <c r="BV44" s="813"/>
      <c r="BW44" s="813"/>
      <c r="BX44" s="813"/>
      <c r="BY44" s="813"/>
      <c r="BZ44" s="813"/>
      <c r="CA44" s="813"/>
      <c r="CB44" s="813"/>
      <c r="CC44" s="813"/>
    </row>
    <row r="45" spans="1:81" s="855" customFormat="1" ht="18" customHeight="1" thickBot="1" x14ac:dyDescent="0.35">
      <c r="A45" s="907"/>
      <c r="B45" s="1103"/>
      <c r="C45" s="1103"/>
      <c r="D45" s="1104"/>
      <c r="E45" s="866">
        <v>2024</v>
      </c>
      <c r="F45" s="901" t="s">
        <v>852</v>
      </c>
      <c r="G45" s="915"/>
      <c r="H45" s="902"/>
      <c r="I45" s="903"/>
      <c r="J45" s="904"/>
      <c r="K45" s="827"/>
      <c r="L45" s="810"/>
      <c r="M45" s="810"/>
      <c r="N45" s="810"/>
      <c r="O45" s="810"/>
      <c r="P45" s="811"/>
      <c r="Q45" s="812"/>
      <c r="R45" s="812"/>
      <c r="S45" s="812"/>
      <c r="T45" s="812"/>
      <c r="U45" s="812"/>
      <c r="V45" s="812"/>
      <c r="W45" s="812"/>
      <c r="X45" s="812"/>
      <c r="Y45" s="812"/>
      <c r="Z45" s="812"/>
      <c r="AA45" s="812"/>
      <c r="AB45" s="812"/>
      <c r="AC45" s="812"/>
      <c r="AD45" s="812"/>
      <c r="AE45" s="812"/>
      <c r="AF45" s="812"/>
      <c r="AG45" s="812"/>
      <c r="AH45" s="812"/>
      <c r="AI45" s="812"/>
      <c r="AJ45" s="812"/>
      <c r="AK45" s="812"/>
      <c r="AL45" s="812"/>
      <c r="AM45" s="812"/>
      <c r="AN45" s="812"/>
      <c r="AO45" s="812"/>
      <c r="AP45" s="812"/>
      <c r="AQ45" s="812"/>
      <c r="AR45" s="812"/>
      <c r="AS45" s="812"/>
      <c r="AT45" s="812"/>
      <c r="AU45" s="812"/>
      <c r="AV45" s="812"/>
      <c r="AW45" s="812"/>
      <c r="AX45" s="812"/>
      <c r="AY45" s="812"/>
      <c r="AZ45" s="812"/>
      <c r="BA45" s="812"/>
      <c r="BB45" s="812"/>
      <c r="BC45" s="812"/>
      <c r="BD45" s="812"/>
      <c r="BE45" s="812"/>
      <c r="BF45" s="812"/>
      <c r="BG45" s="812"/>
      <c r="BH45" s="813"/>
      <c r="BI45" s="813"/>
      <c r="BJ45" s="813"/>
      <c r="BK45" s="813"/>
      <c r="BL45" s="813"/>
      <c r="BM45" s="813"/>
      <c r="BN45" s="813"/>
      <c r="BO45" s="813"/>
      <c r="BP45" s="813"/>
      <c r="BQ45" s="813"/>
      <c r="BR45" s="813"/>
      <c r="BS45" s="813"/>
      <c r="BT45" s="813"/>
      <c r="BU45" s="813"/>
      <c r="BV45" s="813"/>
      <c r="BW45" s="813"/>
      <c r="BX45" s="813"/>
      <c r="BY45" s="813"/>
      <c r="BZ45" s="813"/>
      <c r="CA45" s="813"/>
      <c r="CB45" s="813"/>
      <c r="CC45" s="813"/>
    </row>
    <row r="46" spans="1:81" s="855" customFormat="1" ht="99.75" customHeight="1" thickBot="1" x14ac:dyDescent="0.35">
      <c r="A46" s="830">
        <v>21</v>
      </c>
      <c r="B46" s="1098" t="s">
        <v>1939</v>
      </c>
      <c r="C46" s="1099"/>
      <c r="D46" s="1099"/>
      <c r="E46" s="926" t="str">
        <f>IF(Import!L225&gt;0,"Yes","No")</f>
        <v>No</v>
      </c>
      <c r="F46" s="913"/>
      <c r="G46" s="875" t="str">
        <f>E46</f>
        <v>No</v>
      </c>
      <c r="H46" s="986" t="s">
        <v>1866</v>
      </c>
      <c r="I46" s="890" t="s">
        <v>1484</v>
      </c>
      <c r="J46" s="807"/>
      <c r="K46" s="827"/>
      <c r="L46" s="810"/>
      <c r="M46" s="918"/>
      <c r="N46" s="810"/>
      <c r="O46" s="810"/>
      <c r="P46" s="811"/>
      <c r="Q46" s="812"/>
      <c r="R46" s="812"/>
      <c r="S46" s="812"/>
      <c r="T46" s="812"/>
      <c r="U46" s="812"/>
      <c r="V46" s="812"/>
      <c r="W46" s="812"/>
      <c r="X46" s="812"/>
      <c r="Y46" s="812"/>
      <c r="Z46" s="812"/>
      <c r="AA46" s="812"/>
      <c r="AB46" s="812"/>
      <c r="AC46" s="812"/>
      <c r="AD46" s="812"/>
      <c r="AE46" s="812"/>
      <c r="AF46" s="812"/>
      <c r="AG46" s="812"/>
      <c r="AH46" s="812"/>
      <c r="AI46" s="812"/>
      <c r="AJ46" s="812"/>
      <c r="AK46" s="812"/>
      <c r="AL46" s="812"/>
      <c r="AM46" s="812"/>
      <c r="AN46" s="812"/>
      <c r="AO46" s="812"/>
      <c r="AP46" s="812"/>
      <c r="AQ46" s="812"/>
      <c r="AR46" s="812"/>
      <c r="AS46" s="812"/>
      <c r="AT46" s="812"/>
      <c r="AU46" s="812"/>
      <c r="AV46" s="812"/>
      <c r="AW46" s="812"/>
      <c r="AX46" s="812"/>
      <c r="AY46" s="812"/>
      <c r="AZ46" s="812"/>
      <c r="BA46" s="812"/>
      <c r="BB46" s="812"/>
      <c r="BC46" s="812"/>
      <c r="BD46" s="812"/>
      <c r="BE46" s="812"/>
      <c r="BF46" s="812"/>
      <c r="BG46" s="812"/>
      <c r="BH46" s="813"/>
      <c r="BI46" s="813"/>
      <c r="BJ46" s="813"/>
      <c r="BK46" s="813"/>
      <c r="BL46" s="813"/>
      <c r="BM46" s="813"/>
      <c r="BN46" s="813"/>
      <c r="BO46" s="813"/>
      <c r="BP46" s="813"/>
      <c r="BQ46" s="813"/>
      <c r="BR46" s="813"/>
      <c r="BS46" s="813"/>
      <c r="BT46" s="813"/>
      <c r="BU46" s="813"/>
      <c r="BV46" s="813"/>
      <c r="BW46" s="813"/>
      <c r="BX46" s="813"/>
      <c r="BY46" s="813"/>
      <c r="BZ46" s="813"/>
      <c r="CA46" s="813"/>
      <c r="CB46" s="813"/>
      <c r="CC46" s="813"/>
    </row>
    <row r="47" spans="1:81" s="923" customFormat="1" x14ac:dyDescent="0.3">
      <c r="A47" s="919"/>
      <c r="B47" s="920"/>
      <c r="C47" s="920"/>
      <c r="D47" s="920"/>
      <c r="E47" s="920"/>
      <c r="F47" s="920"/>
      <c r="G47" s="920"/>
      <c r="H47" s="920"/>
      <c r="I47" s="921"/>
      <c r="J47" s="921"/>
      <c r="K47" s="922"/>
      <c r="L47" s="810"/>
      <c r="M47" s="810"/>
      <c r="N47" s="810"/>
      <c r="O47" s="810"/>
      <c r="P47" s="811"/>
      <c r="Q47" s="812"/>
      <c r="R47" s="812"/>
      <c r="S47" s="812"/>
      <c r="T47" s="812"/>
      <c r="U47" s="812"/>
      <c r="V47" s="812"/>
      <c r="W47" s="812"/>
      <c r="X47" s="812"/>
      <c r="Y47" s="812"/>
      <c r="Z47" s="812"/>
      <c r="AA47" s="812"/>
      <c r="AB47" s="812"/>
      <c r="AC47" s="812"/>
      <c r="AD47" s="812"/>
      <c r="AE47" s="812"/>
      <c r="AF47" s="812"/>
      <c r="AG47" s="812"/>
      <c r="AH47" s="812"/>
      <c r="AI47" s="812"/>
      <c r="AJ47" s="812"/>
      <c r="AK47" s="812"/>
      <c r="AL47" s="812"/>
      <c r="AM47" s="812"/>
      <c r="AN47" s="812"/>
      <c r="AO47" s="812"/>
      <c r="AP47" s="812"/>
      <c r="AQ47" s="812"/>
      <c r="AR47" s="812"/>
      <c r="AS47" s="812"/>
      <c r="AT47" s="812"/>
      <c r="AU47" s="812"/>
      <c r="AV47" s="812"/>
      <c r="AW47" s="812"/>
      <c r="AX47" s="812"/>
      <c r="AY47" s="812"/>
      <c r="AZ47" s="812"/>
      <c r="BA47" s="812"/>
      <c r="BB47" s="812"/>
      <c r="BC47" s="812"/>
      <c r="BD47" s="812"/>
      <c r="BE47" s="812"/>
      <c r="BF47" s="812"/>
      <c r="BG47" s="812"/>
      <c r="BH47" s="813"/>
      <c r="BI47" s="813"/>
      <c r="BJ47" s="813"/>
      <c r="BK47" s="813"/>
      <c r="BL47" s="813"/>
      <c r="BM47" s="813"/>
      <c r="BN47" s="813"/>
      <c r="BO47" s="813"/>
      <c r="BP47" s="813"/>
      <c r="BQ47" s="813"/>
      <c r="BR47" s="813"/>
      <c r="BS47" s="813"/>
      <c r="BT47" s="813"/>
      <c r="BU47" s="813"/>
      <c r="BV47" s="813"/>
      <c r="BW47" s="813"/>
      <c r="BX47" s="813"/>
      <c r="BY47" s="813"/>
      <c r="BZ47" s="813"/>
      <c r="CA47" s="813"/>
      <c r="CB47" s="813"/>
      <c r="CC47" s="813"/>
    </row>
  </sheetData>
  <sheetProtection algorithmName="SHA-512" hashValue="F5wtBJx+q8RNS6X5SfWfz2k0aazWXOnkKlKz9Sz7jzah2ZKx2/WggVhaWD0PiwUDf3208GvDK/HpGq3fHXhzIw==" saltValue="NQvh51/3Yx0vf79SutY8tg==" spinCount="100000" sheet="1" objects="1" scenarios="1"/>
  <mergeCells count="40">
    <mergeCell ref="B15:E15"/>
    <mergeCell ref="B14:E14"/>
    <mergeCell ref="B34:D34"/>
    <mergeCell ref="B33:D33"/>
    <mergeCell ref="B20:D20"/>
    <mergeCell ref="B24:E24"/>
    <mergeCell ref="B25:E25"/>
    <mergeCell ref="B29:D29"/>
    <mergeCell ref="B30:D30"/>
    <mergeCell ref="B8:G9"/>
    <mergeCell ref="B10:E10"/>
    <mergeCell ref="B12:E12"/>
    <mergeCell ref="I1:J1"/>
    <mergeCell ref="B1:H1"/>
    <mergeCell ref="B2:H2"/>
    <mergeCell ref="C4:E4"/>
    <mergeCell ref="F4:G5"/>
    <mergeCell ref="H4:H5"/>
    <mergeCell ref="C5:E5"/>
    <mergeCell ref="I2:I7"/>
    <mergeCell ref="J2:J7"/>
    <mergeCell ref="B6:H7"/>
    <mergeCell ref="J8:J9"/>
    <mergeCell ref="H8:H9"/>
    <mergeCell ref="B38:D38"/>
    <mergeCell ref="B11:E11"/>
    <mergeCell ref="B13:E13"/>
    <mergeCell ref="B46:D46"/>
    <mergeCell ref="B43:D43"/>
    <mergeCell ref="B44:D44"/>
    <mergeCell ref="B45:D45"/>
    <mergeCell ref="B39:D39"/>
    <mergeCell ref="B40:D40"/>
    <mergeCell ref="B41:D41"/>
    <mergeCell ref="B42:D42"/>
    <mergeCell ref="B37:D37"/>
    <mergeCell ref="B31:D31"/>
    <mergeCell ref="B32:D32"/>
    <mergeCell ref="B35:D35"/>
    <mergeCell ref="B36:D36"/>
  </mergeCells>
  <conditionalFormatting sqref="G16">
    <cfRule type="cellIs" dxfId="79" priority="72" operator="lessThan">
      <formula>1</formula>
    </cfRule>
  </conditionalFormatting>
  <conditionalFormatting sqref="G18">
    <cfRule type="cellIs" dxfId="78" priority="71" operator="lessThan">
      <formula>0</formula>
    </cfRule>
  </conditionalFormatting>
  <conditionalFormatting sqref="G19:G20">
    <cfRule type="cellIs" dxfId="77" priority="70" operator="lessThan">
      <formula>0.16</formula>
    </cfRule>
  </conditionalFormatting>
  <conditionalFormatting sqref="G25">
    <cfRule type="cellIs" dxfId="76" priority="69" operator="lessThan">
      <formula>1</formula>
    </cfRule>
  </conditionalFormatting>
  <conditionalFormatting sqref="G27">
    <cfRule type="cellIs" dxfId="75" priority="68" operator="lessThan">
      <formula>0</formula>
    </cfRule>
  </conditionalFormatting>
  <conditionalFormatting sqref="G28">
    <cfRule type="cellIs" dxfId="74" priority="67" operator="lessThan">
      <formula>0.16</formula>
    </cfRule>
  </conditionalFormatting>
  <conditionalFormatting sqref="G30">
    <cfRule type="cellIs" dxfId="73" priority="66" operator="equal">
      <formula>"Late"</formula>
    </cfRule>
  </conditionalFormatting>
  <conditionalFormatting sqref="G32">
    <cfRule type="cellIs" dxfId="72" priority="65" operator="lessThan">
      <formula>-0.03</formula>
    </cfRule>
  </conditionalFormatting>
  <conditionalFormatting sqref="G38">
    <cfRule type="cellIs" dxfId="71" priority="63" operator="equal">
      <formula>"Yes"</formula>
    </cfRule>
  </conditionalFormatting>
  <conditionalFormatting sqref="G42">
    <cfRule type="cellIs" dxfId="70" priority="62" operator="equal">
      <formula>"Yes"</formula>
    </cfRule>
  </conditionalFormatting>
  <conditionalFormatting sqref="G36">
    <cfRule type="cellIs" dxfId="69" priority="61" operator="equal">
      <formula>"Yes"</formula>
    </cfRule>
  </conditionalFormatting>
  <conditionalFormatting sqref="G45">
    <cfRule type="cellIs" dxfId="68" priority="60" operator="equal">
      <formula>"Yes"</formula>
    </cfRule>
  </conditionalFormatting>
  <conditionalFormatting sqref="G44">
    <cfRule type="cellIs" dxfId="67" priority="59" operator="equal">
      <formula>"Yes"</formula>
    </cfRule>
  </conditionalFormatting>
  <conditionalFormatting sqref="G34">
    <cfRule type="cellIs" dxfId="66" priority="56" operator="equal">
      <formula>"Decrease"</formula>
    </cfRule>
  </conditionalFormatting>
  <conditionalFormatting sqref="G20">
    <cfRule type="cellIs" dxfId="65" priority="4" operator="equal">
      <formula>$E$21="Yes"</formula>
    </cfRule>
    <cfRule type="expression" dxfId="64" priority="51">
      <formula>E20="Yes"</formula>
    </cfRule>
  </conditionalFormatting>
  <conditionalFormatting sqref="E36 G36">
    <cfRule type="containsText" dxfId="63" priority="50" operator="containsText" text="This question must be answered">
      <formula>NOT(ISERROR(SEARCH("This question must be answered",E36)))</formula>
    </cfRule>
  </conditionalFormatting>
  <conditionalFormatting sqref="E34 G34">
    <cfRule type="containsText" dxfId="62" priority="49" operator="containsText" text="This question must be answered">
      <formula>NOT(ISERROR(SEARCH("This question must be answered",E34)))</formula>
    </cfRule>
  </conditionalFormatting>
  <conditionalFormatting sqref="E32 G32">
    <cfRule type="containsText" dxfId="61" priority="48" operator="containsText" text="This question must be answered">
      <formula>NOT(ISERROR(SEARCH("This question must be answered",E32)))</formula>
    </cfRule>
  </conditionalFormatting>
  <conditionalFormatting sqref="E30 G30">
    <cfRule type="containsText" dxfId="60" priority="47" operator="containsText" text="This question must be answered">
      <formula>NOT(ISERROR(SEARCH("This question must be answered",E30)))</formula>
    </cfRule>
  </conditionalFormatting>
  <conditionalFormatting sqref="E42 G42">
    <cfRule type="containsText" dxfId="59" priority="45" operator="containsText" text="This question must be answered">
      <formula>NOT(ISERROR(SEARCH("This question must be answered",E42)))</formula>
    </cfRule>
  </conditionalFormatting>
  <conditionalFormatting sqref="G46">
    <cfRule type="cellIs" dxfId="58" priority="43" operator="equal">
      <formula>"Yes"</formula>
    </cfRule>
  </conditionalFormatting>
  <conditionalFormatting sqref="G46">
    <cfRule type="containsText" dxfId="57" priority="42" operator="containsText" text="This question must be answered">
      <formula>NOT(ISERROR(SEARCH("This question must be answered",G46)))</formula>
    </cfRule>
  </conditionalFormatting>
  <conditionalFormatting sqref="G13">
    <cfRule type="containsText" dxfId="56" priority="41" operator="containsText" text="Operations">
      <formula>NOT(ISERROR(SEARCH("Operations",G13)))</formula>
    </cfRule>
  </conditionalFormatting>
  <conditionalFormatting sqref="G14">
    <cfRule type="cellIs" dxfId="55" priority="40" operator="lessThan">
      <formula>0</formula>
    </cfRule>
  </conditionalFormatting>
  <conditionalFormatting sqref="E39:E40">
    <cfRule type="containsText" dxfId="54" priority="39" operator="containsText" text="This question must be answered">
      <formula>NOT(ISERROR(SEARCH("This question must be answered",E39)))</formula>
    </cfRule>
  </conditionalFormatting>
  <conditionalFormatting sqref="G39:G40">
    <cfRule type="containsText" dxfId="53" priority="37" operator="containsText" text="No">
      <formula>NOT(ISERROR(SEARCH("No",G39)))</formula>
    </cfRule>
    <cfRule type="containsText" dxfId="52" priority="38" operator="containsText" text="This question must be answered">
      <formula>NOT(ISERROR(SEARCH("This question must be answered",G39)))</formula>
    </cfRule>
  </conditionalFormatting>
  <conditionalFormatting sqref="G11">
    <cfRule type="expression" dxfId="51" priority="28">
      <formula>$O$11=1</formula>
    </cfRule>
  </conditionalFormatting>
  <conditionalFormatting sqref="I9">
    <cfRule type="expression" dxfId="50" priority="135">
      <formula>IF($L$9&lt;0.25,)</formula>
    </cfRule>
  </conditionalFormatting>
  <conditionalFormatting sqref="C18">
    <cfRule type="cellIs" dxfId="49" priority="24" operator="equal">
      <formula>"Prior year data not submitted as of workbook published date."</formula>
    </cfRule>
  </conditionalFormatting>
  <conditionalFormatting sqref="D18">
    <cfRule type="cellIs" dxfId="48" priority="23" operator="equal">
      <formula>"Prior year data not submitted as of workbook published date."</formula>
    </cfRule>
  </conditionalFormatting>
  <conditionalFormatting sqref="L19:L21">
    <cfRule type="cellIs" dxfId="47" priority="22" operator="equal">
      <formula>"Priod year data not submitted as of workbook published date."</formula>
    </cfRule>
  </conditionalFormatting>
  <conditionalFormatting sqref="D19:D28">
    <cfRule type="cellIs" dxfId="46" priority="18" operator="equal">
      <formula>"Prior year data not submitted as of workbook published date."</formula>
    </cfRule>
  </conditionalFormatting>
  <conditionalFormatting sqref="C19:C28">
    <cfRule type="cellIs" dxfId="45" priority="17" operator="equal">
      <formula>"Prior year data not submitted as of workbook published date."</formula>
    </cfRule>
  </conditionalFormatting>
  <conditionalFormatting sqref="C27">
    <cfRule type="cellIs" dxfId="44" priority="16" operator="equal">
      <formula>"Prior year data not submitted as of workbook published date."</formula>
    </cfRule>
  </conditionalFormatting>
  <conditionalFormatting sqref="D27">
    <cfRule type="cellIs" dxfId="43" priority="15" operator="equal">
      <formula>"Prior year data not submitted as of workbook published date."</formula>
    </cfRule>
  </conditionalFormatting>
  <conditionalFormatting sqref="D28">
    <cfRule type="cellIs" dxfId="42" priority="11" operator="equal">
      <formula>"Prior year data not submitted as of  workbook published date."</formula>
    </cfRule>
  </conditionalFormatting>
  <conditionalFormatting sqref="C28">
    <cfRule type="cellIs" dxfId="41" priority="9" operator="equal">
      <formula>"Prior year data not submitted as of workbook published date."</formula>
    </cfRule>
  </conditionalFormatting>
  <conditionalFormatting sqref="F21">
    <cfRule type="expression" dxfId="40" priority="8">
      <formula>D21="Yes"</formula>
    </cfRule>
  </conditionalFormatting>
  <conditionalFormatting sqref="D21">
    <cfRule type="cellIs" dxfId="39" priority="7" operator="equal">
      <formula>"Prior year data not submitted as of workbook published date."</formula>
    </cfRule>
  </conditionalFormatting>
  <conditionalFormatting sqref="C21">
    <cfRule type="cellIs" dxfId="38" priority="6" operator="equal">
      <formula>"Prior year data not submitted as of workbook published date."</formula>
    </cfRule>
  </conditionalFormatting>
  <conditionalFormatting sqref="G21">
    <cfRule type="cellIs" dxfId="37" priority="2" operator="lessThan">
      <formula>0.5</formula>
    </cfRule>
  </conditionalFormatting>
  <conditionalFormatting sqref="M19">
    <cfRule type="cellIs" dxfId="36" priority="1" operator="equal">
      <formula>"Priod year data not submitted as of workbook published date."</formula>
    </cfRule>
  </conditionalFormatting>
  <pageMargins left="0.25" right="0.25" top="0.05" bottom="0.25" header="0.3" footer="0.25"/>
  <pageSetup scale="57" fitToHeight="0" orientation="landscape" r:id="rId1"/>
  <headerFooter>
    <oddFooter>&amp;C&amp;12&amp;P</oddFooter>
  </headerFooter>
  <rowBreaks count="5" manualBreakCount="5">
    <brk id="11" max="7" man="1"/>
    <brk id="14" max="7" man="1"/>
    <brk id="23" max="7" man="1"/>
    <brk id="28" max="7" man="1"/>
    <brk id="40" max="7" man="1"/>
  </rowBreaks>
  <drawing r:id="rId2"/>
  <legacyDrawing r:id="rId3"/>
  <oleObjects>
    <mc:AlternateContent xmlns:mc="http://schemas.openxmlformats.org/markup-compatibility/2006">
      <mc:Choice Requires="x14">
        <oleObject progId="Excel.Sheet.12" shapeId="48129" r:id="rId4">
          <objectPr defaultSize="0" autoPict="0" r:id="rId5">
            <anchor moveWithCells="1">
              <from>
                <xdr:col>1</xdr:col>
                <xdr:colOff>251460</xdr:colOff>
                <xdr:row>7</xdr:row>
                <xdr:rowOff>83820</xdr:rowOff>
              </from>
              <to>
                <xdr:col>6</xdr:col>
                <xdr:colOff>1066800</xdr:colOff>
                <xdr:row>8</xdr:row>
                <xdr:rowOff>1531620</xdr:rowOff>
              </to>
            </anchor>
          </objectPr>
        </oleObject>
      </mc:Choice>
      <mc:Fallback>
        <oleObject progId="Excel.Sheet.12" shapeId="4812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714"/>
  <sheetViews>
    <sheetView zoomScale="93" zoomScaleNormal="93" workbookViewId="0">
      <pane xSplit="3" ySplit="3" topLeftCell="D4" activePane="bottomRight" state="frozen"/>
      <selection activeCell="K179" sqref="K179"/>
      <selection pane="topRight" activeCell="K179" sqref="K179"/>
      <selection pane="bottomLeft" activeCell="K179" sqref="K179"/>
      <selection pane="bottomRight" activeCell="D5" sqref="D5"/>
    </sheetView>
  </sheetViews>
  <sheetFormatPr defaultColWidth="9.109375" defaultRowHeight="14.4" x14ac:dyDescent="0.3"/>
  <cols>
    <col min="1" max="1" width="8.88671875" style="3" customWidth="1"/>
    <col min="2" max="2" width="17.5546875" style="46" bestFit="1" customWidth="1"/>
    <col min="3" max="3" width="42.5546875" style="362" customWidth="1"/>
    <col min="4" max="4" width="20.88671875" style="3" bestFit="1" customWidth="1"/>
    <col min="5" max="5" width="17.5546875" style="3" customWidth="1"/>
    <col min="6" max="6" width="22.6640625" style="3" customWidth="1"/>
    <col min="7" max="7" width="17.44140625" style="275" customWidth="1"/>
    <col min="8" max="8" width="9.6640625" style="3" customWidth="1"/>
    <col min="9" max="9" width="1" style="307" customWidth="1"/>
    <col min="10" max="10" width="18.109375" style="5" customWidth="1"/>
    <col min="11" max="11" width="36.88671875" style="9" customWidth="1"/>
    <col min="12" max="12" width="26.33203125" style="369" customWidth="1"/>
    <col min="13" max="13" width="8.44140625" customWidth="1"/>
    <col min="14" max="14" width="18.109375" style="3" customWidth="1"/>
    <col min="15" max="15" width="17.88671875" style="3" customWidth="1"/>
    <col min="16" max="16" width="9.109375" style="187" customWidth="1"/>
    <col min="17" max="17" width="10.33203125" style="277" customWidth="1"/>
    <col min="18" max="18" width="7.109375" style="3" customWidth="1"/>
    <col min="19" max="19" width="6" style="3" customWidth="1"/>
    <col min="20" max="20" width="6.6640625" style="3" customWidth="1"/>
    <col min="21" max="21" width="7.5546875" style="3" customWidth="1"/>
    <col min="22" max="22" width="3.44140625" style="3" customWidth="1"/>
    <col min="23" max="23" width="7.33203125" style="3" customWidth="1"/>
    <col min="24" max="24" width="10.5546875" style="3" customWidth="1"/>
    <col min="25" max="25" width="9.88671875" style="3" customWidth="1"/>
    <col min="26" max="26" width="9.109375" style="3" customWidth="1"/>
    <col min="27" max="16384" width="9.109375" style="3"/>
  </cols>
  <sheetData>
    <row r="1" spans="1:28" ht="36" x14ac:dyDescent="0.3">
      <c r="C1" s="43" t="s">
        <v>412</v>
      </c>
      <c r="D1" s="13">
        <f>L51-(L38+L39-L43-L44-L199)-L47</f>
        <v>0</v>
      </c>
      <c r="I1" s="276"/>
      <c r="J1" s="42"/>
      <c r="K1" s="14" t="s">
        <v>46</v>
      </c>
      <c r="L1" s="56"/>
      <c r="S1" s="3">
        <v>100</v>
      </c>
      <c r="T1" s="3">
        <v>1</v>
      </c>
    </row>
    <row r="2" spans="1:28" ht="44.4" x14ac:dyDescent="0.4">
      <c r="C2" s="67" t="str">
        <f>'Unit Data from Audit Worksheet'!D2</f>
        <v>Select Unit Name from Drop Down List</v>
      </c>
      <c r="D2" s="135">
        <v>2024</v>
      </c>
      <c r="E2" s="135">
        <v>2024</v>
      </c>
      <c r="F2" s="12"/>
      <c r="G2" s="63"/>
      <c r="H2" s="12"/>
      <c r="I2" s="276"/>
      <c r="J2" s="37" t="s">
        <v>42</v>
      </c>
      <c r="K2" s="8" t="s">
        <v>41</v>
      </c>
      <c r="L2" s="61" t="s">
        <v>30</v>
      </c>
      <c r="S2" s="3">
        <v>200</v>
      </c>
      <c r="T2" s="3">
        <v>2</v>
      </c>
      <c r="X2" s="309" t="s">
        <v>876</v>
      </c>
      <c r="Y2" s="309" t="s">
        <v>875</v>
      </c>
    </row>
    <row r="3" spans="1:28" ht="31.2" x14ac:dyDescent="0.3">
      <c r="A3" s="278" t="s">
        <v>42</v>
      </c>
      <c r="B3" s="279"/>
      <c r="C3" s="40" t="s">
        <v>1</v>
      </c>
      <c r="D3" s="15" t="s">
        <v>43</v>
      </c>
      <c r="E3" s="15" t="s">
        <v>44</v>
      </c>
      <c r="F3" s="16" t="s">
        <v>48</v>
      </c>
      <c r="G3" s="68" t="s">
        <v>310</v>
      </c>
      <c r="H3" s="16" t="s">
        <v>345</v>
      </c>
      <c r="I3" s="276"/>
      <c r="J3" s="280"/>
      <c r="K3" s="136"/>
      <c r="L3" s="281"/>
      <c r="O3" s="3" t="s">
        <v>281</v>
      </c>
      <c r="Q3" s="79" t="s">
        <v>311</v>
      </c>
      <c r="S3" s="3">
        <v>300</v>
      </c>
      <c r="T3" s="3">
        <v>3</v>
      </c>
      <c r="Y3" s="3" t="s">
        <v>650</v>
      </c>
    </row>
    <row r="4" spans="1:28" ht="25.95" customHeight="1" x14ac:dyDescent="0.35">
      <c r="A4" s="282"/>
      <c r="B4" s="283"/>
      <c r="C4" s="44"/>
      <c r="D4" s="7"/>
      <c r="E4" s="7"/>
      <c r="F4" s="7"/>
      <c r="G4" s="64"/>
      <c r="H4" s="7"/>
      <c r="I4" s="276"/>
      <c r="J4" s="39">
        <v>999</v>
      </c>
      <c r="K4" s="11" t="s">
        <v>278</v>
      </c>
      <c r="L4" s="715" t="e">
        <f>'Unit Data from Audit Worksheet'!D3</f>
        <v>#N/A</v>
      </c>
      <c r="S4" s="3">
        <v>400</v>
      </c>
      <c r="T4" s="3">
        <v>4</v>
      </c>
      <c r="X4" s="284"/>
      <c r="Y4" s="284"/>
    </row>
    <row r="5" spans="1:28" ht="57" customHeight="1" x14ac:dyDescent="0.3">
      <c r="A5" s="285">
        <f>'Unit Data from Audit Worksheet'!A9</f>
        <v>333</v>
      </c>
      <c r="B5" s="48" t="str">
        <f>'Unit Data from Audit Worksheet'!C9</f>
        <v>Net Position-Governmental Activities</v>
      </c>
      <c r="C5" s="286" t="str">
        <f>'Unit Data from Audit Worksheet'!D9</f>
        <v xml:space="preserve"> All unrestricted Cash and investments.  
Exclude: restricted cash 
                   cash held by a third party. </v>
      </c>
      <c r="D5" s="134"/>
      <c r="E5" s="142">
        <f>'Unit Data from Audit Worksheet'!F9</f>
        <v>0</v>
      </c>
      <c r="F5" s="222">
        <f>IF(L5&lt;0,"Error: Number is normally positive.",)</f>
        <v>0</v>
      </c>
      <c r="G5" s="65"/>
      <c r="H5" s="221"/>
      <c r="I5" s="32"/>
      <c r="J5" s="36">
        <v>333</v>
      </c>
      <c r="K5" s="45" t="s">
        <v>176</v>
      </c>
      <c r="L5" s="287">
        <f>IF(D5="",E5,D5)</f>
        <v>0</v>
      </c>
      <c r="P5" s="193"/>
      <c r="X5" s="549">
        <v>333</v>
      </c>
      <c r="Y5" s="284">
        <v>333</v>
      </c>
      <c r="AA5" s="3">
        <f>A5-J5</f>
        <v>0</v>
      </c>
      <c r="AB5" s="284">
        <f>E5-L5</f>
        <v>0</v>
      </c>
    </row>
    <row r="6" spans="1:28" ht="39.75" customHeight="1" x14ac:dyDescent="0.3">
      <c r="A6" s="210">
        <f>'Unit Data from Audit Worksheet'!A10</f>
        <v>500</v>
      </c>
      <c r="B6" s="223" t="str">
        <f>'Unit Data from Audit Worksheet'!C10</f>
        <v>Net Position-Governmental Activities</v>
      </c>
      <c r="C6" s="209" t="str">
        <f>'Unit Data from Audit Worksheet'!D10</f>
        <v xml:space="preserve"> All restricted Cash and investments</v>
      </c>
      <c r="D6" s="134"/>
      <c r="E6" s="229">
        <f>'Unit Data from Audit Worksheet'!F10</f>
        <v>0</v>
      </c>
      <c r="F6" s="222">
        <f>IF(L6&lt;0,"Error: Number is normally positive.",)</f>
        <v>0</v>
      </c>
      <c r="G6" s="224"/>
      <c r="H6" s="221"/>
      <c r="I6" s="32"/>
      <c r="J6" s="220">
        <v>500</v>
      </c>
      <c r="K6" s="219" t="s">
        <v>175</v>
      </c>
      <c r="L6" s="287">
        <f>IF(D6="",E6,D6)</f>
        <v>0</v>
      </c>
      <c r="P6" s="194"/>
      <c r="X6" s="549">
        <v>500</v>
      </c>
      <c r="Y6" s="284">
        <v>500</v>
      </c>
      <c r="AA6" s="384">
        <f t="shared" ref="AA6:AA71" si="0">A6-J6</f>
        <v>0</v>
      </c>
      <c r="AB6" s="284">
        <f t="shared" ref="AB6:AB71" si="1">E6-L6</f>
        <v>0</v>
      </c>
    </row>
    <row r="7" spans="1:28" ht="43.5" customHeight="1" x14ac:dyDescent="0.3">
      <c r="A7" s="210">
        <f>'Unit Data from Audit Worksheet'!A11</f>
        <v>385</v>
      </c>
      <c r="B7" s="223" t="str">
        <f>'Unit Data from Audit Worksheet'!C11</f>
        <v>Net Position-Governmental Activities</v>
      </c>
      <c r="C7" s="209" t="str">
        <f>'Unit Data from Audit Worksheet'!D11</f>
        <v>Total Assets and deferred outflows</v>
      </c>
      <c r="D7" s="134"/>
      <c r="E7" s="229">
        <f>'Unit Data from Audit Worksheet'!F11</f>
        <v>0</v>
      </c>
      <c r="F7" s="126">
        <f>IF((L5+L6)&gt;L7,"Error: Please review accts (333 + 500) &gt; 385",)</f>
        <v>0</v>
      </c>
      <c r="G7" s="224" t="str">
        <f>IF(Q7=1," Included in error count"," ")</f>
        <v xml:space="preserve"> </v>
      </c>
      <c r="H7" s="221"/>
      <c r="I7" s="32"/>
      <c r="J7" s="69">
        <v>385</v>
      </c>
      <c r="K7" s="70" t="s">
        <v>107</v>
      </c>
      <c r="L7" s="288">
        <f>IF(D7="",E7,D7)+IF(D9="",E9,D9)</f>
        <v>0</v>
      </c>
      <c r="N7" s="71" t="s">
        <v>297</v>
      </c>
      <c r="P7" s="194"/>
      <c r="X7" s="549">
        <v>385</v>
      </c>
      <c r="Y7" s="284">
        <v>385</v>
      </c>
      <c r="AA7" s="384">
        <f t="shared" si="0"/>
        <v>0</v>
      </c>
      <c r="AB7" s="284">
        <f t="shared" si="1"/>
        <v>0</v>
      </c>
    </row>
    <row r="8" spans="1:28" ht="90.75" customHeight="1" x14ac:dyDescent="0.3">
      <c r="A8" s="210">
        <f>'Unit Data from Audit Worksheet'!A12</f>
        <v>575</v>
      </c>
      <c r="B8" s="223" t="str">
        <f>'Unit Data from Audit Worksheet'!C12</f>
        <v>Net Position-Governmental Activities</v>
      </c>
      <c r="C8" s="209" t="str">
        <f>'Unit Data from Audit Worksheet'!D12</f>
        <v>Record any positive Internal balances on the net position statements that appear in the Asset Section of the Net Position Statement</v>
      </c>
      <c r="D8" s="134"/>
      <c r="E8" s="229">
        <f>'Unit Data from Audit Worksheet'!F12</f>
        <v>0</v>
      </c>
      <c r="F8" s="222">
        <f>IF(L8&lt;0,"Error: Number is normally positive.",)</f>
        <v>0</v>
      </c>
      <c r="G8" s="224"/>
      <c r="H8" s="221"/>
      <c r="I8" s="32"/>
      <c r="J8" s="220">
        <v>575</v>
      </c>
      <c r="K8" s="226" t="s">
        <v>300</v>
      </c>
      <c r="L8" s="287">
        <f>IF(D8="",E8,D8)</f>
        <v>0</v>
      </c>
      <c r="N8" s="57"/>
      <c r="P8" s="194"/>
      <c r="X8" s="549">
        <v>575</v>
      </c>
      <c r="Y8" s="284">
        <v>575</v>
      </c>
      <c r="AA8" s="384">
        <f t="shared" si="0"/>
        <v>0</v>
      </c>
      <c r="AB8" s="284">
        <f t="shared" si="1"/>
        <v>0</v>
      </c>
    </row>
    <row r="9" spans="1:28" ht="103.5" customHeight="1" x14ac:dyDescent="0.3">
      <c r="A9" s="210">
        <f>'Unit Data from Audit Worksheet'!A13</f>
        <v>576</v>
      </c>
      <c r="B9" s="223" t="str">
        <f>'Unit Data from Audit Worksheet'!C13</f>
        <v>Net Position-Governmental Activities</v>
      </c>
      <c r="C9" s="289" t="str">
        <f>'Unit Data from Audit Worksheet'!D13</f>
        <v>Record any negative Internal balances on the net position statements that appear in the Asset Section of the Net Position Statement.
Enter as a positive</v>
      </c>
      <c r="D9" s="102"/>
      <c r="E9" s="145">
        <f>'Unit Data from Audit Worksheet'!F13</f>
        <v>0</v>
      </c>
      <c r="F9" s="218">
        <f>IF(E9&lt;0,"Error: Enter as positive.",)</f>
        <v>0</v>
      </c>
      <c r="G9" s="104"/>
      <c r="H9" s="105"/>
      <c r="I9" s="32"/>
      <c r="J9" s="97">
        <v>576</v>
      </c>
      <c r="K9" s="226" t="s">
        <v>301</v>
      </c>
      <c r="L9" s="287">
        <f>IF(D9="",E9,D9)</f>
        <v>0</v>
      </c>
      <c r="N9" s="57"/>
      <c r="P9" s="195"/>
      <c r="X9" s="549">
        <v>576</v>
      </c>
      <c r="Y9" s="284">
        <v>576</v>
      </c>
      <c r="AA9" s="384">
        <f t="shared" si="0"/>
        <v>0</v>
      </c>
      <c r="AB9" s="284">
        <f t="shared" si="1"/>
        <v>0</v>
      </c>
    </row>
    <row r="10" spans="1:28" s="18" customFormat="1" ht="100.5" customHeight="1" x14ac:dyDescent="0.3">
      <c r="A10" s="210">
        <f>'Unit Data from Audit Worksheet'!A14</f>
        <v>626</v>
      </c>
      <c r="B10" s="215" t="str">
        <f>'Unit Data from Audit Worksheet'!C14</f>
        <v>Net Position-Governmental Activities</v>
      </c>
      <c r="C10" s="214" t="str">
        <f>'Unit Data from Audit Worksheet'!D14</f>
        <v xml:space="preserve">Total Current liabilities (as reported on Statement of Net Position)
Include:   Current liabilities including current portion of long-term debt.  Deferred inflows should not be included in Current Liabilities  </v>
      </c>
      <c r="D10" s="102"/>
      <c r="E10" s="659">
        <f>'Unit Data from Audit Worksheet'!F14</f>
        <v>0</v>
      </c>
      <c r="F10"/>
      <c r="G10"/>
      <c r="H10"/>
      <c r="I10" s="32"/>
      <c r="J10" s="638">
        <v>626</v>
      </c>
      <c r="K10" s="639" t="s">
        <v>370</v>
      </c>
      <c r="L10" s="640">
        <f>IF(D10="",E10,D10)+IF(D9="",E9,D9)</f>
        <v>0</v>
      </c>
      <c r="M10"/>
      <c r="N10" s="167" t="s">
        <v>297</v>
      </c>
      <c r="O10" s="290"/>
      <c r="P10" s="196"/>
      <c r="Q10" s="291"/>
      <c r="R10" s="3"/>
      <c r="X10" s="549">
        <v>626</v>
      </c>
      <c r="Y10" s="292">
        <v>626</v>
      </c>
      <c r="AA10" s="384">
        <f t="shared" si="0"/>
        <v>0</v>
      </c>
      <c r="AB10" s="284">
        <f t="shared" si="1"/>
        <v>0</v>
      </c>
    </row>
    <row r="11" spans="1:28" s="18" customFormat="1" ht="86.25" customHeight="1" x14ac:dyDescent="0.3">
      <c r="A11" s="210">
        <f>'Unit Data from Audit Worksheet'!A15</f>
        <v>627</v>
      </c>
      <c r="B11" s="215" t="str">
        <f>'Unit Data from Audit Worksheet'!C15</f>
        <v>Net Position-Governmental Activities</v>
      </c>
      <c r="C11" s="214" t="str">
        <f>'Unit Data from Audit Worksheet'!D15</f>
        <v>Please enter any bond anticipation notes that are classified as current liabilities and included in account 626 above (amounts entered should agree to the current amount included in the changes to long-term debt note)</v>
      </c>
      <c r="D11" s="102"/>
      <c r="E11" s="232">
        <f>'Unit Data from Audit Worksheet'!F15</f>
        <v>0</v>
      </c>
      <c r="F11" s="658"/>
      <c r="G11" s="657"/>
      <c r="H11" s="658"/>
      <c r="I11" s="32"/>
      <c r="J11" s="216">
        <v>627</v>
      </c>
      <c r="K11" s="191" t="s">
        <v>362</v>
      </c>
      <c r="L11" s="293">
        <f t="shared" ref="L11:L16" si="2">IF(D11="",E11,D11)</f>
        <v>0</v>
      </c>
      <c r="M11"/>
      <c r="N11" s="166"/>
      <c r="O11" s="290"/>
      <c r="P11" s="196"/>
      <c r="Q11" s="291"/>
      <c r="R11" s="3"/>
      <c r="X11" s="549">
        <v>627</v>
      </c>
      <c r="Y11" s="292">
        <v>627</v>
      </c>
      <c r="AA11" s="384">
        <f t="shared" si="0"/>
        <v>0</v>
      </c>
      <c r="AB11" s="284">
        <f t="shared" si="1"/>
        <v>0</v>
      </c>
    </row>
    <row r="12" spans="1:28" s="18" customFormat="1" ht="86.25" customHeight="1" x14ac:dyDescent="0.3">
      <c r="A12" s="210">
        <f>'Unit Data from Audit Worksheet'!A16</f>
        <v>628</v>
      </c>
      <c r="B12" s="215" t="str">
        <f>'Unit Data from Audit Worksheet'!C16</f>
        <v>Net Position-Governmental Activities</v>
      </c>
      <c r="C12" s="214" t="str">
        <f>'Unit Data from Audit Worksheet'!D16</f>
        <v>Please enter any compensated absences that are classified as current liabilities and included in account 626 above (amounts entered should agree to the current amount included in the changes to long-term debt note)</v>
      </c>
      <c r="D12" s="102"/>
      <c r="E12" s="232">
        <f>'Unit Data from Audit Worksheet'!F16</f>
        <v>0</v>
      </c>
      <c r="F12" s="217"/>
      <c r="G12" s="205"/>
      <c r="H12" s="217"/>
      <c r="I12" s="32"/>
      <c r="J12" s="216">
        <v>628</v>
      </c>
      <c r="K12" s="191" t="s">
        <v>367</v>
      </c>
      <c r="L12" s="293">
        <f t="shared" si="2"/>
        <v>0</v>
      </c>
      <c r="M12"/>
      <c r="N12" s="166"/>
      <c r="O12" s="290"/>
      <c r="P12" s="196"/>
      <c r="Q12" s="291"/>
      <c r="R12" s="3"/>
      <c r="X12" s="549">
        <v>628</v>
      </c>
      <c r="Y12" s="292">
        <v>628</v>
      </c>
      <c r="AA12" s="384">
        <f t="shared" si="0"/>
        <v>0</v>
      </c>
      <c r="AB12" s="284">
        <f t="shared" si="1"/>
        <v>0</v>
      </c>
    </row>
    <row r="13" spans="1:28" s="18" customFormat="1" ht="93" customHeight="1" x14ac:dyDescent="0.3">
      <c r="A13" s="210">
        <f>'Unit Data from Audit Worksheet'!A17</f>
        <v>629</v>
      </c>
      <c r="B13" s="215" t="str">
        <f>'Unit Data from Audit Worksheet'!C17</f>
        <v>Net Position-Governmental Activities</v>
      </c>
      <c r="C13" s="214" t="str">
        <f>'Unit Data from Audit Worksheet'!D17</f>
        <v>Please enter any pension liabilities that are classified as current liabilities and included in account 626 above (amounts entered should agree to the current amount included in the changes to long-term debt note)</v>
      </c>
      <c r="D13" s="102"/>
      <c r="E13" s="232">
        <f>'Unit Data from Audit Worksheet'!F17</f>
        <v>0</v>
      </c>
      <c r="F13" s="217"/>
      <c r="G13" s="205"/>
      <c r="H13" s="217"/>
      <c r="I13" s="32"/>
      <c r="J13" s="216">
        <v>629</v>
      </c>
      <c r="K13" s="191" t="s">
        <v>366</v>
      </c>
      <c r="L13" s="293">
        <f t="shared" si="2"/>
        <v>0</v>
      </c>
      <c r="M13"/>
      <c r="N13" s="166"/>
      <c r="O13" s="290"/>
      <c r="P13" s="196"/>
      <c r="Q13" s="291"/>
      <c r="R13" s="3"/>
      <c r="X13" s="549">
        <v>629</v>
      </c>
      <c r="Y13" s="292">
        <v>629</v>
      </c>
      <c r="AA13" s="384">
        <f t="shared" si="0"/>
        <v>0</v>
      </c>
      <c r="AB13" s="284">
        <f t="shared" si="1"/>
        <v>0</v>
      </c>
    </row>
    <row r="14" spans="1:28" s="18" customFormat="1" ht="67.5" customHeight="1" x14ac:dyDescent="0.3">
      <c r="A14" s="210">
        <f>'Unit Data from Audit Worksheet'!A18</f>
        <v>630</v>
      </c>
      <c r="B14" s="215" t="str">
        <f>'Unit Data from Audit Worksheet'!C18</f>
        <v>Net Position-Governmental Activities</v>
      </c>
      <c r="C14" s="214" t="str">
        <f>'Unit Data from Audit Worksheet'!D18</f>
        <v>Please enter any current liabilities that are payable from restricted assets and included in account 626 above</v>
      </c>
      <c r="D14" s="102"/>
      <c r="E14" s="232">
        <f>'Unit Data from Audit Worksheet'!F18</f>
        <v>0</v>
      </c>
      <c r="F14" s="217"/>
      <c r="G14" s="205"/>
      <c r="H14" s="217"/>
      <c r="I14" s="32"/>
      <c r="J14" s="216">
        <v>630</v>
      </c>
      <c r="K14" s="191" t="s">
        <v>365</v>
      </c>
      <c r="L14" s="293">
        <f t="shared" si="2"/>
        <v>0</v>
      </c>
      <c r="M14"/>
      <c r="N14" s="166"/>
      <c r="O14" s="290"/>
      <c r="P14" s="196"/>
      <c r="Q14" s="291"/>
      <c r="R14" s="3"/>
      <c r="X14" s="549">
        <v>630</v>
      </c>
      <c r="Y14" s="292">
        <v>630</v>
      </c>
      <c r="AA14" s="384">
        <f t="shared" si="0"/>
        <v>0</v>
      </c>
      <c r="AB14" s="284">
        <f t="shared" si="1"/>
        <v>0</v>
      </c>
    </row>
    <row r="15" spans="1:28" s="18" customFormat="1" ht="102.75" customHeight="1" x14ac:dyDescent="0.3">
      <c r="A15" s="210">
        <f>'Unit Data from Audit Worksheet'!A19</f>
        <v>631</v>
      </c>
      <c r="B15" s="223" t="str">
        <f>'Unit Data from Audit Worksheet'!C19</f>
        <v>Net Position-Governmental Activities</v>
      </c>
      <c r="C15" s="206" t="str">
        <f>'Unit Data from Audit Worksheet'!D19</f>
        <v>Please enter any OPEB liabilities that are classified as current liabilities and included in account 626 above (amounts entered should agree to the current amount included in the changes to long-term debt note)</v>
      </c>
      <c r="D15" s="102"/>
      <c r="E15" s="232">
        <f>'Unit Data from Audit Worksheet'!F19</f>
        <v>0</v>
      </c>
      <c r="F15" s="217"/>
      <c r="G15" s="205"/>
      <c r="H15" s="217"/>
      <c r="I15" s="32"/>
      <c r="J15" s="216">
        <v>631</v>
      </c>
      <c r="K15" s="191" t="s">
        <v>364</v>
      </c>
      <c r="L15" s="293">
        <f t="shared" si="2"/>
        <v>0</v>
      </c>
      <c r="M15"/>
      <c r="N15" s="166"/>
      <c r="O15" s="290"/>
      <c r="P15" s="196"/>
      <c r="Q15" s="291"/>
      <c r="R15" s="3"/>
      <c r="X15" s="549">
        <v>631</v>
      </c>
      <c r="Y15" s="292">
        <v>631</v>
      </c>
      <c r="AA15" s="384">
        <f t="shared" si="0"/>
        <v>0</v>
      </c>
      <c r="AB15" s="284">
        <f t="shared" si="1"/>
        <v>0</v>
      </c>
    </row>
    <row r="16" spans="1:28" s="18" customFormat="1" ht="119.25" customHeight="1" x14ac:dyDescent="0.3">
      <c r="A16" s="210">
        <f>'Unit Data from Audit Worksheet'!A20</f>
        <v>632</v>
      </c>
      <c r="B16" s="223" t="str">
        <f>'Unit Data from Audit Worksheet'!C20</f>
        <v>Net Position-Governmental Activities</v>
      </c>
      <c r="C16" s="206" t="str">
        <f>'Unit Data from Audit Worksheet'!D20</f>
        <v>Please enter any landfill closure/postclosure liabilities that are classified as current liabilities and included in account 626 above (amounts entered should agree to the current amount included in the changes to long-term debt note)</v>
      </c>
      <c r="D16" s="102"/>
      <c r="E16" s="232">
        <f>'Unit Data from Audit Worksheet'!F20</f>
        <v>0</v>
      </c>
      <c r="F16" s="217"/>
      <c r="G16" s="205"/>
      <c r="H16" s="217"/>
      <c r="I16" s="32"/>
      <c r="J16" s="216">
        <v>632</v>
      </c>
      <c r="K16" s="191" t="s">
        <v>363</v>
      </c>
      <c r="L16" s="293">
        <f t="shared" si="2"/>
        <v>0</v>
      </c>
      <c r="M16"/>
      <c r="N16" s="166"/>
      <c r="O16" s="290"/>
      <c r="P16" s="196"/>
      <c r="Q16" s="291"/>
      <c r="R16" s="3"/>
      <c r="X16" s="549">
        <v>632</v>
      </c>
      <c r="Y16" s="292">
        <v>632</v>
      </c>
      <c r="AA16" s="384">
        <f t="shared" si="0"/>
        <v>0</v>
      </c>
      <c r="AB16" s="284">
        <f t="shared" si="1"/>
        <v>0</v>
      </c>
    </row>
    <row r="17" spans="1:28" ht="30.6" x14ac:dyDescent="0.3">
      <c r="A17" s="548">
        <f>'Unit Data from Audit Worksheet'!A21</f>
        <v>338</v>
      </c>
      <c r="B17" s="223" t="str">
        <f>'Unit Data from Audit Worksheet'!C21</f>
        <v>Net Position-Governmental Activities</v>
      </c>
      <c r="C17" s="209" t="str">
        <f>'Unit Data from Audit Worksheet'!D21</f>
        <v>Total Liabilities and total deferred inflows</v>
      </c>
      <c r="D17" s="102"/>
      <c r="E17" s="142">
        <f>'Unit Data from Audit Worksheet'!F21</f>
        <v>0</v>
      </c>
      <c r="F17" s="126" t="str">
        <f>IF(L10&gt;L17,"Please review accounts 626 greater than 338","")</f>
        <v/>
      </c>
      <c r="G17" s="65"/>
      <c r="H17" s="221"/>
      <c r="I17" s="32"/>
      <c r="J17" s="106">
        <v>338</v>
      </c>
      <c r="K17" s="107" t="s">
        <v>108</v>
      </c>
      <c r="L17" s="288">
        <f>IF(D17="",E17,D17)+IF(D9="",E9,D9)</f>
        <v>0</v>
      </c>
      <c r="N17" s="71" t="s">
        <v>297</v>
      </c>
      <c r="P17" s="193"/>
      <c r="X17" s="549">
        <v>338</v>
      </c>
      <c r="Y17" s="284">
        <v>338</v>
      </c>
      <c r="AA17" s="384">
        <f t="shared" si="0"/>
        <v>0</v>
      </c>
      <c r="AB17" s="284">
        <f t="shared" si="1"/>
        <v>0</v>
      </c>
    </row>
    <row r="18" spans="1:28" ht="100.5" customHeight="1" x14ac:dyDescent="0.3">
      <c r="A18" s="210">
        <f>'Unit Data from Audit Worksheet'!A22</f>
        <v>335</v>
      </c>
      <c r="B18" s="223" t="str">
        <f>'Unit Data from Audit Worksheet'!C22</f>
        <v>Net Position-Governmental Activities</v>
      </c>
      <c r="C18" s="209" t="str">
        <f>'Unit Data from Audit Worksheet'!D22</f>
        <v>Unearned revenues that were included in current liabilities in your audit report or entered in acct # 626 above. 
Exclude - unearned revenues that are listed in deferred inflows.</v>
      </c>
      <c r="D18" s="102"/>
      <c r="E18" s="229">
        <f>'Unit Data from Audit Worksheet'!F22</f>
        <v>0</v>
      </c>
      <c r="F18" s="222">
        <f>IF(L18&lt;0,"Error: Enter as a positive.",)</f>
        <v>0</v>
      </c>
      <c r="G18" s="224"/>
      <c r="H18" s="221"/>
      <c r="I18" s="32"/>
      <c r="J18" s="220">
        <v>335</v>
      </c>
      <c r="K18" s="219" t="s">
        <v>109</v>
      </c>
      <c r="L18" s="287">
        <f>IF(D18="",E18,D18)</f>
        <v>0</v>
      </c>
      <c r="P18" s="194"/>
      <c r="X18" s="549">
        <v>335</v>
      </c>
      <c r="Y18" s="284">
        <v>335</v>
      </c>
      <c r="AA18" s="384">
        <f t="shared" si="0"/>
        <v>0</v>
      </c>
      <c r="AB18" s="284">
        <f t="shared" si="1"/>
        <v>0</v>
      </c>
    </row>
    <row r="19" spans="1:28" ht="20.399999999999999" x14ac:dyDescent="0.3">
      <c r="A19" s="210">
        <f>'Unit Data from Audit Worksheet'!A23</f>
        <v>252</v>
      </c>
      <c r="B19" s="223" t="str">
        <f>'Unit Data from Audit Worksheet'!C23</f>
        <v>Net Position-Governmental Activities</v>
      </c>
      <c r="C19" s="209" t="str">
        <f>'Unit Data from Audit Worksheet'!D23</f>
        <v xml:space="preserve"> Total Net investment in capital assets</v>
      </c>
      <c r="D19" s="102"/>
      <c r="E19" s="229">
        <f>'Unit Data from Audit Worksheet'!F23</f>
        <v>0</v>
      </c>
      <c r="F19" s="222"/>
      <c r="G19" s="224"/>
      <c r="H19" s="221"/>
      <c r="I19" s="32"/>
      <c r="J19" s="220">
        <v>252</v>
      </c>
      <c r="K19" s="219" t="s">
        <v>95</v>
      </c>
      <c r="L19" s="287">
        <f t="shared" ref="L19:L37" si="3">IF(D19="",E19,D19)</f>
        <v>0</v>
      </c>
      <c r="O19" s="294" t="e">
        <f>'Unit Data from Audit Worksheet'!E23</f>
        <v>#N/A</v>
      </c>
      <c r="P19" s="194"/>
      <c r="X19" s="549">
        <v>252</v>
      </c>
      <c r="Y19" s="284">
        <v>252</v>
      </c>
      <c r="AA19" s="384">
        <f t="shared" si="0"/>
        <v>0</v>
      </c>
      <c r="AB19" s="284">
        <f t="shared" si="1"/>
        <v>0</v>
      </c>
    </row>
    <row r="20" spans="1:28" ht="20.399999999999999" x14ac:dyDescent="0.3">
      <c r="A20" s="210">
        <f>'Unit Data from Audit Worksheet'!A24</f>
        <v>253</v>
      </c>
      <c r="B20" s="223" t="str">
        <f>'Unit Data from Audit Worksheet'!C24</f>
        <v>Net Position-Governmental Activities</v>
      </c>
      <c r="C20" s="209" t="str">
        <f>'Unit Data from Audit Worksheet'!D24</f>
        <v xml:space="preserve"> Total Net Position, Restricted</v>
      </c>
      <c r="D20" s="102"/>
      <c r="E20" s="229">
        <f>'Unit Data from Audit Worksheet'!F24</f>
        <v>0</v>
      </c>
      <c r="F20" s="222"/>
      <c r="G20" s="224"/>
      <c r="H20" s="221"/>
      <c r="I20" s="32"/>
      <c r="J20" s="220">
        <v>253</v>
      </c>
      <c r="K20" s="219" t="s">
        <v>96</v>
      </c>
      <c r="L20" s="287">
        <f t="shared" si="3"/>
        <v>0</v>
      </c>
      <c r="O20" s="294" t="e">
        <f>'Unit Data from Audit Worksheet'!E24</f>
        <v>#N/A</v>
      </c>
      <c r="P20" s="194"/>
      <c r="X20" s="549">
        <v>253</v>
      </c>
      <c r="Y20" s="284">
        <v>253</v>
      </c>
      <c r="AA20" s="384">
        <f t="shared" si="0"/>
        <v>0</v>
      </c>
      <c r="AB20" s="284">
        <f t="shared" si="1"/>
        <v>0</v>
      </c>
    </row>
    <row r="21" spans="1:28" ht="73.5" customHeight="1" x14ac:dyDescent="0.3">
      <c r="A21" s="210">
        <f>'Unit Data from Audit Worksheet'!A25</f>
        <v>254</v>
      </c>
      <c r="B21" s="223" t="str">
        <f>'Unit Data from Audit Worksheet'!C25</f>
        <v>Net Position-Governmental Activities</v>
      </c>
      <c r="C21" s="209" t="str">
        <f>'Unit Data from Audit Worksheet'!D25</f>
        <v>Total Net Position, Unrestricted - enter negative unrestricted net position as a negative)</v>
      </c>
      <c r="D21" s="102"/>
      <c r="E21" s="229">
        <f>'Unit Data from Audit Worksheet'!F25</f>
        <v>0</v>
      </c>
      <c r="F21" s="222">
        <f>IF((L7-L17-L19-L20-L21)=0,,"Error: Total assets and deferred outflows less total liabilities and deferred inflows do not equal total net position accts 385-338-252-253-254")</f>
        <v>0</v>
      </c>
      <c r="G21" s="83">
        <f>+L7-L17-L19-L20-L21</f>
        <v>0</v>
      </c>
      <c r="H21" s="221"/>
      <c r="I21" s="32"/>
      <c r="J21" s="220">
        <v>254</v>
      </c>
      <c r="K21" s="219" t="s">
        <v>97</v>
      </c>
      <c r="L21" s="287">
        <f t="shared" si="3"/>
        <v>0</v>
      </c>
      <c r="O21" s="294" t="e">
        <f>'Unit Data from Audit Worksheet'!E25</f>
        <v>#N/A</v>
      </c>
      <c r="P21" s="194"/>
      <c r="X21" s="549">
        <v>254</v>
      </c>
      <c r="Y21" s="284">
        <v>254</v>
      </c>
      <c r="AA21" s="384">
        <f t="shared" si="0"/>
        <v>0</v>
      </c>
      <c r="AB21" s="284">
        <f t="shared" si="1"/>
        <v>0</v>
      </c>
    </row>
    <row r="22" spans="1:28" ht="51.75" customHeight="1" x14ac:dyDescent="0.3">
      <c r="A22" s="210">
        <f>'Unit Data from Audit Worksheet'!A27</f>
        <v>502</v>
      </c>
      <c r="B22" s="223" t="str">
        <f>'Unit Data from Audit Worksheet'!C27</f>
        <v>Net Position-Business Activities</v>
      </c>
      <c r="C22" s="209" t="str">
        <f>'Unit Data from Audit Worksheet'!D27</f>
        <v xml:space="preserve">All unrestricted Cash and investments. 
Exclude restricted cash and cash held by a third party. </v>
      </c>
      <c r="D22" s="102"/>
      <c r="E22" s="229">
        <f>'Unit Data from Audit Worksheet'!F27</f>
        <v>0</v>
      </c>
      <c r="F22" s="222">
        <f>IF(L22&lt;0,"Error: Number is normally positive.",)</f>
        <v>0</v>
      </c>
      <c r="G22" s="224"/>
      <c r="H22" s="221"/>
      <c r="I22" s="32"/>
      <c r="J22" s="220">
        <v>502</v>
      </c>
      <c r="K22" s="219" t="s">
        <v>177</v>
      </c>
      <c r="L22" s="287">
        <f t="shared" si="3"/>
        <v>0</v>
      </c>
      <c r="P22" s="194"/>
      <c r="X22" s="549">
        <v>502</v>
      </c>
      <c r="Y22" s="284">
        <v>502</v>
      </c>
      <c r="AA22" s="384">
        <f t="shared" si="0"/>
        <v>0</v>
      </c>
      <c r="AB22" s="284">
        <f t="shared" si="1"/>
        <v>0</v>
      </c>
    </row>
    <row r="23" spans="1:28" ht="40.5" customHeight="1" x14ac:dyDescent="0.3">
      <c r="A23" s="210">
        <f>'Unit Data from Audit Worksheet'!A28</f>
        <v>503</v>
      </c>
      <c r="B23" s="223" t="str">
        <f>'Unit Data from Audit Worksheet'!C28</f>
        <v>Net Position-Business Activities</v>
      </c>
      <c r="C23" s="209" t="str">
        <f>'Unit Data from Audit Worksheet'!D28</f>
        <v>All restricted Cash and investments</v>
      </c>
      <c r="D23" s="102"/>
      <c r="E23" s="229">
        <f>'Unit Data from Audit Worksheet'!F28</f>
        <v>0</v>
      </c>
      <c r="F23" s="222">
        <f>IF(L23&lt;0,"Error: Number is normally positive.",)</f>
        <v>0</v>
      </c>
      <c r="G23" s="224"/>
      <c r="H23" s="221"/>
      <c r="I23" s="32"/>
      <c r="J23" s="220">
        <v>503</v>
      </c>
      <c r="K23" s="219" t="s">
        <v>178</v>
      </c>
      <c r="L23" s="287">
        <f t="shared" si="3"/>
        <v>0</v>
      </c>
      <c r="P23" s="194"/>
      <c r="X23" s="549">
        <v>503</v>
      </c>
      <c r="Y23" s="284">
        <v>503</v>
      </c>
      <c r="AA23" s="384">
        <f t="shared" si="0"/>
        <v>0</v>
      </c>
      <c r="AB23" s="284">
        <f t="shared" si="1"/>
        <v>0</v>
      </c>
    </row>
    <row r="24" spans="1:28" ht="39" customHeight="1" x14ac:dyDescent="0.3">
      <c r="A24" s="210">
        <f>'Unit Data from Audit Worksheet'!A30</f>
        <v>344</v>
      </c>
      <c r="B24" s="223" t="str">
        <f>'Unit Data from Audit Worksheet'!C30</f>
        <v>Statement of Activities - Governmental</v>
      </c>
      <c r="C24" s="209" t="str">
        <f>'Unit Data from Audit Worksheet'!D30</f>
        <v xml:space="preserve">Total Interest expense on Long-Term Debt </v>
      </c>
      <c r="D24" s="102"/>
      <c r="E24" s="229">
        <f>'Unit Data from Audit Worksheet'!F30</f>
        <v>0</v>
      </c>
      <c r="F24" s="222">
        <f>IF(L24&lt;0,"Error: Enter as a positive.",)</f>
        <v>0</v>
      </c>
      <c r="G24" s="224"/>
      <c r="H24" s="221"/>
      <c r="I24" s="32"/>
      <c r="J24" s="220">
        <v>344</v>
      </c>
      <c r="K24" s="219" t="s">
        <v>179</v>
      </c>
      <c r="L24" s="287">
        <f t="shared" si="3"/>
        <v>0</v>
      </c>
      <c r="P24" s="194"/>
      <c r="X24" s="549">
        <v>344</v>
      </c>
      <c r="Y24" s="284">
        <v>344</v>
      </c>
      <c r="AA24" s="384">
        <f t="shared" si="0"/>
        <v>0</v>
      </c>
      <c r="AB24" s="284">
        <f t="shared" si="1"/>
        <v>0</v>
      </c>
    </row>
    <row r="25" spans="1:28" ht="39" customHeight="1" x14ac:dyDescent="0.3">
      <c r="A25" s="210">
        <f>'Unit Data from Audit Worksheet'!A31</f>
        <v>388</v>
      </c>
      <c r="B25" s="223" t="str">
        <f>'Unit Data from Audit Worksheet'!C31</f>
        <v>Statement of Activities - Governmental</v>
      </c>
      <c r="C25" s="209" t="str">
        <f>'Unit Data from Audit Worksheet'!D31</f>
        <v>Total Expenses</v>
      </c>
      <c r="D25" s="102"/>
      <c r="E25" s="229">
        <f>'Unit Data from Audit Worksheet'!F31</f>
        <v>0</v>
      </c>
      <c r="F25" s="222">
        <f t="shared" ref="F25:F30" si="4">IF(L25&lt;0,"Error: Number is normally positive.",)</f>
        <v>0</v>
      </c>
      <c r="G25" s="224"/>
      <c r="H25" s="221"/>
      <c r="I25" s="32"/>
      <c r="J25" s="220">
        <v>388</v>
      </c>
      <c r="K25" s="219" t="s">
        <v>180</v>
      </c>
      <c r="L25" s="287">
        <f t="shared" si="3"/>
        <v>0</v>
      </c>
      <c r="P25" s="194"/>
      <c r="X25" s="549">
        <v>388</v>
      </c>
      <c r="Y25" s="284">
        <v>388</v>
      </c>
      <c r="AA25" s="384">
        <f t="shared" si="0"/>
        <v>0</v>
      </c>
      <c r="AB25" s="284">
        <f t="shared" si="1"/>
        <v>0</v>
      </c>
    </row>
    <row r="26" spans="1:28" ht="39" customHeight="1" x14ac:dyDescent="0.3">
      <c r="A26" s="210">
        <f>'Unit Data from Audit Worksheet'!A32</f>
        <v>339</v>
      </c>
      <c r="B26" s="223" t="str">
        <f>'Unit Data from Audit Worksheet'!C32</f>
        <v>Statement of Activities - Governmental</v>
      </c>
      <c r="C26" s="209" t="str">
        <f>'Unit Data from Audit Worksheet'!D32</f>
        <v xml:space="preserve">Charges for services </v>
      </c>
      <c r="D26" s="102"/>
      <c r="E26" s="229">
        <f>'Unit Data from Audit Worksheet'!F32</f>
        <v>0</v>
      </c>
      <c r="F26" s="222">
        <f t="shared" si="4"/>
        <v>0</v>
      </c>
      <c r="G26" s="224"/>
      <c r="H26" s="221"/>
      <c r="I26" s="32"/>
      <c r="J26" s="220">
        <v>339</v>
      </c>
      <c r="K26" s="219" t="s">
        <v>181</v>
      </c>
      <c r="L26" s="287">
        <f t="shared" si="3"/>
        <v>0</v>
      </c>
      <c r="P26" s="194"/>
      <c r="X26" s="549">
        <v>339</v>
      </c>
      <c r="Y26" s="284">
        <v>339</v>
      </c>
      <c r="AA26" s="384">
        <f t="shared" si="0"/>
        <v>0</v>
      </c>
      <c r="AB26" s="284">
        <f t="shared" si="1"/>
        <v>0</v>
      </c>
    </row>
    <row r="27" spans="1:28" ht="39" customHeight="1" x14ac:dyDescent="0.3">
      <c r="A27" s="210">
        <f>'Unit Data from Audit Worksheet'!A33</f>
        <v>504</v>
      </c>
      <c r="B27" s="223" t="str">
        <f>'Unit Data from Audit Worksheet'!C33</f>
        <v>Statement of Activities - Governmental</v>
      </c>
      <c r="C27" s="209" t="str">
        <f>'Unit Data from Audit Worksheet'!D33</f>
        <v>Operating grants and contributions</v>
      </c>
      <c r="D27" s="102"/>
      <c r="E27" s="229">
        <f>'Unit Data from Audit Worksheet'!F33</f>
        <v>0</v>
      </c>
      <c r="F27" s="222">
        <f t="shared" si="4"/>
        <v>0</v>
      </c>
      <c r="G27" s="224"/>
      <c r="H27" s="221"/>
      <c r="I27" s="32"/>
      <c r="J27" s="220">
        <v>504</v>
      </c>
      <c r="K27" s="219" t="s">
        <v>182</v>
      </c>
      <c r="L27" s="287">
        <f t="shared" si="3"/>
        <v>0</v>
      </c>
      <c r="P27" s="194"/>
      <c r="X27" s="549">
        <v>504</v>
      </c>
      <c r="Y27" s="284">
        <v>504</v>
      </c>
      <c r="AA27" s="384">
        <f t="shared" si="0"/>
        <v>0</v>
      </c>
      <c r="AB27" s="284">
        <f t="shared" si="1"/>
        <v>0</v>
      </c>
    </row>
    <row r="28" spans="1:28" ht="39" customHeight="1" x14ac:dyDescent="0.3">
      <c r="A28" s="210">
        <f>'Unit Data from Audit Worksheet'!A34</f>
        <v>505</v>
      </c>
      <c r="B28" s="223" t="str">
        <f>'Unit Data from Audit Worksheet'!C34</f>
        <v>Statement of Activities - Governmental</v>
      </c>
      <c r="C28" s="209" t="str">
        <f>'Unit Data from Audit Worksheet'!D34</f>
        <v>Capital grants and contributions</v>
      </c>
      <c r="D28" s="102"/>
      <c r="E28" s="229">
        <f>'Unit Data from Audit Worksheet'!F34</f>
        <v>0</v>
      </c>
      <c r="F28" s="222">
        <f t="shared" si="4"/>
        <v>0</v>
      </c>
      <c r="G28" s="224"/>
      <c r="H28" s="221"/>
      <c r="I28" s="32"/>
      <c r="J28" s="220">
        <v>505</v>
      </c>
      <c r="K28" s="219" t="s">
        <v>183</v>
      </c>
      <c r="L28" s="287">
        <f t="shared" si="3"/>
        <v>0</v>
      </c>
      <c r="P28" s="194"/>
      <c r="X28" s="549">
        <v>505</v>
      </c>
      <c r="Y28" s="284">
        <v>505</v>
      </c>
      <c r="AA28" s="384">
        <f t="shared" si="0"/>
        <v>0</v>
      </c>
      <c r="AB28" s="284">
        <f t="shared" si="1"/>
        <v>0</v>
      </c>
    </row>
    <row r="29" spans="1:28" ht="82.5" customHeight="1" x14ac:dyDescent="0.3">
      <c r="A29" s="210">
        <f>'Unit Data from Audit Worksheet'!A35</f>
        <v>341</v>
      </c>
      <c r="B29" s="223" t="str">
        <f>'Unit Data from Audit Worksheet'!C35</f>
        <v>Statement of Activities - Governmental</v>
      </c>
      <c r="C29" s="209" t="str">
        <f>'Unit Data from Audit Worksheet'!D35</f>
        <v>Total General revenues
Exclude: transfers-in or out,
                 special items,
                 extraordinary amounts</v>
      </c>
      <c r="D29" s="102"/>
      <c r="E29" s="229">
        <f>'Unit Data from Audit Worksheet'!F35</f>
        <v>0</v>
      </c>
      <c r="F29" s="222">
        <f t="shared" si="4"/>
        <v>0</v>
      </c>
      <c r="G29" s="224"/>
      <c r="H29" s="221"/>
      <c r="I29" s="32"/>
      <c r="J29" s="220">
        <v>341</v>
      </c>
      <c r="K29" s="219" t="s">
        <v>184</v>
      </c>
      <c r="L29" s="287">
        <f t="shared" si="3"/>
        <v>0</v>
      </c>
      <c r="P29" s="194"/>
      <c r="X29" s="549">
        <v>341</v>
      </c>
      <c r="Y29" s="284">
        <v>341</v>
      </c>
      <c r="AA29" s="384">
        <f t="shared" si="0"/>
        <v>0</v>
      </c>
      <c r="AB29" s="284">
        <f t="shared" si="1"/>
        <v>0</v>
      </c>
    </row>
    <row r="30" spans="1:28" ht="82.5" customHeight="1" x14ac:dyDescent="0.3">
      <c r="A30" s="210">
        <f>'Unit Data from Audit Worksheet'!A36</f>
        <v>386</v>
      </c>
      <c r="B30" s="223" t="str">
        <f>'Unit Data from Audit Worksheet'!C36</f>
        <v>Statement of Activities - Governmental</v>
      </c>
      <c r="C30" s="209" t="str">
        <f>'Unit Data from Audit Worksheet'!D36</f>
        <v>Total Transfers in    (Preference is that transfers-in  are not netted against transfers-out)</v>
      </c>
      <c r="D30" s="102"/>
      <c r="E30" s="229">
        <f>'Unit Data from Audit Worksheet'!F36</f>
        <v>0</v>
      </c>
      <c r="F30" s="222">
        <f t="shared" si="4"/>
        <v>0</v>
      </c>
      <c r="G30" s="224"/>
      <c r="H30" s="221"/>
      <c r="I30" s="32"/>
      <c r="J30" s="220">
        <v>386</v>
      </c>
      <c r="K30" s="219" t="s">
        <v>185</v>
      </c>
      <c r="L30" s="287">
        <f t="shared" si="3"/>
        <v>0</v>
      </c>
      <c r="P30" s="194"/>
      <c r="X30" s="549">
        <v>386</v>
      </c>
      <c r="Y30" s="284">
        <v>386</v>
      </c>
      <c r="AA30" s="384">
        <f t="shared" si="0"/>
        <v>0</v>
      </c>
      <c r="AB30" s="284">
        <f t="shared" si="1"/>
        <v>0</v>
      </c>
    </row>
    <row r="31" spans="1:28" ht="82.5" customHeight="1" x14ac:dyDescent="0.3">
      <c r="A31" s="210">
        <f>'Unit Data from Audit Worksheet'!A37</f>
        <v>387</v>
      </c>
      <c r="B31" s="223" t="str">
        <f>'Unit Data from Audit Worksheet'!C37</f>
        <v>Statement of Activities - Governmental</v>
      </c>
      <c r="C31" s="209" t="str">
        <f>'Unit Data from Audit Worksheet'!D37</f>
        <v>Total Transfers out    (Preference is that transfers-in  are not netted against transfers-out)</v>
      </c>
      <c r="D31" s="102"/>
      <c r="E31" s="229">
        <f>'Unit Data from Audit Worksheet'!F37</f>
        <v>0</v>
      </c>
      <c r="F31" s="222">
        <f>IF(L31&lt;0,"Error: Enter as a positive.",)</f>
        <v>0</v>
      </c>
      <c r="G31" s="224"/>
      <c r="H31" s="221"/>
      <c r="I31" s="32"/>
      <c r="J31" s="220">
        <v>387</v>
      </c>
      <c r="K31" s="219" t="s">
        <v>186</v>
      </c>
      <c r="L31" s="287">
        <f t="shared" si="3"/>
        <v>0</v>
      </c>
      <c r="P31" s="194"/>
      <c r="X31" s="549">
        <v>387</v>
      </c>
      <c r="Y31" s="284">
        <v>387</v>
      </c>
      <c r="AA31" s="384">
        <f t="shared" si="0"/>
        <v>0</v>
      </c>
      <c r="AB31" s="284">
        <f t="shared" si="1"/>
        <v>0</v>
      </c>
    </row>
    <row r="32" spans="1:28" ht="82.5" customHeight="1" x14ac:dyDescent="0.3">
      <c r="A32" s="210">
        <f>'Unit Data from Audit Worksheet'!A38</f>
        <v>389</v>
      </c>
      <c r="B32" s="223" t="str">
        <f>'Unit Data from Audit Worksheet'!C38</f>
        <v>Statement of Activities - Governmental</v>
      </c>
      <c r="C32" s="209" t="str">
        <f>'Unit Data from Audit Worksheet'!D38</f>
        <v>Total Special and Extraordinary items.    (Amounts that increase net position are recorded as positive and amounts that decrease net position are recorded as negative)</v>
      </c>
      <c r="D32" s="102"/>
      <c r="E32" s="229">
        <f>'Unit Data from Audit Worksheet'!F38</f>
        <v>0</v>
      </c>
      <c r="F32" s="222"/>
      <c r="G32" s="224"/>
      <c r="H32" s="221"/>
      <c r="I32" s="32"/>
      <c r="J32" s="220">
        <v>389</v>
      </c>
      <c r="K32" s="219" t="s">
        <v>187</v>
      </c>
      <c r="L32" s="287">
        <f t="shared" si="3"/>
        <v>0</v>
      </c>
      <c r="N32" s="295"/>
      <c r="P32" s="194"/>
      <c r="X32" s="549">
        <v>389</v>
      </c>
      <c r="Y32" s="284">
        <v>389</v>
      </c>
      <c r="AA32" s="384">
        <f t="shared" si="0"/>
        <v>0</v>
      </c>
      <c r="AB32" s="284">
        <f t="shared" si="1"/>
        <v>0</v>
      </c>
    </row>
    <row r="33" spans="1:28" ht="79.5" customHeight="1" x14ac:dyDescent="0.3">
      <c r="A33" s="210">
        <f>'Unit Data from Audit Worksheet'!A39</f>
        <v>255</v>
      </c>
      <c r="B33" s="223" t="str">
        <f>'Unit Data from Audit Worksheet'!C39</f>
        <v>Statement of Activities - Governmental</v>
      </c>
      <c r="C33" s="209" t="str">
        <f>'Unit Data from Audit Worksheet'!D39</f>
        <v>Total Change in net position - (Increase in net position is recorded as a positive and a decrease in net position is recorded as a negative)</v>
      </c>
      <c r="D33" s="102"/>
      <c r="E33" s="229">
        <f>'Unit Data from Audit Worksheet'!F39</f>
        <v>0</v>
      </c>
      <c r="F33" s="222">
        <f>IF((L26+L27+L28+L29+L30-L31+L32-L25-L33)=0,,"Total revenues less total expenses do not equal total change in net position. Acct 339+504+505+341+386-387+389-388-255=0")</f>
        <v>0</v>
      </c>
      <c r="G33" s="84">
        <f>L26+L27+L28+L29+L30-L31+L32-L25-L33</f>
        <v>0</v>
      </c>
      <c r="H33" s="221"/>
      <c r="I33" s="32"/>
      <c r="J33" s="220">
        <v>255</v>
      </c>
      <c r="K33" s="219" t="s">
        <v>188</v>
      </c>
      <c r="L33" s="287">
        <f t="shared" si="3"/>
        <v>0</v>
      </c>
      <c r="O33" s="294" t="e">
        <f>'Unit Data from Audit Worksheet'!E39</f>
        <v>#N/A</v>
      </c>
      <c r="P33" s="194"/>
      <c r="X33" s="549">
        <v>255</v>
      </c>
      <c r="Y33" s="284">
        <v>255</v>
      </c>
      <c r="AA33" s="384">
        <f t="shared" si="0"/>
        <v>0</v>
      </c>
      <c r="AB33" s="284">
        <f t="shared" si="1"/>
        <v>0</v>
      </c>
    </row>
    <row r="34" spans="1:28" ht="89.25" customHeight="1" x14ac:dyDescent="0.3">
      <c r="A34" s="210">
        <f>'Unit Data from Audit Worksheet'!A40</f>
        <v>376</v>
      </c>
      <c r="B34" s="223" t="str">
        <f>'Unit Data from Audit Worksheet'!C40</f>
        <v>Statement of Activities - Governmental</v>
      </c>
      <c r="C34" s="209" t="str">
        <f>'Unit Data from Audit Worksheet'!D40</f>
        <v>Any adjustment to beginning net position including rounding, prior period adjustments and restatements.   (Increases to net position are positive; decreases to net position are negative)</v>
      </c>
      <c r="D34" s="102"/>
      <c r="E34" s="229">
        <f>'Unit Data from Audit Worksheet'!F40</f>
        <v>0</v>
      </c>
      <c r="F34" s="80" t="e">
        <f>IF(L19+L20+L21-L33-L34=O19+O20+O21,,"Beginning Balance does not agree with our records acct (252+253+254-255-376=PY252+PY253+PY254)")</f>
        <v>#N/A</v>
      </c>
      <c r="G34" s="85" t="e">
        <f>L19+L20+L21-L33-L34-(O19+O20+O21)</f>
        <v>#N/A</v>
      </c>
      <c r="H34" s="221" t="e">
        <f>'Unit Data from Audit Worksheet'!I40</f>
        <v>#N/A</v>
      </c>
      <c r="I34" s="32"/>
      <c r="J34" s="220">
        <v>376</v>
      </c>
      <c r="K34" s="219" t="s">
        <v>100</v>
      </c>
      <c r="L34" s="287">
        <f t="shared" si="3"/>
        <v>0</v>
      </c>
      <c r="O34" s="294" t="e">
        <f>'Unit Data from Audit Worksheet'!E40</f>
        <v>#N/A</v>
      </c>
      <c r="P34" s="194"/>
      <c r="R34" s="382"/>
      <c r="S34" s="382"/>
      <c r="T34" s="382"/>
      <c r="U34" s="382"/>
      <c r="V34" s="382"/>
      <c r="W34" s="382"/>
      <c r="X34" s="549">
        <v>376</v>
      </c>
      <c r="Y34" s="284">
        <v>376</v>
      </c>
      <c r="Z34" s="382"/>
      <c r="AA34" s="384">
        <f t="shared" si="0"/>
        <v>0</v>
      </c>
      <c r="AB34" s="284">
        <f t="shared" si="1"/>
        <v>0</v>
      </c>
    </row>
    <row r="35" spans="1:28" ht="157.5" customHeight="1" x14ac:dyDescent="0.3">
      <c r="A35" s="210">
        <f>'Unit Data from Audit Worksheet'!A41</f>
        <v>597</v>
      </c>
      <c r="B35" s="223" t="str">
        <f>'Unit Data from Audit Worksheet'!C41</f>
        <v>Statement of Activities                               (all governmental and business funds)</v>
      </c>
      <c r="C35" s="209" t="str">
        <f>'Unit Data from Audit Worksheet'!D41</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102"/>
      <c r="E35" s="229">
        <f>'Unit Data from Audit Worksheet'!F41</f>
        <v>0</v>
      </c>
      <c r="F35" s="222">
        <f>IF(L35&lt;0,"Error: Number is normally positive.",)</f>
        <v>0</v>
      </c>
      <c r="G35" s="224"/>
      <c r="H35" s="221"/>
      <c r="I35" s="32"/>
      <c r="J35" s="220">
        <v>597</v>
      </c>
      <c r="K35" s="219" t="s">
        <v>336</v>
      </c>
      <c r="L35" s="287">
        <f t="shared" si="3"/>
        <v>0</v>
      </c>
      <c r="O35" s="294"/>
      <c r="P35" s="194"/>
      <c r="R35" s="382"/>
      <c r="S35" s="382"/>
      <c r="T35" s="382"/>
      <c r="U35" s="382"/>
      <c r="V35" s="382"/>
      <c r="W35" s="382"/>
      <c r="X35" s="549">
        <v>597</v>
      </c>
      <c r="Y35" s="284">
        <v>597</v>
      </c>
      <c r="Z35" s="382"/>
      <c r="AA35" s="384">
        <f t="shared" si="0"/>
        <v>0</v>
      </c>
      <c r="AB35" s="284">
        <f t="shared" si="1"/>
        <v>0</v>
      </c>
    </row>
    <row r="36" spans="1:28" ht="90" customHeight="1" x14ac:dyDescent="0.3">
      <c r="A36" s="210">
        <f>'Unit Data from Audit Worksheet'!A43</f>
        <v>592</v>
      </c>
      <c r="B36" s="223" t="str">
        <f>'Unit Data from Audit Worksheet'!C43</f>
        <v>Statement of Activities - Business Activities</v>
      </c>
      <c r="C36" s="209" t="str">
        <f>'Unit Data from Audit Worksheet'!D43</f>
        <v>Total Change in net position Business Type 
(Increase in net position is recorded as a positive and a decrease in net position is recorded as a negative)</v>
      </c>
      <c r="D36" s="102"/>
      <c r="E36" s="229">
        <f>'Unit Data from Audit Worksheet'!F43</f>
        <v>0</v>
      </c>
      <c r="F36" s="222"/>
      <c r="G36" s="224"/>
      <c r="H36" s="221"/>
      <c r="I36" s="32"/>
      <c r="J36" s="220">
        <v>592</v>
      </c>
      <c r="K36" s="219" t="s">
        <v>328</v>
      </c>
      <c r="L36" s="287">
        <f t="shared" si="3"/>
        <v>0</v>
      </c>
      <c r="O36" s="294"/>
      <c r="P36" s="194"/>
      <c r="R36" s="382"/>
      <c r="S36" s="382"/>
      <c r="T36" s="382"/>
      <c r="U36" s="382"/>
      <c r="V36" s="382"/>
      <c r="W36" s="382"/>
      <c r="X36" s="549">
        <v>592</v>
      </c>
      <c r="Y36" s="284">
        <v>592</v>
      </c>
      <c r="Z36" s="382"/>
      <c r="AA36" s="384">
        <f t="shared" si="0"/>
        <v>0</v>
      </c>
      <c r="AB36" s="284">
        <f t="shared" si="1"/>
        <v>0</v>
      </c>
    </row>
    <row r="37" spans="1:28" ht="66" customHeight="1" x14ac:dyDescent="0.3">
      <c r="A37" s="210">
        <f>'Unit Data from Audit Worksheet'!A44</f>
        <v>591</v>
      </c>
      <c r="B37" s="223" t="str">
        <f>'Unit Data from Audit Worksheet'!C44</f>
        <v>Statement of Activities - Business Activities</v>
      </c>
      <c r="C37" s="209" t="str">
        <f>'Unit Data from Audit Worksheet'!D44</f>
        <v>Total Expenses - Exclude Transfers</v>
      </c>
      <c r="D37" s="102"/>
      <c r="E37" s="229">
        <f>'Unit Data from Audit Worksheet'!F44</f>
        <v>0</v>
      </c>
      <c r="F37" s="222">
        <f>IF(L37&lt;0,"Error: Enter as a positive.",)</f>
        <v>0</v>
      </c>
      <c r="G37" s="224"/>
      <c r="H37" s="221"/>
      <c r="I37" s="32"/>
      <c r="J37" s="220">
        <v>591</v>
      </c>
      <c r="K37" s="219" t="s">
        <v>327</v>
      </c>
      <c r="L37" s="287">
        <f t="shared" si="3"/>
        <v>0</v>
      </c>
      <c r="O37" s="294"/>
      <c r="P37" s="194"/>
      <c r="R37" s="382"/>
      <c r="S37" s="382"/>
      <c r="T37" s="382"/>
      <c r="U37" s="382"/>
      <c r="V37" s="382"/>
      <c r="W37" s="382"/>
      <c r="X37" s="549">
        <v>591</v>
      </c>
      <c r="Y37" s="284">
        <v>591</v>
      </c>
      <c r="Z37" s="382"/>
      <c r="AA37" s="384">
        <f t="shared" si="0"/>
        <v>0</v>
      </c>
      <c r="AB37" s="284">
        <f t="shared" si="1"/>
        <v>0</v>
      </c>
    </row>
    <row r="38" spans="1:28" ht="54" customHeight="1" x14ac:dyDescent="0.3">
      <c r="A38" s="210">
        <f>'Unit Data from Audit Worksheet'!A46</f>
        <v>506</v>
      </c>
      <c r="B38" s="47" t="str">
        <f>'Unit Data from Audit Worksheet'!C46</f>
        <v>General Fund-Balance Sheet</v>
      </c>
      <c r="C38" s="296" t="str">
        <f>'Unit Data from Audit Worksheet'!D46</f>
        <v xml:space="preserve">All unrestricted cash and investments.  
Exclude restricted cash and cash held by a third party. </v>
      </c>
      <c r="D38" s="102"/>
      <c r="E38" s="144">
        <f>'Unit Data from Audit Worksheet'!F46</f>
        <v>0</v>
      </c>
      <c r="F38" s="31">
        <f>IF(L38&lt;0,"Error: Number is normally positive.",)</f>
        <v>0</v>
      </c>
      <c r="G38" s="66"/>
      <c r="H38" s="221"/>
      <c r="I38" s="32"/>
      <c r="J38" s="35">
        <v>506</v>
      </c>
      <c r="K38" s="219" t="s">
        <v>189</v>
      </c>
      <c r="L38" s="297">
        <f t="shared" ref="L38:L51" si="5">IF(D38="",E38,D38)</f>
        <v>0</v>
      </c>
      <c r="P38" s="195"/>
      <c r="X38" s="549">
        <v>506</v>
      </c>
      <c r="Y38" s="284">
        <v>506</v>
      </c>
      <c r="AA38" s="384">
        <f t="shared" si="0"/>
        <v>0</v>
      </c>
      <c r="AB38" s="284">
        <f t="shared" si="1"/>
        <v>0</v>
      </c>
    </row>
    <row r="39" spans="1:28" ht="45.75" customHeight="1" x14ac:dyDescent="0.3">
      <c r="A39" s="210">
        <f>'Unit Data from Audit Worksheet'!A47</f>
        <v>536</v>
      </c>
      <c r="B39" s="47" t="str">
        <f>'Unit Data from Audit Worksheet'!C47</f>
        <v>General Fund-Balance Sheet</v>
      </c>
      <c r="C39" s="296" t="str">
        <f>'Unit Data from Audit Worksheet'!D47</f>
        <v>All restricted cash and investments</v>
      </c>
      <c r="D39" s="102"/>
      <c r="E39" s="144">
        <f>'Unit Data from Audit Worksheet'!F47</f>
        <v>0</v>
      </c>
      <c r="F39" s="31">
        <f>IF(L39&lt;0,"Error: Number is normally positive.",)</f>
        <v>0</v>
      </c>
      <c r="G39" s="66"/>
      <c r="H39" s="221"/>
      <c r="I39" s="32"/>
      <c r="J39" s="35">
        <v>536</v>
      </c>
      <c r="K39" s="219" t="s">
        <v>190</v>
      </c>
      <c r="L39" s="297">
        <f t="shared" si="5"/>
        <v>0</v>
      </c>
      <c r="P39" s="196"/>
      <c r="Q39" s="291"/>
      <c r="S39" s="290"/>
      <c r="T39" s="290"/>
      <c r="U39" s="290"/>
      <c r="V39" s="290"/>
      <c r="W39" s="18"/>
      <c r="X39" s="549">
        <v>536</v>
      </c>
      <c r="Y39" s="284">
        <v>536</v>
      </c>
      <c r="Z39" s="18"/>
      <c r="AA39" s="384">
        <f t="shared" si="0"/>
        <v>0</v>
      </c>
      <c r="AB39" s="284">
        <f t="shared" si="1"/>
        <v>0</v>
      </c>
    </row>
    <row r="40" spans="1:28" ht="56.25" customHeight="1" x14ac:dyDescent="0.3">
      <c r="A40" s="210">
        <f>'Unit Data from Audit Worksheet'!A48</f>
        <v>586</v>
      </c>
      <c r="B40" s="223" t="str">
        <f>'Unit Data from Audit Worksheet'!C48</f>
        <v>General Fund-Balance Sheet</v>
      </c>
      <c r="C40" s="209" t="str">
        <f>'Unit Data from Audit Worksheet'!D48</f>
        <v>Advance To: Interfund loan receivable-portion of repayment plan longer than 12 months</v>
      </c>
      <c r="D40" s="134"/>
      <c r="E40" s="229">
        <f>'Unit Data from Audit Worksheet'!F48</f>
        <v>0</v>
      </c>
      <c r="F40" s="222"/>
      <c r="G40" s="224"/>
      <c r="H40" s="221"/>
      <c r="I40" s="32"/>
      <c r="J40" s="220">
        <v>586</v>
      </c>
      <c r="K40" s="209" t="s">
        <v>313</v>
      </c>
      <c r="L40" s="287">
        <f t="shared" si="5"/>
        <v>0</v>
      </c>
      <c r="P40" s="196"/>
      <c r="Q40" s="291"/>
      <c r="S40" s="290"/>
      <c r="T40" s="290"/>
      <c r="U40" s="290"/>
      <c r="V40" s="290"/>
      <c r="W40" s="18"/>
      <c r="X40" s="549">
        <v>586</v>
      </c>
      <c r="Y40" s="284">
        <v>586</v>
      </c>
      <c r="Z40" s="18"/>
      <c r="AA40" s="384">
        <f t="shared" si="0"/>
        <v>0</v>
      </c>
      <c r="AB40" s="284">
        <f t="shared" si="1"/>
        <v>0</v>
      </c>
    </row>
    <row r="41" spans="1:28" ht="28.8" x14ac:dyDescent="0.3">
      <c r="A41" s="210">
        <f>'Unit Data from Audit Worksheet'!A49</f>
        <v>379</v>
      </c>
      <c r="B41" s="223" t="str">
        <f>'Unit Data from Audit Worksheet'!C49</f>
        <v>General Fund-Balance Sheet</v>
      </c>
      <c r="C41" s="209" t="str">
        <f>'Unit Data from Audit Worksheet'!D49</f>
        <v>Total Assets and deferred outflows</v>
      </c>
      <c r="D41" s="134"/>
      <c r="E41" s="229">
        <f>'Unit Data from Audit Worksheet'!F49</f>
        <v>0</v>
      </c>
      <c r="F41" s="77">
        <f>IF((L38+L39)&gt;L41,"Error: Please review accts (506+536)&gt;379",)</f>
        <v>0</v>
      </c>
      <c r="G41" s="224"/>
      <c r="H41" s="221"/>
      <c r="I41" s="32"/>
      <c r="J41" s="220">
        <v>379</v>
      </c>
      <c r="K41" s="219" t="s">
        <v>110</v>
      </c>
      <c r="L41" s="287">
        <f t="shared" si="5"/>
        <v>0</v>
      </c>
      <c r="P41" s="193"/>
      <c r="X41" s="549">
        <v>379</v>
      </c>
      <c r="Y41" s="284">
        <v>379</v>
      </c>
      <c r="AA41" s="384">
        <f t="shared" si="0"/>
        <v>0</v>
      </c>
      <c r="AB41" s="284">
        <f t="shared" si="1"/>
        <v>0</v>
      </c>
    </row>
    <row r="42" spans="1:28" ht="106.5" customHeight="1" x14ac:dyDescent="0.3">
      <c r="A42" s="210">
        <f>'Unit Data from Audit Worksheet'!A50</f>
        <v>368</v>
      </c>
      <c r="B42" s="223" t="str">
        <f>'Unit Data from Audit Worksheet'!C50</f>
        <v>General Fund-Balance Sheet</v>
      </c>
      <c r="C42" s="209" t="str">
        <f>'Unit Data from Audit Worksheet'!D50</f>
        <v>Total Liabilities payable from restricted assets (only complete if this is listed in your financial statements for the general fund and the auditor has listed the cash to be used to pay the liabilities as restricted)</v>
      </c>
      <c r="D42" s="134"/>
      <c r="E42" s="229">
        <f>'Unit Data from Audit Worksheet'!F50</f>
        <v>0</v>
      </c>
      <c r="F42" s="222">
        <f>IF(L42&lt;0,"Error: Enter as a positive.",)</f>
        <v>0</v>
      </c>
      <c r="G42" s="224"/>
      <c r="H42" s="221"/>
      <c r="I42" s="32"/>
      <c r="J42" s="220">
        <v>368</v>
      </c>
      <c r="K42" s="219" t="s">
        <v>191</v>
      </c>
      <c r="L42" s="287">
        <f t="shared" si="5"/>
        <v>0</v>
      </c>
      <c r="P42" s="194"/>
      <c r="S42" s="18"/>
      <c r="T42" s="18"/>
      <c r="U42" s="18"/>
      <c r="V42" s="18"/>
      <c r="X42" s="549">
        <v>368</v>
      </c>
      <c r="Y42" s="284">
        <v>368</v>
      </c>
      <c r="Z42" s="18"/>
      <c r="AA42" s="384">
        <f t="shared" si="0"/>
        <v>0</v>
      </c>
      <c r="AB42" s="284">
        <f t="shared" si="1"/>
        <v>0</v>
      </c>
    </row>
    <row r="43" spans="1:28" ht="90.75" customHeight="1" x14ac:dyDescent="0.3">
      <c r="A43" s="210">
        <f>'Unit Data from Audit Worksheet'!A51</f>
        <v>4</v>
      </c>
      <c r="B43" s="47" t="str">
        <f>'Unit Data from Audit Worksheet'!C51</f>
        <v>General Fund-Balance Sheet</v>
      </c>
      <c r="C43" s="296" t="str">
        <f>'Unit Data from Audit Worksheet'!D51</f>
        <v>Current Liabilities (as reported on the Balance Sheet)
Exclude all deferred inflows. 
Include advance from(long-term portion of interfund loans)</v>
      </c>
      <c r="D43" s="134"/>
      <c r="E43" s="144">
        <f>'Unit Data from Audit Worksheet'!F51</f>
        <v>0</v>
      </c>
      <c r="F43" s="31">
        <f t="shared" ref="F43:F52" si="6">IF(L43&lt;0,"Error: Enter as a positive.",)</f>
        <v>0</v>
      </c>
      <c r="G43" s="66"/>
      <c r="H43" s="221"/>
      <c r="I43" s="32"/>
      <c r="J43" s="35">
        <v>4</v>
      </c>
      <c r="K43" s="219" t="s">
        <v>111</v>
      </c>
      <c r="L43" s="297">
        <f t="shared" si="5"/>
        <v>0</v>
      </c>
      <c r="P43" s="194"/>
      <c r="S43" s="18"/>
      <c r="T43" s="18"/>
      <c r="U43" s="18"/>
      <c r="V43" s="18"/>
      <c r="X43" s="549">
        <v>4</v>
      </c>
      <c r="Y43" s="284">
        <v>4</v>
      </c>
      <c r="Z43" s="18"/>
      <c r="AA43" s="384">
        <f t="shared" si="0"/>
        <v>0</v>
      </c>
      <c r="AB43" s="284">
        <f t="shared" si="1"/>
        <v>0</v>
      </c>
    </row>
    <row r="44" spans="1:28" ht="131.25" customHeight="1" x14ac:dyDescent="0.3">
      <c r="A44" s="210">
        <f>'Unit Data from Audit Worksheet'!A52</f>
        <v>5</v>
      </c>
      <c r="B44" s="47" t="str">
        <f>'Unit Data from Audit Worksheet'!C52</f>
        <v>General Fund-Balance Sheet</v>
      </c>
      <c r="C44" s="296" t="str">
        <f>'Unit Data from Audit Worksheet'!D52</f>
        <v>General fund deferred inflows derived from cash receipts. 
 Prepaid taxes is a common item listed.  Deferred inflows on the face of the statements can include cash and non-cash.  You may have to refer to the note disclosure where the cash and non-cash is broken out.</v>
      </c>
      <c r="D44" s="134"/>
      <c r="E44" s="144">
        <f>'Unit Data from Audit Worksheet'!F52</f>
        <v>0</v>
      </c>
      <c r="F44" s="31">
        <f t="shared" si="6"/>
        <v>0</v>
      </c>
      <c r="G44" s="66"/>
      <c r="H44" s="221"/>
      <c r="I44" s="32"/>
      <c r="J44" s="35">
        <v>5</v>
      </c>
      <c r="K44" s="219" t="s">
        <v>112</v>
      </c>
      <c r="L44" s="297">
        <f t="shared" si="5"/>
        <v>0</v>
      </c>
      <c r="P44" s="194"/>
      <c r="S44" s="18"/>
      <c r="T44" s="18"/>
      <c r="U44" s="18"/>
      <c r="V44" s="18"/>
      <c r="X44" s="549">
        <v>5</v>
      </c>
      <c r="Y44" s="284">
        <v>5</v>
      </c>
      <c r="Z44" s="18"/>
      <c r="AA44" s="384">
        <f t="shared" si="0"/>
        <v>0</v>
      </c>
      <c r="AB44" s="284">
        <f t="shared" si="1"/>
        <v>0</v>
      </c>
    </row>
    <row r="45" spans="1:28" ht="104.25" customHeight="1" x14ac:dyDescent="0.3">
      <c r="A45" s="210">
        <f>'Unit Data from Audit Worksheet'!A53</f>
        <v>380</v>
      </c>
      <c r="B45" s="223" t="str">
        <f>'Unit Data from Audit Worksheet'!C53</f>
        <v>General Fund-Balance Sheet</v>
      </c>
      <c r="C45" s="209" t="str">
        <f>'Unit Data from Audit Worksheet'!D53</f>
        <v>Total Deferred inflows not derived from cash receipts.  Deferred inflows on the face of the statements can include cash and non-cash.  You may have to refer to the note disclosure where the cash and non-cash is broken out.</v>
      </c>
      <c r="D45" s="134"/>
      <c r="E45" s="229">
        <f>'Unit Data from Audit Worksheet'!F53</f>
        <v>0</v>
      </c>
      <c r="F45" s="222">
        <f t="shared" si="6"/>
        <v>0</v>
      </c>
      <c r="G45" s="224"/>
      <c r="H45" s="221"/>
      <c r="I45" s="32"/>
      <c r="J45" s="220">
        <v>380</v>
      </c>
      <c r="K45" s="219" t="s">
        <v>113</v>
      </c>
      <c r="L45" s="287">
        <f t="shared" si="5"/>
        <v>0</v>
      </c>
      <c r="P45" s="194"/>
      <c r="X45" s="549">
        <v>380</v>
      </c>
      <c r="Y45" s="284">
        <v>380</v>
      </c>
      <c r="AA45" s="384">
        <f t="shared" si="0"/>
        <v>0</v>
      </c>
      <c r="AB45" s="284">
        <f t="shared" si="1"/>
        <v>0</v>
      </c>
    </row>
    <row r="46" spans="1:28" ht="41.25" customHeight="1" x14ac:dyDescent="0.3">
      <c r="A46" s="210">
        <f>'Unit Data from Audit Worksheet'!A54</f>
        <v>391</v>
      </c>
      <c r="B46" s="223" t="str">
        <f>'Unit Data from Audit Worksheet'!C54</f>
        <v>General Fund-Balance Sheet</v>
      </c>
      <c r="C46" s="209" t="str">
        <f>'Unit Data from Audit Worksheet'!D54</f>
        <v xml:space="preserve">Fund balance, Restricted for Stabilization by State Statute </v>
      </c>
      <c r="D46" s="134"/>
      <c r="E46" s="229">
        <f>'Unit Data from Audit Worksheet'!F54</f>
        <v>0</v>
      </c>
      <c r="F46" s="222">
        <f t="shared" si="6"/>
        <v>0</v>
      </c>
      <c r="G46" s="224"/>
      <c r="H46" s="221"/>
      <c r="I46" s="32"/>
      <c r="J46" s="220">
        <v>391</v>
      </c>
      <c r="K46" s="219" t="s">
        <v>192</v>
      </c>
      <c r="L46" s="287">
        <f t="shared" si="5"/>
        <v>0</v>
      </c>
      <c r="P46" s="194"/>
      <c r="X46" s="549">
        <v>391</v>
      </c>
      <c r="Y46" s="284">
        <v>391</v>
      </c>
      <c r="AA46" s="384">
        <f t="shared" si="0"/>
        <v>0</v>
      </c>
      <c r="AB46" s="284">
        <f t="shared" si="1"/>
        <v>0</v>
      </c>
    </row>
    <row r="47" spans="1:28" ht="28.8" x14ac:dyDescent="0.3">
      <c r="A47" s="210">
        <f>'Unit Data from Audit Worksheet'!A55</f>
        <v>7</v>
      </c>
      <c r="B47" s="47" t="str">
        <f>'Unit Data from Audit Worksheet'!C55</f>
        <v>General Fund-Balance Sheet</v>
      </c>
      <c r="C47" s="296" t="str">
        <f>'Unit Data from Audit Worksheet'!D55</f>
        <v>Fund balance, Nonspendable-  inventory/prepaids/etc.</v>
      </c>
      <c r="D47" s="134"/>
      <c r="E47" s="144">
        <f>'Unit Data from Audit Worksheet'!F55</f>
        <v>0</v>
      </c>
      <c r="F47" s="31">
        <f t="shared" si="6"/>
        <v>0</v>
      </c>
      <c r="G47" s="66"/>
      <c r="H47" s="221"/>
      <c r="I47" s="32"/>
      <c r="J47" s="35">
        <v>7</v>
      </c>
      <c r="K47" s="219" t="s">
        <v>193</v>
      </c>
      <c r="L47" s="297">
        <f t="shared" si="5"/>
        <v>0</v>
      </c>
      <c r="P47" s="194"/>
      <c r="X47" s="549">
        <v>7</v>
      </c>
      <c r="Y47" s="284">
        <v>7</v>
      </c>
      <c r="AA47" s="384">
        <f t="shared" si="0"/>
        <v>0</v>
      </c>
      <c r="AB47" s="284">
        <f t="shared" si="1"/>
        <v>0</v>
      </c>
    </row>
    <row r="48" spans="1:28" ht="89.25" customHeight="1" x14ac:dyDescent="0.3">
      <c r="A48" s="298">
        <f>'Unit Data from Audit Worksheet'!A56</f>
        <v>11</v>
      </c>
      <c r="B48" s="109" t="str">
        <f>'Unit Data from Audit Worksheet'!C56</f>
        <v>General Fund-Balance Sheet</v>
      </c>
      <c r="C48" s="289" t="str">
        <f>'Unit Data from Audit Worksheet'!D56</f>
        <v>Fund balance, Restricted for Streets (unspent Powell Bill balance).  You may have to refer to the note disclosure where restricted fund balance is described.</v>
      </c>
      <c r="D48" s="102"/>
      <c r="E48" s="145">
        <f>'Unit Data from Audit Worksheet'!F56</f>
        <v>0</v>
      </c>
      <c r="F48" s="103">
        <f t="shared" si="6"/>
        <v>0</v>
      </c>
      <c r="G48" s="104"/>
      <c r="H48" s="105"/>
      <c r="I48" s="32"/>
      <c r="J48" s="97">
        <v>11</v>
      </c>
      <c r="K48" s="38" t="s">
        <v>194</v>
      </c>
      <c r="L48" s="287">
        <f t="shared" si="5"/>
        <v>0</v>
      </c>
      <c r="P48" s="194"/>
      <c r="X48" s="549">
        <v>11</v>
      </c>
      <c r="Y48" s="284">
        <v>11</v>
      </c>
      <c r="AA48" s="384">
        <f t="shared" si="0"/>
        <v>0</v>
      </c>
      <c r="AB48" s="284">
        <f t="shared" si="1"/>
        <v>0</v>
      </c>
    </row>
    <row r="49" spans="1:28" s="18" customFormat="1" ht="48.75" customHeight="1" x14ac:dyDescent="0.3">
      <c r="A49" s="188">
        <f>'Unit Data from Audit Worksheet'!A57</f>
        <v>645</v>
      </c>
      <c r="B49" s="233" t="str">
        <f>'Unit Data from Audit Worksheet'!C57</f>
        <v>General Fund-Balance Sheet</v>
      </c>
      <c r="C49" s="188" t="str">
        <f>'Unit Data from Audit Worksheet'!D57</f>
        <v>Fund balance, Assigned (total of all assigned components)</v>
      </c>
      <c r="D49" s="108"/>
      <c r="E49" s="232">
        <f>'Unit Data from Audit Worksheet'!F57</f>
        <v>0</v>
      </c>
      <c r="F49" s="217">
        <f>IF(L49&lt;0,"Error: Enter as a positive.",)</f>
        <v>0</v>
      </c>
      <c r="G49" s="205"/>
      <c r="H49" s="217"/>
      <c r="I49" s="299"/>
      <c r="J49" s="216">
        <v>645</v>
      </c>
      <c r="K49" s="188" t="s">
        <v>381</v>
      </c>
      <c r="L49" s="300">
        <f t="shared" si="5"/>
        <v>0</v>
      </c>
      <c r="M49"/>
      <c r="N49" s="290"/>
      <c r="O49" s="290"/>
      <c r="P49" s="194"/>
      <c r="Q49" s="277"/>
      <c r="R49" s="3"/>
      <c r="S49" s="3"/>
      <c r="T49" s="3"/>
      <c r="U49" s="3"/>
      <c r="V49" s="3"/>
      <c r="W49" s="3"/>
      <c r="X49" s="549">
        <v>645</v>
      </c>
      <c r="Y49" s="284">
        <v>645</v>
      </c>
      <c r="Z49" s="3"/>
      <c r="AA49" s="384">
        <f t="shared" si="0"/>
        <v>0</v>
      </c>
      <c r="AB49" s="284">
        <f t="shared" si="1"/>
        <v>0</v>
      </c>
    </row>
    <row r="50" spans="1:28" s="18" customFormat="1" ht="45.75" customHeight="1" x14ac:dyDescent="0.3">
      <c r="A50" s="188">
        <f>'Unit Data from Audit Worksheet'!A58</f>
        <v>646</v>
      </c>
      <c r="B50" s="233" t="str">
        <f>'Unit Data from Audit Worksheet'!C58</f>
        <v>General Fund-Balance Sheet</v>
      </c>
      <c r="C50" s="188" t="str">
        <f>'Unit Data from Audit Worksheet'!D58</f>
        <v>Fund Balance, Unassigned</v>
      </c>
      <c r="D50" s="108"/>
      <c r="E50" s="232">
        <f>'Unit Data from Audit Worksheet'!F58</f>
        <v>0</v>
      </c>
      <c r="F50" s="217">
        <f>IF(L50&lt;0,"Error: Enter as a positive.",)</f>
        <v>0</v>
      </c>
      <c r="G50" s="205"/>
      <c r="H50" s="217"/>
      <c r="I50" s="299"/>
      <c r="J50" s="216">
        <v>646</v>
      </c>
      <c r="K50" s="188" t="s">
        <v>382</v>
      </c>
      <c r="L50" s="300">
        <f t="shared" si="5"/>
        <v>0</v>
      </c>
      <c r="M50"/>
      <c r="N50" s="290"/>
      <c r="O50" s="290"/>
      <c r="P50" s="194"/>
      <c r="Q50" s="277"/>
      <c r="R50" s="3"/>
      <c r="S50" s="3"/>
      <c r="T50" s="3"/>
      <c r="U50" s="3"/>
      <c r="V50" s="3"/>
      <c r="W50" s="3"/>
      <c r="X50" s="549">
        <v>646</v>
      </c>
      <c r="Y50" s="284">
        <v>646</v>
      </c>
      <c r="Z50" s="3"/>
      <c r="AA50" s="384">
        <f t="shared" si="0"/>
        <v>0</v>
      </c>
      <c r="AB50" s="284">
        <f t="shared" si="1"/>
        <v>0</v>
      </c>
    </row>
    <row r="51" spans="1:28" ht="55.5" customHeight="1" x14ac:dyDescent="0.3">
      <c r="A51" s="285">
        <f>'Unit Data from Audit Worksheet'!A59</f>
        <v>9</v>
      </c>
      <c r="B51" s="110" t="str">
        <f>'Unit Data from Audit Worksheet'!C59</f>
        <v>General Fund-Balance Sheet</v>
      </c>
      <c r="C51" s="301" t="str">
        <f>'Unit Data from Audit Worksheet'!D59</f>
        <v>Total Fund balance (enter fund deficits as negative)</v>
      </c>
      <c r="D51" s="134"/>
      <c r="E51" s="143">
        <f>'Unit Data from Audit Worksheet'!F59</f>
        <v>0</v>
      </c>
      <c r="F51" s="111">
        <f>IF(L41-L43-L44-L45-L51=0,,"Error: Total assets less total liabilities do not equal Acct +379-4-5-380-9=0")</f>
        <v>0</v>
      </c>
      <c r="G51" s="112">
        <f>L41-L43-L44-L45-L51</f>
        <v>0</v>
      </c>
      <c r="H51" s="221"/>
      <c r="I51" s="32"/>
      <c r="J51" s="113">
        <v>9</v>
      </c>
      <c r="K51" s="45" t="s">
        <v>195</v>
      </c>
      <c r="L51" s="297">
        <f t="shared" si="5"/>
        <v>0</v>
      </c>
      <c r="O51" s="294" t="e">
        <f>'Unit Data from Audit Worksheet'!E59</f>
        <v>#N/A</v>
      </c>
      <c r="P51" s="194"/>
      <c r="X51" s="549">
        <v>9</v>
      </c>
      <c r="Y51" s="284">
        <v>9</v>
      </c>
      <c r="AA51" s="384">
        <f t="shared" si="0"/>
        <v>0</v>
      </c>
      <c r="AB51" s="284">
        <f t="shared" si="1"/>
        <v>0</v>
      </c>
    </row>
    <row r="52" spans="1:28" s="18" customFormat="1" ht="73.5" customHeight="1" x14ac:dyDescent="0.3">
      <c r="A52" s="210">
        <f>'Unit Data from Audit Worksheet'!A60</f>
        <v>540</v>
      </c>
      <c r="B52" s="223" t="str">
        <f>'Unit Data from Audit Worksheet'!C60</f>
        <v>General Fund - Budget Actual Statement</v>
      </c>
      <c r="C52" s="209" t="str">
        <f>'Unit Data from Audit Worksheet'!D60</f>
        <v>Amount of the General Fund Balance appropriated in next year's budget. As reported on the General Fund Balance Sheet.</v>
      </c>
      <c r="D52" s="134"/>
      <c r="E52" s="229">
        <f>'Unit Data from Audit Worksheet'!F60</f>
        <v>0</v>
      </c>
      <c r="F52" s="222">
        <f t="shared" si="6"/>
        <v>0</v>
      </c>
      <c r="G52" s="224"/>
      <c r="H52" s="221"/>
      <c r="I52" s="32"/>
      <c r="J52" s="220">
        <v>540</v>
      </c>
      <c r="K52" s="219" t="s">
        <v>253</v>
      </c>
      <c r="L52" s="287">
        <f t="shared" ref="L52:L79" si="7">IF(D52="",E52,D52)</f>
        <v>0</v>
      </c>
      <c r="M52"/>
      <c r="P52" s="194"/>
      <c r="Q52" s="277"/>
      <c r="R52" s="3"/>
      <c r="S52" s="3"/>
      <c r="T52" s="3"/>
      <c r="U52" s="3"/>
      <c r="V52" s="3"/>
      <c r="W52" s="3"/>
      <c r="X52" s="549">
        <v>540</v>
      </c>
      <c r="Y52" s="284">
        <v>540</v>
      </c>
      <c r="Z52" s="3"/>
      <c r="AA52" s="384">
        <f t="shared" si="0"/>
        <v>0</v>
      </c>
      <c r="AB52" s="284">
        <f t="shared" si="1"/>
        <v>0</v>
      </c>
    </row>
    <row r="53" spans="1:28" s="18" customFormat="1" ht="73.5" customHeight="1" x14ac:dyDescent="0.3">
      <c r="A53" s="210">
        <f>'Unit Data from Audit Worksheet'!A61</f>
        <v>1052</v>
      </c>
      <c r="B53" s="223" t="str">
        <f>'Unit Data from Audit Worksheet'!C61</f>
        <v>General Fund-Rev, Exp. Change in Fund Balance</v>
      </c>
      <c r="C53" s="209" t="str">
        <f>'Unit Data from Audit Worksheet'!D61</f>
        <v>Mark to Market unrealized losses in the General Fund. (enter as a negative number)</v>
      </c>
      <c r="D53" s="134"/>
      <c r="E53" s="229">
        <f>'Unit Data from Audit Worksheet'!F61</f>
        <v>0</v>
      </c>
      <c r="F53" s="222"/>
      <c r="G53" s="224"/>
      <c r="H53" s="221"/>
      <c r="I53" s="32"/>
      <c r="J53" s="220">
        <v>1052</v>
      </c>
      <c r="K53" s="219" t="s">
        <v>1533</v>
      </c>
      <c r="L53" s="293">
        <f t="shared" si="7"/>
        <v>0</v>
      </c>
      <c r="M53"/>
      <c r="P53" s="194"/>
      <c r="Q53" s="277"/>
      <c r="R53" s="384"/>
      <c r="S53" s="384"/>
      <c r="T53" s="384"/>
      <c r="U53" s="384"/>
      <c r="V53" s="384"/>
      <c r="W53" s="384"/>
      <c r="X53" s="549"/>
      <c r="Y53" s="284"/>
      <c r="Z53" s="384"/>
      <c r="AA53" s="384">
        <f t="shared" si="0"/>
        <v>0</v>
      </c>
      <c r="AB53" s="284"/>
    </row>
    <row r="54" spans="1:28" s="18" customFormat="1" ht="73.5" customHeight="1" x14ac:dyDescent="0.3">
      <c r="A54" s="210">
        <f>'Unit Data from Audit Worksheet'!A63</f>
        <v>984</v>
      </c>
      <c r="B54" s="223" t="str">
        <f>'Unit Data from Audit Worksheet'!C63</f>
        <v>General Fund - Budget Actual Statement</v>
      </c>
      <c r="C54" s="209" t="str">
        <f>'Unit Data from Audit Worksheet'!D63</f>
        <v>Amount of Ad valorem tax collected (including motor vehicle and prior years) reported on budget actual statement</v>
      </c>
      <c r="D54" s="134"/>
      <c r="E54" s="229">
        <f>'Unit Data from Audit Worksheet'!F63</f>
        <v>0</v>
      </c>
      <c r="F54" s="222"/>
      <c r="G54" s="224"/>
      <c r="H54" s="221"/>
      <c r="I54" s="32"/>
      <c r="J54" s="220">
        <v>984</v>
      </c>
      <c r="K54" s="219" t="s">
        <v>591</v>
      </c>
      <c r="L54" s="293">
        <f t="shared" si="7"/>
        <v>0</v>
      </c>
      <c r="M54"/>
      <c r="P54" s="194"/>
      <c r="Q54" s="277"/>
      <c r="R54" s="3"/>
      <c r="S54" s="3"/>
      <c r="T54" s="3"/>
      <c r="U54" s="3"/>
      <c r="V54" s="3"/>
      <c r="W54" s="3"/>
      <c r="X54" s="549">
        <v>984</v>
      </c>
      <c r="Y54" s="284">
        <v>984</v>
      </c>
      <c r="Z54" s="3"/>
      <c r="AA54" s="384">
        <f t="shared" si="0"/>
        <v>0</v>
      </c>
      <c r="AB54" s="284">
        <f t="shared" si="1"/>
        <v>0</v>
      </c>
    </row>
    <row r="55" spans="1:28" s="18" customFormat="1" ht="73.5" customHeight="1" x14ac:dyDescent="0.3">
      <c r="A55" s="210">
        <f>'Unit Data from Audit Worksheet'!A64</f>
        <v>985</v>
      </c>
      <c r="B55" s="223" t="str">
        <f>'Unit Data from Audit Worksheet'!C64</f>
        <v>General Fund - Budget Actual Statement</v>
      </c>
      <c r="C55" s="209" t="str">
        <f>'Unit Data from Audit Worksheet'!D64</f>
        <v>Amount of Ad valorem tax budgeted (including motor vehicle and prior years) reported on budget actual statement</v>
      </c>
      <c r="D55" s="134"/>
      <c r="E55" s="229">
        <f>'Unit Data from Audit Worksheet'!F64</f>
        <v>0</v>
      </c>
      <c r="F55" s="222"/>
      <c r="G55" s="224"/>
      <c r="H55" s="221"/>
      <c r="I55" s="32"/>
      <c r="J55" s="220">
        <v>985</v>
      </c>
      <c r="K55" s="219" t="s">
        <v>592</v>
      </c>
      <c r="L55" s="293">
        <f t="shared" si="7"/>
        <v>0</v>
      </c>
      <c r="M55"/>
      <c r="P55" s="195"/>
      <c r="Q55" s="277"/>
      <c r="R55" s="3"/>
      <c r="S55" s="3"/>
      <c r="T55" s="3"/>
      <c r="U55" s="3"/>
      <c r="V55" s="3"/>
      <c r="W55" s="3"/>
      <c r="X55" s="549">
        <v>985</v>
      </c>
      <c r="Y55" s="284">
        <v>985</v>
      </c>
      <c r="Z55" s="3"/>
      <c r="AA55" s="384">
        <f t="shared" si="0"/>
        <v>0</v>
      </c>
      <c r="AB55" s="284">
        <f t="shared" si="1"/>
        <v>0</v>
      </c>
    </row>
    <row r="56" spans="1:28" ht="73.5" customHeight="1" x14ac:dyDescent="0.3">
      <c r="A56" s="210">
        <f>'Unit Data from Audit Worksheet'!A65</f>
        <v>369</v>
      </c>
      <c r="B56" s="223" t="str">
        <f>'Unit Data from Audit Worksheet'!C65</f>
        <v>General Fund-Rev, Exp. Change in Fund Balance</v>
      </c>
      <c r="C56" s="209" t="str">
        <f>'Unit Data from Audit Worksheet'!D65</f>
        <v>Total Intergovernmental revenue 
Include restricted and unrestricted revenues</v>
      </c>
      <c r="D56" s="134"/>
      <c r="E56" s="229">
        <f>'Unit Data from Audit Worksheet'!F65</f>
        <v>0</v>
      </c>
      <c r="F56" s="222"/>
      <c r="G56" s="224"/>
      <c r="H56" s="221"/>
      <c r="I56" s="32"/>
      <c r="J56" s="220">
        <v>369</v>
      </c>
      <c r="K56" s="219" t="s">
        <v>196</v>
      </c>
      <c r="L56" s="287">
        <f t="shared" si="7"/>
        <v>0</v>
      </c>
      <c r="P56" s="203"/>
      <c r="X56" s="549">
        <v>369</v>
      </c>
      <c r="Y56" s="292">
        <v>369</v>
      </c>
      <c r="AA56" s="384">
        <f t="shared" si="0"/>
        <v>0</v>
      </c>
      <c r="AB56" s="284">
        <f t="shared" si="1"/>
        <v>0</v>
      </c>
    </row>
    <row r="57" spans="1:28" ht="73.5" customHeight="1" x14ac:dyDescent="0.3">
      <c r="A57" s="210">
        <f>'Unit Data from Audit Worksheet'!A66</f>
        <v>16</v>
      </c>
      <c r="B57" s="223" t="str">
        <f>'Unit Data from Audit Worksheet'!C66</f>
        <v>General Fund-Rev, Exp. Change in Fund Balance</v>
      </c>
      <c r="C57" s="209" t="str">
        <f>'Unit Data from Audit Worksheet'!D66</f>
        <v>Total revenues</v>
      </c>
      <c r="D57" s="134"/>
      <c r="E57" s="229">
        <f>'Unit Data from Audit Worksheet'!F66</f>
        <v>0</v>
      </c>
      <c r="F57" s="222"/>
      <c r="G57" s="224"/>
      <c r="H57" s="221"/>
      <c r="I57" s="32"/>
      <c r="J57" s="220">
        <v>16</v>
      </c>
      <c r="K57" s="219" t="s">
        <v>197</v>
      </c>
      <c r="L57" s="287">
        <f t="shared" si="7"/>
        <v>0</v>
      </c>
      <c r="P57" s="203"/>
      <c r="X57" s="549">
        <v>16</v>
      </c>
      <c r="Y57" s="292">
        <v>16</v>
      </c>
      <c r="AA57" s="384">
        <f t="shared" si="0"/>
        <v>0</v>
      </c>
      <c r="AB57" s="284">
        <f t="shared" si="1"/>
        <v>0</v>
      </c>
    </row>
    <row r="58" spans="1:28" ht="73.5" customHeight="1" x14ac:dyDescent="0.3">
      <c r="A58" s="210">
        <f>'Unit Data from Audit Worksheet'!A67</f>
        <v>370</v>
      </c>
      <c r="B58" s="223" t="str">
        <f>'Unit Data from Audit Worksheet'!C67</f>
        <v>General Fund-Rev, Exp. Change in Fund Balance</v>
      </c>
      <c r="C58" s="209" t="str">
        <f>'Unit Data from Audit Worksheet'!D67</f>
        <v>Debt service expenditures. 
Include principal, interest paid, and bond/debt issuance costs on long-term debt</v>
      </c>
      <c r="D58" s="134"/>
      <c r="E58" s="229">
        <f>'Unit Data from Audit Worksheet'!F67</f>
        <v>0</v>
      </c>
      <c r="F58" s="222">
        <f t="shared" ref="F58:F65" si="8">IF(L58&lt;0,"Error: Enter as a positive.",)</f>
        <v>0</v>
      </c>
      <c r="G58" s="224"/>
      <c r="H58" s="221"/>
      <c r="I58" s="32"/>
      <c r="J58" s="220">
        <v>370</v>
      </c>
      <c r="K58" s="219" t="s">
        <v>198</v>
      </c>
      <c r="L58" s="287">
        <f t="shared" si="7"/>
        <v>0</v>
      </c>
      <c r="P58" s="203"/>
      <c r="X58" s="549">
        <v>370</v>
      </c>
      <c r="Y58" s="284">
        <v>370</v>
      </c>
      <c r="AA58" s="384">
        <f t="shared" si="0"/>
        <v>0</v>
      </c>
      <c r="AB58" s="284">
        <f t="shared" si="1"/>
        <v>0</v>
      </c>
    </row>
    <row r="59" spans="1:28" ht="73.5" customHeight="1" x14ac:dyDescent="0.3">
      <c r="A59" s="210">
        <f>'Unit Data from Audit Worksheet'!A68</f>
        <v>532</v>
      </c>
      <c r="B59" s="223" t="str">
        <f>'Unit Data from Audit Worksheet'!C68</f>
        <v>General Fund-Rev, Exp. Change in Fund Balance</v>
      </c>
      <c r="C59" s="209" t="str">
        <f>'Unit Data from Audit Worksheet'!D68</f>
        <v xml:space="preserve">Total expenditures  
Exclude expenditures in the "other financing sources (uses)" section.
</v>
      </c>
      <c r="D59" s="134"/>
      <c r="E59" s="229">
        <f>'Unit Data from Audit Worksheet'!F68</f>
        <v>0</v>
      </c>
      <c r="F59" s="222">
        <f t="shared" si="8"/>
        <v>0</v>
      </c>
      <c r="G59" s="224"/>
      <c r="H59" s="221"/>
      <c r="I59" s="32"/>
      <c r="J59" s="220">
        <v>532</v>
      </c>
      <c r="K59" s="305" t="s">
        <v>199</v>
      </c>
      <c r="L59" s="287">
        <f t="shared" si="7"/>
        <v>0</v>
      </c>
      <c r="P59" s="203"/>
      <c r="X59" s="549">
        <v>532</v>
      </c>
      <c r="Y59" s="284">
        <v>532</v>
      </c>
      <c r="AA59" s="384">
        <f t="shared" si="0"/>
        <v>0</v>
      </c>
      <c r="AB59" s="284">
        <f t="shared" si="1"/>
        <v>0</v>
      </c>
    </row>
    <row r="60" spans="1:28" s="384" customFormat="1" ht="73.5" customHeight="1" x14ac:dyDescent="0.3">
      <c r="A60" s="210">
        <f>'Unit Data from Audit Worksheet'!A69</f>
        <v>1050</v>
      </c>
      <c r="B60" s="223" t="str">
        <f>'Unit Data from Audit Worksheet'!C69</f>
        <v>General Fund-Rev, Exp. Change in Fund Balance</v>
      </c>
      <c r="C60" s="209" t="str">
        <f>'Unit Data from Audit Worksheet'!D69</f>
        <v>Amount expended for Powell Bill expenditures in the General Fund</v>
      </c>
      <c r="D60" s="134"/>
      <c r="E60" s="229">
        <f>'Unit Data from Audit Worksheet'!F69</f>
        <v>0</v>
      </c>
      <c r="F60" s="222"/>
      <c r="G60" s="224"/>
      <c r="H60" s="221"/>
      <c r="I60" s="32"/>
      <c r="J60" s="220">
        <v>1050</v>
      </c>
      <c r="K60" s="209" t="s">
        <v>1436</v>
      </c>
      <c r="L60" s="293">
        <f t="shared" si="7"/>
        <v>0</v>
      </c>
      <c r="M60"/>
      <c r="P60" s="203"/>
      <c r="Q60" s="277"/>
      <c r="X60" s="549"/>
      <c r="Y60" s="284"/>
      <c r="AA60" s="384">
        <f t="shared" si="0"/>
        <v>0</v>
      </c>
      <c r="AB60" s="284"/>
    </row>
    <row r="61" spans="1:28" ht="73.5" customHeight="1" x14ac:dyDescent="0.3">
      <c r="A61" s="210">
        <f>'Unit Data from Audit Worksheet'!A70</f>
        <v>17</v>
      </c>
      <c r="B61" s="223" t="str">
        <f>'Unit Data from Audit Worksheet'!C70</f>
        <v>General Fund-Rev, Exp. Change in Fund Balance</v>
      </c>
      <c r="C61" s="209" t="str">
        <f>'Unit Data from Audit Worksheet'!D70</f>
        <v>Total Transfers in    (Preference is that transfers-in  are not netted against transfers-out)</v>
      </c>
      <c r="D61" s="134"/>
      <c r="E61" s="229">
        <f>'Unit Data from Audit Worksheet'!F70</f>
        <v>0</v>
      </c>
      <c r="F61" s="222">
        <f t="shared" si="8"/>
        <v>0</v>
      </c>
      <c r="G61" s="224"/>
      <c r="H61" s="221"/>
      <c r="I61" s="32"/>
      <c r="J61" s="220">
        <v>17</v>
      </c>
      <c r="K61" s="219" t="s">
        <v>200</v>
      </c>
      <c r="L61" s="287">
        <f t="shared" si="7"/>
        <v>0</v>
      </c>
      <c r="P61" s="203"/>
      <c r="X61" s="549">
        <v>17</v>
      </c>
      <c r="Y61" s="284">
        <v>17</v>
      </c>
      <c r="AA61" s="384">
        <f t="shared" si="0"/>
        <v>0</v>
      </c>
      <c r="AB61" s="284">
        <f t="shared" si="1"/>
        <v>0</v>
      </c>
    </row>
    <row r="62" spans="1:28" ht="54.75" customHeight="1" x14ac:dyDescent="0.3">
      <c r="A62" s="210">
        <f>'Unit Data from Audit Worksheet'!A71</f>
        <v>20</v>
      </c>
      <c r="B62" s="223" t="str">
        <f>'Unit Data from Audit Worksheet'!C71</f>
        <v>General Fund-Rev, Exp. Change in Fund Balance</v>
      </c>
      <c r="C62" s="209" t="str">
        <f>'Unit Data from Audit Worksheet'!D71</f>
        <v>Total Transfers out    (Preference is that transfers-in  are not netted against transfers-out)</v>
      </c>
      <c r="D62" s="134"/>
      <c r="E62" s="229">
        <f>'Unit Data from Audit Worksheet'!F71</f>
        <v>0</v>
      </c>
      <c r="F62" s="222">
        <f t="shared" si="8"/>
        <v>0</v>
      </c>
      <c r="G62" s="224"/>
      <c r="H62" s="221"/>
      <c r="I62" s="32"/>
      <c r="J62" s="220">
        <v>20</v>
      </c>
      <c r="K62" s="219" t="s">
        <v>201</v>
      </c>
      <c r="L62" s="287">
        <f t="shared" si="7"/>
        <v>0</v>
      </c>
      <c r="P62" s="203"/>
      <c r="X62" s="549">
        <v>20</v>
      </c>
      <c r="Y62" s="284">
        <v>20</v>
      </c>
      <c r="AA62" s="384">
        <f t="shared" si="0"/>
        <v>0</v>
      </c>
      <c r="AB62" s="284">
        <f t="shared" si="1"/>
        <v>0</v>
      </c>
    </row>
    <row r="63" spans="1:28" ht="54.75" customHeight="1" x14ac:dyDescent="0.3">
      <c r="A63" s="210">
        <f>'Unit Data from Audit Worksheet'!A72</f>
        <v>533</v>
      </c>
      <c r="B63" s="223" t="str">
        <f>'Unit Data from Audit Worksheet'!C72</f>
        <v>General Fund-Rev, Exp. Change in Fund Balance</v>
      </c>
      <c r="C63" s="209" t="str">
        <f>'Unit Data from Audit Worksheet'!D72</f>
        <v>Total Proceeds from all long-term debt issuances 
Exclude proceeds from refundings</v>
      </c>
      <c r="D63" s="134"/>
      <c r="E63" s="229">
        <f>'Unit Data from Audit Worksheet'!F72</f>
        <v>0</v>
      </c>
      <c r="F63" s="222">
        <f t="shared" si="8"/>
        <v>0</v>
      </c>
      <c r="G63" s="224"/>
      <c r="H63" s="221"/>
      <c r="I63" s="32"/>
      <c r="J63" s="220">
        <v>533</v>
      </c>
      <c r="K63" s="305" t="s">
        <v>202</v>
      </c>
      <c r="L63" s="287">
        <f t="shared" si="7"/>
        <v>0</v>
      </c>
      <c r="P63" s="203"/>
      <c r="X63" s="549">
        <v>533</v>
      </c>
      <c r="Y63" s="284">
        <v>533</v>
      </c>
      <c r="AA63" s="384">
        <f t="shared" si="0"/>
        <v>0</v>
      </c>
      <c r="AB63" s="284">
        <f t="shared" si="1"/>
        <v>0</v>
      </c>
    </row>
    <row r="64" spans="1:28" ht="54.75" customHeight="1" x14ac:dyDescent="0.3">
      <c r="A64" s="210">
        <f>'Unit Data from Audit Worksheet'!A73</f>
        <v>508</v>
      </c>
      <c r="B64" s="223" t="str">
        <f>'Unit Data from Audit Worksheet'!C73</f>
        <v>General Fund-Rev, Exp. Change in Fund Balance</v>
      </c>
      <c r="C64" s="209" t="str">
        <f>'Unit Data from Audit Worksheet'!D73</f>
        <v>Debt Refunding - Net refunding proceeds against debt payoff and if positive place results on this line.</v>
      </c>
      <c r="D64" s="134"/>
      <c r="E64" s="229">
        <f>'Unit Data from Audit Worksheet'!F73</f>
        <v>0</v>
      </c>
      <c r="F64" s="222">
        <f t="shared" si="8"/>
        <v>0</v>
      </c>
      <c r="G64" s="224"/>
      <c r="H64" s="221"/>
      <c r="I64" s="32"/>
      <c r="J64" s="220">
        <v>508</v>
      </c>
      <c r="K64" s="219" t="s">
        <v>204</v>
      </c>
      <c r="L64" s="287">
        <f t="shared" si="7"/>
        <v>0</v>
      </c>
      <c r="N64" s="569"/>
      <c r="P64" s="196"/>
      <c r="X64" s="549">
        <v>508</v>
      </c>
      <c r="Y64" s="284">
        <v>508</v>
      </c>
      <c r="AA64" s="384">
        <f t="shared" si="0"/>
        <v>0</v>
      </c>
      <c r="AB64" s="284">
        <f t="shared" si="1"/>
        <v>0</v>
      </c>
    </row>
    <row r="65" spans="1:28" ht="54.75" customHeight="1" x14ac:dyDescent="0.3">
      <c r="A65" s="210">
        <f>'Unit Data from Audit Worksheet'!A74</f>
        <v>509</v>
      </c>
      <c r="B65" s="223" t="str">
        <f>'Unit Data from Audit Worksheet'!C74</f>
        <v>General Fund-Rev, Exp. Change in Fund Balance</v>
      </c>
      <c r="C65" s="209" t="str">
        <f>'Unit Data from Audit Worksheet'!D74</f>
        <v>Debt Refunding - Net refunding proceeds against debt payoff and if negative place results on this line.</v>
      </c>
      <c r="D65" s="134"/>
      <c r="E65" s="229">
        <f>'Unit Data from Audit Worksheet'!F74</f>
        <v>0</v>
      </c>
      <c r="F65" s="222">
        <f t="shared" si="8"/>
        <v>0</v>
      </c>
      <c r="G65" s="224"/>
      <c r="H65" s="221"/>
      <c r="I65" s="32"/>
      <c r="J65" s="220">
        <v>509</v>
      </c>
      <c r="K65" s="219" t="s">
        <v>205</v>
      </c>
      <c r="L65" s="287">
        <f>IF(D65="",E65,D65)</f>
        <v>0</v>
      </c>
      <c r="N65" s="570"/>
      <c r="P65" s="203"/>
      <c r="Q65" s="291"/>
      <c r="S65" s="290"/>
      <c r="T65" s="290"/>
      <c r="U65" s="290"/>
      <c r="V65" s="290"/>
      <c r="W65" s="18"/>
      <c r="X65" s="549">
        <v>509</v>
      </c>
      <c r="Y65" s="284">
        <v>509</v>
      </c>
      <c r="Z65" s="18"/>
      <c r="AA65" s="384">
        <f t="shared" si="0"/>
        <v>0</v>
      </c>
      <c r="AB65" s="284">
        <f t="shared" si="1"/>
        <v>0</v>
      </c>
    </row>
    <row r="66" spans="1:28" ht="84.75" customHeight="1" x14ac:dyDescent="0.3">
      <c r="A66" s="210">
        <f>'Unit Data from Audit Worksheet'!A75</f>
        <v>22</v>
      </c>
      <c r="B66" s="223" t="str">
        <f>'Unit Data from Audit Worksheet'!C75</f>
        <v>General Fund-Rev, Exp. Change in Fund Balance</v>
      </c>
      <c r="C66" s="209" t="str">
        <f>'Unit Data from Audit Worksheet'!D75</f>
        <v xml:space="preserve">All other items on this statement that were not included in total revenues, total expenditures, transfers in or out, or proceeds from long-term debt above.  </v>
      </c>
      <c r="D66" s="134"/>
      <c r="E66" s="229">
        <f>'Unit Data from Audit Worksheet'!F75</f>
        <v>0</v>
      </c>
      <c r="F66" s="222"/>
      <c r="G66" s="224"/>
      <c r="H66" s="221"/>
      <c r="I66" s="32"/>
      <c r="J66" s="220">
        <v>22</v>
      </c>
      <c r="K66" s="219" t="s">
        <v>203</v>
      </c>
      <c r="L66" s="287">
        <f t="shared" si="7"/>
        <v>0</v>
      </c>
      <c r="N66" s="570"/>
      <c r="P66" s="193"/>
      <c r="Q66" s="308"/>
      <c r="S66" s="307"/>
      <c r="T66" s="307"/>
      <c r="U66" s="307"/>
      <c r="V66" s="307"/>
      <c r="W66" s="307"/>
      <c r="X66" s="549">
        <v>22</v>
      </c>
      <c r="Y66" s="284">
        <v>22</v>
      </c>
      <c r="Z66" s="18"/>
      <c r="AA66" s="384">
        <f t="shared" si="0"/>
        <v>0</v>
      </c>
      <c r="AB66" s="284">
        <f t="shared" si="1"/>
        <v>0</v>
      </c>
    </row>
    <row r="67" spans="1:28" ht="74.25" customHeight="1" x14ac:dyDescent="0.3">
      <c r="A67" s="210">
        <f>'Unit Data from Audit Worksheet'!A76</f>
        <v>23</v>
      </c>
      <c r="B67" s="223" t="str">
        <f>'Unit Data from Audit Worksheet'!C76</f>
        <v>General Fund-Rev, Exp. Change in Fund Balance</v>
      </c>
      <c r="C67" s="209" t="str">
        <f>'Unit Data from Audit Worksheet'!D76</f>
        <v>Change in fund balance - (Increase in Fund balance is recorded as a positive and a decrease in fund balance is recorded as a negative)</v>
      </c>
      <c r="D67" s="134"/>
      <c r="E67" s="229">
        <f>'Unit Data from Audit Worksheet'!F76</f>
        <v>0</v>
      </c>
      <c r="F67" s="222">
        <f>IF(+L57-L59+L61-L62+L63+L64-L65+L66-L67=0,,"Error:Total revenues less toal Expenditures do not equal change in fund balance")</f>
        <v>0</v>
      </c>
      <c r="G67" s="84">
        <f>+L57-L59+L61-L62+L63+L66+L64-L65-L67</f>
        <v>0</v>
      </c>
      <c r="H67" s="221"/>
      <c r="I67" s="32"/>
      <c r="J67" s="220">
        <v>23</v>
      </c>
      <c r="K67" s="219" t="s">
        <v>206</v>
      </c>
      <c r="L67" s="287">
        <f t="shared" si="7"/>
        <v>0</v>
      </c>
      <c r="P67" s="193"/>
      <c r="X67" s="549">
        <v>23</v>
      </c>
      <c r="Y67" s="284">
        <v>23</v>
      </c>
      <c r="AA67" s="384">
        <f t="shared" si="0"/>
        <v>0</v>
      </c>
      <c r="AB67" s="284">
        <f t="shared" si="1"/>
        <v>0</v>
      </c>
    </row>
    <row r="68" spans="1:28" ht="123" customHeight="1" x14ac:dyDescent="0.3">
      <c r="A68" s="298">
        <f>'Unit Data from Audit Worksheet'!A78</f>
        <v>507</v>
      </c>
      <c r="B68" s="109" t="str">
        <f>'Unit Data from Audit Worksheet'!C78</f>
        <v>General Fund-Rev, Exp. Change in Fund Balance</v>
      </c>
      <c r="C68" s="204" t="str">
        <f>'Unit Data from Audit Worksheet'!D78</f>
        <v>Any adjustment to beginning fund balance including rounding, prior period adjustments and restatements.   (Amounts that increase fund balance are recorded as positive and amounts that decrease fund balance are recorded as negative)</v>
      </c>
      <c r="D68" s="102"/>
      <c r="E68" s="145">
        <f>'Unit Data from Audit Worksheet'!F78</f>
        <v>0</v>
      </c>
      <c r="F68" s="103" t="e">
        <f>IF(+L51-L67-L68=O51,,"Error: Beginning Fund Bal does not equal our records Accts 9-23-507= PY9")</f>
        <v>#N/A</v>
      </c>
      <c r="G68" s="114" t="e">
        <f>L51-L67-L68-O51</f>
        <v>#N/A</v>
      </c>
      <c r="H68" s="105" t="e">
        <f>'Unit Data from Audit Worksheet'!I78</f>
        <v>#N/A</v>
      </c>
      <c r="I68" s="32"/>
      <c r="J68" s="97">
        <v>507</v>
      </c>
      <c r="K68" s="38" t="s">
        <v>207</v>
      </c>
      <c r="L68" s="287">
        <f t="shared" si="7"/>
        <v>0</v>
      </c>
      <c r="N68" s="295"/>
      <c r="O68" s="294"/>
      <c r="P68" s="193"/>
      <c r="R68" s="384"/>
      <c r="S68" s="384"/>
      <c r="T68" s="384"/>
      <c r="U68" s="384"/>
      <c r="V68" s="384"/>
      <c r="W68" s="307"/>
      <c r="X68" s="549">
        <v>507</v>
      </c>
      <c r="Y68" s="284">
        <v>507</v>
      </c>
      <c r="Z68" s="384"/>
      <c r="AA68" s="384">
        <f t="shared" si="0"/>
        <v>0</v>
      </c>
      <c r="AB68" s="284">
        <f t="shared" si="1"/>
        <v>0</v>
      </c>
    </row>
    <row r="69" spans="1:28" s="18" customFormat="1" ht="40.5" customHeight="1" x14ac:dyDescent="0.3">
      <c r="A69" s="188">
        <f>'Unit Data from Audit Worksheet'!A79</f>
        <v>647</v>
      </c>
      <c r="B69" s="233" t="str">
        <f>'Unit Data from Audit Worksheet'!C79</f>
        <v>Debt Service Fund</v>
      </c>
      <c r="C69" s="188" t="str">
        <f>'Unit Data from Audit Worksheet'!D79</f>
        <v>Please enter the Total Fund Balance for any Debt Service Funds from the Budgeted to Actual statement</v>
      </c>
      <c r="D69" s="108"/>
      <c r="E69" s="232">
        <f>'Unit Data from Audit Worksheet'!F79</f>
        <v>0</v>
      </c>
      <c r="F69" s="217"/>
      <c r="G69" s="213"/>
      <c r="H69" s="217"/>
      <c r="I69" s="299"/>
      <c r="J69" s="216">
        <v>647</v>
      </c>
      <c r="K69" s="191" t="s">
        <v>792</v>
      </c>
      <c r="L69" s="300">
        <f>IF(D69="",E69,D69)</f>
        <v>0</v>
      </c>
      <c r="M69"/>
      <c r="N69" s="290"/>
      <c r="O69" s="306"/>
      <c r="P69" s="193"/>
      <c r="Q69" s="277"/>
      <c r="R69" s="3"/>
      <c r="S69" s="3"/>
      <c r="T69" s="3"/>
      <c r="U69" s="3"/>
      <c r="V69" s="3"/>
      <c r="W69" s="3"/>
      <c r="X69" s="549">
        <v>647</v>
      </c>
      <c r="Y69" s="284">
        <v>647</v>
      </c>
      <c r="Z69" s="3"/>
      <c r="AA69" s="384">
        <f t="shared" si="0"/>
        <v>0</v>
      </c>
      <c r="AB69" s="284">
        <f t="shared" si="1"/>
        <v>0</v>
      </c>
    </row>
    <row r="70" spans="1:28" ht="60" customHeight="1" x14ac:dyDescent="0.3">
      <c r="A70" s="285">
        <f>'Unit Data from Audit Worksheet'!A81</f>
        <v>171</v>
      </c>
      <c r="B70" s="48" t="str">
        <f>'Unit Data from Audit Worksheet'!C81</f>
        <v>Fund Statements - all Governmental Funds</v>
      </c>
      <c r="C70" s="286" t="str">
        <f>'Unit Data from Audit Worksheet'!D81</f>
        <v>Debt service expenditures from all governmental funds.  Include principal, interest paid, and debt issuance costs on long-term debt.</v>
      </c>
      <c r="D70" s="228"/>
      <c r="E70" s="142">
        <f>'Unit Data from Audit Worksheet'!F81</f>
        <v>0</v>
      </c>
      <c r="F70" s="41">
        <f>IF(L70&lt;0,"Error: Enter as a positive.",)</f>
        <v>0</v>
      </c>
      <c r="G70" s="65"/>
      <c r="H70" s="221"/>
      <c r="I70" s="32"/>
      <c r="J70" s="36">
        <v>171</v>
      </c>
      <c r="K70" s="45" t="s">
        <v>208</v>
      </c>
      <c r="L70" s="287">
        <f t="shared" si="7"/>
        <v>0</v>
      </c>
      <c r="P70" s="193"/>
      <c r="X70" s="549">
        <v>171</v>
      </c>
      <c r="Y70" s="284">
        <v>171</v>
      </c>
      <c r="AA70" s="384">
        <f t="shared" si="0"/>
        <v>0</v>
      </c>
      <c r="AB70" s="284">
        <f t="shared" si="1"/>
        <v>0</v>
      </c>
    </row>
    <row r="71" spans="1:28" ht="69" customHeight="1" x14ac:dyDescent="0.3">
      <c r="A71" s="210">
        <f>'Unit Data from Audit Worksheet'!A85</f>
        <v>596</v>
      </c>
      <c r="B71" s="223"/>
      <c r="C71" s="209" t="str">
        <f>'Unit Data from Audit Worksheet'!D85</f>
        <v>Indicate if your water/sewer system:
50 - Became Operational
51 - Ceased Operations
52 - No Change
Select from drop down.</v>
      </c>
      <c r="D71" s="134"/>
      <c r="E71" s="229">
        <f>'Unit Data from Audit Worksheet'!F85</f>
        <v>0</v>
      </c>
      <c r="F71" s="222"/>
      <c r="G71" s="222" t="str">
        <f>'Unit Data from Audit Worksheet'!G85</f>
        <v>Please do not answer this question unless the unit has a  water and/or sewer fund</v>
      </c>
      <c r="H71" s="221"/>
      <c r="I71" s="32"/>
      <c r="J71" s="220">
        <v>596</v>
      </c>
      <c r="K71" s="219" t="s">
        <v>333</v>
      </c>
      <c r="L71" s="287">
        <f t="shared" si="7"/>
        <v>0</v>
      </c>
      <c r="P71" s="194"/>
      <c r="X71" s="549">
        <v>596</v>
      </c>
      <c r="Y71" s="284">
        <v>596</v>
      </c>
      <c r="AA71" s="384">
        <f t="shared" si="0"/>
        <v>0</v>
      </c>
      <c r="AB71" s="284">
        <f t="shared" si="1"/>
        <v>0</v>
      </c>
    </row>
    <row r="72" spans="1:28" ht="82.2" customHeight="1" x14ac:dyDescent="0.3">
      <c r="A72" s="210">
        <f>'Unit Data from Audit Worksheet'!A86</f>
        <v>80</v>
      </c>
      <c r="B72" s="223" t="str">
        <f>'Unit Data from Audit Worksheet'!C86</f>
        <v>Water Sewer Net Position Statement</v>
      </c>
      <c r="C72" s="209" t="str">
        <f>'Unit Data from Audit Worksheet'!D86</f>
        <v>Unrestricted Cash and investments 
Exclude restricted cash and/or restricted investments.</v>
      </c>
      <c r="D72" s="134"/>
      <c r="E72" s="229">
        <f>'Unit Data from Audit Worksheet'!F86</f>
        <v>0</v>
      </c>
      <c r="F72" s="222">
        <f>IF(L72&lt;0,"Error: Number is normally positive.",)</f>
        <v>0</v>
      </c>
      <c r="G72" s="222" t="e">
        <f>'Unit Data from Audit Worksheet'!G86</f>
        <v>#N/A</v>
      </c>
      <c r="H72" s="221"/>
      <c r="I72" s="32"/>
      <c r="J72" s="220">
        <v>80</v>
      </c>
      <c r="K72" s="219" t="s">
        <v>209</v>
      </c>
      <c r="L72" s="287">
        <f t="shared" si="7"/>
        <v>0</v>
      </c>
      <c r="P72" s="194"/>
      <c r="X72" s="549">
        <v>80</v>
      </c>
      <c r="Y72" s="284">
        <v>80</v>
      </c>
      <c r="AA72" s="384">
        <f t="shared" ref="AA72:AA137" si="9">A72-J72</f>
        <v>0</v>
      </c>
      <c r="AB72" s="284">
        <f t="shared" ref="AB72:AB137" si="10">E72-L72</f>
        <v>0</v>
      </c>
    </row>
    <row r="73" spans="1:28" ht="43.2" x14ac:dyDescent="0.3">
      <c r="A73" s="210">
        <f>'Unit Data from Audit Worksheet'!A87</f>
        <v>81</v>
      </c>
      <c r="B73" s="223" t="str">
        <f>'Unit Data from Audit Worksheet'!C87</f>
        <v>Water Sewer Net Position Statement</v>
      </c>
      <c r="C73" s="209" t="str">
        <f>'Unit Data from Audit Worksheet'!D87</f>
        <v>Customer accounts receivable (net of allowance accounts). 
Include both billed and unbilled amounts.</v>
      </c>
      <c r="D73" s="134"/>
      <c r="E73" s="229">
        <f>'Unit Data from Audit Worksheet'!F87</f>
        <v>0</v>
      </c>
      <c r="F73" s="222">
        <f>IF(L73&lt;0,"Error: Number is normally positive.",)</f>
        <v>0</v>
      </c>
      <c r="G73" s="224"/>
      <c r="H73" s="221"/>
      <c r="I73" s="32"/>
      <c r="J73" s="220">
        <v>81</v>
      </c>
      <c r="K73" s="219" t="s">
        <v>210</v>
      </c>
      <c r="L73" s="287">
        <f t="shared" si="7"/>
        <v>0</v>
      </c>
      <c r="P73" s="194"/>
      <c r="X73" s="549">
        <v>81</v>
      </c>
      <c r="Y73" s="284">
        <v>81</v>
      </c>
      <c r="AA73" s="384">
        <f t="shared" si="9"/>
        <v>0</v>
      </c>
      <c r="AB73" s="284">
        <f t="shared" si="10"/>
        <v>0</v>
      </c>
    </row>
    <row r="74" spans="1:28" ht="68.25" customHeight="1" x14ac:dyDescent="0.3">
      <c r="A74" s="210">
        <f>'Unit Data from Audit Worksheet'!A88</f>
        <v>579</v>
      </c>
      <c r="B74" s="223" t="str">
        <f>'Unit Data from Audit Worksheet'!C88</f>
        <v>Water Sewer Net Position Statement</v>
      </c>
      <c r="C74" s="209" t="str">
        <f>'Unit Data from Audit Worksheet'!D88</f>
        <v>Water Sewer - Advance To:
Interfund loan receivable-portion of repayment plan longer than 12 months</v>
      </c>
      <c r="D74" s="134"/>
      <c r="E74" s="229">
        <f>'Unit Data from Audit Worksheet'!F88</f>
        <v>0</v>
      </c>
      <c r="F74" s="222"/>
      <c r="G74" s="224"/>
      <c r="H74" s="221"/>
      <c r="I74" s="32"/>
      <c r="J74" s="220">
        <v>579</v>
      </c>
      <c r="K74" s="219" t="s">
        <v>314</v>
      </c>
      <c r="L74" s="287">
        <f t="shared" si="7"/>
        <v>0</v>
      </c>
      <c r="N74" s="309"/>
      <c r="P74" s="194"/>
      <c r="X74" s="549">
        <v>579</v>
      </c>
      <c r="Y74" s="284">
        <v>579</v>
      </c>
      <c r="AA74" s="384">
        <f t="shared" si="9"/>
        <v>0</v>
      </c>
      <c r="AB74" s="284">
        <f t="shared" si="10"/>
        <v>0</v>
      </c>
    </row>
    <row r="75" spans="1:28" ht="47.25" customHeight="1" x14ac:dyDescent="0.3">
      <c r="A75" s="210">
        <f>'Unit Data from Audit Worksheet'!A89</f>
        <v>510</v>
      </c>
      <c r="B75" s="223" t="str">
        <f>'Unit Data from Audit Worksheet'!C89</f>
        <v>Water Sewer Net Position Statement</v>
      </c>
      <c r="C75" s="209" t="str">
        <f>'Unit Data from Audit Worksheet'!D89</f>
        <v>Amount of Inventories and Prepaid expenses in current assets</v>
      </c>
      <c r="D75" s="134"/>
      <c r="E75" s="229">
        <f>'Unit Data from Audit Worksheet'!F89</f>
        <v>0</v>
      </c>
      <c r="F75" s="222"/>
      <c r="G75" s="224"/>
      <c r="H75" s="221"/>
      <c r="I75" s="32"/>
      <c r="J75" s="220">
        <v>510</v>
      </c>
      <c r="K75" s="219" t="s">
        <v>211</v>
      </c>
      <c r="L75" s="287">
        <f t="shared" si="7"/>
        <v>0</v>
      </c>
      <c r="P75" s="194"/>
      <c r="X75" s="549">
        <v>510</v>
      </c>
      <c r="Y75" s="284">
        <v>510</v>
      </c>
      <c r="AA75" s="384">
        <f t="shared" si="9"/>
        <v>0</v>
      </c>
      <c r="AB75" s="284">
        <f t="shared" si="10"/>
        <v>0</v>
      </c>
    </row>
    <row r="76" spans="1:28" ht="43.2" x14ac:dyDescent="0.3">
      <c r="A76" s="210">
        <f>'Unit Data from Audit Worksheet'!A90</f>
        <v>654</v>
      </c>
      <c r="B76" s="223" t="str">
        <f>'Unit Data from Audit Worksheet'!C90</f>
        <v>Water Sewer Net Position Statement</v>
      </c>
      <c r="C76" s="209" t="str">
        <f>'Unit Data from Audit Worksheet'!D90</f>
        <v xml:space="preserve">Total Current assets as listed on the WS Net Position Statement.  
</v>
      </c>
      <c r="D76" s="134"/>
      <c r="E76" s="229">
        <f>'Unit Data from Audit Worksheet'!F90</f>
        <v>0</v>
      </c>
      <c r="F76" s="222">
        <f>IF((+L72+L73+L75)&gt;L76,"Please review components of current assets above Acct. (80+81+510&gt;654",)</f>
        <v>0</v>
      </c>
      <c r="G76" s="224"/>
      <c r="H76" s="221"/>
      <c r="I76" s="32"/>
      <c r="J76" s="220">
        <v>654</v>
      </c>
      <c r="K76" s="226" t="s">
        <v>413</v>
      </c>
      <c r="L76" s="287">
        <f t="shared" si="7"/>
        <v>0</v>
      </c>
      <c r="P76" s="194"/>
      <c r="X76" s="549">
        <v>654</v>
      </c>
      <c r="Y76" s="284">
        <v>654</v>
      </c>
      <c r="AA76" s="384">
        <f t="shared" si="9"/>
        <v>0</v>
      </c>
      <c r="AB76" s="284">
        <f t="shared" si="10"/>
        <v>0</v>
      </c>
    </row>
    <row r="77" spans="1:28" ht="43.2" x14ac:dyDescent="0.3">
      <c r="A77" s="210">
        <f>'Unit Data from Audit Worksheet'!A91</f>
        <v>655</v>
      </c>
      <c r="B77" s="223" t="str">
        <f>'Unit Data from Audit Worksheet'!C91</f>
        <v>Water Sewer Net Position Statement</v>
      </c>
      <c r="C77" s="209" t="str">
        <f>'Unit Data from Audit Worksheet'!D91</f>
        <v>WS-Any current assets that are restricted (Cash, Accounts Rec., etc..) and included in account 654 above</v>
      </c>
      <c r="D77" s="134"/>
      <c r="E77" s="229">
        <f>'Unit Data from Audit Worksheet'!F91</f>
        <v>0</v>
      </c>
      <c r="F77" s="222"/>
      <c r="G77" s="224"/>
      <c r="H77" s="221"/>
      <c r="I77" s="32"/>
      <c r="J77" s="220">
        <v>655</v>
      </c>
      <c r="K77" s="226" t="s">
        <v>445</v>
      </c>
      <c r="L77" s="287">
        <f t="shared" si="7"/>
        <v>0</v>
      </c>
      <c r="P77" s="194"/>
      <c r="X77" s="549">
        <v>655</v>
      </c>
      <c r="Y77" s="284">
        <v>655</v>
      </c>
      <c r="AA77" s="384">
        <f t="shared" si="9"/>
        <v>0</v>
      </c>
      <c r="AB77" s="284">
        <f t="shared" si="10"/>
        <v>0</v>
      </c>
    </row>
    <row r="78" spans="1:28" ht="42.75" customHeight="1" x14ac:dyDescent="0.3">
      <c r="A78" s="210">
        <f>'Unit Data from Audit Worksheet'!A92</f>
        <v>381</v>
      </c>
      <c r="B78" s="223" t="str">
        <f>'Unit Data from Audit Worksheet'!C92</f>
        <v>Water Sewer Net Position Statement</v>
      </c>
      <c r="C78" s="209" t="str">
        <f>'Unit Data from Audit Worksheet'!D92</f>
        <v>Total Assets and deferred outflows</v>
      </c>
      <c r="D78" s="134"/>
      <c r="E78" s="229">
        <f>'Unit Data from Audit Worksheet'!F92</f>
        <v>0</v>
      </c>
      <c r="F78" s="222" t="str">
        <f>IF(L78&lt;L76,"Please review components of current assets above acct. 381&lt;654"," ")</f>
        <v xml:space="preserve"> </v>
      </c>
      <c r="G78" s="224"/>
      <c r="H78" s="221"/>
      <c r="I78" s="32"/>
      <c r="J78" s="220">
        <v>381</v>
      </c>
      <c r="K78" s="219" t="s">
        <v>105</v>
      </c>
      <c r="L78" s="287">
        <f t="shared" si="7"/>
        <v>0</v>
      </c>
      <c r="P78" s="194"/>
      <c r="X78" s="549">
        <v>381</v>
      </c>
      <c r="Y78" s="284">
        <v>381</v>
      </c>
      <c r="AA78" s="384">
        <f t="shared" si="9"/>
        <v>0</v>
      </c>
      <c r="AB78" s="284">
        <f t="shared" si="10"/>
        <v>0</v>
      </c>
    </row>
    <row r="79" spans="1:28" ht="60.75" customHeight="1" x14ac:dyDescent="0.3">
      <c r="A79" s="298">
        <f>'Unit Data from Audit Worksheet'!A93</f>
        <v>578</v>
      </c>
      <c r="B79" s="109" t="str">
        <f>'Unit Data from Audit Worksheet'!C93</f>
        <v>Water Sewer Net Position Statement</v>
      </c>
      <c r="C79" s="289" t="str">
        <f>'Unit Data from Audit Worksheet'!D93</f>
        <v>Water Sewer - Advance From: 
Interfund loan Payable-portion of repayment plan longer than 12 months</v>
      </c>
      <c r="D79" s="102"/>
      <c r="E79" s="145">
        <f>'Unit Data from Audit Worksheet'!F93</f>
        <v>0</v>
      </c>
      <c r="F79" s="103"/>
      <c r="G79" s="104"/>
      <c r="H79" s="105"/>
      <c r="I79" s="32"/>
      <c r="J79" s="97">
        <v>578</v>
      </c>
      <c r="K79" s="38" t="s">
        <v>315</v>
      </c>
      <c r="L79" s="287">
        <f t="shared" si="7"/>
        <v>0</v>
      </c>
      <c r="P79" s="194"/>
      <c r="X79" s="549">
        <v>578</v>
      </c>
      <c r="Y79" s="284">
        <v>578</v>
      </c>
      <c r="AA79" s="384">
        <f t="shared" si="9"/>
        <v>0</v>
      </c>
      <c r="AB79" s="284">
        <f t="shared" si="10"/>
        <v>0</v>
      </c>
    </row>
    <row r="80" spans="1:28" s="18" customFormat="1" ht="169.95" customHeight="1" x14ac:dyDescent="0.3">
      <c r="A80" s="188">
        <v>633</v>
      </c>
      <c r="B80" s="233" t="str">
        <f>'Unit Data from Audit Worksheet'!C94</f>
        <v>Water Sewer Net Position Statement</v>
      </c>
      <c r="C80" s="188" t="str">
        <f>'Unit Data from Audit Worksheet'!D94</f>
        <v>Current liabilities (as reported on the Statement of Fund Net Position)
Include:   Current liabilities including current portion of long-term debt.  Deferred inflows should not be included in Current Liabilities  
Enter as positive</v>
      </c>
      <c r="D80" s="102"/>
      <c r="E80" s="659">
        <f>'Unit Data from Audit Worksheet'!F94</f>
        <v>0</v>
      </c>
      <c r="F80"/>
      <c r="G80"/>
      <c r="H80"/>
      <c r="I80" s="656"/>
      <c r="J80" s="216">
        <v>633</v>
      </c>
      <c r="K80" s="191" t="s">
        <v>371</v>
      </c>
      <c r="L80" s="300">
        <f>IF(D80="",E80,D80)</f>
        <v>0</v>
      </c>
      <c r="M80"/>
      <c r="N80" s="290"/>
      <c r="O80" s="290"/>
      <c r="P80" s="194"/>
      <c r="Q80" s="277"/>
      <c r="R80" s="3"/>
      <c r="X80" s="549">
        <v>633</v>
      </c>
      <c r="Y80" s="284">
        <v>633</v>
      </c>
      <c r="AA80" s="384">
        <f t="shared" si="9"/>
        <v>0</v>
      </c>
      <c r="AB80" s="284">
        <f t="shared" si="10"/>
        <v>0</v>
      </c>
    </row>
    <row r="81" spans="1:28" s="18" customFormat="1" ht="130.5" customHeight="1" x14ac:dyDescent="0.3">
      <c r="A81" s="188">
        <v>634</v>
      </c>
      <c r="B81" s="233" t="str">
        <f>'Unit Data from Audit Worksheet'!C95</f>
        <v>Water Sewer Net Position Statement</v>
      </c>
      <c r="C81" s="188" t="str">
        <f>'Unit Data from Audit Worksheet'!D95</f>
        <v>Please enter any bond anticipation notes that are classified as current liabilities and included in account 633 above (amounts entered should agree to the current amount included in the changes to long-term debt note)
Enter as positive</v>
      </c>
      <c r="D81" s="102"/>
      <c r="E81" s="232">
        <f>'Unit Data from Audit Worksheet'!F95</f>
        <v>0</v>
      </c>
      <c r="F81" s="658"/>
      <c r="G81" s="657"/>
      <c r="H81" s="658"/>
      <c r="I81" s="299"/>
      <c r="J81" s="216">
        <v>634</v>
      </c>
      <c r="K81" s="191" t="s">
        <v>372</v>
      </c>
      <c r="L81" s="300">
        <f>IF(D81="",E81,D81)</f>
        <v>0</v>
      </c>
      <c r="M81"/>
      <c r="N81" s="290"/>
      <c r="O81" s="290"/>
      <c r="P81" s="194"/>
      <c r="Q81" s="277"/>
      <c r="R81" s="3"/>
      <c r="X81" s="549">
        <v>634</v>
      </c>
      <c r="Y81" s="284">
        <v>634</v>
      </c>
      <c r="AA81" s="384">
        <f t="shared" si="9"/>
        <v>0</v>
      </c>
      <c r="AB81" s="284">
        <f t="shared" si="10"/>
        <v>0</v>
      </c>
    </row>
    <row r="82" spans="1:28" s="18" customFormat="1" ht="105.75" customHeight="1" x14ac:dyDescent="0.3">
      <c r="A82" s="188">
        <v>635</v>
      </c>
      <c r="B82" s="233" t="str">
        <f>'Unit Data from Audit Worksheet'!C96</f>
        <v>Water Sewer Net Position Statement</v>
      </c>
      <c r="C82" s="188" t="str">
        <f>'Unit Data from Audit Worksheet'!D96</f>
        <v>Please enter any compensated absences that are classified as current liabilities and included in account 633 above (amounts entered should agree to the current amount included in the changes to long-term debt note)
Enter as positive</v>
      </c>
      <c r="D82" s="102"/>
      <c r="E82" s="232">
        <f>'Unit Data from Audit Worksheet'!F96</f>
        <v>0</v>
      </c>
      <c r="F82" s="217"/>
      <c r="G82" s="205"/>
      <c r="H82" s="217"/>
      <c r="I82" s="299"/>
      <c r="J82" s="216">
        <v>635</v>
      </c>
      <c r="K82" s="191" t="s">
        <v>373</v>
      </c>
      <c r="L82" s="300">
        <f>IF(D82="",E82,D82)</f>
        <v>0</v>
      </c>
      <c r="M82"/>
      <c r="N82" s="290"/>
      <c r="O82" s="290"/>
      <c r="P82" s="194"/>
      <c r="Q82" s="277"/>
      <c r="R82" s="3"/>
      <c r="X82" s="549">
        <v>635</v>
      </c>
      <c r="Y82" s="284">
        <v>635</v>
      </c>
      <c r="AA82" s="384">
        <f t="shared" si="9"/>
        <v>0</v>
      </c>
      <c r="AB82" s="284">
        <f t="shared" si="10"/>
        <v>0</v>
      </c>
    </row>
    <row r="83" spans="1:28" s="18" customFormat="1" ht="105.75" customHeight="1" x14ac:dyDescent="0.3">
      <c r="A83" s="188">
        <v>636</v>
      </c>
      <c r="B83" s="233" t="str">
        <f>'Unit Data from Audit Worksheet'!C97</f>
        <v>Water Sewer Net Position Statement</v>
      </c>
      <c r="C83" s="188" t="str">
        <f>'Unit Data from Audit Worksheet'!D97</f>
        <v>Please enter any pension liabilities that are classified as current liabilities and included in account 633 above (amounts entered should agree to the current amount included in the changes to long-term debt note)
Enter as positive</v>
      </c>
      <c r="D83" s="102"/>
      <c r="E83" s="232">
        <f>'Unit Data from Audit Worksheet'!F97</f>
        <v>0</v>
      </c>
      <c r="F83" s="217"/>
      <c r="G83" s="205"/>
      <c r="H83" s="217"/>
      <c r="I83" s="299"/>
      <c r="J83" s="216">
        <v>636</v>
      </c>
      <c r="K83" s="191" t="s">
        <v>368</v>
      </c>
      <c r="L83" s="300">
        <f t="shared" ref="L83:L93" si="11">IF(D83="",E83,D83)</f>
        <v>0</v>
      </c>
      <c r="M83"/>
      <c r="N83" s="290"/>
      <c r="O83" s="290"/>
      <c r="P83" s="194"/>
      <c r="Q83" s="277"/>
      <c r="R83" s="3"/>
      <c r="X83" s="549">
        <v>636</v>
      </c>
      <c r="Y83" s="284">
        <v>636</v>
      </c>
      <c r="AA83" s="384">
        <f t="shared" si="9"/>
        <v>0</v>
      </c>
      <c r="AB83" s="284">
        <f t="shared" si="10"/>
        <v>0</v>
      </c>
    </row>
    <row r="84" spans="1:28" s="18" customFormat="1" ht="59.25" customHeight="1" x14ac:dyDescent="0.3">
      <c r="A84" s="188">
        <v>637</v>
      </c>
      <c r="B84" s="233" t="str">
        <f>'Unit Data from Audit Worksheet'!C98</f>
        <v>Water Sewer Net Position Statement</v>
      </c>
      <c r="C84" s="188" t="str">
        <f>'Unit Data from Audit Worksheet'!D98</f>
        <v>Please enter any current liabilities that are payable from restricted assets and included in account 633 above.
Enter as positive</v>
      </c>
      <c r="D84" s="102"/>
      <c r="E84" s="232">
        <f>'Unit Data from Audit Worksheet'!F98</f>
        <v>0</v>
      </c>
      <c r="F84" s="217"/>
      <c r="G84" s="205"/>
      <c r="H84" s="217"/>
      <c r="I84" s="299"/>
      <c r="J84" s="216">
        <v>637</v>
      </c>
      <c r="K84" s="191" t="s">
        <v>369</v>
      </c>
      <c r="L84" s="300">
        <f t="shared" si="11"/>
        <v>0</v>
      </c>
      <c r="M84"/>
      <c r="N84" s="290"/>
      <c r="O84" s="290"/>
      <c r="P84" s="197"/>
      <c r="Q84" s="277"/>
      <c r="R84" s="3"/>
      <c r="X84" s="549">
        <v>637</v>
      </c>
      <c r="Y84" s="284">
        <v>637</v>
      </c>
      <c r="AA84" s="384">
        <f t="shared" si="9"/>
        <v>0</v>
      </c>
      <c r="AB84" s="284">
        <f t="shared" si="10"/>
        <v>0</v>
      </c>
    </row>
    <row r="85" spans="1:28" s="18" customFormat="1" ht="115.95" customHeight="1" x14ac:dyDescent="0.3">
      <c r="A85" s="188">
        <v>638</v>
      </c>
      <c r="B85" s="233" t="str">
        <f>'Unit Data from Audit Worksheet'!C99</f>
        <v>Water Sewer Net Position Statement</v>
      </c>
      <c r="C85" s="188" t="str">
        <f>'Unit Data from Audit Worksheet'!D99</f>
        <v>Please enter any OPEB liabilities that are classified as current liabilities and included in account 633 above (amounts entered should agree to the current amount included in the changes to long-term debt note)
Enter as positive</v>
      </c>
      <c r="D85" s="102"/>
      <c r="E85" s="232">
        <f>'Unit Data from Audit Worksheet'!F99</f>
        <v>0</v>
      </c>
      <c r="F85" s="217"/>
      <c r="G85" s="205"/>
      <c r="H85" s="217"/>
      <c r="I85" s="299"/>
      <c r="J85" s="216">
        <v>638</v>
      </c>
      <c r="K85" s="191" t="s">
        <v>374</v>
      </c>
      <c r="L85" s="300">
        <f t="shared" si="11"/>
        <v>0</v>
      </c>
      <c r="M85"/>
      <c r="N85" s="290"/>
      <c r="O85" s="290"/>
      <c r="P85" s="194"/>
      <c r="Q85" s="277"/>
      <c r="R85" s="3"/>
      <c r="X85" s="549">
        <v>638</v>
      </c>
      <c r="Y85" s="284">
        <v>638</v>
      </c>
      <c r="AA85" s="384">
        <f t="shared" si="9"/>
        <v>0</v>
      </c>
      <c r="AB85" s="284">
        <f t="shared" si="10"/>
        <v>0</v>
      </c>
    </row>
    <row r="86" spans="1:28" ht="76.5" customHeight="1" x14ac:dyDescent="0.3">
      <c r="A86" s="285">
        <f>'Unit Data from Audit Worksheet'!A100</f>
        <v>383</v>
      </c>
      <c r="B86" s="48" t="str">
        <f>'Unit Data from Audit Worksheet'!C100</f>
        <v>Water Sewer Net Position Statement</v>
      </c>
      <c r="C86" s="286" t="str">
        <f>'Unit Data from Audit Worksheet'!D100</f>
        <v>Unearned revenue (arising from cash receipts) that were included in Current Liabilities in the question in account 633 above.
Enter as positive</v>
      </c>
      <c r="D86" s="134"/>
      <c r="E86" s="142">
        <f>'Unit Data from Audit Worksheet'!F100</f>
        <v>0</v>
      </c>
      <c r="F86" s="41">
        <f>IF(L86&lt;0,"Error: Enter as a positive.",)</f>
        <v>0</v>
      </c>
      <c r="G86" s="65"/>
      <c r="H86" s="221"/>
      <c r="I86" s="32"/>
      <c r="J86" s="36">
        <v>383</v>
      </c>
      <c r="K86" s="45" t="s">
        <v>212</v>
      </c>
      <c r="L86" s="287">
        <f t="shared" si="11"/>
        <v>0</v>
      </c>
      <c r="P86" s="194"/>
      <c r="X86" s="549">
        <v>383</v>
      </c>
      <c r="Y86" s="284">
        <v>383</v>
      </c>
      <c r="AA86" s="384">
        <f t="shared" si="9"/>
        <v>0</v>
      </c>
      <c r="AB86" s="284">
        <f t="shared" si="10"/>
        <v>0</v>
      </c>
    </row>
    <row r="87" spans="1:28" ht="54" customHeight="1" x14ac:dyDescent="0.3">
      <c r="A87" s="210">
        <f>'Unit Data from Audit Worksheet'!A101</f>
        <v>349</v>
      </c>
      <c r="B87" s="223" t="str">
        <f>'Unit Data from Audit Worksheet'!C101</f>
        <v>Water Sewer Net Position Statement</v>
      </c>
      <c r="C87" s="209" t="str">
        <f>'Unit Data from Audit Worksheet'!D101</f>
        <v>Total Liabilities and deferred inflows</v>
      </c>
      <c r="D87" s="134"/>
      <c r="E87" s="229">
        <f>'Unit Data from Audit Worksheet'!F101</f>
        <v>0</v>
      </c>
      <c r="F87" s="222">
        <f>IF(L80&gt;L87,"Error: Please review accts 633&gt;349",)</f>
        <v>0</v>
      </c>
      <c r="G87" s="224"/>
      <c r="H87" s="221"/>
      <c r="I87" s="32"/>
      <c r="J87" s="220">
        <v>349</v>
      </c>
      <c r="K87" s="219" t="s">
        <v>114</v>
      </c>
      <c r="L87" s="287">
        <f t="shared" si="11"/>
        <v>0</v>
      </c>
      <c r="P87" s="194"/>
      <c r="X87" s="549">
        <v>349</v>
      </c>
      <c r="Y87" s="284">
        <v>349</v>
      </c>
      <c r="AA87" s="384">
        <f t="shared" si="9"/>
        <v>0</v>
      </c>
      <c r="AB87" s="284">
        <f t="shared" si="10"/>
        <v>0</v>
      </c>
    </row>
    <row r="88" spans="1:28" ht="56.25" customHeight="1" x14ac:dyDescent="0.3">
      <c r="A88" s="210">
        <f>'Unit Data from Audit Worksheet'!A102</f>
        <v>375</v>
      </c>
      <c r="B88" s="223" t="str">
        <f>'Unit Data from Audit Worksheet'!C102</f>
        <v>Water Sewer Net Position Statement</v>
      </c>
      <c r="C88" s="209" t="str">
        <f>'Unit Data from Audit Worksheet'!D102</f>
        <v>Total Net position, Unrestricted - enter negative unrestricted net position as a negative</v>
      </c>
      <c r="D88" s="134"/>
      <c r="E88" s="229">
        <f>'Unit Data from Audit Worksheet'!F102</f>
        <v>0</v>
      </c>
      <c r="F88" s="222"/>
      <c r="G88" s="224"/>
      <c r="H88" s="221"/>
      <c r="I88" s="32"/>
      <c r="J88" s="220">
        <v>375</v>
      </c>
      <c r="K88" s="219" t="s">
        <v>213</v>
      </c>
      <c r="L88" s="287">
        <f t="shared" si="11"/>
        <v>0</v>
      </c>
      <c r="P88" s="194"/>
      <c r="X88" s="549">
        <v>375</v>
      </c>
      <c r="Y88" s="284">
        <v>375</v>
      </c>
      <c r="AA88" s="384">
        <f t="shared" si="9"/>
        <v>0</v>
      </c>
      <c r="AB88" s="284">
        <f t="shared" si="10"/>
        <v>0</v>
      </c>
    </row>
    <row r="89" spans="1:28" ht="56.25" customHeight="1" x14ac:dyDescent="0.3">
      <c r="A89" s="210">
        <f>'Unit Data from Audit Worksheet'!A103</f>
        <v>83</v>
      </c>
      <c r="B89" s="223" t="str">
        <f>'Unit Data from Audit Worksheet'!C103</f>
        <v>Water Sewer Net Position Statement</v>
      </c>
      <c r="C89" s="209" t="str">
        <f>'Unit Data from Audit Worksheet'!D103</f>
        <v>Total Net position</v>
      </c>
      <c r="D89" s="134"/>
      <c r="E89" s="229">
        <f>'Unit Data from Audit Worksheet'!F103</f>
        <v>0</v>
      </c>
      <c r="F89" s="222">
        <f>IF(+L78-L87-L89=0,,"Error: Total assets less total liabilities do not equal net position acct 381-349-83=0")</f>
        <v>0</v>
      </c>
      <c r="G89" s="84">
        <f>L78-L87-L89</f>
        <v>0</v>
      </c>
      <c r="H89" s="221"/>
      <c r="I89" s="32"/>
      <c r="J89" s="220">
        <v>83</v>
      </c>
      <c r="K89" s="219" t="s">
        <v>94</v>
      </c>
      <c r="L89" s="287">
        <f t="shared" si="11"/>
        <v>0</v>
      </c>
      <c r="O89" s="294" t="e">
        <f>'Unit Data from Audit Worksheet'!E103</f>
        <v>#N/A</v>
      </c>
      <c r="P89" s="194"/>
      <c r="Q89" s="225"/>
      <c r="X89" s="549">
        <v>83</v>
      </c>
      <c r="Y89" s="284">
        <v>83</v>
      </c>
      <c r="AA89" s="384">
        <f t="shared" si="9"/>
        <v>0</v>
      </c>
      <c r="AB89" s="284">
        <f t="shared" si="10"/>
        <v>0</v>
      </c>
    </row>
    <row r="90" spans="1:28" ht="56.25" customHeight="1" x14ac:dyDescent="0.3">
      <c r="A90" s="210">
        <f>'Unit Data from Audit Worksheet'!A105</f>
        <v>90</v>
      </c>
      <c r="B90" s="223" t="str">
        <f>'Unit Data from Audit Worksheet'!C105</f>
        <v>Electric Fund Net Position Statement</v>
      </c>
      <c r="C90" s="209" t="str">
        <f>'Unit Data from Audit Worksheet'!D105</f>
        <v>All Unrestricted Cash and Investments.  
Exclude any restricted cash and investments.</v>
      </c>
      <c r="D90" s="134"/>
      <c r="E90" s="229">
        <f>'Unit Data from Audit Worksheet'!F105</f>
        <v>0</v>
      </c>
      <c r="F90" s="222">
        <f>IF(L90&lt;0,"Error: Number is normally positive.",)</f>
        <v>0</v>
      </c>
      <c r="G90" s="224"/>
      <c r="H90" s="221"/>
      <c r="I90" s="32"/>
      <c r="J90" s="220">
        <v>90</v>
      </c>
      <c r="K90" s="219" t="s">
        <v>214</v>
      </c>
      <c r="L90" s="287">
        <f t="shared" si="11"/>
        <v>0</v>
      </c>
      <c r="P90" s="194"/>
      <c r="X90" s="549">
        <v>90</v>
      </c>
      <c r="Y90" s="284">
        <v>90</v>
      </c>
      <c r="AA90" s="384">
        <f t="shared" si="9"/>
        <v>0</v>
      </c>
      <c r="AB90" s="284">
        <f t="shared" si="10"/>
        <v>0</v>
      </c>
    </row>
    <row r="91" spans="1:28" ht="56.25" customHeight="1" x14ac:dyDescent="0.3">
      <c r="A91" s="210">
        <f>'Unit Data from Audit Worksheet'!A106</f>
        <v>91</v>
      </c>
      <c r="B91" s="223" t="str">
        <f>'Unit Data from Audit Worksheet'!C106</f>
        <v>Electric Fund Net Position Statement</v>
      </c>
      <c r="C91" s="209" t="str">
        <f>'Unit Data from Audit Worksheet'!D106</f>
        <v xml:space="preserve">Customer accounts receivable (net of allowance accounts)
Include billed and unbilled amounts </v>
      </c>
      <c r="D91" s="134"/>
      <c r="E91" s="229">
        <f>'Unit Data from Audit Worksheet'!F106</f>
        <v>0</v>
      </c>
      <c r="F91" s="222">
        <f>IF(L91&lt;0,"Error: Number is normally positive.",)</f>
        <v>0</v>
      </c>
      <c r="G91" s="224"/>
      <c r="H91" s="221"/>
      <c r="I91" s="32"/>
      <c r="J91" s="220">
        <v>91</v>
      </c>
      <c r="K91" s="219" t="s">
        <v>215</v>
      </c>
      <c r="L91" s="287">
        <f t="shared" si="11"/>
        <v>0</v>
      </c>
      <c r="P91" s="194"/>
      <c r="X91" s="549">
        <v>91</v>
      </c>
      <c r="Y91" s="284">
        <v>91</v>
      </c>
      <c r="AA91" s="384">
        <f t="shared" si="9"/>
        <v>0</v>
      </c>
      <c r="AB91" s="284">
        <f t="shared" si="10"/>
        <v>0</v>
      </c>
    </row>
    <row r="92" spans="1:28" ht="56.25" customHeight="1" x14ac:dyDescent="0.3">
      <c r="A92" s="210">
        <f>'Unit Data from Audit Worksheet'!A107</f>
        <v>581</v>
      </c>
      <c r="B92" s="223" t="str">
        <f>'Unit Data from Audit Worksheet'!C107</f>
        <v>Electric Fund Net Position Statement</v>
      </c>
      <c r="C92" s="209" t="str">
        <f>'Unit Data from Audit Worksheet'!D107</f>
        <v>Electric Fund - Advance To:
Interfund loan receivable-portion of repayment plan longer than 12 months</v>
      </c>
      <c r="D92" s="134"/>
      <c r="E92" s="229">
        <f>'Unit Data from Audit Worksheet'!F107</f>
        <v>0</v>
      </c>
      <c r="F92" s="222"/>
      <c r="G92" s="224"/>
      <c r="H92" s="221"/>
      <c r="I92" s="32"/>
      <c r="J92" s="220">
        <v>581</v>
      </c>
      <c r="K92" s="219" t="s">
        <v>316</v>
      </c>
      <c r="L92" s="287">
        <f t="shared" si="11"/>
        <v>0</v>
      </c>
      <c r="P92" s="194"/>
      <c r="X92" s="549">
        <v>581</v>
      </c>
      <c r="Y92" s="284">
        <v>581</v>
      </c>
      <c r="AA92" s="384">
        <f t="shared" si="9"/>
        <v>0</v>
      </c>
      <c r="AB92" s="284">
        <f t="shared" si="10"/>
        <v>0</v>
      </c>
    </row>
    <row r="93" spans="1:28" ht="56.25" customHeight="1" x14ac:dyDescent="0.3">
      <c r="A93" s="210">
        <f>'Unit Data from Audit Worksheet'!A108</f>
        <v>511</v>
      </c>
      <c r="B93" s="223" t="str">
        <f>'Unit Data from Audit Worksheet'!C108</f>
        <v>Electric Fund Net Position Statement</v>
      </c>
      <c r="C93" s="209" t="str">
        <f>'Unit Data from Audit Worksheet'!D108</f>
        <v>Amount of inventories and prepaids</v>
      </c>
      <c r="D93" s="134"/>
      <c r="E93" s="229">
        <f>'Unit Data from Audit Worksheet'!F108</f>
        <v>0</v>
      </c>
      <c r="F93" s="222">
        <f t="shared" ref="F93:F98" si="12">IF(L93&lt;0,"Error: Number is normally positive.",)</f>
        <v>0</v>
      </c>
      <c r="G93" s="224"/>
      <c r="H93" s="221"/>
      <c r="I93" s="32"/>
      <c r="J93" s="220">
        <v>511</v>
      </c>
      <c r="K93" s="219" t="s">
        <v>216</v>
      </c>
      <c r="L93" s="287">
        <f t="shared" si="11"/>
        <v>0</v>
      </c>
      <c r="P93" s="194"/>
      <c r="X93" s="549">
        <v>511</v>
      </c>
      <c r="Y93" s="284">
        <v>511</v>
      </c>
      <c r="AA93" s="384">
        <f t="shared" si="9"/>
        <v>0</v>
      </c>
      <c r="AB93" s="284">
        <f t="shared" si="10"/>
        <v>0</v>
      </c>
    </row>
    <row r="94" spans="1:28" ht="62.25" customHeight="1" x14ac:dyDescent="0.3">
      <c r="A94" s="210">
        <f>'Unit Data from Audit Worksheet'!A109</f>
        <v>657</v>
      </c>
      <c r="B94" s="223" t="str">
        <f>'Unit Data from Audit Worksheet'!C109</f>
        <v>Electric Fund Net Position Statement</v>
      </c>
      <c r="C94" s="209" t="str">
        <f>'Unit Data from Audit Worksheet'!D109</f>
        <v xml:space="preserve">Total Current assets as listed on the Electric Net Position Statement.  
</v>
      </c>
      <c r="D94" s="134"/>
      <c r="E94" s="229">
        <f>'Unit Data from Audit Worksheet'!F109</f>
        <v>0</v>
      </c>
      <c r="F94" s="222">
        <f t="shared" si="12"/>
        <v>0</v>
      </c>
      <c r="G94" s="224"/>
      <c r="H94" s="221"/>
      <c r="I94" s="32"/>
      <c r="J94" s="220">
        <v>657</v>
      </c>
      <c r="K94" s="219" t="s">
        <v>417</v>
      </c>
      <c r="L94" s="300">
        <f>IF(D94="",E94,D94)</f>
        <v>0</v>
      </c>
      <c r="P94" s="194"/>
      <c r="X94" s="549">
        <v>657</v>
      </c>
      <c r="Y94" s="284">
        <v>657</v>
      </c>
      <c r="AA94" s="384">
        <f t="shared" si="9"/>
        <v>0</v>
      </c>
      <c r="AB94" s="284">
        <f t="shared" si="10"/>
        <v>0</v>
      </c>
    </row>
    <row r="95" spans="1:28" ht="62.25" customHeight="1" x14ac:dyDescent="0.3">
      <c r="A95" s="210">
        <f>'Unit Data from Audit Worksheet'!A110</f>
        <v>658</v>
      </c>
      <c r="B95" s="223" t="str">
        <f>'Unit Data from Audit Worksheet'!C110</f>
        <v>Electric Fund Net Position Statement</v>
      </c>
      <c r="C95" s="209" t="str">
        <f>'Unit Data from Audit Worksheet'!D110</f>
        <v>Electric-Any current assets that are restricted (Cash, Accounts Rec., etc..) and included in account 657 above</v>
      </c>
      <c r="D95" s="134"/>
      <c r="E95" s="229">
        <f>'Unit Data from Audit Worksheet'!F110</f>
        <v>0</v>
      </c>
      <c r="F95" s="222">
        <f t="shared" si="12"/>
        <v>0</v>
      </c>
      <c r="G95" s="224"/>
      <c r="H95" s="221"/>
      <c r="I95" s="32"/>
      <c r="J95" s="220">
        <v>658</v>
      </c>
      <c r="K95" s="219" t="s">
        <v>444</v>
      </c>
      <c r="L95" s="300">
        <f>IF(D95="",E95,D95)</f>
        <v>0</v>
      </c>
      <c r="P95" s="194"/>
      <c r="X95" s="549">
        <v>658</v>
      </c>
      <c r="Y95" s="284">
        <v>658</v>
      </c>
      <c r="AA95" s="384">
        <f t="shared" si="9"/>
        <v>0</v>
      </c>
      <c r="AB95" s="284">
        <f t="shared" si="10"/>
        <v>0</v>
      </c>
    </row>
    <row r="96" spans="1:28" ht="39.75" customHeight="1" x14ac:dyDescent="0.3">
      <c r="A96" s="210">
        <f>'Unit Data from Audit Worksheet'!A111</f>
        <v>382</v>
      </c>
      <c r="B96" s="223" t="str">
        <f>'Unit Data from Audit Worksheet'!C111</f>
        <v>Electric Fund Net Position Statement</v>
      </c>
      <c r="C96" s="209" t="str">
        <f>'Unit Data from Audit Worksheet'!D111</f>
        <v>Total Assets and deferred outflows</v>
      </c>
      <c r="D96" s="134"/>
      <c r="E96" s="229">
        <f>'Unit Data from Audit Worksheet'!F111</f>
        <v>0</v>
      </c>
      <c r="F96" s="222">
        <f t="shared" si="12"/>
        <v>0</v>
      </c>
      <c r="G96" s="224"/>
      <c r="H96" s="221"/>
      <c r="I96" s="32"/>
      <c r="J96" s="220">
        <v>382</v>
      </c>
      <c r="K96" s="219" t="s">
        <v>106</v>
      </c>
      <c r="L96" s="287">
        <f>IF(D96="",E96,D96)</f>
        <v>0</v>
      </c>
      <c r="P96" s="194"/>
      <c r="X96" s="549">
        <v>382</v>
      </c>
      <c r="Y96" s="284">
        <v>382</v>
      </c>
      <c r="AA96" s="384">
        <f t="shared" si="9"/>
        <v>0</v>
      </c>
      <c r="AB96" s="284">
        <f t="shared" si="10"/>
        <v>0</v>
      </c>
    </row>
    <row r="97" spans="1:28" ht="39.75" customHeight="1" x14ac:dyDescent="0.3">
      <c r="A97" s="210">
        <f>'Unit Data from Audit Worksheet'!A112</f>
        <v>360</v>
      </c>
      <c r="B97" s="223" t="str">
        <f>'Unit Data from Audit Worksheet'!C112</f>
        <v>Electric Fund Net Position Statement</v>
      </c>
      <c r="C97" s="209" t="str">
        <f>'Unit Data from Audit Worksheet'!D112</f>
        <v>Total liabilities and total deferred inflows</v>
      </c>
      <c r="D97" s="134"/>
      <c r="E97" s="229">
        <f>'Unit Data from Audit Worksheet'!F112</f>
        <v>0</v>
      </c>
      <c r="F97" s="222">
        <f t="shared" si="12"/>
        <v>0</v>
      </c>
      <c r="G97" s="224"/>
      <c r="H97" s="221"/>
      <c r="I97" s="32"/>
      <c r="J97" s="220">
        <v>360</v>
      </c>
      <c r="K97" s="101" t="s">
        <v>117</v>
      </c>
      <c r="L97" s="287">
        <f>IF(D97="",E97,D97)</f>
        <v>0</v>
      </c>
      <c r="P97" s="194"/>
      <c r="X97" s="549">
        <v>360</v>
      </c>
      <c r="Y97" s="284">
        <v>360</v>
      </c>
      <c r="AA97" s="384">
        <f t="shared" si="9"/>
        <v>0</v>
      </c>
      <c r="AB97" s="284">
        <f t="shared" si="10"/>
        <v>0</v>
      </c>
    </row>
    <row r="98" spans="1:28" ht="58.5" customHeight="1" x14ac:dyDescent="0.3">
      <c r="A98" s="210">
        <f>'Unit Data from Audit Worksheet'!A113</f>
        <v>580</v>
      </c>
      <c r="B98" s="223" t="str">
        <f>'Unit Data from Audit Worksheet'!C113</f>
        <v>Electric Fund Net Position Statement</v>
      </c>
      <c r="C98" s="209" t="str">
        <f>'Unit Data from Audit Worksheet'!D113</f>
        <v>Electric Fund - Advance From:
Interfund loans payable-portion of repayment plan longer than 12 months</v>
      </c>
      <c r="D98" s="134"/>
      <c r="E98" s="229">
        <f>'Unit Data from Audit Worksheet'!F113</f>
        <v>0</v>
      </c>
      <c r="F98" s="103">
        <f t="shared" si="12"/>
        <v>0</v>
      </c>
      <c r="G98" s="104"/>
      <c r="H98" s="105"/>
      <c r="I98" s="32"/>
      <c r="J98" s="220">
        <v>580</v>
      </c>
      <c r="K98" s="101" t="s">
        <v>317</v>
      </c>
      <c r="L98" s="287">
        <f>IF(D98="",E98,D98)</f>
        <v>0</v>
      </c>
      <c r="N98" s="295"/>
      <c r="P98" s="198"/>
      <c r="X98" s="549">
        <v>580</v>
      </c>
      <c r="Y98" s="284">
        <v>580</v>
      </c>
      <c r="AA98" s="384">
        <f t="shared" si="9"/>
        <v>0</v>
      </c>
      <c r="AB98" s="284">
        <f t="shared" si="10"/>
        <v>0</v>
      </c>
    </row>
    <row r="99" spans="1:28" s="18" customFormat="1" ht="128.4" customHeight="1" x14ac:dyDescent="0.3">
      <c r="A99" s="210">
        <f>'Unit Data from Audit Worksheet'!A114</f>
        <v>639</v>
      </c>
      <c r="B99" s="223" t="str">
        <f>'Unit Data from Audit Worksheet'!C114</f>
        <v>Electric Fund Net Position Statement</v>
      </c>
      <c r="C99" s="209" t="str">
        <f>'Unit Data from Audit Worksheet'!D114</f>
        <v>Current liabilities (as reported on the Statement of Fund Net Position)
Include:   Current liabilities including current portion of long-term debt.  Deferred inflows should not be included in Current Liabilities   
Enter as a positive</v>
      </c>
      <c r="D99" s="134"/>
      <c r="E99" s="660">
        <f>'Unit Data from Audit Worksheet'!F114</f>
        <v>0</v>
      </c>
      <c r="F99"/>
      <c r="G99"/>
      <c r="H99"/>
      <c r="I99" s="32"/>
      <c r="J99" s="220">
        <v>639</v>
      </c>
      <c r="K99" s="219" t="s">
        <v>375</v>
      </c>
      <c r="L99" s="300">
        <f t="shared" ref="L99:L123" si="13">IF(D99="",E99,D99)</f>
        <v>0</v>
      </c>
      <c r="M99"/>
      <c r="P99" s="194"/>
      <c r="Q99" s="277"/>
      <c r="R99" s="3"/>
      <c r="S99" s="3"/>
      <c r="T99" s="3"/>
      <c r="U99" s="3"/>
      <c r="V99" s="3"/>
      <c r="W99" s="3"/>
      <c r="X99" s="549">
        <v>639</v>
      </c>
      <c r="Y99" s="284">
        <v>639</v>
      </c>
      <c r="Z99" s="3"/>
      <c r="AA99" s="384">
        <f t="shared" si="9"/>
        <v>0</v>
      </c>
      <c r="AB99" s="284">
        <f t="shared" si="10"/>
        <v>0</v>
      </c>
    </row>
    <row r="100" spans="1:28" s="18" customFormat="1" ht="132" customHeight="1" x14ac:dyDescent="0.3">
      <c r="A100" s="210">
        <f>'Unit Data from Audit Worksheet'!A115</f>
        <v>640</v>
      </c>
      <c r="B100" s="223" t="str">
        <f>'Unit Data from Audit Worksheet'!C115</f>
        <v>Electric Fund Net Position Statement</v>
      </c>
      <c r="C100" s="209" t="str">
        <f>'Unit Data from Audit Worksheet'!D115</f>
        <v>Please enter any bond anticipation notes that are classified as current liabilities and included in account 639 above (amounts entered should agree to the current amount included in the changes to long-term debt note)
Enter as a positive</v>
      </c>
      <c r="D100" s="134"/>
      <c r="E100" s="229">
        <f>'Unit Data from Audit Worksheet'!F115</f>
        <v>0</v>
      </c>
      <c r="F100" s="41">
        <f t="shared" ref="F100:F105" si="14">IF(L100&lt;0,"Error: Number is normally positive.",)</f>
        <v>0</v>
      </c>
      <c r="G100" s="65"/>
      <c r="H100" s="221"/>
      <c r="I100" s="32"/>
      <c r="J100" s="220">
        <v>640</v>
      </c>
      <c r="K100" s="219" t="s">
        <v>376</v>
      </c>
      <c r="L100" s="300">
        <f t="shared" si="13"/>
        <v>0</v>
      </c>
      <c r="M100"/>
      <c r="P100" s="194"/>
      <c r="Q100" s="277"/>
      <c r="R100" s="3"/>
      <c r="S100" s="3"/>
      <c r="T100" s="3"/>
      <c r="U100" s="3"/>
      <c r="V100" s="3"/>
      <c r="W100" s="3"/>
      <c r="X100" s="549">
        <v>640</v>
      </c>
      <c r="Y100" s="284">
        <v>640</v>
      </c>
      <c r="Z100" s="3"/>
      <c r="AA100" s="384">
        <f t="shared" si="9"/>
        <v>0</v>
      </c>
      <c r="AB100" s="284">
        <f t="shared" si="10"/>
        <v>0</v>
      </c>
    </row>
    <row r="101" spans="1:28" s="18" customFormat="1" ht="128.4" customHeight="1" x14ac:dyDescent="0.3">
      <c r="A101" s="210">
        <f>'Unit Data from Audit Worksheet'!A116</f>
        <v>641</v>
      </c>
      <c r="B101" s="223" t="str">
        <f>'Unit Data from Audit Worksheet'!C116</f>
        <v>Electric Fund Net Position Statement</v>
      </c>
      <c r="C101" s="209" t="str">
        <f>'Unit Data from Audit Worksheet'!D116</f>
        <v>Please enter any compensated absences that are classified as current liabilities and included in account 639 above (amounts entered should agree to the current amount included in the changes to long-term debt note)
Enter as a positive</v>
      </c>
      <c r="D101" s="134"/>
      <c r="E101" s="229">
        <f>'Unit Data from Audit Worksheet'!F116</f>
        <v>0</v>
      </c>
      <c r="F101" s="222">
        <f t="shared" si="14"/>
        <v>0</v>
      </c>
      <c r="G101" s="224"/>
      <c r="H101" s="221"/>
      <c r="I101" s="32"/>
      <c r="J101" s="220">
        <v>641</v>
      </c>
      <c r="K101" s="219" t="s">
        <v>377</v>
      </c>
      <c r="L101" s="300">
        <f t="shared" si="13"/>
        <v>0</v>
      </c>
      <c r="M101"/>
      <c r="P101" s="199"/>
      <c r="Q101" s="277"/>
      <c r="R101" s="3"/>
      <c r="S101" s="3"/>
      <c r="T101" s="3"/>
      <c r="U101" s="3"/>
      <c r="V101" s="3"/>
      <c r="W101" s="3"/>
      <c r="X101" s="549">
        <v>641</v>
      </c>
      <c r="Y101" s="284">
        <v>641</v>
      </c>
      <c r="Z101" s="3"/>
      <c r="AA101" s="384">
        <f t="shared" si="9"/>
        <v>0</v>
      </c>
      <c r="AB101" s="284">
        <f t="shared" si="10"/>
        <v>0</v>
      </c>
    </row>
    <row r="102" spans="1:28" s="18" customFormat="1" ht="104.25" customHeight="1" x14ac:dyDescent="0.3">
      <c r="A102" s="210">
        <f>'Unit Data from Audit Worksheet'!A117</f>
        <v>642</v>
      </c>
      <c r="B102" s="223" t="str">
        <f>'Unit Data from Audit Worksheet'!C117</f>
        <v>Electric Fund Net Position Statement</v>
      </c>
      <c r="C102" s="209" t="str">
        <f>'Unit Data from Audit Worksheet'!D117</f>
        <v>Please enter any pension liabilities that are classified as current liabilities and included account in 639 above (amounts entered should agree to the current amount included in the changes to long-term debt note)
Enter as a positive</v>
      </c>
      <c r="D102" s="134"/>
      <c r="E102" s="229">
        <f>'Unit Data from Audit Worksheet'!F117</f>
        <v>0</v>
      </c>
      <c r="F102" s="222">
        <f t="shared" si="14"/>
        <v>0</v>
      </c>
      <c r="G102" s="224"/>
      <c r="H102" s="221"/>
      <c r="I102" s="32"/>
      <c r="J102" s="220">
        <v>642</v>
      </c>
      <c r="K102" s="219" t="s">
        <v>378</v>
      </c>
      <c r="L102" s="300">
        <f t="shared" si="13"/>
        <v>0</v>
      </c>
      <c r="M102"/>
      <c r="P102" s="199"/>
      <c r="Q102" s="277"/>
      <c r="R102" s="3"/>
      <c r="S102" s="3"/>
      <c r="T102" s="3"/>
      <c r="U102" s="3"/>
      <c r="V102" s="3"/>
      <c r="W102" s="3"/>
      <c r="X102" s="549">
        <v>642</v>
      </c>
      <c r="Y102" s="284">
        <v>642</v>
      </c>
      <c r="Z102" s="3"/>
      <c r="AA102" s="384">
        <f t="shared" si="9"/>
        <v>0</v>
      </c>
      <c r="AB102" s="284">
        <f t="shared" si="10"/>
        <v>0</v>
      </c>
    </row>
    <row r="103" spans="1:28" s="18" customFormat="1" ht="97.95" customHeight="1" x14ac:dyDescent="0.3">
      <c r="A103" s="210">
        <f>'Unit Data from Audit Worksheet'!A118</f>
        <v>643</v>
      </c>
      <c r="B103" s="223" t="str">
        <f>'Unit Data from Audit Worksheet'!C118</f>
        <v>Electric Fund Net Position Statement</v>
      </c>
      <c r="C103" s="209" t="str">
        <f>'Unit Data from Audit Worksheet'!D118</f>
        <v>Please enter any current liabilities that are payable from restricted assets and included in account 639 above. 
Enter as a positive</v>
      </c>
      <c r="D103" s="134"/>
      <c r="E103" s="229">
        <f>'Unit Data from Audit Worksheet'!F118</f>
        <v>0</v>
      </c>
      <c r="F103" s="222">
        <f t="shared" si="14"/>
        <v>0</v>
      </c>
      <c r="G103" s="224"/>
      <c r="H103" s="221"/>
      <c r="I103" s="32"/>
      <c r="J103" s="220">
        <v>643</v>
      </c>
      <c r="K103" s="219" t="s">
        <v>379</v>
      </c>
      <c r="L103" s="300">
        <f t="shared" si="13"/>
        <v>0</v>
      </c>
      <c r="M103"/>
      <c r="P103" s="194"/>
      <c r="Q103" s="277"/>
      <c r="R103" s="3"/>
      <c r="S103" s="3"/>
      <c r="T103" s="3"/>
      <c r="U103" s="3"/>
      <c r="V103" s="3"/>
      <c r="W103" s="3"/>
      <c r="X103" s="549">
        <v>643</v>
      </c>
      <c r="Y103" s="284">
        <v>643</v>
      </c>
      <c r="Z103" s="3"/>
      <c r="AA103" s="384">
        <f t="shared" si="9"/>
        <v>0</v>
      </c>
      <c r="AB103" s="284">
        <f t="shared" si="10"/>
        <v>0</v>
      </c>
    </row>
    <row r="104" spans="1:28" s="18" customFormat="1" ht="102" customHeight="1" x14ac:dyDescent="0.3">
      <c r="A104" s="210">
        <f>'Unit Data from Audit Worksheet'!A119</f>
        <v>644</v>
      </c>
      <c r="B104" s="223" t="str">
        <f>'Unit Data from Audit Worksheet'!C119</f>
        <v>Electric Fund Net Position Statement</v>
      </c>
      <c r="C104" s="209" t="str">
        <f>'Unit Data from Audit Worksheet'!D119</f>
        <v>Please enter any OPEB liabilities that are classified as current liabilities and included in account 639 above (amounts entered should agree to the current amount included in the changes to long-term debt note)
Enter as a positive</v>
      </c>
      <c r="D104" s="134"/>
      <c r="E104" s="229">
        <f>'Unit Data from Audit Worksheet'!F119</f>
        <v>0</v>
      </c>
      <c r="F104" s="222">
        <f t="shared" si="14"/>
        <v>0</v>
      </c>
      <c r="G104" s="224"/>
      <c r="H104" s="221"/>
      <c r="I104" s="32"/>
      <c r="J104" s="182">
        <v>644</v>
      </c>
      <c r="K104" s="219" t="s">
        <v>380</v>
      </c>
      <c r="L104" s="300">
        <f t="shared" si="13"/>
        <v>0</v>
      </c>
      <c r="M104"/>
      <c r="P104" s="194"/>
      <c r="Q104" s="277"/>
      <c r="R104" s="3"/>
      <c r="S104" s="3"/>
      <c r="T104" s="3"/>
      <c r="U104" s="3"/>
      <c r="V104" s="3"/>
      <c r="W104" s="3"/>
      <c r="X104" s="549">
        <v>644</v>
      </c>
      <c r="Y104" s="284">
        <v>644</v>
      </c>
      <c r="Z104" s="3"/>
      <c r="AA104" s="384">
        <f t="shared" si="9"/>
        <v>0</v>
      </c>
      <c r="AB104" s="284">
        <f t="shared" si="10"/>
        <v>0</v>
      </c>
    </row>
    <row r="105" spans="1:28" ht="96" customHeight="1" x14ac:dyDescent="0.3">
      <c r="A105" s="210">
        <f>+'Unit Data from Audit Worksheet'!A120</f>
        <v>384</v>
      </c>
      <c r="B105" s="210" t="str">
        <f>+'Unit Data from Audit Worksheet'!C120</f>
        <v>Electric Fund Net Position Statement</v>
      </c>
      <c r="C105" s="210" t="str">
        <f>+'Unit Data from Audit Worksheet'!D120</f>
        <v>Unearned revenue (arising from cash receipts) that were included in Current Liabilities in account 639 above.
Enter as a positive</v>
      </c>
      <c r="D105" s="134"/>
      <c r="E105" s="229">
        <f>+'Unit Data from Audit Worksheet'!F120</f>
        <v>0</v>
      </c>
      <c r="F105" s="222">
        <f t="shared" si="14"/>
        <v>0</v>
      </c>
      <c r="G105" s="224"/>
      <c r="H105" s="221"/>
      <c r="I105" s="32"/>
      <c r="J105" s="220">
        <v>384</v>
      </c>
      <c r="K105" s="52" t="s">
        <v>116</v>
      </c>
      <c r="L105" s="287">
        <f t="shared" si="13"/>
        <v>0</v>
      </c>
      <c r="P105" s="194"/>
      <c r="X105" s="549">
        <v>384</v>
      </c>
      <c r="Y105" s="284">
        <v>384</v>
      </c>
      <c r="AA105" s="384">
        <f t="shared" si="9"/>
        <v>0</v>
      </c>
      <c r="AB105" s="284">
        <f t="shared" si="10"/>
        <v>0</v>
      </c>
    </row>
    <row r="106" spans="1:28" ht="72" x14ac:dyDescent="0.3">
      <c r="A106" s="210">
        <f>+'Unit Data from Audit Worksheet'!A121</f>
        <v>361</v>
      </c>
      <c r="B106" s="210" t="str">
        <f>+'Unit Data from Audit Worksheet'!C121</f>
        <v>Electric Fund Net Position Statement</v>
      </c>
      <c r="C106" s="210" t="str">
        <f>+'Unit Data from Audit Worksheet'!D121</f>
        <v>Total net position, unrestricted - Amount of negative unrestricted net position should be entered as a negative amount and the amount of positive unrestricted net position should be entered as a positive amount.</v>
      </c>
      <c r="D106" s="134"/>
      <c r="E106" s="229">
        <f>+'Unit Data from Audit Worksheet'!F121</f>
        <v>0</v>
      </c>
      <c r="F106" s="222"/>
      <c r="G106" s="224"/>
      <c r="H106" s="221"/>
      <c r="I106" s="32"/>
      <c r="J106" s="220">
        <v>361</v>
      </c>
      <c r="K106" s="219" t="s">
        <v>98</v>
      </c>
      <c r="L106" s="287">
        <f t="shared" si="13"/>
        <v>0</v>
      </c>
      <c r="P106" s="194"/>
      <c r="X106" s="549">
        <v>361</v>
      </c>
      <c r="Y106" s="284">
        <v>361</v>
      </c>
      <c r="AA106" s="384">
        <f t="shared" si="9"/>
        <v>0</v>
      </c>
      <c r="AB106" s="284">
        <f t="shared" si="10"/>
        <v>0</v>
      </c>
    </row>
    <row r="107" spans="1:28" ht="46.5" customHeight="1" x14ac:dyDescent="0.3">
      <c r="A107" s="210">
        <f>'Unit Data from Audit Worksheet'!A122</f>
        <v>362</v>
      </c>
      <c r="B107" s="223" t="str">
        <f>'Unit Data from Audit Worksheet'!C122</f>
        <v>Electric Fund Net Position Statement</v>
      </c>
      <c r="C107" s="209" t="str">
        <f>'Unit Data from Audit Worksheet'!D122</f>
        <v>Total net position</v>
      </c>
      <c r="D107" s="134"/>
      <c r="E107" s="229">
        <f>'Unit Data from Audit Worksheet'!F122</f>
        <v>0</v>
      </c>
      <c r="F107" s="222">
        <f>IF(L96-L97-L107=0,,"Error: Total assets less total liabilities do not equal net position acct 382-360-362=0")</f>
        <v>0</v>
      </c>
      <c r="G107" s="84">
        <f>+L96-L97-L107</f>
        <v>0</v>
      </c>
      <c r="H107" s="221"/>
      <c r="I107" s="32"/>
      <c r="J107" s="220">
        <v>362</v>
      </c>
      <c r="K107" s="219" t="s">
        <v>99</v>
      </c>
      <c r="L107" s="287">
        <f t="shared" si="13"/>
        <v>0</v>
      </c>
      <c r="O107" s="294" t="e">
        <f>'Unit Data from Audit Worksheet'!E122</f>
        <v>#N/A</v>
      </c>
      <c r="P107" s="194"/>
      <c r="X107" s="549">
        <v>362</v>
      </c>
      <c r="Y107" s="284">
        <v>362</v>
      </c>
      <c r="AA107" s="384">
        <f t="shared" si="9"/>
        <v>0</v>
      </c>
      <c r="AB107" s="284">
        <f t="shared" si="10"/>
        <v>0</v>
      </c>
    </row>
    <row r="108" spans="1:28" ht="61.5" customHeight="1" x14ac:dyDescent="0.3">
      <c r="A108" s="210">
        <f>'Unit Data from Audit Worksheet'!A125</f>
        <v>88</v>
      </c>
      <c r="B108" s="223" t="str">
        <f>'Unit Data from Audit Worksheet'!C125</f>
        <v>Water Sewer Revenue, Expenses &amp; Changes in Fund Net Position</v>
      </c>
      <c r="C108" s="209" t="str">
        <f>'Unit Data from Audit Worksheet'!D125</f>
        <v>Charges for services. 
Exclude tap, capacity fees and other misc. income .</v>
      </c>
      <c r="D108" s="134"/>
      <c r="E108" s="229">
        <f>'Unit Data from Audit Worksheet'!F125</f>
        <v>0</v>
      </c>
      <c r="F108" s="222"/>
      <c r="G108" s="224"/>
      <c r="H108" s="221"/>
      <c r="I108" s="32"/>
      <c r="J108" s="220">
        <v>88</v>
      </c>
      <c r="K108" s="219" t="s">
        <v>217</v>
      </c>
      <c r="L108" s="287">
        <f t="shared" si="13"/>
        <v>0</v>
      </c>
      <c r="P108" s="194"/>
      <c r="X108" s="549">
        <v>88</v>
      </c>
      <c r="Y108" s="284">
        <v>88</v>
      </c>
      <c r="AA108" s="384">
        <f t="shared" si="9"/>
        <v>0</v>
      </c>
      <c r="AB108" s="284">
        <f t="shared" si="10"/>
        <v>0</v>
      </c>
    </row>
    <row r="109" spans="1:28" ht="72" customHeight="1" x14ac:dyDescent="0.3">
      <c r="A109" s="210">
        <f>'Unit Data from Audit Worksheet'!A126</f>
        <v>84</v>
      </c>
      <c r="B109" s="223" t="str">
        <f>'Unit Data from Audit Worksheet'!C126</f>
        <v>Water Sewer Revenue, Expenses &amp; Changes in Fund Net Position</v>
      </c>
      <c r="C109" s="209" t="str">
        <f>'Unit Data from Audit Worksheet'!D126</f>
        <v>Total Operating revenues</v>
      </c>
      <c r="D109" s="134"/>
      <c r="E109" s="229">
        <f>'Unit Data from Audit Worksheet'!F126</f>
        <v>0</v>
      </c>
      <c r="F109" s="222" t="str">
        <f>IF(L108&gt;L109,"Error: Charges for services exceed total operating revenues. Acct # 88&gt;84"," ")</f>
        <v xml:space="preserve"> </v>
      </c>
      <c r="G109" s="224" t="str">
        <f>IF(Q90=1," Included in error count"," ")</f>
        <v xml:space="preserve"> </v>
      </c>
      <c r="H109" s="221"/>
      <c r="I109" s="32"/>
      <c r="J109" s="220">
        <v>84</v>
      </c>
      <c r="K109" s="219" t="s">
        <v>218</v>
      </c>
      <c r="L109" s="287">
        <f t="shared" si="13"/>
        <v>0</v>
      </c>
      <c r="P109" s="194"/>
      <c r="X109" s="549">
        <v>84</v>
      </c>
      <c r="Y109" s="284">
        <v>84</v>
      </c>
      <c r="AA109" s="384">
        <f t="shared" si="9"/>
        <v>0</v>
      </c>
      <c r="AB109" s="284">
        <f t="shared" si="10"/>
        <v>0</v>
      </c>
    </row>
    <row r="110" spans="1:28" ht="72" customHeight="1" x14ac:dyDescent="0.3">
      <c r="A110" s="210">
        <f>'Unit Data from Audit Worksheet'!A127</f>
        <v>49</v>
      </c>
      <c r="B110" s="223" t="str">
        <f>'Unit Data from Audit Worksheet'!C127</f>
        <v>Water Sewer Revenue, Expenses &amp; Changes in Fund Net Position</v>
      </c>
      <c r="C110" s="209" t="str">
        <f>'Unit Data from Audit Worksheet'!D127</f>
        <v>Depreciation and amortization expense</v>
      </c>
      <c r="D110" s="134"/>
      <c r="E110" s="229">
        <f>'Unit Data from Audit Worksheet'!F127</f>
        <v>0</v>
      </c>
      <c r="F110" s="222">
        <f>IF(L110&lt;0,"Error: Number is normally positive.",)</f>
        <v>0</v>
      </c>
      <c r="G110" s="224"/>
      <c r="H110" s="221"/>
      <c r="I110" s="32"/>
      <c r="J110" s="220">
        <v>49</v>
      </c>
      <c r="K110" s="219" t="s">
        <v>219</v>
      </c>
      <c r="L110" s="287">
        <f t="shared" si="13"/>
        <v>0</v>
      </c>
      <c r="O110" s="294"/>
      <c r="P110" s="194"/>
      <c r="X110" s="549">
        <v>49</v>
      </c>
      <c r="Y110" s="284">
        <v>49</v>
      </c>
      <c r="AA110" s="384">
        <f t="shared" si="9"/>
        <v>0</v>
      </c>
      <c r="AB110" s="284">
        <f t="shared" si="10"/>
        <v>0</v>
      </c>
    </row>
    <row r="111" spans="1:28" ht="48" customHeight="1" x14ac:dyDescent="0.3">
      <c r="A111" s="210">
        <f>'Unit Data from Audit Worksheet'!A128</f>
        <v>85</v>
      </c>
      <c r="B111" s="223" t="str">
        <f>'Unit Data from Audit Worksheet'!C128</f>
        <v>Water Sewer Revenue, Expenses &amp; Changes in Fund Net Position</v>
      </c>
      <c r="C111" s="209" t="str">
        <f>'Unit Data from Audit Worksheet'!D128</f>
        <v>Total Operating expenses</v>
      </c>
      <c r="D111" s="134"/>
      <c r="E111" s="229">
        <f>'Unit Data from Audit Worksheet'!F128</f>
        <v>0</v>
      </c>
      <c r="F111" s="222"/>
      <c r="G111" s="224"/>
      <c r="H111" s="221"/>
      <c r="I111" s="32"/>
      <c r="J111" s="220">
        <v>85</v>
      </c>
      <c r="K111" s="219" t="s">
        <v>220</v>
      </c>
      <c r="L111" s="287">
        <f t="shared" si="13"/>
        <v>0</v>
      </c>
      <c r="P111" s="194"/>
      <c r="X111" s="549">
        <v>85</v>
      </c>
      <c r="Y111" s="284">
        <v>85</v>
      </c>
      <c r="AA111" s="384">
        <f t="shared" si="9"/>
        <v>0</v>
      </c>
      <c r="AB111" s="284">
        <f t="shared" si="10"/>
        <v>0</v>
      </c>
    </row>
    <row r="112" spans="1:28" ht="48" customHeight="1" x14ac:dyDescent="0.3">
      <c r="A112" s="210">
        <f>'Unit Data from Audit Worksheet'!A129</f>
        <v>89</v>
      </c>
      <c r="B112" s="223" t="str">
        <f>'Unit Data from Audit Worksheet'!C129</f>
        <v>Water Sewer Revenue, Expenses &amp; Changes in Fund Net Position</v>
      </c>
      <c r="C112" s="209" t="str">
        <f>'Unit Data from Audit Worksheet'!D129</f>
        <v>Interest expense</v>
      </c>
      <c r="D112" s="134"/>
      <c r="E112" s="229">
        <f>'Unit Data from Audit Worksheet'!F129</f>
        <v>0</v>
      </c>
      <c r="F112" s="222"/>
      <c r="G112" s="224"/>
      <c r="H112" s="221"/>
      <c r="I112" s="32"/>
      <c r="J112" s="220">
        <v>89</v>
      </c>
      <c r="K112" s="219" t="s">
        <v>221</v>
      </c>
      <c r="L112" s="287">
        <f t="shared" si="13"/>
        <v>0</v>
      </c>
      <c r="P112" s="194"/>
      <c r="X112" s="549">
        <v>89</v>
      </c>
      <c r="Y112" s="284">
        <v>89</v>
      </c>
      <c r="AA112" s="384">
        <f t="shared" si="9"/>
        <v>0</v>
      </c>
      <c r="AB112" s="284">
        <f t="shared" si="10"/>
        <v>0</v>
      </c>
    </row>
    <row r="113" spans="1:28" ht="48" customHeight="1" x14ac:dyDescent="0.3">
      <c r="A113" s="210">
        <f>'Unit Data from Audit Worksheet'!A130</f>
        <v>350</v>
      </c>
      <c r="B113" s="223" t="str">
        <f>'Unit Data from Audit Worksheet'!C130</f>
        <v>Water Sewer Revenue, Expenses &amp; Changes in Fund Net Position</v>
      </c>
      <c r="C113" s="209" t="str">
        <f>'Unit Data from Audit Worksheet'!D130</f>
        <v>Total all non-operating revenues  
Exclude Capital contributions.</v>
      </c>
      <c r="D113" s="134"/>
      <c r="E113" s="229">
        <f>'Unit Data from Audit Worksheet'!F130</f>
        <v>0</v>
      </c>
      <c r="F113" s="222"/>
      <c r="G113" s="224"/>
      <c r="H113" s="221"/>
      <c r="I113" s="32"/>
      <c r="J113" s="220">
        <v>350</v>
      </c>
      <c r="K113" s="219" t="s">
        <v>222</v>
      </c>
      <c r="L113" s="287">
        <f t="shared" si="13"/>
        <v>0</v>
      </c>
      <c r="P113" s="194"/>
      <c r="X113" s="549">
        <v>350</v>
      </c>
      <c r="Y113" s="284">
        <v>350</v>
      </c>
      <c r="AA113" s="384">
        <f t="shared" si="9"/>
        <v>0</v>
      </c>
      <c r="AB113" s="284">
        <f t="shared" si="10"/>
        <v>0</v>
      </c>
    </row>
    <row r="114" spans="1:28" ht="48" customHeight="1" x14ac:dyDescent="0.3">
      <c r="A114" s="210">
        <f>'Unit Data from Audit Worksheet'!A131</f>
        <v>351</v>
      </c>
      <c r="B114" s="223" t="str">
        <f>'Unit Data from Audit Worksheet'!C131</f>
        <v>Water Sewer Revenue, Expenses &amp; Changes in Fund Net Position</v>
      </c>
      <c r="C114" s="209" t="str">
        <f>'Unit Data from Audit Worksheet'!D131</f>
        <v>Total all non-operating expenses.  
Include any negative special, extraordinary, or capital contribution.</v>
      </c>
      <c r="D114" s="134"/>
      <c r="E114" s="229">
        <f>'Unit Data from Audit Worksheet'!F131</f>
        <v>0</v>
      </c>
      <c r="F114" s="222"/>
      <c r="G114" s="224"/>
      <c r="H114" s="221"/>
      <c r="I114" s="32"/>
      <c r="J114" s="220">
        <v>351</v>
      </c>
      <c r="K114" s="219" t="s">
        <v>223</v>
      </c>
      <c r="L114" s="287">
        <f t="shared" si="13"/>
        <v>0</v>
      </c>
      <c r="P114" s="194"/>
      <c r="X114" s="549">
        <v>351</v>
      </c>
      <c r="Y114" s="284">
        <v>351</v>
      </c>
      <c r="AA114" s="384">
        <f t="shared" si="9"/>
        <v>0</v>
      </c>
      <c r="AB114" s="284">
        <f t="shared" si="10"/>
        <v>0</v>
      </c>
    </row>
    <row r="115" spans="1:28" ht="66" customHeight="1" x14ac:dyDescent="0.3">
      <c r="A115" s="210">
        <f>'Unit Data from Audit Worksheet'!A132</f>
        <v>191</v>
      </c>
      <c r="B115" s="223" t="str">
        <f>'Unit Data from Audit Worksheet'!C132</f>
        <v>Water Sewer Revenue, Expenses &amp; Changes in Fund Net Position</v>
      </c>
      <c r="C115" s="209" t="str">
        <f>'Unit Data from Audit Worksheet'!D132</f>
        <v>Capital contributions. Only include positive capital contributions.  Negative capital contributions should be included with 'Total all non-operating expenses.'</v>
      </c>
      <c r="D115" s="134"/>
      <c r="E115" s="229">
        <f>'Unit Data from Audit Worksheet'!F132</f>
        <v>0</v>
      </c>
      <c r="F115" s="222">
        <f>IF(L115&lt;0,"Error: Enter as a positive.",)</f>
        <v>0</v>
      </c>
      <c r="G115" s="224"/>
      <c r="H115" s="221"/>
      <c r="I115" s="32"/>
      <c r="J115" s="220">
        <v>191</v>
      </c>
      <c r="K115" s="219" t="s">
        <v>224</v>
      </c>
      <c r="L115" s="287">
        <f t="shared" si="13"/>
        <v>0</v>
      </c>
      <c r="P115" s="194"/>
      <c r="S115" s="18"/>
      <c r="T115" s="18"/>
      <c r="U115" s="18"/>
      <c r="V115" s="18"/>
      <c r="X115" s="549">
        <v>191</v>
      </c>
      <c r="Y115" s="284">
        <v>191</v>
      </c>
      <c r="Z115" s="18"/>
      <c r="AA115" s="384">
        <f t="shared" si="9"/>
        <v>0</v>
      </c>
      <c r="AB115" s="284">
        <f t="shared" si="10"/>
        <v>0</v>
      </c>
    </row>
    <row r="116" spans="1:28" s="384" customFormat="1" ht="66.599999999999994" customHeight="1" x14ac:dyDescent="0.3">
      <c r="A116" s="210">
        <f>'Unit Data from Audit Worksheet'!A133</f>
        <v>1053</v>
      </c>
      <c r="B116" s="223" t="str">
        <f>'Unit Data from Audit Worksheet'!C133</f>
        <v>Water &amp; Sewer Revenue, Expenses &amp; Changes in Fund Net Position</v>
      </c>
      <c r="C116" s="209" t="str">
        <f>'Unit Data from Audit Worksheet'!D133</f>
        <v>Mark to Market unrealized losses in the Water and Sewer Fund. (enter as a negative number)</v>
      </c>
      <c r="D116" s="134"/>
      <c r="E116" s="229">
        <f>'Unit Data from Audit Worksheet'!F133</f>
        <v>0</v>
      </c>
      <c r="F116" s="222"/>
      <c r="G116" s="224"/>
      <c r="H116" s="221"/>
      <c r="I116" s="32"/>
      <c r="J116" s="220">
        <v>1053</v>
      </c>
      <c r="K116" s="209" t="s">
        <v>1534</v>
      </c>
      <c r="L116" s="293">
        <f t="shared" si="13"/>
        <v>0</v>
      </c>
      <c r="M116"/>
      <c r="P116" s="194"/>
      <c r="Q116" s="277"/>
      <c r="S116" s="18"/>
      <c r="T116" s="18"/>
      <c r="U116" s="18"/>
      <c r="V116" s="18"/>
      <c r="X116" s="549"/>
      <c r="Y116" s="284"/>
      <c r="Z116" s="18"/>
      <c r="AA116" s="384">
        <f t="shared" si="9"/>
        <v>0</v>
      </c>
      <c r="AB116" s="284"/>
    </row>
    <row r="117" spans="1:28" ht="47.25" customHeight="1" x14ac:dyDescent="0.3">
      <c r="A117" s="210">
        <f>'Unit Data from Audit Worksheet'!A134</f>
        <v>352</v>
      </c>
      <c r="B117" s="223" t="str">
        <f>'Unit Data from Audit Worksheet'!C134</f>
        <v>Water Sewer Revenue, Expenses &amp; Changes in Fund Net Position</v>
      </c>
      <c r="C117" s="209" t="str">
        <f>'Unit Data from Audit Worksheet'!D134</f>
        <v>Total Transfers in - all funds (operating and capital)</v>
      </c>
      <c r="D117" s="134"/>
      <c r="E117" s="229">
        <f>'Unit Data from Audit Worksheet'!F134</f>
        <v>0</v>
      </c>
      <c r="F117" s="222"/>
      <c r="G117" s="224"/>
      <c r="H117" s="221"/>
      <c r="I117" s="32"/>
      <c r="J117" s="220">
        <v>352</v>
      </c>
      <c r="K117" s="219" t="s">
        <v>225</v>
      </c>
      <c r="L117" s="287">
        <f t="shared" si="13"/>
        <v>0</v>
      </c>
      <c r="P117" s="194"/>
      <c r="X117" s="549">
        <v>352</v>
      </c>
      <c r="Y117" s="284">
        <v>352</v>
      </c>
      <c r="AA117" s="384">
        <f t="shared" si="9"/>
        <v>0</v>
      </c>
      <c r="AB117" s="284">
        <f t="shared" si="10"/>
        <v>0</v>
      </c>
    </row>
    <row r="118" spans="1:28" ht="70.5" customHeight="1" x14ac:dyDescent="0.3">
      <c r="A118" s="210">
        <f>'Unit Data from Audit Worksheet'!A135</f>
        <v>986</v>
      </c>
      <c r="B118" s="223" t="str">
        <f>'Unit Data from Audit Worksheet'!C135</f>
        <v>Water Sewer Revenue, Expenses &amp; Changes in Fund Net Position</v>
      </c>
      <c r="C118" s="209" t="str">
        <f>'Unit Data from Audit Worksheet'!D135</f>
        <v>Of the transfers-in above in acct # 352, list amount of transfers-in that were used to support Water Sewer operations  (exclude capital transfers)</v>
      </c>
      <c r="D118" s="134"/>
      <c r="E118" s="229">
        <f>'Unit Data from Audit Worksheet'!F135</f>
        <v>0</v>
      </c>
      <c r="F118" s="222"/>
      <c r="G118" s="224"/>
      <c r="H118" s="221"/>
      <c r="I118" s="32"/>
      <c r="J118" s="220">
        <v>986</v>
      </c>
      <c r="K118" s="209" t="s">
        <v>584</v>
      </c>
      <c r="L118" s="293">
        <f t="shared" si="13"/>
        <v>0</v>
      </c>
      <c r="P118" s="194"/>
      <c r="X118" s="549">
        <v>986</v>
      </c>
      <c r="Y118" s="284">
        <v>986</v>
      </c>
      <c r="AA118" s="384">
        <f t="shared" si="9"/>
        <v>0</v>
      </c>
      <c r="AB118" s="284">
        <f t="shared" si="10"/>
        <v>0</v>
      </c>
    </row>
    <row r="119" spans="1:28" ht="47.25" customHeight="1" x14ac:dyDescent="0.3">
      <c r="A119" s="210">
        <f>'Unit Data from Audit Worksheet'!A136</f>
        <v>353</v>
      </c>
      <c r="B119" s="223" t="str">
        <f>'Unit Data from Audit Worksheet'!C136</f>
        <v>Water Sewer Revenue, Expenses &amp; Changes in Fund Net Position</v>
      </c>
      <c r="C119" s="209" t="str">
        <f>'Unit Data from Audit Worksheet'!D136</f>
        <v>Total Transfers out</v>
      </c>
      <c r="D119" s="134"/>
      <c r="E119" s="229">
        <f>'Unit Data from Audit Worksheet'!F136</f>
        <v>0</v>
      </c>
      <c r="F119" s="222">
        <f>IF(L119&lt;0,"Error: Enter as a positive.",)</f>
        <v>0</v>
      </c>
      <c r="G119" s="224"/>
      <c r="H119" s="221"/>
      <c r="I119" s="32"/>
      <c r="J119" s="34">
        <v>353</v>
      </c>
      <c r="K119" s="219" t="s">
        <v>226</v>
      </c>
      <c r="L119" s="287">
        <f t="shared" si="13"/>
        <v>0</v>
      </c>
      <c r="P119" s="194"/>
      <c r="X119" s="549">
        <v>353</v>
      </c>
      <c r="Y119" s="284">
        <v>353</v>
      </c>
      <c r="AA119" s="384">
        <f t="shared" si="9"/>
        <v>0</v>
      </c>
      <c r="AB119" s="284">
        <f t="shared" si="10"/>
        <v>0</v>
      </c>
    </row>
    <row r="120" spans="1:28" ht="72.75" customHeight="1" x14ac:dyDescent="0.3">
      <c r="A120" s="210">
        <f>'Unit Data from Audit Worksheet'!A137</f>
        <v>50</v>
      </c>
      <c r="B120" s="223" t="str">
        <f>'Unit Data from Audit Worksheet'!C137</f>
        <v>Water Sewer Revenue, Expenses &amp; Changes in Fund Net Position</v>
      </c>
      <c r="C120" s="209" t="str">
        <f>'Unit Data from Audit Worksheet'!D137</f>
        <v>Change in net position - Increase in net position is recorded as a positive and a (Decrease) in net position is recorded as a negative.</v>
      </c>
      <c r="D120" s="134"/>
      <c r="E120" s="139">
        <f>'Unit Data from Audit Worksheet'!F137</f>
        <v>0</v>
      </c>
      <c r="F120" s="222">
        <f>IF(L109-L111+L113-L114+L117+L115-L119-L120=0,,"Error:Total revenues less total expenses do not equal total change in net position. Acct # 84-85+350-351+191+352-353-50")</f>
        <v>0</v>
      </c>
      <c r="G120" s="84">
        <f>+L109-L111+L113-L114+L117+L115-L119-L120</f>
        <v>0</v>
      </c>
      <c r="H120" s="221"/>
      <c r="I120" s="32"/>
      <c r="J120" s="220">
        <v>50</v>
      </c>
      <c r="K120" s="219" t="s">
        <v>92</v>
      </c>
      <c r="L120" s="287">
        <f t="shared" si="13"/>
        <v>0</v>
      </c>
      <c r="P120" s="194"/>
      <c r="X120" s="549">
        <v>50</v>
      </c>
      <c r="Y120" s="284">
        <v>50</v>
      </c>
      <c r="AA120" s="384">
        <f t="shared" si="9"/>
        <v>0</v>
      </c>
      <c r="AB120" s="284">
        <f t="shared" si="10"/>
        <v>0</v>
      </c>
    </row>
    <row r="121" spans="1:28" ht="144" customHeight="1" x14ac:dyDescent="0.3">
      <c r="A121" s="210">
        <f>'Unit Data from Audit Worksheet'!A138</f>
        <v>377</v>
      </c>
      <c r="B121" s="223" t="str">
        <f>'Unit Data from Audit Worksheet'!C138</f>
        <v>Water Sewer Revenue, Expenses &amp; Changes in Fund Net Position</v>
      </c>
      <c r="C121" s="209" t="str">
        <f>'Unit Data from Audit Worksheet'!D138</f>
        <v>Increases or (decreases) to beginning water sewer net position due to rounding, prior period adjustments and restatements.  Increase amounts to beginning net position should be entered as a positive amount and (decreases) should be entered as a negative amount.</v>
      </c>
      <c r="D121" s="134"/>
      <c r="E121" s="139">
        <f>'Unit Data from Audit Worksheet'!F138</f>
        <v>0</v>
      </c>
      <c r="F121" s="80" t="e">
        <f>IF(L89-L120-L121=O89,,"Error:Beginning Balance does not agree with out records.Acct # 83-50-377 = PY83")</f>
        <v>#N/A</v>
      </c>
      <c r="G121" s="84" t="e">
        <f>+L89-L120-L121-O89</f>
        <v>#N/A</v>
      </c>
      <c r="H121" s="221" t="e">
        <f>'Unit Data from Audit Worksheet'!I138</f>
        <v>#N/A</v>
      </c>
      <c r="I121" s="32"/>
      <c r="J121" s="220">
        <v>377</v>
      </c>
      <c r="K121" s="219" t="s">
        <v>101</v>
      </c>
      <c r="L121" s="287">
        <f t="shared" si="13"/>
        <v>0</v>
      </c>
      <c r="P121" s="194"/>
      <c r="X121" s="549">
        <v>377</v>
      </c>
      <c r="Y121" s="284">
        <v>377</v>
      </c>
      <c r="AA121" s="384">
        <f t="shared" si="9"/>
        <v>0</v>
      </c>
      <c r="AB121" s="284">
        <f t="shared" si="10"/>
        <v>0</v>
      </c>
    </row>
    <row r="122" spans="1:28" ht="63" customHeight="1" x14ac:dyDescent="0.3">
      <c r="A122" s="310">
        <f>'Unit Data from Audit Worksheet'!A139</f>
        <v>537</v>
      </c>
      <c r="B122" s="223" t="str">
        <f>'Unit Data from Audit Worksheet'!C139</f>
        <v>Water Sewer Revenue, Expenses &amp; Changes in Fund Net Position</v>
      </c>
      <c r="C122" s="209" t="str">
        <f>'Unit Data from Audit Worksheet'!D139</f>
        <v>Did unit raise Water Sewer rates during the audited fiscal period? - answer Yes =1 or No= 2</v>
      </c>
      <c r="D122" s="129"/>
      <c r="E122" s="229">
        <f>'Unit Data from Audit Worksheet'!F139</f>
        <v>0</v>
      </c>
      <c r="F122" s="222" t="s">
        <v>309</v>
      </c>
      <c r="G122" s="224"/>
      <c r="H122" s="221"/>
      <c r="I122" s="32"/>
      <c r="J122" s="60">
        <v>537</v>
      </c>
      <c r="K122" s="58" t="s">
        <v>280</v>
      </c>
      <c r="L122" s="287">
        <f t="shared" si="13"/>
        <v>0</v>
      </c>
      <c r="N122" s="54" t="s">
        <v>299</v>
      </c>
      <c r="P122" s="194"/>
      <c r="X122" s="549">
        <v>537</v>
      </c>
      <c r="Y122" s="284">
        <v>537</v>
      </c>
      <c r="AA122" s="384">
        <f t="shared" si="9"/>
        <v>0</v>
      </c>
      <c r="AB122" s="284">
        <f t="shared" si="10"/>
        <v>0</v>
      </c>
    </row>
    <row r="123" spans="1:28" ht="63.75" customHeight="1" x14ac:dyDescent="0.3">
      <c r="A123" s="310">
        <f>'Unit Data from Audit Worksheet'!A140</f>
        <v>538</v>
      </c>
      <c r="B123" s="223" t="str">
        <f>'Unit Data from Audit Worksheet'!C140</f>
        <v>Water Sewer Revenue, Expenses &amp; Changes in Fund Net Position</v>
      </c>
      <c r="C123" s="209" t="str">
        <f>'Unit Data from Audit Worksheet'!D140</f>
        <v>Did unit raise Water Sewer rates during the budget year following the audited fiscal year? - answer Yes=1 or No=2</v>
      </c>
      <c r="D123" s="129"/>
      <c r="E123" s="229">
        <f>'Unit Data from Audit Worksheet'!F140</f>
        <v>0</v>
      </c>
      <c r="F123" s="222" t="s">
        <v>309</v>
      </c>
      <c r="G123" s="224"/>
      <c r="H123" s="221"/>
      <c r="I123" s="32"/>
      <c r="J123" s="60">
        <v>538</v>
      </c>
      <c r="K123" s="58" t="s">
        <v>279</v>
      </c>
      <c r="L123" s="287">
        <f t="shared" si="13"/>
        <v>0</v>
      </c>
      <c r="N123" s="54" t="s">
        <v>299</v>
      </c>
      <c r="P123" s="194"/>
      <c r="X123" s="549">
        <v>538</v>
      </c>
      <c r="Y123" s="284">
        <v>538</v>
      </c>
      <c r="AA123" s="384">
        <f t="shared" si="9"/>
        <v>0</v>
      </c>
      <c r="AB123" s="284">
        <f t="shared" si="10"/>
        <v>0</v>
      </c>
    </row>
    <row r="124" spans="1:28" ht="47.25" customHeight="1" x14ac:dyDescent="0.3">
      <c r="A124" s="210">
        <f>'Unit Data from Audit Worksheet'!A142</f>
        <v>97</v>
      </c>
      <c r="B124" s="223" t="str">
        <f>'Unit Data from Audit Worksheet'!C142</f>
        <v>Electric Fund Revenue, Expenses &amp; Changes in Fund Net Position</v>
      </c>
      <c r="C124" s="209" t="str">
        <f>'Unit Data from Audit Worksheet'!D142</f>
        <v>Charges for services</v>
      </c>
      <c r="D124" s="228"/>
      <c r="E124" s="229">
        <f>'Unit Data from Audit Worksheet'!F142</f>
        <v>0</v>
      </c>
      <c r="F124" s="222">
        <f>IF(L124&lt;0,"Error: Enter as a positive.",)</f>
        <v>0</v>
      </c>
      <c r="G124" s="224"/>
      <c r="H124" s="221"/>
      <c r="I124" s="32"/>
      <c r="J124" s="220">
        <v>97</v>
      </c>
      <c r="K124" s="219" t="s">
        <v>227</v>
      </c>
      <c r="L124" s="287">
        <f t="shared" ref="L124:L200" si="15">IF(D124="",E124,D124)</f>
        <v>0</v>
      </c>
      <c r="P124" s="194"/>
      <c r="X124" s="549">
        <v>97</v>
      </c>
      <c r="Y124" s="284">
        <v>97</v>
      </c>
      <c r="AA124" s="384">
        <f t="shared" si="9"/>
        <v>0</v>
      </c>
      <c r="AB124" s="284">
        <f t="shared" si="10"/>
        <v>0</v>
      </c>
    </row>
    <row r="125" spans="1:28" ht="45.75" customHeight="1" x14ac:dyDescent="0.3">
      <c r="A125" s="210">
        <f>'Unit Data from Audit Worksheet'!A143</f>
        <v>93</v>
      </c>
      <c r="B125" s="223" t="str">
        <f>'Unit Data from Audit Worksheet'!C143</f>
        <v>Electric Fund Revenue, Expenses &amp; Changes in Fund Net Position</v>
      </c>
      <c r="C125" s="209" t="str">
        <f>'Unit Data from Audit Worksheet'!D143</f>
        <v>Total Operating revenues</v>
      </c>
      <c r="D125" s="228"/>
      <c r="E125" s="229">
        <f>'Unit Data from Audit Worksheet'!F143</f>
        <v>0</v>
      </c>
      <c r="F125" s="222" t="str">
        <f>IF(L124&gt;L125,"Error: Charges for services exceeds total operating revenues Acct 97&gt;=93"," ")</f>
        <v xml:space="preserve"> </v>
      </c>
      <c r="G125" s="224" t="str">
        <f>IF(Q105=1," Included in error count"," ")</f>
        <v xml:space="preserve"> </v>
      </c>
      <c r="H125" s="221"/>
      <c r="I125" s="32"/>
      <c r="J125" s="220">
        <v>93</v>
      </c>
      <c r="K125" s="219" t="s">
        <v>228</v>
      </c>
      <c r="L125" s="287">
        <f t="shared" si="15"/>
        <v>0</v>
      </c>
      <c r="P125" s="194"/>
      <c r="X125" s="549">
        <v>93</v>
      </c>
      <c r="Y125" s="284">
        <v>93</v>
      </c>
      <c r="AA125" s="384">
        <f t="shared" si="9"/>
        <v>0</v>
      </c>
      <c r="AB125" s="284">
        <f t="shared" si="10"/>
        <v>0</v>
      </c>
    </row>
    <row r="126" spans="1:28" ht="45.75" customHeight="1" x14ac:dyDescent="0.3">
      <c r="A126" s="210">
        <f>'Unit Data from Audit Worksheet'!A144</f>
        <v>99</v>
      </c>
      <c r="B126" s="223" t="str">
        <f>'Unit Data from Audit Worksheet'!C144</f>
        <v>Electric Fund Revenue, Expenses &amp; Changes in Fund Net Position</v>
      </c>
      <c r="C126" s="209" t="str">
        <f>'Unit Data from Audit Worksheet'!D144</f>
        <v>Electrical power purchases</v>
      </c>
      <c r="D126" s="228"/>
      <c r="E126" s="229">
        <f>'Unit Data from Audit Worksheet'!F144</f>
        <v>0</v>
      </c>
      <c r="F126" s="222">
        <f>IF(L126&lt;0,"Error: Enter as a positive.",)</f>
        <v>0</v>
      </c>
      <c r="G126" s="224"/>
      <c r="H126" s="221"/>
      <c r="I126" s="32"/>
      <c r="J126" s="220">
        <v>99</v>
      </c>
      <c r="K126" s="219" t="s">
        <v>229</v>
      </c>
      <c r="L126" s="287">
        <f t="shared" si="15"/>
        <v>0</v>
      </c>
      <c r="P126" s="194"/>
      <c r="S126" s="18"/>
      <c r="T126" s="18"/>
      <c r="U126" s="18"/>
      <c r="V126" s="18"/>
      <c r="X126" s="549">
        <v>99</v>
      </c>
      <c r="Y126" s="284">
        <v>99</v>
      </c>
      <c r="Z126" s="18"/>
      <c r="AA126" s="384">
        <f t="shared" si="9"/>
        <v>0</v>
      </c>
      <c r="AB126" s="284">
        <f t="shared" si="10"/>
        <v>0</v>
      </c>
    </row>
    <row r="127" spans="1:28" ht="45.75" customHeight="1" x14ac:dyDescent="0.3">
      <c r="A127" s="210">
        <f>'Unit Data from Audit Worksheet'!A145</f>
        <v>52</v>
      </c>
      <c r="B127" s="223" t="str">
        <f>'Unit Data from Audit Worksheet'!C145</f>
        <v>Electric Fund Revenue, Expenses &amp; Changes in Fund Net Position</v>
      </c>
      <c r="C127" s="209" t="str">
        <f>'Unit Data from Audit Worksheet'!D145</f>
        <v>Depreciation and amortization expense</v>
      </c>
      <c r="D127" s="228"/>
      <c r="E127" s="229">
        <f>'Unit Data from Audit Worksheet'!F145</f>
        <v>0</v>
      </c>
      <c r="F127" s="222">
        <f>IF(L127&lt;0,"Error: Enter as a positive.",)</f>
        <v>0</v>
      </c>
      <c r="G127" s="224"/>
      <c r="H127" s="221"/>
      <c r="I127" s="32"/>
      <c r="J127" s="220">
        <v>52</v>
      </c>
      <c r="K127" s="219" t="s">
        <v>230</v>
      </c>
      <c r="L127" s="287">
        <f t="shared" si="15"/>
        <v>0</v>
      </c>
      <c r="P127" s="194"/>
      <c r="X127" s="549">
        <v>52</v>
      </c>
      <c r="Y127" s="284">
        <v>52</v>
      </c>
      <c r="AA127" s="384">
        <f t="shared" si="9"/>
        <v>0</v>
      </c>
      <c r="AB127" s="284">
        <f t="shared" si="10"/>
        <v>0</v>
      </c>
    </row>
    <row r="128" spans="1:28" ht="45.75" customHeight="1" x14ac:dyDescent="0.3">
      <c r="A128" s="210">
        <f>'Unit Data from Audit Worksheet'!A146</f>
        <v>94</v>
      </c>
      <c r="B128" s="223" t="str">
        <f>'Unit Data from Audit Worksheet'!C146</f>
        <v>Electric Fund Revenue, Expenses &amp; Changes in Fund Net Position</v>
      </c>
      <c r="C128" s="209" t="str">
        <f>'Unit Data from Audit Worksheet'!D146</f>
        <v>Total Operating expenses</v>
      </c>
      <c r="D128" s="228"/>
      <c r="E128" s="229">
        <f>'Unit Data from Audit Worksheet'!F146</f>
        <v>0</v>
      </c>
      <c r="F128" s="222">
        <f>IF(L128&lt;0,"Error: Enter as a positive.",)</f>
        <v>0</v>
      </c>
      <c r="G128" s="224"/>
      <c r="H128" s="221"/>
      <c r="I128" s="32"/>
      <c r="J128" s="220">
        <v>94</v>
      </c>
      <c r="K128" s="219" t="s">
        <v>231</v>
      </c>
      <c r="L128" s="287">
        <f t="shared" si="15"/>
        <v>0</v>
      </c>
      <c r="P128" s="194"/>
      <c r="X128" s="549">
        <v>94</v>
      </c>
      <c r="Y128" s="284">
        <v>94</v>
      </c>
      <c r="AA128" s="384">
        <f t="shared" si="9"/>
        <v>0</v>
      </c>
      <c r="AB128" s="284">
        <f t="shared" si="10"/>
        <v>0</v>
      </c>
    </row>
    <row r="129" spans="1:28" ht="46.5" customHeight="1" x14ac:dyDescent="0.3">
      <c r="A129" s="210">
        <f>'Unit Data from Audit Worksheet'!A147</f>
        <v>98</v>
      </c>
      <c r="B129" s="223" t="str">
        <f>'Unit Data from Audit Worksheet'!C147</f>
        <v>Electric Fund Revenue, Expenses &amp; Changes in Fund Net Position</v>
      </c>
      <c r="C129" s="209" t="str">
        <f>'Unit Data from Audit Worksheet'!D147</f>
        <v>Interest expense</v>
      </c>
      <c r="D129" s="228"/>
      <c r="E129" s="229">
        <f>'Unit Data from Audit Worksheet'!F147</f>
        <v>0</v>
      </c>
      <c r="F129" s="222">
        <f>IF(L129&lt;0,"Error: Enter as a positive.",)</f>
        <v>0</v>
      </c>
      <c r="G129" s="224"/>
      <c r="H129" s="221"/>
      <c r="I129" s="32"/>
      <c r="J129" s="220">
        <v>98</v>
      </c>
      <c r="K129" s="219" t="s">
        <v>232</v>
      </c>
      <c r="L129" s="287">
        <f t="shared" si="15"/>
        <v>0</v>
      </c>
      <c r="P129" s="194"/>
      <c r="X129" s="549">
        <v>98</v>
      </c>
      <c r="Y129" s="284">
        <v>98</v>
      </c>
      <c r="AA129" s="384">
        <f t="shared" si="9"/>
        <v>0</v>
      </c>
      <c r="AB129" s="284">
        <f t="shared" si="10"/>
        <v>0</v>
      </c>
    </row>
    <row r="130" spans="1:28" ht="51" customHeight="1" x14ac:dyDescent="0.3">
      <c r="A130" s="210">
        <f>'Unit Data from Audit Worksheet'!A148</f>
        <v>363</v>
      </c>
      <c r="B130" s="223" t="str">
        <f>'Unit Data from Audit Worksheet'!C148</f>
        <v>Electric Fund Revenue, Expenses &amp; Changes in Fund Net Position</v>
      </c>
      <c r="C130" s="209" t="str">
        <f>'Unit Data from Audit Worksheet'!D148</f>
        <v>Total all the non-operating revenues  
Exclude Capital Contributions.</v>
      </c>
      <c r="D130" s="228"/>
      <c r="E130" s="229">
        <f>'Unit Data from Audit Worksheet'!F148</f>
        <v>0</v>
      </c>
      <c r="F130" s="222"/>
      <c r="G130" s="224"/>
      <c r="H130" s="221"/>
      <c r="I130" s="32"/>
      <c r="J130" s="220">
        <v>363</v>
      </c>
      <c r="K130" s="219" t="s">
        <v>233</v>
      </c>
      <c r="L130" s="287">
        <f t="shared" si="15"/>
        <v>0</v>
      </c>
      <c r="P130" s="194"/>
      <c r="X130" s="549">
        <v>363</v>
      </c>
      <c r="Y130" s="284">
        <v>363</v>
      </c>
      <c r="AA130" s="384">
        <f t="shared" si="9"/>
        <v>0</v>
      </c>
      <c r="AB130" s="284">
        <f t="shared" si="10"/>
        <v>0</v>
      </c>
    </row>
    <row r="131" spans="1:28" ht="60" customHeight="1" x14ac:dyDescent="0.3">
      <c r="A131" s="210">
        <f>'Unit Data from Audit Worksheet'!A149</f>
        <v>364</v>
      </c>
      <c r="B131" s="223" t="str">
        <f>'Unit Data from Audit Worksheet'!C149</f>
        <v>Electric Fund Revenue, Expenses &amp; Changes in Fund Net Position</v>
      </c>
      <c r="C131" s="209" t="str">
        <f>'Unit Data from Audit Worksheet'!D149</f>
        <v>Total all non-operating expenses.  
Include negative special, extraordinary, or capital contribution.</v>
      </c>
      <c r="D131" s="228"/>
      <c r="E131" s="229">
        <f>'Unit Data from Audit Worksheet'!F149</f>
        <v>0</v>
      </c>
      <c r="F131" s="222">
        <f>IF(L131&lt;0,"Error: Enter as a positive.",)</f>
        <v>0</v>
      </c>
      <c r="G131" s="224"/>
      <c r="H131" s="221"/>
      <c r="I131" s="32"/>
      <c r="J131" s="220">
        <v>364</v>
      </c>
      <c r="K131" s="219" t="s">
        <v>234</v>
      </c>
      <c r="L131" s="287">
        <f t="shared" si="15"/>
        <v>0</v>
      </c>
      <c r="P131" s="194"/>
      <c r="X131" s="549">
        <v>364</v>
      </c>
      <c r="Y131" s="284">
        <v>364</v>
      </c>
      <c r="AA131" s="384">
        <f t="shared" si="9"/>
        <v>0</v>
      </c>
      <c r="AB131" s="284">
        <f t="shared" si="10"/>
        <v>0</v>
      </c>
    </row>
    <row r="132" spans="1:28" ht="89.25" customHeight="1" x14ac:dyDescent="0.3">
      <c r="A132" s="210">
        <f>'Unit Data from Audit Worksheet'!A150</f>
        <v>192</v>
      </c>
      <c r="B132" s="223" t="str">
        <f>'Unit Data from Audit Worksheet'!C150</f>
        <v>Electric Fund Revenue, Expenses &amp; Changes in Fund Net Position</v>
      </c>
      <c r="C132" s="209" t="str">
        <f>'Unit Data from Audit Worksheet'!D150</f>
        <v>Capital Contributions.  
Include only positive capital Contributions.  Negative capital contributions should be included with 'Total all non-operating expenses.'</v>
      </c>
      <c r="D132" s="228"/>
      <c r="E132" s="229">
        <f>'Unit Data from Audit Worksheet'!F150</f>
        <v>0</v>
      </c>
      <c r="F132" s="222">
        <f>IF(L132&lt;0,"Error: Enter as a positive.",)</f>
        <v>0</v>
      </c>
      <c r="G132" s="224"/>
      <c r="H132" s="221"/>
      <c r="I132" s="32"/>
      <c r="J132" s="220">
        <v>192</v>
      </c>
      <c r="K132" s="219" t="s">
        <v>235</v>
      </c>
      <c r="L132" s="287">
        <f t="shared" si="15"/>
        <v>0</v>
      </c>
      <c r="P132" s="194"/>
      <c r="X132" s="549">
        <v>192</v>
      </c>
      <c r="Y132" s="284">
        <v>192</v>
      </c>
      <c r="AA132" s="384">
        <f t="shared" si="9"/>
        <v>0</v>
      </c>
      <c r="AB132" s="284">
        <f t="shared" si="10"/>
        <v>0</v>
      </c>
    </row>
    <row r="133" spans="1:28" s="384" customFormat="1" ht="89.25" customHeight="1" x14ac:dyDescent="0.3">
      <c r="A133" s="210">
        <f>'Unit Data from Audit Worksheet'!A151</f>
        <v>1054</v>
      </c>
      <c r="B133" s="223" t="str">
        <f>'Unit Data from Audit Worksheet'!C151</f>
        <v>Electric Fund Revenue, Expenses &amp; Changes in Fund Net Position</v>
      </c>
      <c r="C133" s="209" t="str">
        <f>'Unit Data from Audit Worksheet'!D151</f>
        <v xml:space="preserve"> Mark to Market unrealized losses in the Electric Fund. (enter as a negative number)</v>
      </c>
      <c r="D133" s="228"/>
      <c r="E133" s="229">
        <f>'Unit Data from Audit Worksheet'!F151</f>
        <v>0</v>
      </c>
      <c r="F133" s="222"/>
      <c r="G133" s="224"/>
      <c r="H133" s="221"/>
      <c r="I133" s="32"/>
      <c r="J133" s="220">
        <v>1054</v>
      </c>
      <c r="K133" s="209" t="s">
        <v>1440</v>
      </c>
      <c r="L133" s="287">
        <f t="shared" si="15"/>
        <v>0</v>
      </c>
      <c r="M133"/>
      <c r="P133" s="194"/>
      <c r="Q133" s="277"/>
      <c r="X133" s="549"/>
      <c r="Y133" s="284"/>
      <c r="AA133" s="384">
        <f t="shared" si="9"/>
        <v>0</v>
      </c>
      <c r="AB133" s="284"/>
    </row>
    <row r="134" spans="1:28" ht="42.75" customHeight="1" x14ac:dyDescent="0.3">
      <c r="A134" s="210">
        <f>'Unit Data from Audit Worksheet'!A152</f>
        <v>365</v>
      </c>
      <c r="B134" s="223" t="str">
        <f>'Unit Data from Audit Worksheet'!C152</f>
        <v>Electric Fund Revenue, Expenses &amp; Changes in Fund Net Position</v>
      </c>
      <c r="C134" s="209" t="str">
        <f>'Unit Data from Audit Worksheet'!D152</f>
        <v>Total Transfers In (From all Funds)</v>
      </c>
      <c r="D134" s="228"/>
      <c r="E134" s="229">
        <f>'Unit Data from Audit Worksheet'!F152</f>
        <v>0</v>
      </c>
      <c r="F134" s="222"/>
      <c r="G134" s="224"/>
      <c r="H134" s="221"/>
      <c r="I134" s="32"/>
      <c r="J134" s="220">
        <v>365</v>
      </c>
      <c r="K134" s="219" t="s">
        <v>236</v>
      </c>
      <c r="L134" s="287">
        <f t="shared" si="15"/>
        <v>0</v>
      </c>
      <c r="P134" s="194"/>
      <c r="X134" s="549">
        <v>365</v>
      </c>
      <c r="Y134" s="284">
        <v>365</v>
      </c>
      <c r="AA134" s="384">
        <f t="shared" si="9"/>
        <v>0</v>
      </c>
      <c r="AB134" s="284">
        <f t="shared" si="10"/>
        <v>0</v>
      </c>
    </row>
    <row r="135" spans="1:28" ht="42.75" customHeight="1" x14ac:dyDescent="0.3">
      <c r="A135" s="210">
        <f>'Unit Data from Audit Worksheet'!A153</f>
        <v>366</v>
      </c>
      <c r="B135" s="223" t="str">
        <f>'Unit Data from Audit Worksheet'!C153</f>
        <v>Electric Fund Revenue, Expenses &amp; Changes in Fund Net Position</v>
      </c>
      <c r="C135" s="209" t="str">
        <f>'Unit Data from Audit Worksheet'!D153</f>
        <v>Total Transfers Out (To all funds)</v>
      </c>
      <c r="D135" s="228"/>
      <c r="E135" s="229">
        <f>'Unit Data from Audit Worksheet'!F153</f>
        <v>0</v>
      </c>
      <c r="F135" s="222">
        <f>IF(L135&lt;0,"Error: Enter as a positive.",)</f>
        <v>0</v>
      </c>
      <c r="G135" s="224"/>
      <c r="H135" s="221"/>
      <c r="I135" s="32"/>
      <c r="J135" s="220">
        <v>366</v>
      </c>
      <c r="K135" s="219" t="s">
        <v>291</v>
      </c>
      <c r="L135" s="287">
        <f t="shared" si="15"/>
        <v>0</v>
      </c>
      <c r="P135" s="194"/>
      <c r="X135" s="549">
        <v>366</v>
      </c>
      <c r="Y135" s="284">
        <v>366</v>
      </c>
      <c r="AA135" s="384">
        <f t="shared" si="9"/>
        <v>0</v>
      </c>
      <c r="AB135" s="284">
        <f t="shared" si="10"/>
        <v>0</v>
      </c>
    </row>
    <row r="136" spans="1:28" s="18" customFormat="1" ht="76.5" customHeight="1" x14ac:dyDescent="0.3">
      <c r="A136" s="210">
        <f>'Unit Data from Audit Worksheet'!A154</f>
        <v>53</v>
      </c>
      <c r="B136" s="223" t="str">
        <f>'Unit Data from Audit Worksheet'!C154</f>
        <v>Electric Fund Revenue, Expenses &amp; Changes in Fund Net Position</v>
      </c>
      <c r="C136" s="209" t="str">
        <f>'Unit Data from Audit Worksheet'!D154</f>
        <v>Change in net position - Increase in net position is recorded as a positive and a (decrease) in net position is recorded as a negative.</v>
      </c>
      <c r="D136" s="228"/>
      <c r="E136" s="229">
        <f>'Unit Data from Audit Worksheet'!F154</f>
        <v>0</v>
      </c>
      <c r="F136" s="222">
        <f>IF(L125-L128+L130-L131+L132+L134-L135-L136=0,,"Error: Total revenues less total exp. does not equal change in net position Acct 93-94+363-364+192+365-366-53=0")</f>
        <v>0</v>
      </c>
      <c r="G136" s="84">
        <f>+L125-L128+L130-L131+L132+L134-L135-L136</f>
        <v>0</v>
      </c>
      <c r="H136" s="221"/>
      <c r="I136" s="32"/>
      <c r="J136" s="220">
        <v>53</v>
      </c>
      <c r="K136" s="219" t="s">
        <v>93</v>
      </c>
      <c r="L136" s="287">
        <f t="shared" si="15"/>
        <v>0</v>
      </c>
      <c r="M136"/>
      <c r="P136" s="194"/>
      <c r="Q136" s="277"/>
      <c r="R136" s="3"/>
      <c r="S136" s="3"/>
      <c r="T136" s="3"/>
      <c r="U136" s="3"/>
      <c r="V136" s="3"/>
      <c r="W136" s="3"/>
      <c r="X136" s="549">
        <v>53</v>
      </c>
      <c r="Y136" s="284">
        <v>53</v>
      </c>
      <c r="Z136" s="3"/>
      <c r="AA136" s="384">
        <f t="shared" si="9"/>
        <v>0</v>
      </c>
      <c r="AB136" s="284">
        <f t="shared" si="10"/>
        <v>0</v>
      </c>
    </row>
    <row r="137" spans="1:28" ht="140.25" customHeight="1" x14ac:dyDescent="0.3">
      <c r="A137" s="210">
        <f>'Unit Data from Audit Worksheet'!A155</f>
        <v>378</v>
      </c>
      <c r="B137" s="223" t="str">
        <f>'Unit Data from Audit Worksheet'!C155</f>
        <v>Electric Fund Revenue, Expenses &amp; Changes in Fund Net Position</v>
      </c>
      <c r="C137" s="209" t="str">
        <f>'Unit Data from Audit Worksheet'!D155</f>
        <v>Increases or (decreases) to beginning electric net position due to rounding, prior period adjustments and restatements.  Increase amounts to beginning net position should be entered as a positive amount and (decreases) should be entered as a negative amount.</v>
      </c>
      <c r="D137" s="228"/>
      <c r="E137" s="229">
        <f>+'Unit Data from Audit Worksheet'!F155</f>
        <v>0</v>
      </c>
      <c r="F137" s="222" t="e">
        <f>IF(L107-L136-L137=O107,,"Error: Beg. Bal does not agree with our records Acct 362-53-378= pr yr 362")</f>
        <v>#N/A</v>
      </c>
      <c r="G137" s="84" t="e">
        <f>L107-L136-L137-O107</f>
        <v>#N/A</v>
      </c>
      <c r="H137" s="221" t="e">
        <f>'Unit Data from Audit Worksheet'!I155</f>
        <v>#N/A</v>
      </c>
      <c r="I137" s="32"/>
      <c r="J137" s="220">
        <v>378</v>
      </c>
      <c r="K137" s="219" t="s">
        <v>102</v>
      </c>
      <c r="L137" s="287">
        <f t="shared" si="15"/>
        <v>0</v>
      </c>
      <c r="P137" s="194"/>
      <c r="X137" s="549">
        <v>378</v>
      </c>
      <c r="Y137" s="284">
        <v>378</v>
      </c>
      <c r="AA137" s="384">
        <f t="shared" si="9"/>
        <v>0</v>
      </c>
      <c r="AB137" s="284">
        <f t="shared" si="10"/>
        <v>0</v>
      </c>
    </row>
    <row r="138" spans="1:28" ht="28.8" x14ac:dyDescent="0.3">
      <c r="A138" s="210">
        <f>'Unit Data from Audit Worksheet'!A160</f>
        <v>51</v>
      </c>
      <c r="B138" s="223" t="str">
        <f>'Unit Data from Audit Worksheet'!C160</f>
        <v>Water Sewer Cash Flow Statement</v>
      </c>
      <c r="C138" s="209" t="str">
        <f>'Unit Data from Audit Worksheet'!D160</f>
        <v>Total Cash flow from operating activities  - (Enter negative cash flows as negative)</v>
      </c>
      <c r="D138" s="228"/>
      <c r="E138" s="229">
        <f>'Unit Data from Audit Worksheet'!F160</f>
        <v>0</v>
      </c>
      <c r="F138" s="222"/>
      <c r="G138" s="224"/>
      <c r="H138" s="221"/>
      <c r="I138" s="32"/>
      <c r="J138" s="220">
        <v>51</v>
      </c>
      <c r="K138" s="219" t="s">
        <v>237</v>
      </c>
      <c r="L138" s="287">
        <f t="shared" si="15"/>
        <v>0</v>
      </c>
      <c r="P138" s="194"/>
      <c r="X138" s="549">
        <v>51</v>
      </c>
      <c r="Y138" s="284">
        <v>51</v>
      </c>
      <c r="AA138" s="384">
        <f t="shared" ref="AA138:AA209" si="16">A138-J138</f>
        <v>0</v>
      </c>
      <c r="AB138" s="284">
        <f t="shared" ref="AB138:AB209" si="17">E138-L138</f>
        <v>0</v>
      </c>
    </row>
    <row r="139" spans="1:28" ht="64.5" customHeight="1" x14ac:dyDescent="0.3">
      <c r="A139" s="210">
        <f>'Unit Data from Audit Worksheet'!A161</f>
        <v>332</v>
      </c>
      <c r="B139" s="223" t="str">
        <f>'Unit Data from Audit Worksheet'!C161</f>
        <v>Water Sewer Cash Flow Statement</v>
      </c>
      <c r="C139" s="209" t="str">
        <f>'Unit Data from Audit Worksheet'!D161</f>
        <v>Total Capital outlay. 
Include acquisition and construction of capital assets.</v>
      </c>
      <c r="D139" s="228"/>
      <c r="E139" s="229">
        <f>'Unit Data from Audit Worksheet'!F161</f>
        <v>0</v>
      </c>
      <c r="F139" s="222">
        <f>IF(L139&lt;0,"Error: Enter as a positive.",)</f>
        <v>0</v>
      </c>
      <c r="G139" s="224"/>
      <c r="H139" s="221"/>
      <c r="I139" s="32"/>
      <c r="J139" s="220">
        <v>332</v>
      </c>
      <c r="K139" s="219" t="s">
        <v>239</v>
      </c>
      <c r="L139" s="287">
        <f t="shared" si="15"/>
        <v>0</v>
      </c>
      <c r="O139" s="294"/>
      <c r="P139" s="194"/>
      <c r="X139" s="549">
        <v>332</v>
      </c>
      <c r="Y139" s="284">
        <v>332</v>
      </c>
      <c r="AA139" s="384">
        <f t="shared" si="16"/>
        <v>0</v>
      </c>
      <c r="AB139" s="284">
        <f t="shared" si="17"/>
        <v>0</v>
      </c>
    </row>
    <row r="140" spans="1:28" ht="58.5" customHeight="1" x14ac:dyDescent="0.3">
      <c r="A140" s="210">
        <f>'Unit Data from Audit Worksheet'!A162</f>
        <v>331</v>
      </c>
      <c r="B140" s="223" t="str">
        <f>'Unit Data from Audit Worksheet'!C162</f>
        <v>Water Sewer Cash Flow Statement</v>
      </c>
      <c r="C140" s="209" t="str">
        <f>'Unit Data from Audit Worksheet'!D162</f>
        <v>Principal paid on long-term debt.  Amount should be reduced by principal payments for debt refunding.</v>
      </c>
      <c r="D140" s="228"/>
      <c r="E140" s="229">
        <f>'Unit Data from Audit Worksheet'!F162</f>
        <v>0</v>
      </c>
      <c r="F140" s="222">
        <f>IF(L140&lt;0,"Error: Enter as a positive.",)</f>
        <v>0</v>
      </c>
      <c r="G140" s="224"/>
      <c r="H140" s="221"/>
      <c r="I140" s="32"/>
      <c r="J140" s="220">
        <v>331</v>
      </c>
      <c r="K140" s="219" t="s">
        <v>238</v>
      </c>
      <c r="L140" s="287">
        <f t="shared" si="15"/>
        <v>0</v>
      </c>
      <c r="O140" s="294"/>
      <c r="P140" s="194"/>
      <c r="X140" s="549">
        <v>331</v>
      </c>
      <c r="Y140" s="284">
        <v>331</v>
      </c>
      <c r="AA140" s="384">
        <f t="shared" si="16"/>
        <v>0</v>
      </c>
      <c r="AB140" s="284">
        <f t="shared" si="17"/>
        <v>0</v>
      </c>
    </row>
    <row r="141" spans="1:28" ht="51.75" customHeight="1" x14ac:dyDescent="0.3">
      <c r="A141" s="210">
        <f>'Unit Data from Audit Worksheet'!A164</f>
        <v>55</v>
      </c>
      <c r="B141" s="223" t="str">
        <f>'Unit Data from Audit Worksheet'!C164</f>
        <v>Electric Fund Cash Flow Statement</v>
      </c>
      <c r="C141" s="209" t="str">
        <f>'Unit Data from Audit Worksheet'!D164</f>
        <v>Cash flow from operating activities - (enter negative cash flows as negative)</v>
      </c>
      <c r="D141" s="228"/>
      <c r="E141" s="229">
        <f>'Unit Data from Audit Worksheet'!F164</f>
        <v>0</v>
      </c>
      <c r="F141" s="222"/>
      <c r="G141" s="224"/>
      <c r="H141" s="221"/>
      <c r="I141" s="32"/>
      <c r="J141" s="220">
        <v>55</v>
      </c>
      <c r="K141" s="219" t="s">
        <v>240</v>
      </c>
      <c r="L141" s="287">
        <f t="shared" si="15"/>
        <v>0</v>
      </c>
      <c r="P141" s="194"/>
      <c r="X141" s="549">
        <v>55</v>
      </c>
      <c r="Y141" s="284">
        <v>55</v>
      </c>
      <c r="AA141" s="384">
        <f t="shared" si="16"/>
        <v>0</v>
      </c>
      <c r="AB141" s="284">
        <f t="shared" si="17"/>
        <v>0</v>
      </c>
    </row>
    <row r="142" spans="1:28" ht="58.5" customHeight="1" x14ac:dyDescent="0.3">
      <c r="A142" s="210">
        <f>'Unit Data from Audit Worksheet'!A165</f>
        <v>101</v>
      </c>
      <c r="B142" s="223" t="str">
        <f>'Unit Data from Audit Worksheet'!C165</f>
        <v>Electric Fund Cash Flow Statement</v>
      </c>
      <c r="C142" s="209" t="str">
        <f>'Unit Data from Audit Worksheet'!D165</f>
        <v>Total Capital outlay.  
Include acquisition and construction of capital assets.</v>
      </c>
      <c r="D142" s="228"/>
      <c r="E142" s="229">
        <f>'Unit Data from Audit Worksheet'!F165</f>
        <v>0</v>
      </c>
      <c r="F142" s="222">
        <f>IF(L142&lt;0,"Error: Enter as a positive.",)</f>
        <v>0</v>
      </c>
      <c r="G142" s="224"/>
      <c r="H142" s="221"/>
      <c r="I142" s="32"/>
      <c r="J142" s="220">
        <v>101</v>
      </c>
      <c r="K142" s="219" t="s">
        <v>241</v>
      </c>
      <c r="L142" s="287">
        <f t="shared" si="15"/>
        <v>0</v>
      </c>
      <c r="P142" s="194"/>
      <c r="X142" s="549">
        <v>101</v>
      </c>
      <c r="Y142" s="284">
        <v>101</v>
      </c>
      <c r="AA142" s="384">
        <f t="shared" si="16"/>
        <v>0</v>
      </c>
      <c r="AB142" s="284">
        <f t="shared" si="17"/>
        <v>0</v>
      </c>
    </row>
    <row r="143" spans="1:28" ht="60.75" customHeight="1" x14ac:dyDescent="0.3">
      <c r="A143" s="210">
        <f>'Unit Data from Audit Worksheet'!A166</f>
        <v>100</v>
      </c>
      <c r="B143" s="223" t="str">
        <f>'Unit Data from Audit Worksheet'!C166</f>
        <v>Electric Fund Cash Flow Statement</v>
      </c>
      <c r="C143" s="209" t="str">
        <f>'Unit Data from Audit Worksheet'!D166</f>
        <v>Principal paid on long-term debt.  Amount should be reduced by principal payments for debt refunding.</v>
      </c>
      <c r="D143" s="228"/>
      <c r="E143" s="229">
        <f>'Unit Data from Audit Worksheet'!F166</f>
        <v>0</v>
      </c>
      <c r="F143" s="222">
        <f>IF(L143&lt;0,"Error: Enter as a positive.",)</f>
        <v>0</v>
      </c>
      <c r="G143" s="224"/>
      <c r="H143" s="221"/>
      <c r="I143" s="32"/>
      <c r="J143" s="220">
        <v>100</v>
      </c>
      <c r="K143" s="219" t="s">
        <v>242</v>
      </c>
      <c r="L143" s="287">
        <f t="shared" si="15"/>
        <v>0</v>
      </c>
      <c r="P143" s="194"/>
      <c r="X143" s="549">
        <v>100</v>
      </c>
      <c r="Y143" s="284">
        <v>100</v>
      </c>
      <c r="AA143" s="384">
        <f t="shared" si="16"/>
        <v>0</v>
      </c>
      <c r="AB143" s="284">
        <f t="shared" si="17"/>
        <v>0</v>
      </c>
    </row>
    <row r="144" spans="1:28" s="384" customFormat="1" ht="95.4" customHeight="1" x14ac:dyDescent="0.3">
      <c r="A144" s="210">
        <f>'Unit Data from Audit Worksheet'!A168</f>
        <v>1060</v>
      </c>
      <c r="B144" s="223">
        <f>'Unit Data from Audit Worksheet'!C168</f>
        <v>0</v>
      </c>
      <c r="C144" s="209" t="str">
        <f>'Unit Data from Audit Worksheet'!D168</f>
        <v>Total American Rescue Plan Act (ARPA) of 2021-Coronavrius State &amp; Local Fiscal Recovery Funds actually expended since inception as of June 30th.  Do not include encumbered funds in this number.</v>
      </c>
      <c r="D144" s="228"/>
      <c r="E144" s="229">
        <f>'Unit Data from Audit Worksheet'!F168</f>
        <v>0</v>
      </c>
      <c r="F144" s="222"/>
      <c r="G144" s="224"/>
      <c r="H144" s="221"/>
      <c r="I144" s="32"/>
      <c r="J144" s="220">
        <v>1060</v>
      </c>
      <c r="K144" s="209" t="s">
        <v>1441</v>
      </c>
      <c r="L144" s="287">
        <f t="shared" si="15"/>
        <v>0</v>
      </c>
      <c r="M144"/>
      <c r="P144" s="194"/>
      <c r="Q144" s="277"/>
      <c r="X144" s="549"/>
      <c r="Y144" s="284"/>
      <c r="AB144" s="284"/>
    </row>
    <row r="145" spans="1:28" s="384" customFormat="1" ht="85.95" customHeight="1" x14ac:dyDescent="0.3">
      <c r="A145" s="210">
        <f>'Unit Data from Audit Worksheet'!A169</f>
        <v>1061</v>
      </c>
      <c r="B145" s="223">
        <f>'Unit Data from Audit Worksheet'!C169</f>
        <v>0</v>
      </c>
      <c r="C145" s="209" t="str">
        <f>'Unit Data from Audit Worksheet'!D169</f>
        <v>Total American Rescue Plan Act (ARPA) of 2021-Coronavrius State &amp; Local Fiscal Recovery Funds encumbered or obligated and not yet expended since inception as of June 30th.</v>
      </c>
      <c r="D145" s="228"/>
      <c r="E145" s="229">
        <f>'Unit Data from Audit Worksheet'!F169</f>
        <v>0</v>
      </c>
      <c r="F145" s="222"/>
      <c r="G145" s="224"/>
      <c r="H145" s="221"/>
      <c r="I145" s="32"/>
      <c r="J145" s="220">
        <v>1061</v>
      </c>
      <c r="K145" s="209" t="s">
        <v>1525</v>
      </c>
      <c r="L145" s="287">
        <f t="shared" si="15"/>
        <v>0</v>
      </c>
      <c r="M145"/>
      <c r="P145" s="194"/>
      <c r="Q145" s="277"/>
      <c r="X145" s="549"/>
      <c r="Y145" s="284"/>
      <c r="AB145" s="284"/>
    </row>
    <row r="146" spans="1:28" s="384" customFormat="1" ht="81.599999999999994" customHeight="1" x14ac:dyDescent="0.3">
      <c r="A146" s="210">
        <f>'Unit Data from Audit Worksheet'!A170</f>
        <v>1062</v>
      </c>
      <c r="B146" s="223">
        <f>'Unit Data from Audit Worksheet'!C170</f>
        <v>0</v>
      </c>
      <c r="C146" s="209" t="str">
        <f>'Unit Data from Audit Worksheet'!D170</f>
        <v xml:space="preserve">Are the American Rescue Plan Act (ARPA) of 2021-Coronavrius State &amp; Local Fiscal Recovery Funds on target to be committed by December 31, 2024? (Yes = 1 or No = 2or N/A = 3 if unit did not receive funds) </v>
      </c>
      <c r="D146" s="228"/>
      <c r="E146" s="229">
        <f>'Unit Data from Audit Worksheet'!F170</f>
        <v>0</v>
      </c>
      <c r="F146" s="222"/>
      <c r="G146" s="222"/>
      <c r="H146" s="221"/>
      <c r="I146" s="32"/>
      <c r="J146" s="220">
        <v>1062</v>
      </c>
      <c r="K146" s="209" t="s">
        <v>1524</v>
      </c>
      <c r="L146" s="287">
        <f t="shared" si="15"/>
        <v>0</v>
      </c>
      <c r="M146"/>
      <c r="P146" s="194"/>
      <c r="Q146" s="277"/>
      <c r="X146" s="549"/>
      <c r="Y146" s="284"/>
      <c r="AB146" s="284"/>
    </row>
    <row r="147" spans="1:28" s="384" customFormat="1" ht="99.6" customHeight="1" x14ac:dyDescent="0.3">
      <c r="A147" s="210">
        <f>'Unit Data from Audit Worksheet'!A171</f>
        <v>1063</v>
      </c>
      <c r="B147" s="223">
        <f>'Unit Data from Audit Worksheet'!C171</f>
        <v>0</v>
      </c>
      <c r="C147" s="209" t="str">
        <f>'Unit Data from Audit Worksheet'!D171</f>
        <v>Are the American Rescue Plan Act (ARPA) of 2021-Coronavrius State &amp; Local Fiscal Recovery Funds on target to be completely expended by December 31, 2026? (Yes = 1 or No = 2 or N/A = 3 if unit did not receive funds)</v>
      </c>
      <c r="D147" s="228"/>
      <c r="E147" s="229">
        <f>'Unit Data from Audit Worksheet'!F171</f>
        <v>0</v>
      </c>
      <c r="F147" s="222"/>
      <c r="G147" s="224"/>
      <c r="H147" s="221"/>
      <c r="I147" s="32"/>
      <c r="J147" s="220">
        <v>1063</v>
      </c>
      <c r="K147" s="209" t="s">
        <v>1526</v>
      </c>
      <c r="L147" s="287">
        <f t="shared" si="15"/>
        <v>0</v>
      </c>
      <c r="M147"/>
      <c r="P147" s="194"/>
      <c r="Q147" s="277"/>
      <c r="X147" s="549"/>
      <c r="Y147" s="284"/>
      <c r="AB147" s="284"/>
    </row>
    <row r="148" spans="1:28" ht="71.25" customHeight="1" x14ac:dyDescent="0.3">
      <c r="A148" s="210">
        <f>'Unit Data from Audit Worksheet'!A173</f>
        <v>512</v>
      </c>
      <c r="B148" s="223" t="str">
        <f>'Unit Data from Audit Worksheet'!C173</f>
        <v>Fiduciary Statements</v>
      </c>
      <c r="C148" s="209" t="str">
        <f>'Unit Data from Audit Worksheet'!D173</f>
        <v>Cash and investments.  
Include:  unrestricted and restricted.  
                   cash and investments held 
                   by a third party</v>
      </c>
      <c r="D148" s="228"/>
      <c r="E148" s="229">
        <f>'Unit Data from Audit Worksheet'!F173</f>
        <v>0</v>
      </c>
      <c r="F148" s="222">
        <f>IF(L148&lt;0,"Error: Number is normally positive.",)</f>
        <v>0</v>
      </c>
      <c r="G148" s="224"/>
      <c r="H148" s="221"/>
      <c r="I148" s="32"/>
      <c r="J148" s="220">
        <v>512</v>
      </c>
      <c r="K148" s="219" t="s">
        <v>243</v>
      </c>
      <c r="L148" s="287">
        <f t="shared" si="15"/>
        <v>0</v>
      </c>
      <c r="P148" s="194"/>
      <c r="X148" s="549">
        <v>512</v>
      </c>
      <c r="Y148" s="284">
        <v>512</v>
      </c>
      <c r="AA148" s="384">
        <f t="shared" si="16"/>
        <v>0</v>
      </c>
      <c r="AB148" s="284">
        <f t="shared" si="17"/>
        <v>0</v>
      </c>
    </row>
    <row r="149" spans="1:28" ht="62.25" customHeight="1" x14ac:dyDescent="0.3">
      <c r="A149" s="210">
        <f>'Unit Data from Audit Worksheet'!A175</f>
        <v>656</v>
      </c>
      <c r="B149" s="223">
        <f>'Unit Data from Audit Worksheet'!C175</f>
        <v>0</v>
      </c>
      <c r="C149" s="209" t="str">
        <f>'Unit Data from Audit Worksheet'!D175</f>
        <v>Do you use prepared food/occupancy tax revenue stream to support debt?  Select "1" for Yes and "2" for No from drop down list.</v>
      </c>
      <c r="D149" s="129"/>
      <c r="E149" s="229">
        <f>'Unit Data from Audit Worksheet'!F175</f>
        <v>0</v>
      </c>
      <c r="F149" s="222"/>
      <c r="G149" s="224"/>
      <c r="H149" s="221"/>
      <c r="I149" s="32"/>
      <c r="J149" s="220">
        <v>656</v>
      </c>
      <c r="K149" s="226" t="s">
        <v>419</v>
      </c>
      <c r="L149" s="311">
        <f>E149</f>
        <v>0</v>
      </c>
      <c r="N149" s="18"/>
      <c r="O149" s="18"/>
      <c r="P149" s="194"/>
      <c r="X149" s="549">
        <v>656</v>
      </c>
      <c r="Y149" s="284">
        <v>656</v>
      </c>
      <c r="AA149" s="384">
        <f t="shared" si="16"/>
        <v>0</v>
      </c>
      <c r="AB149" s="284">
        <f t="shared" si="17"/>
        <v>0</v>
      </c>
    </row>
    <row r="150" spans="1:28" s="18" customFormat="1" ht="102.75" customHeight="1" x14ac:dyDescent="0.3">
      <c r="A150" s="210">
        <f>'Unit Data from Audit Worksheet'!A177</f>
        <v>535</v>
      </c>
      <c r="B150" s="223" t="str">
        <f>'Unit Data from Audit Worksheet'!C177</f>
        <v>Cash and Investment Note</v>
      </c>
      <c r="C150" s="209" t="str">
        <f>'Unit Data from Audit Worksheet'!D177</f>
        <v>Cash and Investment - Please list the book value of any unspent debt proceeds (bonds, installment, etc.) in any funds as of June 30.  This information may be on the face of your statements or in the notes</v>
      </c>
      <c r="D150" s="228"/>
      <c r="E150" s="229">
        <f>'Unit Data from Audit Worksheet'!F177</f>
        <v>0</v>
      </c>
      <c r="F150" s="80" t="str">
        <f>IF(L150&gt;1,,"Reminder: Please make sure you have entered all cash and investments from bond proceeds, if applicable")</f>
        <v>Reminder: Please make sure you have entered all cash and investments from bond proceeds, if applicable</v>
      </c>
      <c r="G150" s="224"/>
      <c r="H150" s="221"/>
      <c r="I150" s="32"/>
      <c r="J150" s="220">
        <v>535</v>
      </c>
      <c r="K150" s="55" t="s">
        <v>244</v>
      </c>
      <c r="L150" s="287">
        <f t="shared" si="15"/>
        <v>0</v>
      </c>
      <c r="M150"/>
      <c r="P150" s="194"/>
      <c r="Q150" s="277"/>
      <c r="R150" s="3"/>
      <c r="S150" s="3"/>
      <c r="T150" s="3"/>
      <c r="U150" s="3"/>
      <c r="V150" s="3"/>
      <c r="W150" s="3"/>
      <c r="X150" s="549">
        <v>535</v>
      </c>
      <c r="Y150" s="284">
        <v>535</v>
      </c>
      <c r="Z150" s="3"/>
      <c r="AA150" s="384">
        <f t="shared" si="16"/>
        <v>0</v>
      </c>
      <c r="AB150" s="284">
        <f t="shared" si="17"/>
        <v>0</v>
      </c>
    </row>
    <row r="151" spans="1:28" ht="45.75" customHeight="1" x14ac:dyDescent="0.3">
      <c r="A151" s="210">
        <f>'Unit Data from Audit Worksheet'!A181</f>
        <v>334</v>
      </c>
      <c r="B151" s="223" t="str">
        <f>'Unit Data from Audit Worksheet'!C181</f>
        <v>Gov.-Capital Assets Schedule in the Notes</v>
      </c>
      <c r="C151" s="209" t="str">
        <f>'Unit Data from Audit Worksheet'!D181</f>
        <v>Gross value.  
Exclude non-depreciable.</v>
      </c>
      <c r="D151" s="228"/>
      <c r="E151" s="229">
        <f>'Unit Data from Audit Worksheet'!F181</f>
        <v>0</v>
      </c>
      <c r="F151" s="80"/>
      <c r="G151" s="224"/>
      <c r="H151" s="221"/>
      <c r="I151" s="32"/>
      <c r="J151" s="220">
        <v>334</v>
      </c>
      <c r="K151" s="55" t="s">
        <v>261</v>
      </c>
      <c r="L151" s="287">
        <f t="shared" si="15"/>
        <v>0</v>
      </c>
      <c r="P151" s="194"/>
      <c r="X151" s="549">
        <v>334</v>
      </c>
      <c r="Y151" s="284">
        <v>334</v>
      </c>
      <c r="AA151" s="384">
        <f t="shared" si="16"/>
        <v>0</v>
      </c>
      <c r="AB151" s="284">
        <f t="shared" si="17"/>
        <v>0</v>
      </c>
    </row>
    <row r="152" spans="1:28" ht="57" customHeight="1" x14ac:dyDescent="0.3">
      <c r="A152" s="210">
        <f>'Unit Data from Audit Worksheet'!A182</f>
        <v>373</v>
      </c>
      <c r="B152" s="223" t="str">
        <f>'Unit Data from Audit Worksheet'!C182</f>
        <v>Gov.-Capital Assets Schedule in the Notes</v>
      </c>
      <c r="C152" s="209" t="str">
        <f>'Unit Data from Audit Worksheet'!D182</f>
        <v>Accumulated depreciation</v>
      </c>
      <c r="D152" s="228"/>
      <c r="E152" s="229">
        <f>'Unit Data from Audit Worksheet'!F182</f>
        <v>0</v>
      </c>
      <c r="F152" s="80"/>
      <c r="G152" s="224"/>
      <c r="H152" s="221"/>
      <c r="I152" s="32"/>
      <c r="J152" s="220">
        <v>373</v>
      </c>
      <c r="K152" s="52" t="s">
        <v>302</v>
      </c>
      <c r="L152" s="287">
        <f t="shared" si="15"/>
        <v>0</v>
      </c>
      <c r="P152" s="194"/>
      <c r="X152" s="549">
        <v>373</v>
      </c>
      <c r="Y152" s="284">
        <v>373</v>
      </c>
      <c r="AA152" s="384">
        <f t="shared" si="16"/>
        <v>0</v>
      </c>
      <c r="AB152" s="284">
        <f t="shared" si="17"/>
        <v>0</v>
      </c>
    </row>
    <row r="153" spans="1:28" ht="102.75" customHeight="1" x14ac:dyDescent="0.3">
      <c r="A153" s="210">
        <f>'Unit Data from Audit Worksheet'!A183</f>
        <v>987</v>
      </c>
      <c r="B153" s="223">
        <f>'Unit Data from Audit Worksheet'!C183</f>
        <v>0</v>
      </c>
      <c r="C153" s="209" t="str">
        <f>'Unit Data from Audit Worksheet'!D183</f>
        <v xml:space="preserve">Estimated cost not yet budgeted of any mandate placed on unit by DEQ, a court order or some similar requirement (that has no realistic appeal path). </v>
      </c>
      <c r="D153" s="228"/>
      <c r="E153" s="229">
        <f>'Unit Data from Audit Worksheet'!F183</f>
        <v>0</v>
      </c>
      <c r="F153" s="80"/>
      <c r="G153" s="224"/>
      <c r="H153" s="221"/>
      <c r="I153" s="32"/>
      <c r="J153" s="220">
        <v>987</v>
      </c>
      <c r="K153" s="52" t="s">
        <v>634</v>
      </c>
      <c r="L153" s="293">
        <f t="shared" si="15"/>
        <v>0</v>
      </c>
      <c r="P153" s="194"/>
      <c r="X153" s="549">
        <v>987</v>
      </c>
      <c r="Y153" s="284">
        <v>987</v>
      </c>
      <c r="AA153" s="384">
        <f t="shared" si="16"/>
        <v>0</v>
      </c>
      <c r="AB153" s="284">
        <f t="shared" si="17"/>
        <v>0</v>
      </c>
    </row>
    <row r="154" spans="1:28" ht="69" customHeight="1" x14ac:dyDescent="0.3">
      <c r="A154" s="210">
        <f>'Unit Data from Audit Worksheet'!A184</f>
        <v>988</v>
      </c>
      <c r="B154" s="223">
        <f>'Unit Data from Audit Worksheet'!C184</f>
        <v>0</v>
      </c>
      <c r="C154" s="209" t="str">
        <f>'Unit Data from Audit Worksheet'!D184</f>
        <v>Do you operate a landfill that will be closing  or have a significant portion closing within the next 5 years?  Select "1" for Yes and "2" for No</v>
      </c>
      <c r="D154" s="228"/>
      <c r="E154" s="229">
        <f>'Unit Data from Audit Worksheet'!F184</f>
        <v>0</v>
      </c>
      <c r="F154" s="80"/>
      <c r="G154" s="224"/>
      <c r="H154" s="221"/>
      <c r="I154" s="32"/>
      <c r="J154" s="220">
        <v>988</v>
      </c>
      <c r="K154" s="52" t="s">
        <v>858</v>
      </c>
      <c r="L154" s="293">
        <f t="shared" si="15"/>
        <v>0</v>
      </c>
      <c r="P154" s="194"/>
      <c r="X154" s="549">
        <v>988</v>
      </c>
      <c r="Y154" s="284">
        <v>988</v>
      </c>
      <c r="AA154" s="384">
        <f t="shared" si="16"/>
        <v>0</v>
      </c>
      <c r="AB154" s="284">
        <f t="shared" si="17"/>
        <v>0</v>
      </c>
    </row>
    <row r="155" spans="1:28" ht="95.25" customHeight="1" x14ac:dyDescent="0.3">
      <c r="A155" s="210">
        <f>'Unit Data from Audit Worksheet'!A185</f>
        <v>989</v>
      </c>
      <c r="B155" s="223">
        <f>'Unit Data from Audit Worksheet'!C185</f>
        <v>0</v>
      </c>
      <c r="C155" s="209" t="str">
        <f>'Unit Data from Audit Worksheet'!D185</f>
        <v>If you answered "yes" to question #988 above, will you have the closure/postclosure cost fully funded by the date of closure?  Select "1" for Yes,  "2" for No, or "3" for N/A.</v>
      </c>
      <c r="D155" s="228"/>
      <c r="E155" s="229">
        <f>'Unit Data from Audit Worksheet'!F185</f>
        <v>0</v>
      </c>
      <c r="F155" s="80"/>
      <c r="G155" s="224"/>
      <c r="H155" s="221"/>
      <c r="I155" s="32"/>
      <c r="J155" s="220">
        <v>989</v>
      </c>
      <c r="K155" s="52" t="s">
        <v>794</v>
      </c>
      <c r="L155" s="293">
        <f t="shared" si="15"/>
        <v>0</v>
      </c>
      <c r="P155" s="194"/>
      <c r="X155" s="549">
        <v>989</v>
      </c>
      <c r="Y155" s="284">
        <v>989</v>
      </c>
      <c r="AA155" s="384">
        <f t="shared" si="16"/>
        <v>0</v>
      </c>
      <c r="AB155" s="284">
        <f t="shared" si="17"/>
        <v>0</v>
      </c>
    </row>
    <row r="156" spans="1:28" ht="57" customHeight="1" x14ac:dyDescent="0.3">
      <c r="A156" s="210">
        <f>'Unit Data from Audit Worksheet'!A189</f>
        <v>327</v>
      </c>
      <c r="B156" s="223" t="str">
        <f>'Unit Data from Audit Worksheet'!C189</f>
        <v>WS-Capital Assets Schedule in the Notes</v>
      </c>
      <c r="C156" s="209" t="str">
        <f>'Unit Data from Audit Worksheet'!D189</f>
        <v>Land and all other non depreciable capital assets 
Exclude construction in progress</v>
      </c>
      <c r="D156" s="228"/>
      <c r="E156" s="229">
        <f>'Unit Data from Audit Worksheet'!F189</f>
        <v>0</v>
      </c>
      <c r="F156" s="80"/>
      <c r="G156" s="224"/>
      <c r="H156" s="221"/>
      <c r="I156" s="32"/>
      <c r="J156" s="220">
        <v>327</v>
      </c>
      <c r="K156" s="52" t="s">
        <v>303</v>
      </c>
      <c r="L156" s="287">
        <f t="shared" si="15"/>
        <v>0</v>
      </c>
      <c r="P156" s="194"/>
      <c r="X156" s="549">
        <v>327</v>
      </c>
      <c r="Y156" s="284">
        <v>327</v>
      </c>
      <c r="AA156" s="384">
        <f t="shared" si="16"/>
        <v>0</v>
      </c>
      <c r="AB156" s="284">
        <f t="shared" si="17"/>
        <v>0</v>
      </c>
    </row>
    <row r="157" spans="1:28" ht="57" customHeight="1" x14ac:dyDescent="0.3">
      <c r="A157" s="210">
        <f>'Unit Data from Audit Worksheet'!A190</f>
        <v>328</v>
      </c>
      <c r="B157" s="223" t="str">
        <f>'Unit Data from Audit Worksheet'!C190</f>
        <v>WS-Capital Assets Schedule in the Notes</v>
      </c>
      <c r="C157" s="209" t="str">
        <f>'Unit Data from Audit Worksheet'!D190</f>
        <v>Construction in progress</v>
      </c>
      <c r="D157" s="228"/>
      <c r="E157" s="229">
        <f>'Unit Data from Audit Worksheet'!F190</f>
        <v>0</v>
      </c>
      <c r="F157" s="80"/>
      <c r="G157" s="224"/>
      <c r="H157" s="221"/>
      <c r="I157" s="32"/>
      <c r="J157" s="220">
        <v>328</v>
      </c>
      <c r="K157" s="52" t="s">
        <v>304</v>
      </c>
      <c r="L157" s="287">
        <f t="shared" si="15"/>
        <v>0</v>
      </c>
      <c r="P157" s="194"/>
      <c r="X157" s="549">
        <v>328</v>
      </c>
      <c r="Y157" s="284">
        <v>328</v>
      </c>
      <c r="AA157" s="384">
        <f t="shared" si="16"/>
        <v>0</v>
      </c>
      <c r="AB157" s="284">
        <f t="shared" si="17"/>
        <v>0</v>
      </c>
    </row>
    <row r="158" spans="1:28" ht="46.5" customHeight="1" x14ac:dyDescent="0.3">
      <c r="A158" s="210">
        <f>'Unit Data from Audit Worksheet'!A194</f>
        <v>515</v>
      </c>
      <c r="B158" s="223" t="str">
        <f>'Unit Data from Audit Worksheet'!C194</f>
        <v>WS Capital Assets Schedule-Gross Value</v>
      </c>
      <c r="C158" s="209" t="str">
        <f>'Unit Data from Audit Worksheet'!D194</f>
        <v>Buildings</v>
      </c>
      <c r="D158" s="228"/>
      <c r="E158" s="229">
        <f>'Unit Data from Audit Worksheet'!F194</f>
        <v>0</v>
      </c>
      <c r="F158" s="80"/>
      <c r="G158" s="224"/>
      <c r="H158" s="221"/>
      <c r="I158" s="32"/>
      <c r="J158" s="220">
        <v>515</v>
      </c>
      <c r="K158" s="52" t="s">
        <v>262</v>
      </c>
      <c r="L158" s="287">
        <f t="shared" si="15"/>
        <v>0</v>
      </c>
      <c r="P158" s="194"/>
      <c r="X158" s="549">
        <v>515</v>
      </c>
      <c r="Y158" s="284">
        <v>515</v>
      </c>
      <c r="AA158" s="384">
        <f t="shared" si="16"/>
        <v>0</v>
      </c>
      <c r="AB158" s="284">
        <f t="shared" si="17"/>
        <v>0</v>
      </c>
    </row>
    <row r="159" spans="1:28" ht="46.5" customHeight="1" x14ac:dyDescent="0.3">
      <c r="A159" s="210">
        <f>'Unit Data from Audit Worksheet'!A195</f>
        <v>516</v>
      </c>
      <c r="B159" s="223" t="str">
        <f>'Unit Data from Audit Worksheet'!C195</f>
        <v>WS Capital Assets Schedule-Gross Value</v>
      </c>
      <c r="C159" s="209" t="str">
        <f>'Unit Data from Audit Worksheet'!D195</f>
        <v>Plant / distributions systems / water lines</v>
      </c>
      <c r="D159" s="228"/>
      <c r="E159" s="229">
        <f>'Unit Data from Audit Worksheet'!F195</f>
        <v>0</v>
      </c>
      <c r="F159" s="80"/>
      <c r="G159" s="224"/>
      <c r="H159" s="221"/>
      <c r="I159" s="32"/>
      <c r="J159" s="220">
        <v>516</v>
      </c>
      <c r="K159" s="52" t="s">
        <v>263</v>
      </c>
      <c r="L159" s="287">
        <f t="shared" si="15"/>
        <v>0</v>
      </c>
      <c r="P159" s="194"/>
      <c r="X159" s="549">
        <v>516</v>
      </c>
      <c r="Y159" s="284">
        <v>516</v>
      </c>
      <c r="AA159" s="384">
        <f t="shared" si="16"/>
        <v>0</v>
      </c>
      <c r="AB159" s="284">
        <f t="shared" si="17"/>
        <v>0</v>
      </c>
    </row>
    <row r="160" spans="1:28" ht="46.5" customHeight="1" x14ac:dyDescent="0.3">
      <c r="A160" s="210">
        <f>'Unit Data from Audit Worksheet'!A196</f>
        <v>517</v>
      </c>
      <c r="B160" s="223" t="str">
        <f>'Unit Data from Audit Worksheet'!C196</f>
        <v>WS Capital Assets Schedule-Gross Value</v>
      </c>
      <c r="C160" s="209" t="str">
        <f>'Unit Data from Audit Worksheet'!D196</f>
        <v>Infrastructure(other infrastructure)</v>
      </c>
      <c r="D160" s="228"/>
      <c r="E160" s="229">
        <f>'Unit Data from Audit Worksheet'!F196</f>
        <v>0</v>
      </c>
      <c r="F160" s="80"/>
      <c r="G160" s="224"/>
      <c r="H160" s="221"/>
      <c r="I160" s="32"/>
      <c r="J160" s="220">
        <v>517</v>
      </c>
      <c r="K160" s="312" t="s">
        <v>264</v>
      </c>
      <c r="L160" s="287">
        <f t="shared" si="15"/>
        <v>0</v>
      </c>
      <c r="P160" s="194"/>
      <c r="X160" s="549">
        <v>517</v>
      </c>
      <c r="Y160" s="284">
        <v>517</v>
      </c>
      <c r="AA160" s="384">
        <f t="shared" si="16"/>
        <v>0</v>
      </c>
      <c r="AB160" s="284">
        <f t="shared" si="17"/>
        <v>0</v>
      </c>
    </row>
    <row r="161" spans="1:28" ht="46.5" customHeight="1" x14ac:dyDescent="0.3">
      <c r="A161" s="210">
        <f>'Unit Data from Audit Worksheet'!A197</f>
        <v>518</v>
      </c>
      <c r="B161" s="223" t="str">
        <f>'Unit Data from Audit Worksheet'!C197</f>
        <v>WS Capital Assets Schedule-Gross Value</v>
      </c>
      <c r="C161" s="209" t="str">
        <f>'Unit Data from Audit Worksheet'!D197</f>
        <v>All other depreciable capital assets</v>
      </c>
      <c r="D161" s="228"/>
      <c r="E161" s="229">
        <f>'Unit Data from Audit Worksheet'!F197</f>
        <v>0</v>
      </c>
      <c r="F161" s="80"/>
      <c r="G161" s="224"/>
      <c r="H161" s="221"/>
      <c r="I161" s="32"/>
      <c r="J161" s="220">
        <v>518</v>
      </c>
      <c r="K161" s="312" t="s">
        <v>265</v>
      </c>
      <c r="L161" s="287">
        <f t="shared" si="15"/>
        <v>0</v>
      </c>
      <c r="P161" s="194"/>
      <c r="X161" s="549">
        <v>518</v>
      </c>
      <c r="Y161" s="284">
        <v>518</v>
      </c>
      <c r="AA161" s="384">
        <f t="shared" si="16"/>
        <v>0</v>
      </c>
      <c r="AB161" s="284">
        <f t="shared" si="17"/>
        <v>0</v>
      </c>
    </row>
    <row r="162" spans="1:28" ht="52.5" customHeight="1" x14ac:dyDescent="0.3">
      <c r="A162" s="210">
        <f>'Unit Data from Audit Worksheet'!A200</f>
        <v>519</v>
      </c>
      <c r="B162" s="223" t="str">
        <f>'Unit Data from Audit Worksheet'!C200</f>
        <v>WS Capital Assets Schedule-Annual Depreciation</v>
      </c>
      <c r="C162" s="209" t="str">
        <f>'Unit Data from Audit Worksheet'!D200</f>
        <v>Buildings annual depreciation</v>
      </c>
      <c r="D162" s="228"/>
      <c r="E162" s="229">
        <f>'Unit Data from Audit Worksheet'!F200</f>
        <v>0</v>
      </c>
      <c r="F162" s="80"/>
      <c r="G162" s="224"/>
      <c r="H162" s="221"/>
      <c r="I162" s="32"/>
      <c r="J162" s="220">
        <v>519</v>
      </c>
      <c r="K162" s="312" t="s">
        <v>266</v>
      </c>
      <c r="L162" s="287">
        <f t="shared" si="15"/>
        <v>0</v>
      </c>
      <c r="P162" s="315"/>
      <c r="X162" s="549">
        <v>519</v>
      </c>
      <c r="Y162" s="284">
        <v>519</v>
      </c>
      <c r="AA162" s="384">
        <f t="shared" si="16"/>
        <v>0</v>
      </c>
      <c r="AB162" s="284">
        <f t="shared" si="17"/>
        <v>0</v>
      </c>
    </row>
    <row r="163" spans="1:28" ht="52.5" customHeight="1" x14ac:dyDescent="0.3">
      <c r="A163" s="210">
        <f>'Unit Data from Audit Worksheet'!A201</f>
        <v>520</v>
      </c>
      <c r="B163" s="223" t="str">
        <f>'Unit Data from Audit Worksheet'!C201</f>
        <v>WS Capital Assets Schedule-Annual Depreciation</v>
      </c>
      <c r="C163" s="209" t="str">
        <f>'Unit Data from Audit Worksheet'!D201</f>
        <v>Plant / distributions systems / water lines annual depreciation</v>
      </c>
      <c r="D163" s="228"/>
      <c r="E163" s="229">
        <f>'Unit Data from Audit Worksheet'!F201</f>
        <v>0</v>
      </c>
      <c r="F163" s="80"/>
      <c r="G163" s="224"/>
      <c r="H163" s="221"/>
      <c r="I163" s="32"/>
      <c r="J163" s="220">
        <v>520</v>
      </c>
      <c r="K163" s="312" t="s">
        <v>267</v>
      </c>
      <c r="L163" s="287">
        <f t="shared" si="15"/>
        <v>0</v>
      </c>
      <c r="P163" s="318"/>
      <c r="Q163" s="316"/>
      <c r="X163" s="549">
        <v>520</v>
      </c>
      <c r="Y163" s="284">
        <v>520</v>
      </c>
      <c r="AA163" s="384">
        <f t="shared" si="16"/>
        <v>0</v>
      </c>
      <c r="AB163" s="284">
        <f t="shared" si="17"/>
        <v>0</v>
      </c>
    </row>
    <row r="164" spans="1:28" ht="52.5" customHeight="1" x14ac:dyDescent="0.3">
      <c r="A164" s="210">
        <f>'Unit Data from Audit Worksheet'!A202</f>
        <v>521</v>
      </c>
      <c r="B164" s="223" t="str">
        <f>'Unit Data from Audit Worksheet'!C202</f>
        <v>WS Capital Assets Schedule-Annual Depreciation</v>
      </c>
      <c r="C164" s="209" t="str">
        <f>'Unit Data from Audit Worksheet'!D202</f>
        <v>Infrastructure(other infrastructure) annual depreciation</v>
      </c>
      <c r="D164" s="228"/>
      <c r="E164" s="229">
        <f>'Unit Data from Audit Worksheet'!F202</f>
        <v>0</v>
      </c>
      <c r="F164" s="80"/>
      <c r="G164" s="224"/>
      <c r="H164" s="221"/>
      <c r="I164" s="32"/>
      <c r="J164" s="220">
        <v>521</v>
      </c>
      <c r="K164" s="52" t="s">
        <v>268</v>
      </c>
      <c r="L164" s="287">
        <f t="shared" si="15"/>
        <v>0</v>
      </c>
      <c r="P164" s="194"/>
      <c r="Q164" s="186"/>
      <c r="X164" s="549">
        <v>521</v>
      </c>
      <c r="Y164" s="284">
        <v>521</v>
      </c>
      <c r="AA164" s="384">
        <f t="shared" si="16"/>
        <v>0</v>
      </c>
      <c r="AB164" s="284">
        <f t="shared" si="17"/>
        <v>0</v>
      </c>
    </row>
    <row r="165" spans="1:28" ht="42.75" customHeight="1" x14ac:dyDescent="0.3">
      <c r="A165" s="210">
        <f>'Unit Data from Audit Worksheet'!A203</f>
        <v>522</v>
      </c>
      <c r="B165" s="223" t="str">
        <f>'Unit Data from Audit Worksheet'!C203</f>
        <v>WS Capital Assets Schedule-Annual Depreciation</v>
      </c>
      <c r="C165" s="209" t="str">
        <f>'Unit Data from Audit Worksheet'!D203</f>
        <v>All other depreciable capital assets annual depreciation</v>
      </c>
      <c r="D165" s="228"/>
      <c r="E165" s="229">
        <f>'Unit Data from Audit Worksheet'!F203</f>
        <v>0</v>
      </c>
      <c r="F165" s="80"/>
      <c r="G165" s="224"/>
      <c r="H165" s="221"/>
      <c r="I165" s="32"/>
      <c r="J165" s="220">
        <v>522</v>
      </c>
      <c r="K165" s="52" t="s">
        <v>269</v>
      </c>
      <c r="L165" s="287">
        <f t="shared" si="15"/>
        <v>0</v>
      </c>
      <c r="P165" s="315"/>
      <c r="S165" s="18"/>
      <c r="T165" s="18"/>
      <c r="U165" s="18"/>
      <c r="V165" s="18"/>
      <c r="X165" s="549">
        <v>522</v>
      </c>
      <c r="Y165" s="284">
        <v>522</v>
      </c>
      <c r="Z165" s="18"/>
      <c r="AA165" s="384">
        <f t="shared" si="16"/>
        <v>0</v>
      </c>
      <c r="AB165" s="284">
        <f t="shared" si="17"/>
        <v>0</v>
      </c>
    </row>
    <row r="166" spans="1:28" ht="42.75" customHeight="1" x14ac:dyDescent="0.3">
      <c r="A166" s="210">
        <f>'Unit Data from Audit Worksheet'!A206</f>
        <v>523</v>
      </c>
      <c r="B166" s="223" t="str">
        <f>'Unit Data from Audit Worksheet'!C206</f>
        <v>WS Capital Assets Schedule-Accumulated Depreciation</v>
      </c>
      <c r="C166" s="209" t="str">
        <f>'Unit Data from Audit Worksheet'!D206</f>
        <v>Building accumulated depreciation</v>
      </c>
      <c r="D166" s="228"/>
      <c r="E166" s="229">
        <f>'Unit Data from Audit Worksheet'!F206</f>
        <v>0</v>
      </c>
      <c r="F166" s="80"/>
      <c r="G166" s="224"/>
      <c r="H166" s="221"/>
      <c r="I166" s="32"/>
      <c r="J166" s="220">
        <v>523</v>
      </c>
      <c r="K166" s="52" t="s">
        <v>270</v>
      </c>
      <c r="L166" s="287">
        <f t="shared" si="15"/>
        <v>0</v>
      </c>
      <c r="P166" s="315"/>
      <c r="S166" s="18"/>
      <c r="T166" s="18"/>
      <c r="U166" s="18"/>
      <c r="V166" s="18"/>
      <c r="X166" s="549">
        <v>523</v>
      </c>
      <c r="Y166" s="284">
        <v>523</v>
      </c>
      <c r="Z166" s="18"/>
      <c r="AA166" s="384">
        <f t="shared" si="16"/>
        <v>0</v>
      </c>
      <c r="AB166" s="284">
        <f t="shared" si="17"/>
        <v>0</v>
      </c>
    </row>
    <row r="167" spans="1:28" ht="51" customHeight="1" x14ac:dyDescent="0.3">
      <c r="A167" s="210">
        <f>'Unit Data from Audit Worksheet'!A207</f>
        <v>524</v>
      </c>
      <c r="B167" s="223" t="str">
        <f>'Unit Data from Audit Worksheet'!C207</f>
        <v>WS Capital Assets Schedule-Accumulated Depreciation</v>
      </c>
      <c r="C167" s="209" t="str">
        <f>'Unit Data from Audit Worksheet'!D207</f>
        <v>Plant / distributions systems / water lines accumulated depreciation</v>
      </c>
      <c r="D167" s="228"/>
      <c r="E167" s="229">
        <f>'Unit Data from Audit Worksheet'!F207</f>
        <v>0</v>
      </c>
      <c r="F167" s="80"/>
      <c r="G167" s="224"/>
      <c r="H167" s="221"/>
      <c r="I167" s="32"/>
      <c r="J167" s="220">
        <v>524</v>
      </c>
      <c r="K167" s="52" t="s">
        <v>271</v>
      </c>
      <c r="L167" s="287">
        <f t="shared" si="15"/>
        <v>0</v>
      </c>
      <c r="P167" s="315"/>
      <c r="S167" s="18"/>
      <c r="T167" s="18"/>
      <c r="U167" s="18"/>
      <c r="V167" s="18"/>
      <c r="X167" s="549">
        <v>524</v>
      </c>
      <c r="Y167" s="284">
        <v>524</v>
      </c>
      <c r="Z167" s="18"/>
      <c r="AA167" s="384">
        <f t="shared" si="16"/>
        <v>0</v>
      </c>
      <c r="AB167" s="284">
        <f t="shared" si="17"/>
        <v>0</v>
      </c>
    </row>
    <row r="168" spans="1:28" ht="57.75" customHeight="1" x14ac:dyDescent="0.3">
      <c r="A168" s="210">
        <f>'Unit Data from Audit Worksheet'!A208</f>
        <v>525</v>
      </c>
      <c r="B168" s="223" t="str">
        <f>'Unit Data from Audit Worksheet'!C208</f>
        <v>WS Capital Assets Schedule-Accumulated Depreciation</v>
      </c>
      <c r="C168" s="209" t="str">
        <f>'Unit Data from Audit Worksheet'!D208</f>
        <v>Infrastructure(other infrastructure) accumulated depreciation</v>
      </c>
      <c r="D168" s="228"/>
      <c r="E168" s="229">
        <f>'Unit Data from Audit Worksheet'!F208</f>
        <v>0</v>
      </c>
      <c r="F168" s="80"/>
      <c r="G168" s="224"/>
      <c r="H168" s="221"/>
      <c r="I168" s="32"/>
      <c r="J168" s="220">
        <v>525</v>
      </c>
      <c r="K168" s="52" t="s">
        <v>272</v>
      </c>
      <c r="L168" s="287">
        <f t="shared" si="15"/>
        <v>0</v>
      </c>
      <c r="P168" s="200"/>
      <c r="Q168" s="316"/>
      <c r="X168" s="549">
        <v>525</v>
      </c>
      <c r="Y168" s="284">
        <v>525</v>
      </c>
      <c r="AA168" s="384">
        <f t="shared" si="16"/>
        <v>0</v>
      </c>
      <c r="AB168" s="284">
        <f t="shared" si="17"/>
        <v>0</v>
      </c>
    </row>
    <row r="169" spans="1:28" ht="48" customHeight="1" x14ac:dyDescent="0.3">
      <c r="A169" s="210">
        <f>'Unit Data from Audit Worksheet'!A209</f>
        <v>526</v>
      </c>
      <c r="B169" s="223" t="str">
        <f>'Unit Data from Audit Worksheet'!C209</f>
        <v>WS Capital Assets Schedule-Accumulated Depreciation</v>
      </c>
      <c r="C169" s="209" t="str">
        <f>'Unit Data from Audit Worksheet'!D209</f>
        <v>All other depreciable capital assets accumulated depreciation</v>
      </c>
      <c r="D169" s="228"/>
      <c r="E169" s="229">
        <f>'Unit Data from Audit Worksheet'!F209</f>
        <v>0</v>
      </c>
      <c r="F169" s="80"/>
      <c r="G169" s="224"/>
      <c r="H169" s="221"/>
      <c r="I169" s="32"/>
      <c r="J169" s="220">
        <v>526</v>
      </c>
      <c r="K169" s="52" t="s">
        <v>273</v>
      </c>
      <c r="L169" s="287">
        <f t="shared" si="15"/>
        <v>0</v>
      </c>
      <c r="P169" s="194"/>
      <c r="Q169" s="3"/>
      <c r="X169" s="549">
        <v>526</v>
      </c>
      <c r="Y169" s="284">
        <v>526</v>
      </c>
      <c r="AA169" s="384">
        <f t="shared" si="16"/>
        <v>0</v>
      </c>
      <c r="AB169" s="284">
        <f t="shared" si="17"/>
        <v>0</v>
      </c>
    </row>
    <row r="170" spans="1:28" ht="50.25" customHeight="1" x14ac:dyDescent="0.3">
      <c r="A170" s="210">
        <f>'Unit Data from Audit Worksheet'!A214</f>
        <v>527</v>
      </c>
      <c r="B170" s="223" t="str">
        <f>'Unit Data from Audit Worksheet'!C214</f>
        <v>Electric Assets</v>
      </c>
      <c r="C170" s="209" t="str">
        <f>'Unit Data from Audit Worksheet'!D214</f>
        <v>Total Assets Gross value not being depreciated for Electric Fund</v>
      </c>
      <c r="D170" s="228"/>
      <c r="E170" s="229">
        <f>'Unit Data from Audit Worksheet'!F214</f>
        <v>0</v>
      </c>
      <c r="F170" s="80"/>
      <c r="G170" s="224"/>
      <c r="H170" s="221"/>
      <c r="I170" s="32"/>
      <c r="J170" s="220">
        <v>527</v>
      </c>
      <c r="K170" s="52" t="s">
        <v>274</v>
      </c>
      <c r="L170" s="287">
        <f t="shared" si="15"/>
        <v>0</v>
      </c>
      <c r="P170" s="194"/>
      <c r="X170" s="549">
        <v>527</v>
      </c>
      <c r="Y170" s="284">
        <v>527</v>
      </c>
      <c r="AA170" s="384">
        <f t="shared" si="16"/>
        <v>0</v>
      </c>
      <c r="AB170" s="284">
        <f t="shared" si="17"/>
        <v>0</v>
      </c>
    </row>
    <row r="171" spans="1:28" ht="54.75" customHeight="1" x14ac:dyDescent="0.3">
      <c r="A171" s="210">
        <f>'Unit Data from Audit Worksheet'!A215</f>
        <v>356</v>
      </c>
      <c r="B171" s="223" t="str">
        <f>'Unit Data from Audit Worksheet'!C215</f>
        <v>Electric Assets</v>
      </c>
      <c r="C171" s="209" t="str">
        <f>'Unit Data from Audit Worksheet'!D215</f>
        <v>Total Assets Gross value of assets being depreciated for Electric Fund</v>
      </c>
      <c r="D171" s="228"/>
      <c r="E171" s="229">
        <f>'Unit Data from Audit Worksheet'!F215</f>
        <v>0</v>
      </c>
      <c r="F171" s="80"/>
      <c r="G171" s="224"/>
      <c r="H171" s="221"/>
      <c r="I171" s="32"/>
      <c r="J171" s="220">
        <v>356</v>
      </c>
      <c r="K171" s="52" t="s">
        <v>305</v>
      </c>
      <c r="L171" s="287">
        <f t="shared" si="15"/>
        <v>0</v>
      </c>
      <c r="P171" s="194"/>
      <c r="X171" s="549">
        <v>356</v>
      </c>
      <c r="Y171" s="284">
        <v>356</v>
      </c>
      <c r="AA171" s="384">
        <f t="shared" si="16"/>
        <v>0</v>
      </c>
      <c r="AB171" s="284">
        <f t="shared" si="17"/>
        <v>0</v>
      </c>
    </row>
    <row r="172" spans="1:28" ht="54.75" customHeight="1" x14ac:dyDescent="0.3">
      <c r="A172" s="210">
        <f>'Unit Data from Audit Worksheet'!A216</f>
        <v>357</v>
      </c>
      <c r="B172" s="223" t="str">
        <f>'Unit Data from Audit Worksheet'!C216</f>
        <v>Electric Accumulated Depreciation</v>
      </c>
      <c r="C172" s="209" t="str">
        <f>'Unit Data from Audit Worksheet'!D216</f>
        <v>Total accumulated depreciation for Electric Fund assets</v>
      </c>
      <c r="D172" s="228"/>
      <c r="E172" s="229">
        <f>'Unit Data from Audit Worksheet'!F216</f>
        <v>0</v>
      </c>
      <c r="F172" s="80"/>
      <c r="G172" s="224"/>
      <c r="H172" s="221"/>
      <c r="I172" s="32"/>
      <c r="J172" s="220">
        <v>357</v>
      </c>
      <c r="K172" s="52" t="s">
        <v>306</v>
      </c>
      <c r="L172" s="287">
        <f t="shared" si="15"/>
        <v>0</v>
      </c>
      <c r="P172" s="194"/>
      <c r="X172" s="549">
        <v>357</v>
      </c>
      <c r="Y172" s="284">
        <v>357</v>
      </c>
      <c r="AA172" s="384">
        <f t="shared" si="16"/>
        <v>0</v>
      </c>
      <c r="AB172" s="284">
        <f t="shared" si="17"/>
        <v>0</v>
      </c>
    </row>
    <row r="173" spans="1:28" ht="191.25" customHeight="1" x14ac:dyDescent="0.3">
      <c r="A173" s="210">
        <f>'Unit Data from Audit Worksheet'!A218</f>
        <v>337</v>
      </c>
      <c r="B173" s="223" t="str">
        <f>'Unit Data from Audit Worksheet'!C218</f>
        <v>Long-Term Liability Note - Governmental Activities</v>
      </c>
      <c r="C173" s="223" t="str">
        <f>'Unit Data from Audit Worksheet'!D218</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3" s="228"/>
      <c r="E173" s="229">
        <f>'Unit Data from Audit Worksheet'!F218</f>
        <v>0</v>
      </c>
      <c r="F173" s="222">
        <f>IF(L173&lt;0,"Error: Enter as a positive.",)</f>
        <v>0</v>
      </c>
      <c r="G173" s="224"/>
      <c r="H173" s="221"/>
      <c r="I173" s="32"/>
      <c r="J173" s="220">
        <v>337</v>
      </c>
      <c r="K173" s="219" t="s">
        <v>245</v>
      </c>
      <c r="L173" s="287">
        <f t="shared" si="15"/>
        <v>0</v>
      </c>
      <c r="P173" s="194"/>
      <c r="X173" s="549">
        <v>337</v>
      </c>
      <c r="Y173" s="284">
        <v>337</v>
      </c>
      <c r="AA173" s="384">
        <f t="shared" si="16"/>
        <v>0</v>
      </c>
      <c r="AB173" s="284">
        <f t="shared" si="17"/>
        <v>0</v>
      </c>
    </row>
    <row r="174" spans="1:28" ht="76.5" customHeight="1" x14ac:dyDescent="0.3">
      <c r="A174" s="210">
        <f>'Unit Data from Audit Worksheet'!A219</f>
        <v>343</v>
      </c>
      <c r="B174" s="223" t="str">
        <f>'Unit Data from Audit Worksheet'!C219</f>
        <v>Long-Term Liability Note - Governmental Activities</v>
      </c>
      <c r="C174" s="209" t="str">
        <f>'Unit Data from Audit Worksheet'!D219</f>
        <v>Decreases made (principal paid) on Long-Term Debt in current fiscal year.  Reduce for debt refunding.</v>
      </c>
      <c r="D174" s="228"/>
      <c r="E174" s="229">
        <f>'Unit Data from Audit Worksheet'!F219</f>
        <v>0</v>
      </c>
      <c r="F174" s="222">
        <f>IF(L174&lt;0,"Error: Enter as a positive.",)</f>
        <v>0</v>
      </c>
      <c r="G174" s="224"/>
      <c r="H174" s="221"/>
      <c r="I174" s="32"/>
      <c r="J174" s="220">
        <v>343</v>
      </c>
      <c r="K174" s="219" t="s">
        <v>246</v>
      </c>
      <c r="L174" s="287">
        <f t="shared" si="15"/>
        <v>0</v>
      </c>
      <c r="P174" s="194"/>
      <c r="X174" s="549">
        <v>343</v>
      </c>
      <c r="Y174" s="292">
        <v>343</v>
      </c>
      <c r="AA174" s="384">
        <f t="shared" si="16"/>
        <v>0</v>
      </c>
      <c r="AB174" s="284">
        <f t="shared" si="17"/>
        <v>0</v>
      </c>
    </row>
    <row r="175" spans="1:28" ht="193.5" customHeight="1" x14ac:dyDescent="0.3">
      <c r="A175" s="210">
        <f>'Unit Data from Audit Worksheet'!A220</f>
        <v>82</v>
      </c>
      <c r="B175" s="223" t="str">
        <f>'Unit Data from Audit Worksheet'!C220</f>
        <v>Long-Term Liability Note - Water Sewer Activities</v>
      </c>
      <c r="C175" s="223" t="str">
        <f>'Unit Data from Audit Worksheet'!D220</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5" s="228"/>
      <c r="E175" s="229">
        <f>'Unit Data from Audit Worksheet'!F220</f>
        <v>0</v>
      </c>
      <c r="F175" s="222">
        <f>IF(L175&lt;0,"Error: Enter as a positive.",)</f>
        <v>0</v>
      </c>
      <c r="G175" s="224"/>
      <c r="H175" s="221"/>
      <c r="I175" s="32"/>
      <c r="J175" s="220">
        <v>82</v>
      </c>
      <c r="K175" s="62" t="s">
        <v>307</v>
      </c>
      <c r="L175" s="287">
        <f t="shared" si="15"/>
        <v>0</v>
      </c>
      <c r="P175" s="194"/>
      <c r="X175" s="549">
        <v>82</v>
      </c>
      <c r="Y175" s="284">
        <v>82</v>
      </c>
      <c r="AA175" s="384">
        <f t="shared" si="16"/>
        <v>0</v>
      </c>
      <c r="AB175" s="284">
        <f t="shared" si="17"/>
        <v>0</v>
      </c>
    </row>
    <row r="176" spans="1:28" ht="206.25" customHeight="1" x14ac:dyDescent="0.3">
      <c r="A176" s="210">
        <f>'Unit Data from Audit Worksheet'!A221</f>
        <v>359</v>
      </c>
      <c r="B176" s="223" t="str">
        <f>'Unit Data from Audit Worksheet'!C221</f>
        <v>Long-Term Liability Note - Electric Activities</v>
      </c>
      <c r="C176" s="223" t="str">
        <f>'Unit Data from Audit Worksheet'!D221</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6" s="228"/>
      <c r="E176" s="229">
        <f>'Unit Data from Audit Worksheet'!F221</f>
        <v>0</v>
      </c>
      <c r="F176" s="222">
        <f>IF(L176&lt;0,"Error: Enter as a positive.",)</f>
        <v>0</v>
      </c>
      <c r="G176" s="224"/>
      <c r="H176" s="221"/>
      <c r="I176" s="32"/>
      <c r="J176" s="220">
        <v>359</v>
      </c>
      <c r="K176" s="219" t="s">
        <v>247</v>
      </c>
      <c r="L176" s="287">
        <f t="shared" si="15"/>
        <v>0</v>
      </c>
      <c r="P176" s="194"/>
      <c r="X176" s="549">
        <v>359</v>
      </c>
      <c r="Y176" s="284">
        <v>359</v>
      </c>
      <c r="AA176" s="384">
        <f t="shared" si="16"/>
        <v>0</v>
      </c>
      <c r="AB176" s="284">
        <f t="shared" si="17"/>
        <v>0</v>
      </c>
    </row>
    <row r="177" spans="1:28" ht="87.6" customHeight="1" x14ac:dyDescent="0.3">
      <c r="A177" s="210">
        <f>'Unit Data from Audit Worksheet'!A223</f>
        <v>622</v>
      </c>
      <c r="B177" s="223" t="str">
        <f>'Unit Data from Audit Worksheet'!C223</f>
        <v>FS., Pension note or RSI</v>
      </c>
      <c r="C177" s="223" t="str">
        <f>'Unit Data from Audit Worksheet'!D223</f>
        <v xml:space="preserve">Unit's Share of Net Pension Liability ($s)
- unit of government is a participating employer in the State's TSERS (Teachers' and State Employees' Retirement System) or the LGERS (Local Governmental Employees' Retirement System).  </v>
      </c>
      <c r="D177" s="228"/>
      <c r="E177" s="229">
        <f>'Unit Data from Audit Worksheet'!F223</f>
        <v>0</v>
      </c>
      <c r="F177" s="222"/>
      <c r="G177" s="224"/>
      <c r="H177" s="221"/>
      <c r="I177" s="32"/>
      <c r="J177" s="220">
        <v>622</v>
      </c>
      <c r="K177" s="226" t="s">
        <v>357</v>
      </c>
      <c r="L177" s="287">
        <f t="shared" si="15"/>
        <v>0</v>
      </c>
      <c r="P177" s="194"/>
      <c r="S177" s="18"/>
      <c r="T177" s="18"/>
      <c r="U177" s="18"/>
      <c r="V177" s="18"/>
      <c r="X177" s="549">
        <v>622</v>
      </c>
      <c r="Y177" s="284">
        <v>622</v>
      </c>
      <c r="Z177" s="18"/>
      <c r="AA177" s="384">
        <f t="shared" si="16"/>
        <v>0</v>
      </c>
      <c r="AB177" s="284">
        <f t="shared" si="17"/>
        <v>0</v>
      </c>
    </row>
    <row r="178" spans="1:28" ht="138.75" customHeight="1" x14ac:dyDescent="0.3">
      <c r="A178" s="210">
        <f>'Unit Data from Audit Worksheet'!A224</f>
        <v>577</v>
      </c>
      <c r="B178" s="223" t="str">
        <f>'Unit Data from Audit Worksheet'!C224</f>
        <v>Pension Notes</v>
      </c>
      <c r="C178" s="223" t="str">
        <f>'Unit Data from Audit Worksheet'!D224</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Select "1" for Yes and "2" for No.
</v>
      </c>
      <c r="D178" s="228"/>
      <c r="E178" s="229">
        <f>'Unit Data from Audit Worksheet'!F224</f>
        <v>0</v>
      </c>
      <c r="F178" s="222"/>
      <c r="G178" s="224"/>
      <c r="H178" s="221"/>
      <c r="I178" s="32"/>
      <c r="J178" s="220">
        <v>577</v>
      </c>
      <c r="K178" s="226" t="s">
        <v>329</v>
      </c>
      <c r="L178" s="287">
        <f t="shared" si="15"/>
        <v>0</v>
      </c>
      <c r="P178" s="194"/>
      <c r="S178" s="18"/>
      <c r="T178" s="18"/>
      <c r="U178" s="18"/>
      <c r="V178" s="18"/>
      <c r="X178" s="549">
        <v>577</v>
      </c>
      <c r="Y178" s="284">
        <v>577</v>
      </c>
      <c r="Z178" s="18"/>
      <c r="AA178" s="384">
        <f t="shared" si="16"/>
        <v>0</v>
      </c>
      <c r="AB178" s="284">
        <f t="shared" si="17"/>
        <v>0</v>
      </c>
    </row>
    <row r="179" spans="1:28" ht="115.5" customHeight="1" x14ac:dyDescent="0.3">
      <c r="A179" s="313">
        <f>'Unit Data from Audit Worksheet'!A226</f>
        <v>598</v>
      </c>
      <c r="B179" s="223" t="str">
        <f>'Unit Data from Audit Worksheet'!C226</f>
        <v>LEO Note</v>
      </c>
      <c r="C179" s="209" t="str">
        <f>'Unit Data from Audit Worksheet'!D226</f>
        <v>Amount the unit paid out in benefits under LEO special separation allowance to retired law enforcement officers this fiscal year if you report under GASB 68 or GASB 73.</v>
      </c>
      <c r="D179" s="228"/>
      <c r="E179" s="229">
        <f>'Unit Data from Audit Worksheet'!F226</f>
        <v>0</v>
      </c>
      <c r="F179" s="222">
        <f>IF(L179&lt;0,"Error: Enter as a positive.",)</f>
        <v>0</v>
      </c>
      <c r="G179" s="224"/>
      <c r="H179" s="221"/>
      <c r="I179" s="32"/>
      <c r="J179" s="220">
        <v>598</v>
      </c>
      <c r="K179" s="87" t="s">
        <v>341</v>
      </c>
      <c r="L179" s="287">
        <f t="shared" si="15"/>
        <v>0</v>
      </c>
      <c r="P179" s="194"/>
      <c r="S179" s="18"/>
      <c r="T179" s="18"/>
      <c r="U179" s="18"/>
      <c r="V179" s="18"/>
      <c r="X179" s="549">
        <v>598</v>
      </c>
      <c r="Y179" s="284">
        <v>598</v>
      </c>
      <c r="Z179" s="18"/>
      <c r="AA179" s="384">
        <f t="shared" si="16"/>
        <v>0</v>
      </c>
      <c r="AB179" s="284">
        <f t="shared" si="17"/>
        <v>0</v>
      </c>
    </row>
    <row r="180" spans="1:28" ht="84" customHeight="1" x14ac:dyDescent="0.3">
      <c r="A180" s="210">
        <f>'Unit Data from Audit Worksheet'!A227</f>
        <v>599</v>
      </c>
      <c r="B180" s="223" t="str">
        <f>'Unit Data from Audit Worksheet'!C227</f>
        <v>LEO Note</v>
      </c>
      <c r="C180" s="209" t="str">
        <f>'Unit Data from Audit Worksheet'!D227</f>
        <v>The total LEO pension liability if you report under GASB 68 or GASB 73.</v>
      </c>
      <c r="D180" s="228"/>
      <c r="E180" s="229">
        <f>'Unit Data from Audit Worksheet'!F227</f>
        <v>0</v>
      </c>
      <c r="F180" s="222">
        <f>IF(L180&lt;0,"Error: Enter as a positive.",)</f>
        <v>0</v>
      </c>
      <c r="G180" s="224"/>
      <c r="H180" s="221"/>
      <c r="I180" s="32"/>
      <c r="J180" s="220">
        <v>599</v>
      </c>
      <c r="K180" s="86" t="s">
        <v>340</v>
      </c>
      <c r="L180" s="287">
        <f t="shared" si="15"/>
        <v>0</v>
      </c>
      <c r="P180" s="194"/>
      <c r="X180" s="549">
        <v>599</v>
      </c>
      <c r="Y180" s="284">
        <v>599</v>
      </c>
      <c r="AA180" s="384">
        <f t="shared" si="16"/>
        <v>0</v>
      </c>
      <c r="AB180" s="284">
        <f t="shared" si="17"/>
        <v>0</v>
      </c>
    </row>
    <row r="181" spans="1:28" ht="102.75" customHeight="1" x14ac:dyDescent="0.3">
      <c r="A181" s="210">
        <f>'Unit Data from Audit Worksheet'!A228</f>
        <v>602</v>
      </c>
      <c r="B181" s="223" t="str">
        <f>'Unit Data from Audit Worksheet'!C228</f>
        <v>LEO Note</v>
      </c>
      <c r="C181" s="209" t="str">
        <f>'Unit Data from Audit Worksheet'!D228</f>
        <v>If you have LEO pension assets and are reporting under GASB 68 please enter "Plan Fiduciary Net Position" which can be found on your RSI schedules and the Notes.</v>
      </c>
      <c r="D181" s="228"/>
      <c r="E181" s="229">
        <f>'Unit Data from Audit Worksheet'!F228</f>
        <v>0</v>
      </c>
      <c r="F181" s="222">
        <f>IF(L181&lt;0,"Error: Enter as a positive.",)</f>
        <v>0</v>
      </c>
      <c r="G181" s="224"/>
      <c r="H181" s="221"/>
      <c r="I181" s="32"/>
      <c r="J181" s="220">
        <v>602</v>
      </c>
      <c r="K181" s="23" t="s">
        <v>342</v>
      </c>
      <c r="L181" s="287">
        <f t="shared" si="15"/>
        <v>0</v>
      </c>
      <c r="P181" s="194"/>
      <c r="X181" s="549">
        <v>602</v>
      </c>
      <c r="Y181" s="284">
        <v>602</v>
      </c>
      <c r="AA181" s="384">
        <f t="shared" si="16"/>
        <v>0</v>
      </c>
      <c r="AB181" s="284">
        <f t="shared" si="17"/>
        <v>0</v>
      </c>
    </row>
    <row r="182" spans="1:28" ht="123" customHeight="1" x14ac:dyDescent="0.3">
      <c r="A182" s="210">
        <f>'Unit Data from Audit Worksheet'!A229</f>
        <v>619</v>
      </c>
      <c r="B182" s="223" t="str">
        <f>'Unit Data from Audit Worksheet'!C229</f>
        <v>LEO
RSI</v>
      </c>
      <c r="C182" s="87" t="str">
        <f>'Unit Data from Audit Worksheet'!D229</f>
        <v>LEOSSA – What is the plan’s fiduciary net position as a percentage of the total pension liability?  Please enter as percentage value; for example, 83.5% should be entered as 83.5.  If assets have not been set aside in a trust, please enter 0.0</v>
      </c>
      <c r="D182" s="88"/>
      <c r="E182" s="140">
        <f>'Unit Data from Audit Worksheet'!F229</f>
        <v>0</v>
      </c>
      <c r="F182" s="222" t="str">
        <f>IF(H182=L182,"","Column L does not equal Column H")</f>
        <v/>
      </c>
      <c r="G182" s="224"/>
      <c r="H182" s="95">
        <f>ROUND(IFERROR((L181/L180)*100,0),1)</f>
        <v>0</v>
      </c>
      <c r="I182" s="32"/>
      <c r="J182" s="212">
        <v>619</v>
      </c>
      <c r="K182" s="94" t="s">
        <v>446</v>
      </c>
      <c r="L182" s="719">
        <f t="shared" si="15"/>
        <v>0</v>
      </c>
      <c r="P182" s="194"/>
      <c r="X182" s="549">
        <v>619</v>
      </c>
      <c r="Y182" s="284">
        <v>619</v>
      </c>
      <c r="AA182" s="384">
        <f t="shared" si="16"/>
        <v>0</v>
      </c>
      <c r="AB182" s="284">
        <f t="shared" si="17"/>
        <v>0</v>
      </c>
    </row>
    <row r="183" spans="1:28" ht="113.25" customHeight="1" x14ac:dyDescent="0.3">
      <c r="A183" s="210">
        <v>621</v>
      </c>
      <c r="B183" s="51" t="s">
        <v>351</v>
      </c>
      <c r="C183" s="317" t="str">
        <f>'Unit Data from Audit Worksheet'!D231</f>
        <v xml:space="preserve">Unit's share of Retirement Health Benefit Fund Net OPEB Liability ($s)
- unit of government is a participating employer in the State's RHBF </v>
      </c>
      <c r="D183" s="88"/>
      <c r="E183" s="229">
        <f>'Unit Data from Audit Worksheet'!F231</f>
        <v>0</v>
      </c>
      <c r="F183" s="222">
        <f>IF(L183&lt;0,"Error: Enter as a positive.",)</f>
        <v>0</v>
      </c>
      <c r="G183" s="120"/>
      <c r="H183" s="221"/>
      <c r="I183" s="32"/>
      <c r="J183" s="318">
        <v>621</v>
      </c>
      <c r="K183" s="121" t="s">
        <v>450</v>
      </c>
      <c r="L183" s="287">
        <f t="shared" si="15"/>
        <v>0</v>
      </c>
      <c r="P183" s="195"/>
      <c r="X183" s="549">
        <v>621</v>
      </c>
      <c r="Y183" s="284">
        <v>621</v>
      </c>
      <c r="AA183" s="384">
        <f t="shared" si="16"/>
        <v>0</v>
      </c>
      <c r="AB183" s="284">
        <f t="shared" si="17"/>
        <v>0</v>
      </c>
    </row>
    <row r="184" spans="1:28" s="18" customFormat="1" ht="127.5" customHeight="1" x14ac:dyDescent="0.3">
      <c r="A184" s="313">
        <f>'Unit Data from Audit Worksheet'!A232</f>
        <v>547</v>
      </c>
      <c r="B184" s="223" t="str">
        <f>'Unit Data from Audit Worksheet'!C232</f>
        <v>OPEB Note</v>
      </c>
      <c r="C184" s="223" t="str">
        <f>'Unit Data from Audit Worksheet'!D232</f>
        <v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Select from drop down list.
</v>
      </c>
      <c r="D184" s="228"/>
      <c r="E184" s="229">
        <f>'Unit Data from Audit Worksheet'!F232</f>
        <v>0</v>
      </c>
      <c r="F184" s="222" t="str">
        <f>IF(L187&lt;1,"Please answer this question","")</f>
        <v>Please answer this question</v>
      </c>
      <c r="G184" s="224"/>
      <c r="H184" s="221"/>
      <c r="I184" s="32"/>
      <c r="J184" s="220">
        <v>547</v>
      </c>
      <c r="K184" s="319" t="s">
        <v>295</v>
      </c>
      <c r="L184" s="287">
        <f t="shared" si="15"/>
        <v>0</v>
      </c>
      <c r="M184"/>
      <c r="P184" s="195"/>
      <c r="Q184" s="277"/>
      <c r="R184" s="3"/>
      <c r="S184" s="3"/>
      <c r="T184" s="3"/>
      <c r="U184" s="3"/>
      <c r="V184" s="3"/>
      <c r="W184" s="3"/>
      <c r="X184" s="549">
        <v>547</v>
      </c>
      <c r="Y184" s="284">
        <v>547</v>
      </c>
      <c r="Z184" s="3"/>
      <c r="AA184" s="384">
        <f t="shared" si="16"/>
        <v>0</v>
      </c>
      <c r="AB184" s="284">
        <f t="shared" si="17"/>
        <v>0</v>
      </c>
    </row>
    <row r="185" spans="1:28" s="18" customFormat="1" ht="99" customHeight="1" x14ac:dyDescent="0.3">
      <c r="A185" s="210">
        <f>'Unit Data from Audit Worksheet'!A233</f>
        <v>659</v>
      </c>
      <c r="B185" s="223" t="str">
        <f>'Unit Data from Audit Worksheet'!C233</f>
        <v>OPEB
 Note or RSI</v>
      </c>
      <c r="C185" s="209" t="str">
        <f>'Unit Data from Audit Worksheet'!D233</f>
        <v>Total OPEB benefits - total OPEB liability
If you do not provide benefit, please enter 0</v>
      </c>
      <c r="D185" s="228"/>
      <c r="E185" s="229">
        <f>'Unit Data from Audit Worksheet'!F233</f>
        <v>0</v>
      </c>
      <c r="F185" s="222">
        <f>IF(L185&lt;0,"Error: Enter as a positive.",)</f>
        <v>0</v>
      </c>
      <c r="G185" s="320" t="s">
        <v>1486</v>
      </c>
      <c r="H185" s="221"/>
      <c r="I185" s="32"/>
      <c r="J185" s="212">
        <v>659</v>
      </c>
      <c r="K185" s="211" t="s">
        <v>415</v>
      </c>
      <c r="L185" s="300">
        <f t="shared" si="15"/>
        <v>0</v>
      </c>
      <c r="M185"/>
      <c r="P185" s="195"/>
      <c r="Q185" s="277"/>
      <c r="R185" s="3"/>
      <c r="S185" s="3"/>
      <c r="T185" s="3"/>
      <c r="U185" s="3"/>
      <c r="V185" s="3"/>
      <c r="W185" s="3"/>
      <c r="X185" s="549">
        <v>659</v>
      </c>
      <c r="Y185" s="284">
        <v>659</v>
      </c>
      <c r="Z185" s="3"/>
      <c r="AA185" s="384">
        <f t="shared" si="16"/>
        <v>0</v>
      </c>
      <c r="AB185" s="284">
        <f t="shared" si="17"/>
        <v>0</v>
      </c>
    </row>
    <row r="186" spans="1:28" s="18" customFormat="1" ht="131.25" customHeight="1" x14ac:dyDescent="0.3">
      <c r="A186" s="210">
        <f>'Unit Data from Audit Worksheet'!A234</f>
        <v>660</v>
      </c>
      <c r="B186" s="223" t="str">
        <f>'Unit Data from Audit Worksheet'!C234</f>
        <v>OPEB
 Note or RSI</v>
      </c>
      <c r="C186" s="209" t="str">
        <f>'Unit Data from Audit Worksheet'!D234</f>
        <v>Total OPEB benefits- OPEB plan fiduciary net position
If no fiduciary net position, enter 0</v>
      </c>
      <c r="D186" s="228"/>
      <c r="E186" s="229">
        <f>'Unit Data from Audit Worksheet'!F234</f>
        <v>0</v>
      </c>
      <c r="F186" s="218">
        <f>IF(L186&lt;0,"Note: Number is normally positive.",)</f>
        <v>0</v>
      </c>
      <c r="G186" s="320" t="s">
        <v>1486</v>
      </c>
      <c r="H186" s="221"/>
      <c r="I186" s="32"/>
      <c r="J186" s="212">
        <v>660</v>
      </c>
      <c r="K186" s="211" t="s">
        <v>416</v>
      </c>
      <c r="L186" s="300">
        <f t="shared" si="15"/>
        <v>0</v>
      </c>
      <c r="M186"/>
      <c r="P186" s="195"/>
      <c r="Q186" s="277"/>
      <c r="R186" s="3"/>
      <c r="S186" s="3"/>
      <c r="T186" s="3"/>
      <c r="U186" s="3"/>
      <c r="V186" s="3"/>
      <c r="W186" s="3"/>
      <c r="X186" s="549">
        <v>660</v>
      </c>
      <c r="Y186" s="284">
        <v>660</v>
      </c>
      <c r="Z186" s="3"/>
      <c r="AA186" s="384">
        <f t="shared" si="16"/>
        <v>0</v>
      </c>
      <c r="AB186" s="284">
        <f t="shared" si="17"/>
        <v>0</v>
      </c>
    </row>
    <row r="187" spans="1:28" ht="134.25" customHeight="1" x14ac:dyDescent="0.3">
      <c r="A187" s="210">
        <f>'Unit Data from Audit Worksheet'!A235</f>
        <v>661</v>
      </c>
      <c r="B187" s="223" t="str">
        <f>'Unit Data from Audit Worksheet'!C235</f>
        <v>OPEB
RSI</v>
      </c>
      <c r="C187" s="209" t="str">
        <f>'Unit Data from Audit Worksheet'!D235</f>
        <v>Total OPEB benefits - What is the plan’s fiduciary net position as a percentage of the total OPEB liability?  Please enter as percentage value; for example, 83.5% should be entered as 83.5.  If assets have not been set aside in a trust, please enter 0.0</v>
      </c>
      <c r="D187" s="88"/>
      <c r="E187" s="208">
        <f>'Unit Data from Audit Worksheet'!F235</f>
        <v>0</v>
      </c>
      <c r="F187" s="222" t="str">
        <f>IF(H187=L187,"","Column L does not equal Column H")</f>
        <v/>
      </c>
      <c r="G187" s="320" t="s">
        <v>1486</v>
      </c>
      <c r="H187" s="160">
        <f>ROUND(IFERROR((L186/L185)*100,0),1)</f>
        <v>0</v>
      </c>
      <c r="I187" s="32"/>
      <c r="J187" s="212">
        <v>661</v>
      </c>
      <c r="K187" s="226" t="s">
        <v>418</v>
      </c>
      <c r="L187" s="720">
        <f>IF(D187="",E187,D187)</f>
        <v>0</v>
      </c>
      <c r="P187" s="195"/>
      <c r="X187" s="549">
        <v>661</v>
      </c>
      <c r="Y187" s="3">
        <v>661</v>
      </c>
      <c r="AA187" s="384">
        <f t="shared" si="16"/>
        <v>0</v>
      </c>
      <c r="AB187" s="284">
        <f t="shared" si="17"/>
        <v>0</v>
      </c>
    </row>
    <row r="188" spans="1:28" ht="65.25" customHeight="1" x14ac:dyDescent="0.3">
      <c r="A188" s="210">
        <f>'Unit Data from Audit Worksheet'!A238</f>
        <v>371</v>
      </c>
      <c r="B188" s="223" t="str">
        <f>'Unit Data from Audit Worksheet'!C238</f>
        <v>Transfer Note</v>
      </c>
      <c r="C188" s="209" t="str">
        <f>'Unit Data from Audit Worksheet'!D238</f>
        <v>Amount of Transfers from the General Fund to the Debt Service Fund (Enter as positive)</v>
      </c>
      <c r="D188" s="228"/>
      <c r="E188" s="229">
        <f>'Unit Data from Audit Worksheet'!F238</f>
        <v>0</v>
      </c>
      <c r="F188" s="222">
        <f>IF(L188&lt;0,"Error: Enter as a positive.",)</f>
        <v>0</v>
      </c>
      <c r="G188" s="224"/>
      <c r="H188" s="221"/>
      <c r="I188" s="32"/>
      <c r="J188" s="33">
        <v>371</v>
      </c>
      <c r="K188" s="219" t="s">
        <v>248</v>
      </c>
      <c r="L188" s="287">
        <f t="shared" si="15"/>
        <v>0</v>
      </c>
      <c r="P188" s="197"/>
      <c r="X188" s="549">
        <v>371</v>
      </c>
      <c r="Y188" s="3">
        <v>371</v>
      </c>
      <c r="AA188" s="384">
        <f t="shared" si="16"/>
        <v>0</v>
      </c>
      <c r="AB188" s="284">
        <f t="shared" si="17"/>
        <v>0</v>
      </c>
    </row>
    <row r="189" spans="1:28" s="384" customFormat="1" ht="65.25" customHeight="1" x14ac:dyDescent="0.3">
      <c r="A189" s="302">
        <f>'Unit Data from Audit Worksheet'!A239</f>
        <v>1075</v>
      </c>
      <c r="B189" s="227" t="str">
        <f>'Unit Data from Audit Worksheet'!C239</f>
        <v>Transfer Note</v>
      </c>
      <c r="C189" s="303" t="str">
        <f>'Unit Data from Audit Worksheet'!D239</f>
        <v>Transfers from General Fund to Water and Sewer Fund.  (Enter as positive)</v>
      </c>
      <c r="D189" s="228"/>
      <c r="E189" s="230">
        <f>'Unit Data from Audit Worksheet'!F239</f>
        <v>0</v>
      </c>
      <c r="F189" s="222"/>
      <c r="G189" s="224"/>
      <c r="H189" s="221"/>
      <c r="I189" s="32"/>
      <c r="J189" s="782">
        <v>1075</v>
      </c>
      <c r="K189" s="118" t="s">
        <v>1576</v>
      </c>
      <c r="L189" s="304">
        <f t="shared" si="15"/>
        <v>0</v>
      </c>
      <c r="M189" s="180"/>
      <c r="P189" s="197"/>
      <c r="Q189" s="277"/>
      <c r="X189" s="549"/>
      <c r="AB189" s="284"/>
    </row>
    <row r="190" spans="1:28" s="384" customFormat="1" ht="65.25" customHeight="1" x14ac:dyDescent="0.3">
      <c r="A190" s="302">
        <f>'Unit Data from Audit Worksheet'!A240</f>
        <v>1076</v>
      </c>
      <c r="B190" s="227" t="str">
        <f>'Unit Data from Audit Worksheet'!C240</f>
        <v>Transfer Note</v>
      </c>
      <c r="C190" s="303" t="str">
        <f>'Unit Data from Audit Worksheet'!D240</f>
        <v>Transfers from Water and Sewer to General Fund.  (Enter as positive)</v>
      </c>
      <c r="D190" s="228"/>
      <c r="E190" s="230">
        <f>'Unit Data from Audit Worksheet'!F240</f>
        <v>0</v>
      </c>
      <c r="F190" s="222"/>
      <c r="G190" s="224"/>
      <c r="H190" s="221"/>
      <c r="I190" s="32"/>
      <c r="J190" s="782">
        <v>1076</v>
      </c>
      <c r="K190" s="118" t="s">
        <v>1577</v>
      </c>
      <c r="L190" s="304">
        <f t="shared" si="15"/>
        <v>0</v>
      </c>
      <c r="M190" s="180"/>
      <c r="P190" s="197"/>
      <c r="Q190" s="277"/>
      <c r="X190" s="549"/>
      <c r="AB190" s="284"/>
    </row>
    <row r="191" spans="1:28" s="384" customFormat="1" ht="65.25" customHeight="1" x14ac:dyDescent="0.3">
      <c r="A191" s="302">
        <f>'Unit Data from Audit Worksheet'!A241</f>
        <v>1077</v>
      </c>
      <c r="B191" s="227" t="str">
        <f>'Unit Data from Audit Worksheet'!C241</f>
        <v>Water and Sewer - Fund Revenue, Expenses &amp; Changes in Fund Net Position or Notes to Financial Statements</v>
      </c>
      <c r="C191" s="303" t="str">
        <f>'Unit Data from Audit Worksheet'!D241</f>
        <v>Amount transferred from the Water and Sewer Fund to  Water and Sewer Capital Project Funds</v>
      </c>
      <c r="D191" s="228"/>
      <c r="E191" s="230">
        <f>'Unit Data from Audit Worksheet'!F241</f>
        <v>0</v>
      </c>
      <c r="F191" s="222"/>
      <c r="G191" s="224"/>
      <c r="H191" s="221"/>
      <c r="I191" s="32"/>
      <c r="J191" s="782">
        <v>1077</v>
      </c>
      <c r="K191" s="118" t="s">
        <v>1942</v>
      </c>
      <c r="L191" s="304">
        <f t="shared" si="15"/>
        <v>0</v>
      </c>
      <c r="M191" s="180"/>
      <c r="P191" s="197"/>
      <c r="Q191" s="277"/>
      <c r="X191" s="549"/>
      <c r="AB191" s="284"/>
    </row>
    <row r="192" spans="1:28" ht="63" customHeight="1" x14ac:dyDescent="0.3">
      <c r="A192" s="210">
        <f>'Unit Data from Audit Worksheet'!A242</f>
        <v>513</v>
      </c>
      <c r="B192" s="223" t="str">
        <f>'Unit Data from Audit Worksheet'!C242</f>
        <v>Transfer Note</v>
      </c>
      <c r="C192" s="209" t="str">
        <f>'Unit Data from Audit Worksheet'!D242</f>
        <v>Amount of Transfers from the General Fund to the Electric Fund  (Enter as positive)</v>
      </c>
      <c r="D192" s="228"/>
      <c r="E192" s="229">
        <f>'Unit Data from Audit Worksheet'!F242</f>
        <v>0</v>
      </c>
      <c r="F192" s="222">
        <f>IF(L192&lt;0,"Error: Enter as a positive.",)</f>
        <v>0</v>
      </c>
      <c r="G192" s="224"/>
      <c r="H192" s="221"/>
      <c r="I192" s="32"/>
      <c r="J192" s="220">
        <v>513</v>
      </c>
      <c r="K192" s="219" t="s">
        <v>249</v>
      </c>
      <c r="L192" s="287">
        <f t="shared" si="15"/>
        <v>0</v>
      </c>
      <c r="P192" s="197"/>
      <c r="X192" s="549">
        <v>513</v>
      </c>
      <c r="Y192" s="3">
        <v>513</v>
      </c>
      <c r="AA192" s="384">
        <f t="shared" si="16"/>
        <v>0</v>
      </c>
      <c r="AB192" s="284">
        <f t="shared" si="17"/>
        <v>0</v>
      </c>
    </row>
    <row r="193" spans="1:28" ht="89.25" customHeight="1" x14ac:dyDescent="0.3">
      <c r="A193" s="210">
        <f>'Unit Data from Audit Worksheet'!A243</f>
        <v>514</v>
      </c>
      <c r="B193" s="223" t="str">
        <f>'Unit Data from Audit Worksheet'!C243</f>
        <v>Transfer Note</v>
      </c>
      <c r="C193" s="209" t="str">
        <f>'Unit Data from Audit Worksheet'!D243</f>
        <v>Amount of Transfers from the Electric Fund to the General Fund  (Enter as positive)
Include:  Payment in Lieu of Taxes (PILOT)</v>
      </c>
      <c r="D193" s="228"/>
      <c r="E193" s="229">
        <f>'Unit Data from Audit Worksheet'!F243</f>
        <v>0</v>
      </c>
      <c r="F193" s="222">
        <f>IF(L193&lt;0,"Error: Enter as a positive.",)</f>
        <v>0</v>
      </c>
      <c r="G193" s="224"/>
      <c r="H193" s="221"/>
      <c r="I193" s="32"/>
      <c r="J193" s="220">
        <v>514</v>
      </c>
      <c r="K193" s="219" t="s">
        <v>250</v>
      </c>
      <c r="L193" s="287">
        <f t="shared" si="15"/>
        <v>0</v>
      </c>
      <c r="P193" s="197"/>
      <c r="X193" s="549">
        <v>514</v>
      </c>
      <c r="Y193" s="3">
        <v>514</v>
      </c>
      <c r="AA193" s="384">
        <f t="shared" si="16"/>
        <v>0</v>
      </c>
      <c r="AB193" s="284">
        <f t="shared" si="17"/>
        <v>0</v>
      </c>
    </row>
    <row r="194" spans="1:28" ht="89.25" customHeight="1" x14ac:dyDescent="0.3">
      <c r="A194" s="210">
        <f>'Unit Data from Audit Worksheet'!A244</f>
        <v>990</v>
      </c>
      <c r="B194" s="223" t="str">
        <f>'Unit Data from Audit Worksheet'!C244</f>
        <v>Transfer Note</v>
      </c>
      <c r="C194" s="209" t="str">
        <f>'Unit Data from Audit Worksheet'!D244</f>
        <v>Amount of transfer out of the Electric to the General Fund that is for Payment in Lieu of Taxes (PILOT)</v>
      </c>
      <c r="D194" s="228"/>
      <c r="E194" s="229">
        <f>'Unit Data from Audit Worksheet'!F244</f>
        <v>0</v>
      </c>
      <c r="F194" s="222"/>
      <c r="G194" s="224"/>
      <c r="H194" s="221"/>
      <c r="I194" s="32"/>
      <c r="J194" s="220">
        <v>990</v>
      </c>
      <c r="K194" s="219" t="s">
        <v>575</v>
      </c>
      <c r="L194" s="287">
        <f t="shared" si="15"/>
        <v>0</v>
      </c>
      <c r="P194" s="197"/>
      <c r="X194" s="549">
        <v>990</v>
      </c>
      <c r="Y194" s="3">
        <v>990</v>
      </c>
      <c r="AA194" s="384">
        <f t="shared" si="16"/>
        <v>0</v>
      </c>
      <c r="AB194" s="284">
        <f t="shared" si="17"/>
        <v>0</v>
      </c>
    </row>
    <row r="195" spans="1:28" s="384" customFormat="1" ht="89.25" customHeight="1" x14ac:dyDescent="0.3">
      <c r="A195" s="210">
        <f>'Unit Data from Audit Worksheet'!A245</f>
        <v>1051</v>
      </c>
      <c r="B195" s="223" t="str">
        <f>'Unit Data from Audit Worksheet'!C245</f>
        <v>Electric Fund Revenue, Expenses &amp; Changes in Fund Net Position or Notes to Financial Statements</v>
      </c>
      <c r="C195" s="209" t="str">
        <f>'Unit Data from Audit Worksheet'!D245</f>
        <v>Transfers to Electric Capital Projects</v>
      </c>
      <c r="D195" s="228"/>
      <c r="E195" s="229">
        <f>'Unit Data from Audit Worksheet'!F245</f>
        <v>0</v>
      </c>
      <c r="F195" s="222"/>
      <c r="G195" s="224"/>
      <c r="H195" s="221"/>
      <c r="I195" s="32"/>
      <c r="J195" s="220">
        <v>1051</v>
      </c>
      <c r="K195" s="219" t="s">
        <v>1429</v>
      </c>
      <c r="L195" s="293">
        <f t="shared" si="15"/>
        <v>0</v>
      </c>
      <c r="M195"/>
      <c r="P195" s="197"/>
      <c r="Q195" s="277"/>
      <c r="X195" s="549"/>
      <c r="AB195" s="284"/>
    </row>
    <row r="196" spans="1:28" ht="84.75" customHeight="1" x14ac:dyDescent="0.3">
      <c r="A196" s="321">
        <f>'Unit Data from Audit Worksheet'!A247</f>
        <v>6</v>
      </c>
      <c r="B196" s="47" t="str">
        <f>'Unit Data from Audit Worksheet'!C247</f>
        <v>Fund Balance Note</v>
      </c>
      <c r="C196" s="296" t="str">
        <f>'Unit Data from Audit Worksheet'!D247</f>
        <v>General Fund -  Total Encumbrances.  You will probably have to refer to the note disclosure where the amount of encumbrances is listed.</v>
      </c>
      <c r="D196" s="228"/>
      <c r="E196" s="144">
        <f>'Unit Data from Audit Worksheet'!F247</f>
        <v>0</v>
      </c>
      <c r="F196" s="31">
        <f>IF(L196&lt;0,"Error: Enter as a positive.",)</f>
        <v>0</v>
      </c>
      <c r="G196" s="66"/>
      <c r="H196" s="221"/>
      <c r="I196" s="32"/>
      <c r="J196" s="35">
        <v>6</v>
      </c>
      <c r="K196" s="125" t="s">
        <v>251</v>
      </c>
      <c r="L196" s="287">
        <f t="shared" si="15"/>
        <v>0</v>
      </c>
      <c r="P196" s="197"/>
      <c r="X196" s="549">
        <v>6</v>
      </c>
      <c r="Y196" s="3">
        <v>6</v>
      </c>
      <c r="AA196" s="384">
        <f t="shared" si="16"/>
        <v>0</v>
      </c>
      <c r="AB196" s="284">
        <f t="shared" si="17"/>
        <v>0</v>
      </c>
    </row>
    <row r="197" spans="1:28" ht="117.75" customHeight="1" x14ac:dyDescent="0.3">
      <c r="A197" s="210">
        <f>'Unit Data from Audit Worksheet'!A249</f>
        <v>541</v>
      </c>
      <c r="B197" s="223" t="str">
        <f>'Unit Data from Audit Worksheet'!C249</f>
        <v>Water Sewer - Budget Actual Statement</v>
      </c>
      <c r="C197" s="223" t="str">
        <f>'Unit Data from Audit Worksheet'!D249</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197" s="228"/>
      <c r="E197" s="229">
        <f>'Unit Data from Audit Worksheet'!F249</f>
        <v>0</v>
      </c>
      <c r="F197" s="222"/>
      <c r="G197" s="224"/>
      <c r="H197" s="221"/>
      <c r="I197" s="32"/>
      <c r="J197" s="220">
        <v>541</v>
      </c>
      <c r="K197" s="81" t="s">
        <v>308</v>
      </c>
      <c r="L197" s="287">
        <f t="shared" si="15"/>
        <v>0</v>
      </c>
      <c r="P197" s="197"/>
      <c r="X197" s="549">
        <v>541</v>
      </c>
      <c r="Y197" s="3">
        <v>541</v>
      </c>
      <c r="AA197" s="384">
        <f t="shared" si="16"/>
        <v>0</v>
      </c>
      <c r="AB197" s="284">
        <f t="shared" si="17"/>
        <v>0</v>
      </c>
    </row>
    <row r="198" spans="1:28" ht="94.5" customHeight="1" x14ac:dyDescent="0.3">
      <c r="A198" s="210">
        <f>'Unit Data from Audit Worksheet'!A251</f>
        <v>542</v>
      </c>
      <c r="B198" s="223" t="str">
        <f>'Unit Data from Audit Worksheet'!C251</f>
        <v>Water Sewer - Disclosed in the Notes or in the recently approved Budget for next year.</v>
      </c>
      <c r="C198" s="209" t="str">
        <f>'Unit Data from Audit Worksheet'!D251</f>
        <v>Amount of the Water Sewer Fund Balance appropriated in next year's budget?</v>
      </c>
      <c r="D198" s="228"/>
      <c r="E198" s="229">
        <f>'Unit Data from Audit Worksheet'!F251</f>
        <v>0</v>
      </c>
      <c r="F198" s="222"/>
      <c r="G198" s="224"/>
      <c r="H198" s="221"/>
      <c r="I198" s="32"/>
      <c r="J198" s="220">
        <v>542</v>
      </c>
      <c r="K198" s="219" t="s">
        <v>252</v>
      </c>
      <c r="L198" s="287">
        <f t="shared" si="15"/>
        <v>0</v>
      </c>
      <c r="N198" s="54" t="s">
        <v>299</v>
      </c>
      <c r="P198" s="197"/>
      <c r="X198" s="549">
        <v>542</v>
      </c>
      <c r="Y198" s="3">
        <v>542</v>
      </c>
      <c r="AA198" s="384">
        <f t="shared" si="16"/>
        <v>0</v>
      </c>
      <c r="AB198" s="284">
        <f t="shared" si="17"/>
        <v>0</v>
      </c>
    </row>
    <row r="199" spans="1:28" ht="93.75" customHeight="1" x14ac:dyDescent="0.3">
      <c r="A199" s="210">
        <f>'Unit Data from Audit Worksheet'!A254</f>
        <v>528</v>
      </c>
      <c r="B199" s="223" t="str">
        <f>'Unit Data from Audit Worksheet'!C254</f>
        <v>Analysis of Current Tax Levy Schedule</v>
      </c>
      <c r="C199" s="209" t="str">
        <f>'Unit Data from Audit Worksheet'!D254</f>
        <v>Please enter the Net Current year's levy for property excluding registered motor vehicles-- (after adjusting for discoveries and abatements) - 
Exclude Supplemental Taxes</v>
      </c>
      <c r="D199" s="228"/>
      <c r="E199" s="229">
        <f>'Unit Data from Audit Worksheet'!F254</f>
        <v>0</v>
      </c>
      <c r="F199" s="75" t="str">
        <f>IF(L199=0,"Must be completed if unit levys taxes","")</f>
        <v>Must be completed if unit levys taxes</v>
      </c>
      <c r="G199" s="224"/>
      <c r="H199" s="221"/>
      <c r="I199" s="32"/>
      <c r="J199" s="220">
        <v>528</v>
      </c>
      <c r="K199" s="322" t="s">
        <v>257</v>
      </c>
      <c r="L199" s="287">
        <f t="shared" si="15"/>
        <v>0</v>
      </c>
      <c r="N199" s="76"/>
      <c r="P199" s="197"/>
      <c r="X199" s="549">
        <v>528</v>
      </c>
      <c r="Y199" s="3">
        <v>528</v>
      </c>
      <c r="AA199" s="384">
        <f t="shared" si="16"/>
        <v>0</v>
      </c>
      <c r="AB199" s="284">
        <f t="shared" si="17"/>
        <v>0</v>
      </c>
    </row>
    <row r="200" spans="1:28" s="18" customFormat="1" ht="79.5" customHeight="1" x14ac:dyDescent="0.3">
      <c r="A200" s="210">
        <f>'Unit Data from Audit Worksheet'!A255</f>
        <v>529</v>
      </c>
      <c r="B200" s="223" t="str">
        <f>'Unit Data from Audit Worksheet'!C255</f>
        <v>Analysis of Current Tax Levy Schedule</v>
      </c>
      <c r="C200" s="209" t="str">
        <f>'Unit Data from Audit Worksheet'!D255</f>
        <v>Please enter the Net Current year's levy -- Motor vehicles (only) (after adjusting for discoveries and abatements)
Exclude supplemental taxes</v>
      </c>
      <c r="D200" s="228"/>
      <c r="E200" s="229">
        <f>'Unit Data from Audit Worksheet'!F255</f>
        <v>0</v>
      </c>
      <c r="F200" s="75" t="str">
        <f>IF(L200=0,"Must be completed if unit levys taxes","")</f>
        <v>Must be completed if unit levys taxes</v>
      </c>
      <c r="G200" s="224"/>
      <c r="H200" s="221"/>
      <c r="I200" s="32"/>
      <c r="J200" s="220">
        <v>529</v>
      </c>
      <c r="K200" s="322" t="s">
        <v>258</v>
      </c>
      <c r="L200" s="287">
        <f t="shared" si="15"/>
        <v>0</v>
      </c>
      <c r="M200"/>
      <c r="N200" s="76"/>
      <c r="P200" s="197"/>
      <c r="Q200" s="277"/>
      <c r="R200" s="3"/>
      <c r="S200" s="3"/>
      <c r="T200" s="3"/>
      <c r="U200" s="3"/>
      <c r="V200" s="3"/>
      <c r="W200" s="3"/>
      <c r="X200" s="549">
        <v>529</v>
      </c>
      <c r="Y200" s="3">
        <v>529</v>
      </c>
      <c r="Z200" s="3"/>
      <c r="AA200" s="384">
        <f t="shared" si="16"/>
        <v>0</v>
      </c>
      <c r="AB200" s="284">
        <f t="shared" si="17"/>
        <v>0</v>
      </c>
    </row>
    <row r="201" spans="1:28" s="18" customFormat="1" ht="75" customHeight="1" x14ac:dyDescent="0.3">
      <c r="A201" s="210">
        <f>'Unit Data from Audit Worksheet'!A256</f>
        <v>530</v>
      </c>
      <c r="B201" s="223" t="str">
        <f>'Unit Data from Audit Worksheet'!C256</f>
        <v>Analysis of Current Tax Levy Schedule</v>
      </c>
      <c r="C201" s="209" t="str">
        <f>'Unit Data from Audit Worksheet'!D256</f>
        <v>Uncollected Taxes - Curr Year's Levy Exclude Motor Vehicles
Exclude supplemental taxes</v>
      </c>
      <c r="D201" s="228"/>
      <c r="E201" s="229">
        <f>'Unit Data from Audit Worksheet'!F256</f>
        <v>0</v>
      </c>
      <c r="F201" s="75" t="str">
        <f>IF(L201=0,"Must be completed if unit levys taxes","")</f>
        <v>Must be completed if unit levys taxes</v>
      </c>
      <c r="G201" s="224"/>
      <c r="H201" s="221"/>
      <c r="I201" s="32"/>
      <c r="J201" s="220">
        <v>530</v>
      </c>
      <c r="K201" s="322" t="s">
        <v>259</v>
      </c>
      <c r="L201" s="287">
        <f t="shared" ref="L201:L207" si="18">IF(D201="",E201,D201)</f>
        <v>0</v>
      </c>
      <c r="M201"/>
      <c r="N201" s="76"/>
      <c r="P201" s="197"/>
      <c r="Q201" s="277"/>
      <c r="R201" s="3"/>
      <c r="S201" s="3"/>
      <c r="T201" s="3"/>
      <c r="U201" s="3"/>
      <c r="V201" s="3"/>
      <c r="W201" s="3"/>
      <c r="X201" s="549">
        <v>530</v>
      </c>
      <c r="Y201" s="3">
        <v>530</v>
      </c>
      <c r="Z201" s="3"/>
      <c r="AA201" s="384">
        <f t="shared" si="16"/>
        <v>0</v>
      </c>
      <c r="AB201" s="284">
        <f t="shared" si="17"/>
        <v>0</v>
      </c>
    </row>
    <row r="202" spans="1:28" s="18" customFormat="1" ht="68.25" customHeight="1" x14ac:dyDescent="0.3">
      <c r="A202" s="210">
        <f>'Unit Data from Audit Worksheet'!A257</f>
        <v>531</v>
      </c>
      <c r="B202" s="223" t="str">
        <f>'Unit Data from Audit Worksheet'!C257</f>
        <v>Analysis of Current Tax Levy Schedule</v>
      </c>
      <c r="C202" s="209" t="str">
        <f>'Unit Data from Audit Worksheet'!D257</f>
        <v>Uncollected Taxes - Curr Year's Levy Motor Vehicles
Exclude supplemental taxes</v>
      </c>
      <c r="D202" s="228"/>
      <c r="E202" s="229">
        <f>'Unit Data from Audit Worksheet'!F257</f>
        <v>0</v>
      </c>
      <c r="F202" s="75"/>
      <c r="G202" s="224"/>
      <c r="H202" s="221"/>
      <c r="I202" s="32"/>
      <c r="J202" s="220">
        <v>531</v>
      </c>
      <c r="K202" s="322" t="s">
        <v>260</v>
      </c>
      <c r="L202" s="287">
        <f t="shared" si="18"/>
        <v>0</v>
      </c>
      <c r="M202"/>
      <c r="N202" s="76" t="str">
        <f>IF(T183=0,"Must be completed if unit levys taxes, zero acceptable if Motor Vehicle collection rate is 100%","")</f>
        <v>Must be completed if unit levys taxes, zero acceptable if Motor Vehicle collection rate is 100%</v>
      </c>
      <c r="P202" s="197"/>
      <c r="Q202" s="277"/>
      <c r="R202" s="3"/>
      <c r="S202" s="3"/>
      <c r="T202" s="3"/>
      <c r="U202" s="3"/>
      <c r="V202" s="3"/>
      <c r="W202" s="3"/>
      <c r="X202" s="549">
        <v>531</v>
      </c>
      <c r="Y202" s="3">
        <v>531</v>
      </c>
      <c r="Z202" s="3"/>
      <c r="AA202" s="384">
        <f t="shared" si="16"/>
        <v>0</v>
      </c>
      <c r="AB202" s="284">
        <f t="shared" si="17"/>
        <v>0</v>
      </c>
    </row>
    <row r="203" spans="1:28" ht="90.75" customHeight="1" x14ac:dyDescent="0.3">
      <c r="A203" s="210">
        <f>'Unit Data from Audit Worksheet'!A258</f>
        <v>61</v>
      </c>
      <c r="B203" s="223" t="str">
        <f>'Unit Data from Audit Worksheet'!C258</f>
        <v>Analysis of Current Tax Levy Schedule</v>
      </c>
      <c r="C203" s="209" t="str">
        <f>'Unit Data from Audit Worksheet'!D258</f>
        <v>Tax collection rate- Total Levy UNIT-WIDE
Exclude supplemental taxes
(Enter as a percentage with two decimal places)</v>
      </c>
      <c r="D203" s="82"/>
      <c r="E203" s="141">
        <f>'Unit Data from Audit Worksheet'!F258</f>
        <v>0</v>
      </c>
      <c r="F203" s="80" t="str">
        <f>IF(L203=H203,"","Column H calculates the percentage using accounts 528, 529, 530, 531, please enter the correct amounts from the audit schedule for these cells")</f>
        <v/>
      </c>
      <c r="G203" s="224" t="str">
        <f>IF(Q180=1," Included in error count"," ")</f>
        <v xml:space="preserve"> </v>
      </c>
      <c r="H203" s="224">
        <f>ROUND(IFERROR(((L199+L200)-(L201+L202))/(L199+L200)*100,0),2)</f>
        <v>0</v>
      </c>
      <c r="I203" s="32"/>
      <c r="J203" s="220">
        <v>61</v>
      </c>
      <c r="K203" s="52" t="s">
        <v>254</v>
      </c>
      <c r="L203" s="721">
        <f t="shared" si="18"/>
        <v>0</v>
      </c>
      <c r="N203" s="76"/>
      <c r="P203" s="197"/>
      <c r="X203" s="549">
        <v>61</v>
      </c>
      <c r="Y203" s="3">
        <v>61</v>
      </c>
      <c r="AA203" s="384">
        <f t="shared" si="16"/>
        <v>0</v>
      </c>
      <c r="AB203" s="284">
        <f t="shared" si="17"/>
        <v>0</v>
      </c>
    </row>
    <row r="204" spans="1:28" ht="89.25" customHeight="1" x14ac:dyDescent="0.3">
      <c r="A204" s="210">
        <f>'Unit Data from Audit Worksheet'!A259</f>
        <v>102</v>
      </c>
      <c r="B204" s="223" t="str">
        <f>'Unit Data from Audit Worksheet'!C259</f>
        <v>Analysis of Current Tax Levy Schedule</v>
      </c>
      <c r="C204" s="209" t="str">
        <f>'Unit Data from Audit Worksheet'!D259</f>
        <v>Tax collection rate - Excluding Registered motor vehicles
Exclude supplemental taxes
(Enter as a percentage with two decimal places)</v>
      </c>
      <c r="D204" s="82"/>
      <c r="E204" s="141">
        <f>'Unit Data from Audit Worksheet'!F259</f>
        <v>0</v>
      </c>
      <c r="F204" s="80" t="str">
        <f>IF(L204=H204,"","Column H calculates the percentage using accounts 528 and 530,  please enter the correct amounts from the audit schedule for these cells")</f>
        <v/>
      </c>
      <c r="G204" s="224" t="str">
        <f>IF(Q181=1," Included in error count"," ")</f>
        <v xml:space="preserve"> </v>
      </c>
      <c r="H204" s="224">
        <f>ROUND(IFERROR(((L199)-(L201))/(L199)*100,0),2)</f>
        <v>0</v>
      </c>
      <c r="I204" s="32"/>
      <c r="J204" s="220">
        <v>102</v>
      </c>
      <c r="K204" s="52" t="s">
        <v>255</v>
      </c>
      <c r="L204" s="721">
        <f t="shared" si="18"/>
        <v>0</v>
      </c>
      <c r="N204" s="76"/>
      <c r="P204" s="197"/>
      <c r="X204" s="549">
        <v>102</v>
      </c>
      <c r="Y204" s="3">
        <v>102</v>
      </c>
      <c r="AA204" s="384">
        <f t="shared" si="16"/>
        <v>0</v>
      </c>
      <c r="AB204" s="284">
        <f t="shared" si="17"/>
        <v>0</v>
      </c>
    </row>
    <row r="205" spans="1:28" ht="87.75" customHeight="1" x14ac:dyDescent="0.3">
      <c r="A205" s="210">
        <f>'Unit Data from Audit Worksheet'!A260</f>
        <v>103</v>
      </c>
      <c r="B205" s="223" t="str">
        <f>'Unit Data from Audit Worksheet'!C260</f>
        <v>Analysis of Current Tax Levy Schedule</v>
      </c>
      <c r="C205" s="209" t="str">
        <f>'Unit Data from Audit Worksheet'!D260</f>
        <v>Tax collection rate - Registered motor vehicles
Exclude supplemental taxes
(Enter as a percentage with two decimal places)</v>
      </c>
      <c r="D205" s="82"/>
      <c r="E205" s="141">
        <f>'Unit Data from Audit Worksheet'!F260</f>
        <v>0</v>
      </c>
      <c r="F205" s="80" t="str">
        <f>IF(L205=H205,"","Column H calculates the percentage using accounts 529 and 531, please enter the correct amounts from the audit schedule for these cells")</f>
        <v/>
      </c>
      <c r="G205" s="224" t="str">
        <f>IF(Q182=1," Included in error count"," ")</f>
        <v xml:space="preserve"> </v>
      </c>
      <c r="H205" s="224">
        <f>ROUND(IFERROR(((L200)-(L202))/(L200)*100,0),2)</f>
        <v>0</v>
      </c>
      <c r="I205" s="32"/>
      <c r="J205" s="220">
        <v>103</v>
      </c>
      <c r="K205" s="52" t="s">
        <v>256</v>
      </c>
      <c r="L205" s="721">
        <f t="shared" si="18"/>
        <v>0</v>
      </c>
      <c r="N205" s="76"/>
      <c r="P205" s="197"/>
      <c r="X205" s="549">
        <v>103</v>
      </c>
      <c r="Y205" s="3">
        <v>103</v>
      </c>
      <c r="AA205" s="384">
        <f t="shared" si="16"/>
        <v>0</v>
      </c>
      <c r="AB205" s="284">
        <f t="shared" si="17"/>
        <v>0</v>
      </c>
    </row>
    <row r="206" spans="1:28" ht="86.25" customHeight="1" x14ac:dyDescent="0.3">
      <c r="A206" s="210">
        <f>'Unit Data from Audit Worksheet'!A261</f>
        <v>544</v>
      </c>
      <c r="B206" s="223" t="str">
        <f>'Unit Data from Audit Worksheet'!C261</f>
        <v>Analysis of Current Tax Levy Schedule</v>
      </c>
      <c r="C206" s="209" t="str">
        <f>'Unit Data from Audit Worksheet'!D261</f>
        <v>Property Tax Increase for Year Audited- enter amount of  increase in cents per $100 - leave blank if no increase 
Exclude supplemental taxes</v>
      </c>
      <c r="D206" s="228"/>
      <c r="E206" s="138">
        <f>'Unit Data from Audit Worksheet'!F261</f>
        <v>0</v>
      </c>
      <c r="F206" s="96"/>
      <c r="G206" s="224"/>
      <c r="H206" s="221">
        <f>'Unit Data from Audit Worksheet'!I261</f>
        <v>0</v>
      </c>
      <c r="I206" s="32"/>
      <c r="J206" s="220">
        <v>544</v>
      </c>
      <c r="K206" s="52" t="s">
        <v>52</v>
      </c>
      <c r="L206" s="323">
        <f t="shared" si="18"/>
        <v>0</v>
      </c>
      <c r="N206" s="54" t="s">
        <v>299</v>
      </c>
      <c r="P206" s="197"/>
      <c r="X206" s="549">
        <v>544</v>
      </c>
      <c r="Y206" s="3">
        <v>544</v>
      </c>
      <c r="AA206" s="384">
        <f t="shared" si="16"/>
        <v>0</v>
      </c>
      <c r="AB206" s="284">
        <f t="shared" si="17"/>
        <v>0</v>
      </c>
    </row>
    <row r="207" spans="1:28" ht="93.75" customHeight="1" x14ac:dyDescent="0.3">
      <c r="A207" s="210">
        <f>'Unit Data from Audit Worksheet'!A262</f>
        <v>545</v>
      </c>
      <c r="B207" s="223" t="str">
        <f>'Unit Data from Audit Worksheet'!C262</f>
        <v>Analysis of Current Tax Levy Schedule</v>
      </c>
      <c r="C207" s="209" t="str">
        <f>'Unit Data from Audit Worksheet'!D262</f>
        <v>Property Tax Increase for budget year after fiscal year being reported - enter amount of increase in cents per $100- leave blank if no increase
Exclude supplemental taxes</v>
      </c>
      <c r="D207" s="228"/>
      <c r="E207" s="138">
        <f>'Unit Data from Audit Worksheet'!F262</f>
        <v>0</v>
      </c>
      <c r="F207" s="222"/>
      <c r="G207" s="224"/>
      <c r="H207" s="221">
        <f>'Unit Data from Audit Worksheet'!I262</f>
        <v>0</v>
      </c>
      <c r="I207" s="32"/>
      <c r="J207" s="97">
        <v>545</v>
      </c>
      <c r="K207" s="52" t="s">
        <v>53</v>
      </c>
      <c r="L207" s="323">
        <f t="shared" si="18"/>
        <v>0</v>
      </c>
      <c r="N207" s="54" t="s">
        <v>299</v>
      </c>
      <c r="O207" s="295"/>
      <c r="P207" s="197"/>
      <c r="X207" s="549">
        <v>545</v>
      </c>
      <c r="Y207" s="3">
        <v>545</v>
      </c>
      <c r="AA207" s="384">
        <f t="shared" si="16"/>
        <v>0</v>
      </c>
      <c r="AB207" s="284">
        <f t="shared" si="17"/>
        <v>0</v>
      </c>
    </row>
    <row r="208" spans="1:28" ht="72.75" customHeight="1" x14ac:dyDescent="0.3">
      <c r="A208" s="210">
        <f>'Unit Data from Audit Worksheet'!A263</f>
        <v>624</v>
      </c>
      <c r="B208" s="223"/>
      <c r="C208" s="209" t="str">
        <f>'Unit Data from Audit Worksheet'!D263</f>
        <v>Does the County collect real estate property taxes on your behalf? Select "1" for "yes and "2" for "No"</v>
      </c>
      <c r="D208" s="228"/>
      <c r="E208" s="146">
        <f>'Unit Data from Audit Worksheet'!F263</f>
        <v>0</v>
      </c>
      <c r="F208" s="222"/>
      <c r="G208" s="224"/>
      <c r="H208" s="221"/>
      <c r="I208" s="32"/>
      <c r="J208" s="97">
        <v>624</v>
      </c>
      <c r="K208" s="52" t="s">
        <v>356</v>
      </c>
      <c r="L208" s="287">
        <f t="shared" ref="L208:L226" si="19">IF(D208="",E208,D208)</f>
        <v>0</v>
      </c>
      <c r="P208" s="197"/>
      <c r="X208" s="549">
        <v>624</v>
      </c>
      <c r="Y208" s="3">
        <v>624</v>
      </c>
      <c r="AA208" s="384">
        <f t="shared" si="16"/>
        <v>0</v>
      </c>
      <c r="AB208" s="284">
        <f t="shared" si="17"/>
        <v>0</v>
      </c>
    </row>
    <row r="209" spans="1:28" ht="72.75" customHeight="1" x14ac:dyDescent="0.3">
      <c r="A209" s="210">
        <f>'Unit Data from Audit Worksheet'!A264</f>
        <v>648</v>
      </c>
      <c r="B209" s="223"/>
      <c r="C209" s="209" t="str">
        <f>'Unit Data from Audit Worksheet'!D264</f>
        <v>Please enter your tax rate for ad valorem in effect for fiscal year audited.  Example 60 cents per 100 would be entered as .60</v>
      </c>
      <c r="D209" s="228"/>
      <c r="E209" s="138">
        <f>'Unit Data from Audit Worksheet'!F264</f>
        <v>0</v>
      </c>
      <c r="F209" s="222"/>
      <c r="G209" s="224"/>
      <c r="H209" s="221"/>
      <c r="I209" s="32"/>
      <c r="J209" s="97">
        <v>648</v>
      </c>
      <c r="K209" s="324" t="s">
        <v>597</v>
      </c>
      <c r="L209" s="722">
        <f t="shared" si="19"/>
        <v>0</v>
      </c>
      <c r="P209" s="197"/>
      <c r="X209" s="549">
        <v>648</v>
      </c>
      <c r="Y209" s="3">
        <v>648</v>
      </c>
      <c r="AA209" s="384">
        <f t="shared" si="16"/>
        <v>0</v>
      </c>
      <c r="AB209" s="284">
        <f t="shared" si="17"/>
        <v>0</v>
      </c>
    </row>
    <row r="210" spans="1:28" ht="161.25" customHeight="1" x14ac:dyDescent="0.3">
      <c r="A210" s="210">
        <f>'Unit Data from Audit Worksheet'!A265</f>
        <v>991</v>
      </c>
      <c r="B210" s="223"/>
      <c r="C210" s="209" t="str">
        <f>'Unit Data from Audit Worksheet'!D265</f>
        <v>The Counties listed in cell H260 and municipalities within these counties are scheduled to revalue property listing by 1/1/2025 according to the Dept. of Revenue records.  Please indicate if you expect your revaluation to: 
Enter  "20" for increase, 
            "21" for decrease, 
            "22" for no change,
            "23" if this question is not applicable
Select from drop list.</v>
      </c>
      <c r="D210" s="228"/>
      <c r="E210" s="146">
        <f>'Unit Data from Audit Worksheet'!F265</f>
        <v>0</v>
      </c>
      <c r="F210" s="222"/>
      <c r="G210" s="224"/>
      <c r="H210" s="221" t="str">
        <f>'Unit Data from Audit Worksheet'!H265</f>
        <v xml:space="preserve">Beaufort, Buncombe, Caldwell, Carteret, Chatham, Cleveland, Cumberland, Dare, Davie, Duplin, Durham, Forsyth, Gates, Haywood, Jackson, Johnston, Lenoir, Martin, New Hanover, Orange, Person, Polk, Stanly, Stokes, Surry, Transylvania, Tyrrell, Union, Warren, Wayne, Wilkes </v>
      </c>
      <c r="I210" s="32"/>
      <c r="J210" s="97">
        <v>991</v>
      </c>
      <c r="K210" s="52" t="s">
        <v>856</v>
      </c>
      <c r="L210" s="287">
        <f t="shared" si="19"/>
        <v>0</v>
      </c>
      <c r="P210" s="197"/>
      <c r="X210" s="549">
        <v>991</v>
      </c>
      <c r="Y210" s="3">
        <v>991</v>
      </c>
      <c r="AA210" s="384">
        <f t="shared" ref="AA210:AA260" si="20">A210-J210</f>
        <v>0</v>
      </c>
      <c r="AB210" s="284">
        <f t="shared" ref="AB210:AB246" si="21">E210-L210</f>
        <v>0</v>
      </c>
    </row>
    <row r="211" spans="1:28" ht="87.75" customHeight="1" x14ac:dyDescent="0.3">
      <c r="A211" s="210">
        <f>'Unit Data from Audit Worksheet'!A267</f>
        <v>620</v>
      </c>
      <c r="B211" s="223"/>
      <c r="C211" s="209" t="str">
        <f>'Unit Data from Audit Worksheet'!D267</f>
        <v>Do you expect to issue debt requiring LGC approval within 12 months from the date that the audit is submitted - select "1" for yes and "2" for no</v>
      </c>
      <c r="D211" s="228"/>
      <c r="E211" s="146">
        <f>'Unit Data from Audit Worksheet'!F267</f>
        <v>0</v>
      </c>
      <c r="F211" s="222"/>
      <c r="G211" s="224"/>
      <c r="H211" s="221">
        <f>'Unit Data from Audit Worksheet'!I267</f>
        <v>0</v>
      </c>
      <c r="I211" s="32"/>
      <c r="J211" s="97">
        <v>620</v>
      </c>
      <c r="K211" s="52" t="s">
        <v>593</v>
      </c>
      <c r="L211" s="287">
        <f t="shared" si="19"/>
        <v>0</v>
      </c>
      <c r="N211" s="128"/>
      <c r="P211" s="197"/>
      <c r="X211" s="549">
        <v>620</v>
      </c>
      <c r="Y211" s="3">
        <v>620</v>
      </c>
      <c r="AA211" s="384">
        <f t="shared" si="20"/>
        <v>0</v>
      </c>
      <c r="AB211" s="284">
        <f t="shared" si="21"/>
        <v>0</v>
      </c>
    </row>
    <row r="212" spans="1:28" ht="87.75" customHeight="1" x14ac:dyDescent="0.3">
      <c r="A212" s="210">
        <f>'TD Info Completed by Auditor'!A11</f>
        <v>906</v>
      </c>
      <c r="B212" s="124" t="s">
        <v>590</v>
      </c>
      <c r="C212" s="210" t="str">
        <f>'TD Info Completed by Auditor'!B11</f>
        <v>Is the Independent Auditor's Report Opinion Unmodified?</v>
      </c>
      <c r="D212" s="228"/>
      <c r="E212" s="212">
        <f>IF(+'TD Info Completed by Auditor'!C11="Yes",1,IF(+'TD Info Completed by Auditor'!C11="No",2,IF(+'TD Info Completed by Auditor'!C11="N/A",3,0)))</f>
        <v>0</v>
      </c>
      <c r="F212" s="222"/>
      <c r="G212" s="224"/>
      <c r="H212" s="221"/>
      <c r="I212" s="32"/>
      <c r="J212" s="182">
        <v>906</v>
      </c>
      <c r="K212" s="52" t="s">
        <v>467</v>
      </c>
      <c r="L212" s="293">
        <f t="shared" si="19"/>
        <v>0</v>
      </c>
      <c r="N212" s="244" t="s">
        <v>644</v>
      </c>
      <c r="P212" s="193"/>
      <c r="X212" s="284" t="e">
        <v>#N/A</v>
      </c>
      <c r="AA212" s="384">
        <f t="shared" si="20"/>
        <v>0</v>
      </c>
      <c r="AB212" s="284">
        <f t="shared" si="21"/>
        <v>0</v>
      </c>
    </row>
    <row r="213" spans="1:28" ht="87.75" customHeight="1" x14ac:dyDescent="0.3">
      <c r="A213" s="210">
        <f>'TD Info Completed by Auditor'!A12</f>
        <v>907</v>
      </c>
      <c r="B213" s="124" t="s">
        <v>590</v>
      </c>
      <c r="C213" s="210" t="str">
        <f>'TD Info Completed by Auditor'!B12</f>
        <v xml:space="preserve">Is there a finding for lack of segregation of duties at this unit? </v>
      </c>
      <c r="D213" s="228"/>
      <c r="E213" s="212">
        <f>IF(+'TD Info Completed by Auditor'!C12="Yes",1,IF(+'TD Info Completed by Auditor'!C12="No",2,IF(+'TD Info Completed by Auditor'!C12="N/A",3,0)))</f>
        <v>0</v>
      </c>
      <c r="F213" s="222"/>
      <c r="G213" s="224"/>
      <c r="H213" s="221"/>
      <c r="I213" s="32"/>
      <c r="J213" s="182">
        <v>907</v>
      </c>
      <c r="K213" s="52" t="s">
        <v>468</v>
      </c>
      <c r="L213" s="293">
        <f t="shared" si="19"/>
        <v>0</v>
      </c>
      <c r="N213" s="244" t="s">
        <v>644</v>
      </c>
      <c r="P213" s="194"/>
      <c r="X213" s="284" t="e">
        <v>#N/A</v>
      </c>
      <c r="Y213" s="384"/>
      <c r="AA213" s="384">
        <f t="shared" si="20"/>
        <v>0</v>
      </c>
      <c r="AB213" s="284">
        <f t="shared" si="21"/>
        <v>0</v>
      </c>
    </row>
    <row r="214" spans="1:28" s="384" customFormat="1" ht="87.75" customHeight="1" x14ac:dyDescent="0.3">
      <c r="A214" s="210">
        <f>'TD Info Completed by Auditor'!A13</f>
        <v>1055</v>
      </c>
      <c r="B214" s="124"/>
      <c r="C214" s="210" t="str">
        <f>'TD Info Completed by Auditor'!B13</f>
        <v xml:space="preserve"> Did your audit disclose bank reconciliations or subsidiary ledger reconciliations not performed timely? (Yes or No)</v>
      </c>
      <c r="D214" s="228"/>
      <c r="E214" s="212">
        <f>IF(+'TD Info Completed by Auditor'!C13="Yes",1,IF(+'TD Info Completed by Auditor'!C13="No",2,IF(+'TD Info Completed by Auditor'!C13="N/A",3,0)))</f>
        <v>0</v>
      </c>
      <c r="F214" s="222"/>
      <c r="G214" s="224"/>
      <c r="H214" s="221"/>
      <c r="I214" s="32"/>
      <c r="J214" s="182">
        <v>1055</v>
      </c>
      <c r="K214" s="210" t="s">
        <v>1527</v>
      </c>
      <c r="L214" s="293">
        <f t="shared" si="19"/>
        <v>0</v>
      </c>
      <c r="M214"/>
      <c r="N214" s="244" t="s">
        <v>644</v>
      </c>
      <c r="P214" s="195"/>
      <c r="Q214" s="277"/>
      <c r="X214" s="284"/>
      <c r="AA214" s="384">
        <f t="shared" si="20"/>
        <v>0</v>
      </c>
      <c r="AB214" s="284"/>
    </row>
    <row r="215" spans="1:28" s="384" customFormat="1" ht="87.75" customHeight="1" x14ac:dyDescent="0.3">
      <c r="A215" s="210">
        <f>'TD Info Completed by Auditor'!A14</f>
        <v>1056</v>
      </c>
      <c r="B215" s="124"/>
      <c r="C215" s="210" t="str">
        <f>'TD Info Completed by Auditor'!B14</f>
        <v>Did your audit disclose as a finding that the unit’s records were not completed by the agreed upon time? (Yes or No)</v>
      </c>
      <c r="D215" s="228"/>
      <c r="E215" s="212">
        <f>IF(+'TD Info Completed by Auditor'!C14="Yes",1,IF(+'TD Info Completed by Auditor'!C14="No",2,IF(+'TD Info Completed by Auditor'!C14="N/A",3,0)))</f>
        <v>0</v>
      </c>
      <c r="F215" s="222"/>
      <c r="G215" s="224"/>
      <c r="H215" s="221"/>
      <c r="I215" s="32"/>
      <c r="J215" s="182">
        <v>1056</v>
      </c>
      <c r="K215" s="210" t="s">
        <v>1528</v>
      </c>
      <c r="L215" s="293">
        <f t="shared" si="19"/>
        <v>0</v>
      </c>
      <c r="M215"/>
      <c r="N215" s="244" t="s">
        <v>644</v>
      </c>
      <c r="P215" s="195"/>
      <c r="Q215" s="277"/>
      <c r="X215" s="284"/>
      <c r="AA215" s="384">
        <f t="shared" si="20"/>
        <v>0</v>
      </c>
      <c r="AB215" s="284"/>
    </row>
    <row r="216" spans="1:28" s="384" customFormat="1" ht="87.75" customHeight="1" x14ac:dyDescent="0.3">
      <c r="A216" s="210">
        <f>'TD Info Completed by Auditor'!A15</f>
        <v>1057</v>
      </c>
      <c r="B216" s="124"/>
      <c r="C216" s="210" t="str">
        <f>'TD Info Completed by Auditor'!B15</f>
        <v>Did your audit disclose any budget violations at the adopted ordinance level? (Yes or No)</v>
      </c>
      <c r="D216" s="228"/>
      <c r="E216" s="212">
        <f>IF(+'TD Info Completed by Auditor'!C15="Yes",1,IF(+'TD Info Completed by Auditor'!C15="No",2,IF(+'TD Info Completed by Auditor'!C15="N/A",3,0)))</f>
        <v>0</v>
      </c>
      <c r="F216" s="222"/>
      <c r="G216" s="224"/>
      <c r="H216" s="221"/>
      <c r="I216" s="32"/>
      <c r="J216" s="182">
        <v>1057</v>
      </c>
      <c r="K216" s="765" t="s">
        <v>1924</v>
      </c>
      <c r="L216" s="293">
        <f t="shared" si="19"/>
        <v>0</v>
      </c>
      <c r="M216"/>
      <c r="N216" s="244" t="s">
        <v>644</v>
      </c>
      <c r="P216" s="195"/>
      <c r="Q216" s="277"/>
      <c r="X216" s="284"/>
      <c r="AA216" s="384">
        <f t="shared" si="20"/>
        <v>0</v>
      </c>
      <c r="AB216" s="284"/>
    </row>
    <row r="217" spans="1:28" s="384" customFormat="1" ht="87.75" customHeight="1" x14ac:dyDescent="0.3">
      <c r="A217" s="210">
        <f>'TD Info Completed by Auditor'!A16</f>
        <v>1058</v>
      </c>
      <c r="B217" s="124"/>
      <c r="C217" s="210" t="str">
        <f>'TD Info Completed by Auditor'!B16</f>
        <v>Did your audit disclose as a finding any statutory violations? (not including budget violations) (Yes or No) If the answer  is "Yes", review whether this needs to be disclosed in the Stewardship, Compliance and Accountability Note</v>
      </c>
      <c r="D217" s="228"/>
      <c r="E217" s="212">
        <f>IF(+'TD Info Completed by Auditor'!C16="Yes",1,IF(+'TD Info Completed by Auditor'!C16="No",2,IF(+'TD Info Completed by Auditor'!C16="N/A",3,0)))</f>
        <v>0</v>
      </c>
      <c r="F217" s="222"/>
      <c r="G217" s="224"/>
      <c r="H217" s="221"/>
      <c r="I217" s="32"/>
      <c r="J217" s="182">
        <v>1058</v>
      </c>
      <c r="K217" s="179" t="s">
        <v>1529</v>
      </c>
      <c r="L217" s="293">
        <f t="shared" si="19"/>
        <v>0</v>
      </c>
      <c r="M217"/>
      <c r="N217" s="244" t="s">
        <v>644</v>
      </c>
      <c r="P217" s="195"/>
      <c r="Q217" s="277"/>
      <c r="X217" s="284"/>
      <c r="AA217" s="384">
        <f t="shared" si="20"/>
        <v>0</v>
      </c>
      <c r="AB217" s="284"/>
    </row>
    <row r="218" spans="1:28" s="384" customFormat="1" ht="159" customHeight="1" x14ac:dyDescent="0.3">
      <c r="A218" s="210">
        <f>'TD Info Completed by Auditor'!A17</f>
        <v>1059</v>
      </c>
      <c r="B218" s="124"/>
      <c r="C218" s="302" t="str">
        <f>'TD Info Completed by Auditor'!B17</f>
        <v xml:space="preserve"> 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v>
      </c>
      <c r="D218" s="228"/>
      <c r="E218" s="212">
        <f>IF(+'TD Info Completed by Auditor'!C17="Yes",1,IF(+'TD Info Completed by Auditor'!C17="No",2,IF(+'TD Info Completed by Auditor'!C17="N/A",3,0)))</f>
        <v>0</v>
      </c>
      <c r="F218" s="222"/>
      <c r="G218" s="224"/>
      <c r="H218" s="221"/>
      <c r="I218" s="32"/>
      <c r="J218" s="182">
        <v>1059</v>
      </c>
      <c r="K218" s="765" t="s">
        <v>1563</v>
      </c>
      <c r="L218" s="293">
        <f t="shared" si="19"/>
        <v>0</v>
      </c>
      <c r="M218"/>
      <c r="N218" s="244" t="s">
        <v>644</v>
      </c>
      <c r="P218" s="195"/>
      <c r="Q218" s="277"/>
      <c r="X218" s="284"/>
      <c r="AA218" s="384">
        <f t="shared" si="20"/>
        <v>0</v>
      </c>
      <c r="AB218" s="284"/>
    </row>
    <row r="219" spans="1:28" s="384" customFormat="1" ht="159" customHeight="1" x14ac:dyDescent="0.3">
      <c r="A219" s="302">
        <v>1078</v>
      </c>
      <c r="B219" s="207"/>
      <c r="C219" s="302" t="str">
        <f>'TD Info Completed by Auditor'!B18</f>
        <v>If the answer to 1059 is "No,"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v>
      </c>
      <c r="D219" s="228"/>
      <c r="E219" s="979">
        <f>IF(+'TD Info Completed by Auditor'!C18="Yes",1,IF(+'TD Info Completed by Auditor'!C18="No",2,IF(+'TD Info Completed by Auditor'!C18="N/A",3,0)))</f>
        <v>0</v>
      </c>
      <c r="F219" s="225"/>
      <c r="G219" s="224"/>
      <c r="H219" s="221"/>
      <c r="I219" s="32"/>
      <c r="J219" s="119">
        <v>1078</v>
      </c>
      <c r="K219" s="302" t="s">
        <v>1922</v>
      </c>
      <c r="L219" s="980">
        <f t="shared" si="19"/>
        <v>0</v>
      </c>
      <c r="M219" s="180"/>
      <c r="N219" s="244"/>
      <c r="P219" s="195"/>
      <c r="Q219" s="277"/>
      <c r="X219" s="284"/>
      <c r="AB219" s="284"/>
    </row>
    <row r="220" spans="1:28" s="384" customFormat="1" ht="133.19999999999999" customHeight="1" x14ac:dyDescent="0.3">
      <c r="A220" s="302">
        <v>1067</v>
      </c>
      <c r="B220" s="207"/>
      <c r="C220" s="302" t="str">
        <f>'TD Info Completed by Auditor'!B19</f>
        <v>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v>
      </c>
      <c r="D220" s="228"/>
      <c r="E220" s="212">
        <f>IF(+'TD Info Completed by Auditor'!C19="Yes",1,IF(+'TD Info Completed by Auditor'!C19="No",2,IF(+'TD Info Completed by Auditor'!C19="N/A",3,0)))</f>
        <v>0</v>
      </c>
      <c r="G220" s="222"/>
      <c r="H220" s="221"/>
      <c r="I220" s="32"/>
      <c r="J220" s="119">
        <v>1067</v>
      </c>
      <c r="K220" s="302" t="s">
        <v>1918</v>
      </c>
      <c r="L220" s="304">
        <f t="shared" si="19"/>
        <v>0</v>
      </c>
      <c r="M220" s="180"/>
      <c r="N220" s="244" t="s">
        <v>644</v>
      </c>
      <c r="P220" s="195"/>
      <c r="Q220" s="277"/>
      <c r="X220" s="284"/>
      <c r="AB220" s="284"/>
    </row>
    <row r="221" spans="1:28" s="384" customFormat="1" ht="87.75" customHeight="1" x14ac:dyDescent="0.3">
      <c r="A221" s="210">
        <f>'TD Info Completed by Auditor'!A20</f>
        <v>951</v>
      </c>
      <c r="B221" s="124" t="s">
        <v>590</v>
      </c>
      <c r="C221" s="210" t="str">
        <f>'TD Info Completed by Auditor'!B20</f>
        <v>Is there a finding for lack of technical skills, knowledge and experience (SKE) at this unit?</v>
      </c>
      <c r="D221" s="228"/>
      <c r="E221" s="212">
        <f>IF(+'TD Info Completed by Auditor'!C20="Yes",1,IF(+'TD Info Completed by Auditor'!C20="No",2,IF(+'TD Info Completed by Auditor'!C20="N/A",3,0)))</f>
        <v>0</v>
      </c>
      <c r="F221" s="222"/>
      <c r="G221" s="224"/>
      <c r="H221" s="221"/>
      <c r="I221" s="32"/>
      <c r="J221" s="182">
        <v>951</v>
      </c>
      <c r="K221" s="52" t="s">
        <v>469</v>
      </c>
      <c r="L221" s="293">
        <f>IF(D221="",E221,D221)</f>
        <v>0</v>
      </c>
      <c r="M221"/>
      <c r="N221" s="244" t="s">
        <v>644</v>
      </c>
      <c r="P221" s="195"/>
      <c r="Q221" s="277"/>
      <c r="X221" s="284"/>
      <c r="AB221" s="284"/>
    </row>
    <row r="222" spans="1:28" ht="87.75" customHeight="1" x14ac:dyDescent="0.3">
      <c r="A222" s="210">
        <f>'TD Info Completed by Auditor'!A21</f>
        <v>953</v>
      </c>
      <c r="B222" s="124" t="s">
        <v>590</v>
      </c>
      <c r="C222" s="210" t="str">
        <f>'TD Info Completed by Auditor'!B21</f>
        <v xml:space="preserve">Is there is a going concern noted in the audit report? </v>
      </c>
      <c r="D222" s="228"/>
      <c r="E222" s="212">
        <f>IF(+'TD Info Completed by Auditor'!C21="Yes",1,IF(+'TD Info Completed by Auditor'!C21="No",2,IF(+'TD Info Completed by Auditor'!C21="N/A",3,0)))</f>
        <v>0</v>
      </c>
      <c r="F222" s="222"/>
      <c r="G222" s="224"/>
      <c r="H222" s="221"/>
      <c r="I222" s="32"/>
      <c r="J222" s="182">
        <v>953</v>
      </c>
      <c r="K222" s="978" t="s">
        <v>1923</v>
      </c>
      <c r="L222" s="293">
        <f t="shared" si="19"/>
        <v>0</v>
      </c>
      <c r="N222" s="244" t="s">
        <v>644</v>
      </c>
      <c r="P222" s="195"/>
      <c r="X222" s="284" t="e">
        <v>#N/A</v>
      </c>
      <c r="Y222" s="384"/>
      <c r="AA222" s="384">
        <f t="shared" si="20"/>
        <v>0</v>
      </c>
      <c r="AB222" s="284">
        <f t="shared" si="21"/>
        <v>0</v>
      </c>
    </row>
    <row r="223" spans="1:28" ht="87.75" customHeight="1" x14ac:dyDescent="0.3">
      <c r="A223" s="210">
        <f>'TD Info Completed by Auditor'!A22</f>
        <v>955</v>
      </c>
      <c r="B223" s="124" t="s">
        <v>590</v>
      </c>
      <c r="C223" s="210" t="str">
        <f>'TD Info Completed by Auditor'!B22</f>
        <v>Number of significant deficiency findings (financial statement findings only)
Exclude findings reported in questions  907, 951</v>
      </c>
      <c r="D223" s="228"/>
      <c r="E223" s="212">
        <f>'TD Info Completed by Auditor'!C22</f>
        <v>0</v>
      </c>
      <c r="F223" s="222"/>
      <c r="G223" s="224"/>
      <c r="H223" s="221"/>
      <c r="I223" s="32"/>
      <c r="J223" s="182">
        <v>955</v>
      </c>
      <c r="K223" s="52" t="s">
        <v>594</v>
      </c>
      <c r="L223" s="293">
        <f t="shared" si="19"/>
        <v>0</v>
      </c>
      <c r="N223" s="244" t="s">
        <v>644</v>
      </c>
      <c r="P223" s="195"/>
      <c r="X223" s="284" t="e">
        <v>#N/A</v>
      </c>
      <c r="Y223" s="384"/>
      <c r="AA223" s="384">
        <f t="shared" si="20"/>
        <v>0</v>
      </c>
      <c r="AB223" s="284">
        <f t="shared" si="21"/>
        <v>0</v>
      </c>
    </row>
    <row r="224" spans="1:28" ht="87.75" customHeight="1" x14ac:dyDescent="0.3">
      <c r="A224" s="210">
        <f>'TD Info Completed by Auditor'!A23</f>
        <v>957</v>
      </c>
      <c r="B224" s="124" t="s">
        <v>590</v>
      </c>
      <c r="C224" s="210" t="str">
        <f>'TD Info Completed by Auditor'!B23</f>
        <v>Number of material weakness findings (financial statement findings only)
Exclude findings reported in questions  907, 951</v>
      </c>
      <c r="D224" s="228"/>
      <c r="E224" s="212">
        <f>'TD Info Completed by Auditor'!C23</f>
        <v>0</v>
      </c>
      <c r="F224" s="222"/>
      <c r="G224" s="224"/>
      <c r="H224" s="221"/>
      <c r="I224" s="32"/>
      <c r="J224" s="182">
        <v>957</v>
      </c>
      <c r="K224" s="52" t="s">
        <v>595</v>
      </c>
      <c r="L224" s="293">
        <f t="shared" si="19"/>
        <v>0</v>
      </c>
      <c r="N224" s="244" t="s">
        <v>644</v>
      </c>
      <c r="P224" s="195"/>
      <c r="X224" s="284" t="e">
        <v>#N/A</v>
      </c>
      <c r="Y224" s="384"/>
      <c r="AA224" s="384">
        <f t="shared" si="20"/>
        <v>0</v>
      </c>
      <c r="AB224" s="284">
        <f t="shared" si="21"/>
        <v>0</v>
      </c>
    </row>
    <row r="225" spans="1:28" ht="289.2" customHeight="1" x14ac:dyDescent="0.3">
      <c r="A225" s="210">
        <f>'TD Info Completed by Auditor'!A24</f>
        <v>973</v>
      </c>
      <c r="B225" s="124" t="s">
        <v>590</v>
      </c>
      <c r="C225" s="210" t="str">
        <f>'TD Info Completed by Auditor'!B24</f>
        <v>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v>
      </c>
      <c r="D225" s="228"/>
      <c r="E225" s="212">
        <f>IF(+'TD Info Completed by Auditor'!C24&gt;0,1,IF(+'TD Info Completed by Auditor'!C24&gt;0,2,IF(+'TD Info Completed by Auditor'!C24&gt;0,3,0)))</f>
        <v>0</v>
      </c>
      <c r="F225" s="222"/>
      <c r="G225" s="224"/>
      <c r="H225" s="221"/>
      <c r="I225" s="32"/>
      <c r="J225" s="182">
        <v>973</v>
      </c>
      <c r="K225" s="52" t="s">
        <v>1489</v>
      </c>
      <c r="L225" s="293">
        <f>IF(D225="",E225,D225)</f>
        <v>0</v>
      </c>
      <c r="N225" s="244" t="s">
        <v>644</v>
      </c>
      <c r="P225" s="201"/>
      <c r="X225" s="284" t="e">
        <v>#N/A</v>
      </c>
      <c r="Y225" s="384"/>
      <c r="AA225" s="384">
        <f>A225-J225</f>
        <v>0</v>
      </c>
      <c r="AB225" s="284">
        <f>E225-L225</f>
        <v>0</v>
      </c>
    </row>
    <row r="226" spans="1:28" ht="87.75" customHeight="1" x14ac:dyDescent="0.3">
      <c r="A226" s="210">
        <f>'TD Info Completed by Auditor'!A25</f>
        <v>959</v>
      </c>
      <c r="B226" s="124" t="s">
        <v>590</v>
      </c>
      <c r="C226" s="210" t="str">
        <f>'TD Info Completed by Auditor'!B25</f>
        <v>Did the Unit have debt service payments deferred or restructured in this fiscal year? (does not include refinancings designed to take advantage of lower interest rates)  Select Yes, No, or NA</v>
      </c>
      <c r="D226" s="228"/>
      <c r="E226" s="212">
        <f>IF(+'TD Info Completed by Auditor'!C25="Yes",1,IF(+'TD Info Completed by Auditor'!C25="No",2,IF(+'TD Info Completed by Auditor'!C25="N/A",3,0)))</f>
        <v>0</v>
      </c>
      <c r="F226" s="222"/>
      <c r="G226" s="224"/>
      <c r="H226" s="221"/>
      <c r="I226" s="32"/>
      <c r="J226" s="182">
        <v>959</v>
      </c>
      <c r="K226" s="52" t="s">
        <v>646</v>
      </c>
      <c r="L226" s="293">
        <f t="shared" si="19"/>
        <v>0</v>
      </c>
      <c r="N226" s="244" t="s">
        <v>644</v>
      </c>
      <c r="P226" s="195"/>
      <c r="X226" s="284" t="e">
        <v>#N/A</v>
      </c>
      <c r="Y226" s="384"/>
      <c r="AA226" s="384">
        <f t="shared" si="20"/>
        <v>0</v>
      </c>
      <c r="AB226" s="284">
        <f t="shared" si="21"/>
        <v>0</v>
      </c>
    </row>
    <row r="227" spans="1:28" s="384" customFormat="1" ht="177.75" customHeight="1" x14ac:dyDescent="0.3">
      <c r="A227" s="210">
        <f>'TD Info Completed by Auditor'!A26</f>
        <v>974</v>
      </c>
      <c r="B227" s="124" t="s">
        <v>590</v>
      </c>
      <c r="C227" s="210" t="str">
        <f>'TD Info Completed by Auditor'!B26</f>
        <v>Did the Unit have any of the following occur:
1.  Bond covenants were not met
2.  Debt service payments made late?  Deferred payments authorized by LGC or other state
     agencies should not be counted as late for purposes of this question.</v>
      </c>
      <c r="D227" s="228"/>
      <c r="E227" s="212">
        <f>IF(+'TD Info Completed by Auditor'!C26="Yes",1,IF(+'TD Info Completed by Auditor'!C26="No",2,IF(+'TD Info Completed by Auditor'!C26="N/A",3,0)))</f>
        <v>0</v>
      </c>
      <c r="F227" s="222"/>
      <c r="G227" s="224"/>
      <c r="H227" s="221"/>
      <c r="I227" s="32"/>
      <c r="J227" s="182">
        <v>974</v>
      </c>
      <c r="K227" s="52" t="s">
        <v>793</v>
      </c>
      <c r="L227" s="293">
        <f t="shared" ref="L227" si="22">IF(D227="",E227,D227)</f>
        <v>0</v>
      </c>
      <c r="M227"/>
      <c r="N227" s="244" t="s">
        <v>644</v>
      </c>
      <c r="P227" s="201"/>
      <c r="Q227" s="277"/>
      <c r="X227" s="284"/>
      <c r="AB227" s="284"/>
    </row>
    <row r="228" spans="1:28" ht="87.75" customHeight="1" x14ac:dyDescent="0.3">
      <c r="A228" s="210">
        <f>'TD Info Completed by Auditor'!A33</f>
        <v>975</v>
      </c>
      <c r="B228" s="124" t="s">
        <v>590</v>
      </c>
      <c r="C228" s="209" t="str">
        <f>'TD Info Completed by Auditor'!B33</f>
        <v>Does the Performance Indicator Print worksheet in this workbook have a red shaded cell?</v>
      </c>
      <c r="D228" s="228"/>
      <c r="E228" s="212">
        <f>IF(+'TD Info Completed by Auditor'!C33="Yes",1,IF(+'TD Info Completed by Auditor'!C33="No",2,IF(+'TD Info Completed by Auditor'!C33="N/A",3,0)))</f>
        <v>0</v>
      </c>
      <c r="F228" s="222"/>
      <c r="G228" s="224"/>
      <c r="H228" s="221"/>
      <c r="I228" s="32"/>
      <c r="J228" s="182">
        <v>975</v>
      </c>
      <c r="K228" s="978" t="s">
        <v>1925</v>
      </c>
      <c r="L228" s="293">
        <f>IF(D228="",E228,D228)</f>
        <v>0</v>
      </c>
      <c r="N228" s="244" t="s">
        <v>644</v>
      </c>
      <c r="P228" s="201"/>
      <c r="Q228" s="316"/>
      <c r="X228" s="284" t="e">
        <v>#N/A</v>
      </c>
      <c r="Y228" s="384"/>
      <c r="AA228" s="384">
        <f t="shared" si="20"/>
        <v>0</v>
      </c>
      <c r="AB228" s="284">
        <f t="shared" si="21"/>
        <v>0</v>
      </c>
    </row>
    <row r="229" spans="1:28" s="384" customFormat="1" ht="87.75" customHeight="1" x14ac:dyDescent="0.3">
      <c r="A229" s="302">
        <v>1068</v>
      </c>
      <c r="B229" s="302" t="s">
        <v>590</v>
      </c>
      <c r="C229" s="302" t="str">
        <f>'TD Info Completed by Auditor'!B35</f>
        <v xml:space="preserve">Does the unit have a self-insurance fund? </v>
      </c>
      <c r="D229" s="228"/>
      <c r="E229" s="766">
        <f>IF(+'TD Info Completed by Auditor'!C35="Yes",1,IF(+'TD Info Completed by Auditor'!C35="No",2,IF(+'TD Info Completed by Auditor'!C35="N/A",3,0)))</f>
        <v>0</v>
      </c>
      <c r="F229" s="767"/>
      <c r="G229" s="768"/>
      <c r="H229" s="769"/>
      <c r="I229" s="32"/>
      <c r="J229" s="770">
        <v>1068</v>
      </c>
      <c r="K229" s="302" t="s">
        <v>1568</v>
      </c>
      <c r="L229" s="981">
        <f t="shared" ref="L229:L232" si="23">IF(D229="",E229,D229)</f>
        <v>0</v>
      </c>
      <c r="M229" s="180"/>
      <c r="N229" s="244" t="s">
        <v>644</v>
      </c>
      <c r="P229" s="201"/>
      <c r="Q229" s="316"/>
      <c r="X229" s="284"/>
      <c r="AB229" s="284"/>
    </row>
    <row r="230" spans="1:28" s="384" customFormat="1" ht="87.75" customHeight="1" x14ac:dyDescent="0.3">
      <c r="A230" s="302">
        <v>1069</v>
      </c>
      <c r="B230" s="302" t="s">
        <v>590</v>
      </c>
      <c r="C230" s="620" t="str">
        <f>'TD Info Completed by Auditor'!B36</f>
        <v>If the unit is self-insured for employee health care, does the unit use a qualified consultant to establish rates and appropriate reserve levels?</v>
      </c>
      <c r="D230" s="228"/>
      <c r="E230" s="766">
        <f>IF(+'TD Info Completed by Auditor'!C36="Yes",1,IF(+'TD Info Completed by Auditor'!C36="No",2,IF(+'TD Info Completed by Auditor'!C36="N/A",3,0)))</f>
        <v>0</v>
      </c>
      <c r="F230" s="767"/>
      <c r="G230" s="768"/>
      <c r="H230" s="769"/>
      <c r="I230" s="32"/>
      <c r="J230" s="770">
        <v>1069</v>
      </c>
      <c r="K230" s="620" t="s">
        <v>1574</v>
      </c>
      <c r="L230" s="981">
        <f t="shared" si="23"/>
        <v>0</v>
      </c>
      <c r="M230" s="180"/>
      <c r="N230" s="244" t="s">
        <v>644</v>
      </c>
      <c r="P230" s="201"/>
      <c r="Q230" s="316"/>
      <c r="X230" s="284"/>
      <c r="AB230" s="284"/>
    </row>
    <row r="231" spans="1:28" s="384" customFormat="1" ht="96" customHeight="1" x14ac:dyDescent="0.3">
      <c r="A231" s="302">
        <v>1070</v>
      </c>
      <c r="B231" s="302" t="s">
        <v>590</v>
      </c>
      <c r="C231" s="302" t="str">
        <f>'TD Info Completed by Auditor'!B37</f>
        <v>Does the Unit have a non-state administered pension plan?
(Note - OPEB is not a pension plan.)</v>
      </c>
      <c r="D231" s="228"/>
      <c r="E231" s="766">
        <f>IF(+'TD Info Completed by Auditor'!C37="Yes",1,IF(+'TD Info Completed by Auditor'!C37="No",2,IF(+'TD Info Completed by Auditor'!C37="N/A",3,0)))</f>
        <v>0</v>
      </c>
      <c r="F231" s="767"/>
      <c r="G231" s="768"/>
      <c r="H231" s="769"/>
      <c r="I231" s="32"/>
      <c r="J231" s="770">
        <v>1070</v>
      </c>
      <c r="K231" s="302" t="s">
        <v>1943</v>
      </c>
      <c r="L231" s="982">
        <f t="shared" si="23"/>
        <v>0</v>
      </c>
      <c r="M231" s="180"/>
      <c r="N231" s="244" t="s">
        <v>644</v>
      </c>
      <c r="P231" s="201"/>
      <c r="Q231" s="316"/>
      <c r="X231" s="284"/>
      <c r="AB231" s="284"/>
    </row>
    <row r="232" spans="1:28" s="384" customFormat="1" ht="87.75" customHeight="1" x14ac:dyDescent="0.3">
      <c r="A232" s="302">
        <v>1071</v>
      </c>
      <c r="B232" s="302" t="s">
        <v>590</v>
      </c>
      <c r="C232" s="302" t="str">
        <f>'TD Info Completed by Auditor'!B38</f>
        <v>Please list the amount of ARPA funds expended in total this fiscal year for non-capital purposes.  Enter "0" if no ARPA funds expended for this fiscal year for non-capital purposes.</v>
      </c>
      <c r="D232" s="228"/>
      <c r="E232" s="772">
        <f>'TD Info Completed by Auditor'!C38</f>
        <v>0</v>
      </c>
      <c r="F232" s="767"/>
      <c r="G232" s="768"/>
      <c r="H232" s="769"/>
      <c r="I232" s="32"/>
      <c r="J232" s="770">
        <v>1071</v>
      </c>
      <c r="K232" s="302" t="s">
        <v>1919</v>
      </c>
      <c r="L232" s="981">
        <f t="shared" si="23"/>
        <v>0</v>
      </c>
      <c r="M232" s="180"/>
      <c r="N232" s="244" t="s">
        <v>644</v>
      </c>
      <c r="P232" s="201"/>
      <c r="Q232" s="316"/>
      <c r="X232" s="284"/>
      <c r="AB232" s="284"/>
    </row>
    <row r="233" spans="1:28" ht="121.2" customHeight="1" x14ac:dyDescent="0.3">
      <c r="A233" s="325">
        <v>336</v>
      </c>
      <c r="B233" s="235"/>
      <c r="C233" s="326" t="s">
        <v>654</v>
      </c>
      <c r="D233" s="327" t="s">
        <v>622</v>
      </c>
      <c r="E233" s="328" t="s">
        <v>623</v>
      </c>
      <c r="F233" s="236" t="s">
        <v>1058</v>
      </c>
      <c r="G233" s="224"/>
      <c r="H233" s="221"/>
      <c r="I233" s="32"/>
      <c r="J233" s="237">
        <v>336</v>
      </c>
      <c r="K233" s="329" t="s">
        <v>626</v>
      </c>
      <c r="L233" s="330">
        <f>L10-L11-L12-L13-L14-L15-L16</f>
        <v>0</v>
      </c>
      <c r="N233" s="245" t="s">
        <v>624</v>
      </c>
      <c r="P233" s="201"/>
      <c r="Q233" s="316"/>
      <c r="X233" s="284" t="e">
        <v>#N/A</v>
      </c>
      <c r="Y233" s="384"/>
      <c r="AA233" s="384">
        <f t="shared" si="20"/>
        <v>0</v>
      </c>
      <c r="AB233" s="284" t="e">
        <f t="shared" si="21"/>
        <v>#VALUE!</v>
      </c>
    </row>
    <row r="234" spans="1:28" ht="129" customHeight="1" x14ac:dyDescent="0.3">
      <c r="A234" s="325">
        <v>44</v>
      </c>
      <c r="B234" s="235"/>
      <c r="C234" s="236" t="s">
        <v>655</v>
      </c>
      <c r="D234" s="327" t="s">
        <v>614</v>
      </c>
      <c r="E234" s="331" t="s">
        <v>615</v>
      </c>
      <c r="F234" s="236" t="s">
        <v>1059</v>
      </c>
      <c r="G234" s="224"/>
      <c r="H234" s="221"/>
      <c r="I234" s="32"/>
      <c r="J234" s="237">
        <v>44</v>
      </c>
      <c r="K234" s="329" t="s">
        <v>627</v>
      </c>
      <c r="L234" s="330">
        <f>L76-L77-L74</f>
        <v>0</v>
      </c>
      <c r="N234" s="245" t="s">
        <v>625</v>
      </c>
      <c r="P234" s="201"/>
      <c r="Q234" s="316"/>
      <c r="X234" s="284" t="e">
        <v>#N/A</v>
      </c>
      <c r="Y234" s="384"/>
      <c r="AA234" s="384">
        <f t="shared" si="20"/>
        <v>0</v>
      </c>
      <c r="AB234" s="284" t="e">
        <f t="shared" si="21"/>
        <v>#VALUE!</v>
      </c>
    </row>
    <row r="235" spans="1:28" ht="169.5" customHeight="1" x14ac:dyDescent="0.3">
      <c r="A235" s="325">
        <v>45</v>
      </c>
      <c r="B235" s="235"/>
      <c r="C235" s="236" t="s">
        <v>656</v>
      </c>
      <c r="D235" s="327" t="s">
        <v>616</v>
      </c>
      <c r="E235" s="328" t="s">
        <v>617</v>
      </c>
      <c r="F235" s="236" t="s">
        <v>1058</v>
      </c>
      <c r="G235" s="224"/>
      <c r="H235" s="221"/>
      <c r="I235" s="32"/>
      <c r="J235" s="237">
        <v>45</v>
      </c>
      <c r="K235" s="329" t="s">
        <v>628</v>
      </c>
      <c r="L235" s="330">
        <f>L80-L81-L82-L83-L84-L85-L79</f>
        <v>0</v>
      </c>
      <c r="N235" s="245" t="s">
        <v>636</v>
      </c>
      <c r="P235" s="201"/>
      <c r="Q235" s="316"/>
      <c r="X235" s="284" t="e">
        <v>#N/A</v>
      </c>
      <c r="Y235" s="384"/>
      <c r="AA235" s="384">
        <f t="shared" si="20"/>
        <v>0</v>
      </c>
      <c r="AB235" s="284" t="e">
        <f t="shared" si="21"/>
        <v>#VALUE!</v>
      </c>
    </row>
    <row r="236" spans="1:28" ht="87.75" customHeight="1" x14ac:dyDescent="0.3">
      <c r="A236" s="325">
        <v>47</v>
      </c>
      <c r="B236" s="235"/>
      <c r="C236" s="236" t="s">
        <v>630</v>
      </c>
      <c r="D236" s="327" t="s">
        <v>618</v>
      </c>
      <c r="E236" s="328" t="s">
        <v>620</v>
      </c>
      <c r="F236" s="236" t="s">
        <v>1058</v>
      </c>
      <c r="G236" s="224"/>
      <c r="H236" s="221"/>
      <c r="I236" s="32"/>
      <c r="J236" s="237">
        <v>47</v>
      </c>
      <c r="K236" s="329" t="s">
        <v>629</v>
      </c>
      <c r="L236" s="330">
        <f>L94-L95-L92</f>
        <v>0</v>
      </c>
      <c r="N236" s="245" t="s">
        <v>637</v>
      </c>
      <c r="P236" s="201"/>
      <c r="Q236" s="316"/>
      <c r="X236" s="284" t="e">
        <v>#N/A</v>
      </c>
      <c r="Y236" s="384"/>
      <c r="AA236" s="384">
        <f t="shared" si="20"/>
        <v>0</v>
      </c>
      <c r="AB236" s="284" t="e">
        <f t="shared" si="21"/>
        <v>#VALUE!</v>
      </c>
    </row>
    <row r="237" spans="1:28" ht="152.25" customHeight="1" x14ac:dyDescent="0.3">
      <c r="A237" s="325">
        <v>48</v>
      </c>
      <c r="B237" s="235"/>
      <c r="C237" s="236" t="s">
        <v>631</v>
      </c>
      <c r="D237" s="327" t="s">
        <v>619</v>
      </c>
      <c r="E237" s="328" t="s">
        <v>621</v>
      </c>
      <c r="F237" s="236" t="s">
        <v>1058</v>
      </c>
      <c r="G237" s="224"/>
      <c r="H237" s="221"/>
      <c r="I237" s="32"/>
      <c r="J237" s="237">
        <v>48</v>
      </c>
      <c r="K237" s="329" t="s">
        <v>115</v>
      </c>
      <c r="L237" s="330">
        <f>L99-L100-L101-L102-L103-L104-L98</f>
        <v>0</v>
      </c>
      <c r="N237" s="245" t="s">
        <v>638</v>
      </c>
      <c r="P237" s="201"/>
      <c r="Q237" s="316"/>
      <c r="X237" s="284" t="e">
        <v>#N/A</v>
      </c>
      <c r="Y237" s="384"/>
      <c r="AA237" s="384">
        <f t="shared" si="20"/>
        <v>0</v>
      </c>
      <c r="AB237" s="284" t="e">
        <f t="shared" si="21"/>
        <v>#VALUE!</v>
      </c>
    </row>
    <row r="238" spans="1:28" ht="113.4" customHeight="1" x14ac:dyDescent="0.3">
      <c r="A238" s="332"/>
      <c r="B238" s="90"/>
      <c r="C238" s="333"/>
      <c r="D238" s="129"/>
      <c r="E238" s="137"/>
      <c r="F238" s="59"/>
      <c r="G238" s="131"/>
      <c r="H238" s="132"/>
      <c r="I238" s="32"/>
      <c r="J238" s="238">
        <v>998</v>
      </c>
      <c r="K238" s="239" t="s">
        <v>277</v>
      </c>
      <c r="L238" s="334" t="e">
        <f>VLOOKUP('Unit Data from Audit Worksheet'!D2,'Unit Names(H)'!$A$2:$C$95,3,FALSE)</f>
        <v>#N/A</v>
      </c>
      <c r="N238" s="245" t="s">
        <v>632</v>
      </c>
      <c r="P238" s="201"/>
      <c r="Q238" s="316"/>
      <c r="X238" s="284" t="e">
        <v>#N/A</v>
      </c>
      <c r="Y238" s="384"/>
      <c r="AA238" s="384">
        <f t="shared" si="20"/>
        <v>-998</v>
      </c>
      <c r="AB238" s="284" t="e">
        <f t="shared" si="21"/>
        <v>#N/A</v>
      </c>
    </row>
    <row r="239" spans="1:28" ht="119.4" customHeight="1" x14ac:dyDescent="0.3">
      <c r="A239" s="332"/>
      <c r="B239" s="90"/>
      <c r="C239" s="333"/>
      <c r="D239" s="335"/>
      <c r="E239" s="336"/>
      <c r="F239" s="337"/>
      <c r="G239" s="338"/>
      <c r="H239" s="339"/>
      <c r="I239" s="32"/>
      <c r="J239" s="240">
        <v>995</v>
      </c>
      <c r="K239" s="241" t="s">
        <v>275</v>
      </c>
      <c r="L239" s="723" t="e">
        <f>INDEX('PY1 Data(H)'!$A$1:$BV$279,MATCH('PY1 Data(H)'!$A230,'PY1 Data(H)'!$A$1:$A$279,0),MATCH('Unit Data from Audit Worksheet'!$D$2,'PY1 Data(H)'!$A$1:$BV$1,0))</f>
        <v>#N/A</v>
      </c>
      <c r="N239" s="245" t="s">
        <v>639</v>
      </c>
      <c r="P239" s="201"/>
      <c r="Q239" s="316"/>
      <c r="X239" s="284" t="e">
        <v>#N/A</v>
      </c>
      <c r="Y239" s="384"/>
      <c r="AA239" s="384">
        <f t="shared" si="20"/>
        <v>-995</v>
      </c>
      <c r="AB239" s="571" t="e">
        <f t="shared" si="21"/>
        <v>#N/A</v>
      </c>
    </row>
    <row r="240" spans="1:28" ht="104.4" customHeight="1" x14ac:dyDescent="0.3">
      <c r="A240" s="332"/>
      <c r="B240" s="90"/>
      <c r="C240" s="333"/>
      <c r="D240" s="335"/>
      <c r="E240" s="336"/>
      <c r="F240" s="337"/>
      <c r="G240" s="338"/>
      <c r="H240" s="339"/>
      <c r="I240" s="32"/>
      <c r="J240" s="240">
        <v>996</v>
      </c>
      <c r="K240" s="241" t="s">
        <v>276</v>
      </c>
      <c r="L240" s="723" t="e">
        <f>INDEX('PY1 Data(H)'!$A$1:$BV$279,MATCH('PY1 Data(H)'!$A231,'PY1 Data(H)'!$A$1:$A$279,0),MATCH('Unit Data from Audit Worksheet'!$D$2,'PY1 Data(H)'!$A$1:$BV$1,0))</f>
        <v>#N/A</v>
      </c>
      <c r="N240" s="245" t="s">
        <v>640</v>
      </c>
      <c r="P240" s="201"/>
      <c r="Q240" s="316"/>
      <c r="X240" s="284" t="e">
        <v>#N/A</v>
      </c>
      <c r="Y240" s="384"/>
      <c r="AA240" s="384">
        <f t="shared" si="20"/>
        <v>-996</v>
      </c>
      <c r="AB240" s="571" t="e">
        <f t="shared" si="21"/>
        <v>#N/A</v>
      </c>
    </row>
    <row r="241" spans="1:28" ht="43.2" x14ac:dyDescent="0.3">
      <c r="A241" s="332"/>
      <c r="B241" s="90"/>
      <c r="C241" s="333"/>
      <c r="D241" s="335"/>
      <c r="E241" s="336"/>
      <c r="F241" s="337"/>
      <c r="G241" s="338"/>
      <c r="H241" s="340"/>
      <c r="I241" s="32"/>
      <c r="J241" s="158">
        <v>554</v>
      </c>
      <c r="K241" s="341" t="s">
        <v>318</v>
      </c>
      <c r="L241" s="311"/>
      <c r="N241" s="342"/>
      <c r="P241" s="201"/>
      <c r="Q241" s="316"/>
      <c r="X241" s="284" t="e">
        <v>#N/A</v>
      </c>
      <c r="Y241" s="384"/>
      <c r="AA241" s="384">
        <f t="shared" si="20"/>
        <v>-554</v>
      </c>
      <c r="AB241" s="284">
        <f t="shared" si="21"/>
        <v>0</v>
      </c>
    </row>
    <row r="242" spans="1:28" ht="43.2" x14ac:dyDescent="0.3">
      <c r="A242" s="332"/>
      <c r="B242" s="90"/>
      <c r="C242" s="333"/>
      <c r="D242" s="335"/>
      <c r="E242" s="336"/>
      <c r="F242" s="337"/>
      <c r="G242" s="338"/>
      <c r="H242" s="340"/>
      <c r="I242" s="32"/>
      <c r="J242" s="158">
        <v>555</v>
      </c>
      <c r="K242" s="341" t="s">
        <v>319</v>
      </c>
      <c r="L242" s="311"/>
      <c r="N242" s="342"/>
      <c r="P242" s="201"/>
      <c r="Q242" s="316"/>
      <c r="X242" s="284" t="e">
        <v>#N/A</v>
      </c>
      <c r="Y242" s="384"/>
      <c r="AA242" s="384">
        <f t="shared" si="20"/>
        <v>-555</v>
      </c>
      <c r="AB242" s="284">
        <f t="shared" si="21"/>
        <v>0</v>
      </c>
    </row>
    <row r="243" spans="1:28" ht="43.2" x14ac:dyDescent="0.3">
      <c r="A243" s="332"/>
      <c r="B243" s="90"/>
      <c r="C243" s="333"/>
      <c r="D243" s="335"/>
      <c r="E243" s="336"/>
      <c r="F243" s="337"/>
      <c r="G243" s="338"/>
      <c r="H243" s="340"/>
      <c r="I243" s="32"/>
      <c r="J243" s="158">
        <v>556</v>
      </c>
      <c r="K243" s="341" t="s">
        <v>320</v>
      </c>
      <c r="L243" s="311"/>
      <c r="N243" s="342"/>
      <c r="P243" s="201"/>
      <c r="Q243" s="316"/>
      <c r="X243" s="284" t="e">
        <v>#N/A</v>
      </c>
      <c r="Y243" s="384"/>
      <c r="AA243" s="384">
        <f t="shared" si="20"/>
        <v>-556</v>
      </c>
      <c r="AB243" s="284">
        <f t="shared" si="21"/>
        <v>0</v>
      </c>
    </row>
    <row r="244" spans="1:28" ht="43.2" x14ac:dyDescent="0.3">
      <c r="A244" s="332"/>
      <c r="B244" s="90"/>
      <c r="C244" s="333"/>
      <c r="D244" s="335"/>
      <c r="E244" s="336"/>
      <c r="F244" s="337"/>
      <c r="G244" s="338"/>
      <c r="H244" s="340"/>
      <c r="I244" s="32"/>
      <c r="J244" s="158">
        <v>557</v>
      </c>
      <c r="K244" s="341" t="s">
        <v>321</v>
      </c>
      <c r="L244" s="311"/>
      <c r="N244" s="342"/>
      <c r="P244" s="202"/>
      <c r="X244" s="284" t="e">
        <v>#N/A</v>
      </c>
      <c r="Y244" s="384"/>
      <c r="AA244" s="384">
        <f t="shared" si="20"/>
        <v>-557</v>
      </c>
      <c r="AB244" s="284">
        <f t="shared" si="21"/>
        <v>0</v>
      </c>
    </row>
    <row r="245" spans="1:28" ht="43.2" x14ac:dyDescent="0.3">
      <c r="A245" s="332"/>
      <c r="B245" s="90"/>
      <c r="C245" s="333"/>
      <c r="D245" s="335"/>
      <c r="E245" s="336"/>
      <c r="F245" s="337"/>
      <c r="G245" s="338"/>
      <c r="H245" s="340"/>
      <c r="I245" s="32"/>
      <c r="J245" s="158">
        <v>606</v>
      </c>
      <c r="K245" s="341" t="s">
        <v>447</v>
      </c>
      <c r="L245" s="311"/>
      <c r="N245" s="342"/>
      <c r="P245" s="202"/>
      <c r="X245" s="284" t="e">
        <v>#N/A</v>
      </c>
      <c r="Y245" s="384"/>
      <c r="AA245" s="384">
        <f t="shared" si="20"/>
        <v>-606</v>
      </c>
      <c r="AB245" s="284">
        <f t="shared" si="21"/>
        <v>0</v>
      </c>
    </row>
    <row r="246" spans="1:28" s="18" customFormat="1" ht="22.5" customHeight="1" x14ac:dyDescent="0.3">
      <c r="A246" s="332"/>
      <c r="B246" s="90"/>
      <c r="C246" s="333"/>
      <c r="D246" s="129"/>
      <c r="E246" s="130"/>
      <c r="F246" s="59"/>
      <c r="G246" s="131"/>
      <c r="H246" s="132"/>
      <c r="I246" s="32"/>
      <c r="J246" s="133"/>
      <c r="K246" s="344"/>
      <c r="L246" s="345"/>
      <c r="M246"/>
      <c r="N246" s="244"/>
      <c r="P246" s="202"/>
      <c r="Q246" s="277"/>
      <c r="R246" s="3"/>
      <c r="S246" s="3"/>
      <c r="T246" s="3"/>
      <c r="U246" s="3"/>
      <c r="V246" s="3"/>
      <c r="W246" s="3"/>
      <c r="X246" s="284" t="e">
        <v>#N/A</v>
      </c>
      <c r="Y246" s="384"/>
      <c r="Z246" s="3"/>
      <c r="AA246" s="384">
        <f t="shared" si="20"/>
        <v>0</v>
      </c>
      <c r="AB246" s="284">
        <f t="shared" si="21"/>
        <v>0</v>
      </c>
    </row>
    <row r="247" spans="1:28" ht="99" customHeight="1" x14ac:dyDescent="0.3">
      <c r="A247" s="210">
        <f>'Unit Data from Audit Worksheet'!A269</f>
        <v>947</v>
      </c>
      <c r="B247" s="124"/>
      <c r="C247" s="209" t="str">
        <f>'Unit Data from Audit Worksheet'!D269</f>
        <v>First name of finance officer or interim finance officer (please enter “vacant” for first name if the position is currently vacant)</v>
      </c>
      <c r="D247" s="231"/>
      <c r="E247" s="172">
        <f>'Unit Data from Audit Worksheet'!F269</f>
        <v>0</v>
      </c>
      <c r="F247" s="222" t="str">
        <f>'Unit Data from Audit Worksheet'!G269</f>
        <v>Please do not leave blank</v>
      </c>
      <c r="G247" s="224"/>
      <c r="H247" s="221"/>
      <c r="I247" s="32"/>
      <c r="J247" s="161">
        <v>947</v>
      </c>
      <c r="K247" s="346" t="s">
        <v>406</v>
      </c>
      <c r="L247" s="347">
        <f t="shared" ref="L247:L258" si="24">IF(D247="",E247,D247)</f>
        <v>0</v>
      </c>
      <c r="N247" s="342"/>
      <c r="P247" s="202"/>
      <c r="Q247" s="78"/>
      <c r="X247" s="284">
        <v>947</v>
      </c>
      <c r="Y247" s="3">
        <v>947</v>
      </c>
      <c r="AA247" s="384">
        <f t="shared" si="20"/>
        <v>0</v>
      </c>
      <c r="AB247" s="284" t="b">
        <f>EXACT(E247,L247)</f>
        <v>1</v>
      </c>
    </row>
    <row r="248" spans="1:28" ht="128.25" customHeight="1" x14ac:dyDescent="0.3">
      <c r="A248" s="210">
        <f>'Unit Data from Audit Worksheet'!A270</f>
        <v>948</v>
      </c>
      <c r="B248" s="124"/>
      <c r="C248" s="209" t="str">
        <f>'Unit Data from Audit Worksheet'!D270</f>
        <v>Last name of finance officer or interim finance officer (please enter “vacant” for last name if the position is currently vacant)</v>
      </c>
      <c r="D248" s="231"/>
      <c r="E248" s="348">
        <f>'Unit Data from Audit Worksheet'!F270</f>
        <v>0</v>
      </c>
      <c r="F248" s="222" t="str">
        <f>'Unit Data from Audit Worksheet'!G270</f>
        <v>Please do not leave blank</v>
      </c>
      <c r="G248" s="224"/>
      <c r="H248" s="221"/>
      <c r="I248" s="32"/>
      <c r="J248" s="161">
        <v>948</v>
      </c>
      <c r="K248" s="346" t="s">
        <v>407</v>
      </c>
      <c r="L248" s="347">
        <f t="shared" si="24"/>
        <v>0</v>
      </c>
      <c r="N248" s="342"/>
      <c r="P248" s="202"/>
      <c r="X248" s="284">
        <v>948</v>
      </c>
      <c r="Y248" s="3">
        <v>948</v>
      </c>
      <c r="AA248" s="384">
        <f t="shared" si="20"/>
        <v>0</v>
      </c>
      <c r="AB248" s="284" t="b">
        <f t="shared" ref="AB248:AB260" si="25">EXACT(E248,L248)</f>
        <v>1</v>
      </c>
    </row>
    <row r="249" spans="1:28" ht="61.5" customHeight="1" x14ac:dyDescent="0.3">
      <c r="A249" s="210">
        <f>'Unit Data from Audit Worksheet'!A271</f>
        <v>949</v>
      </c>
      <c r="B249" s="124"/>
      <c r="C249" s="209" t="str">
        <f>'Unit Data from Audit Worksheet'!D271</f>
        <v>Is the finance officer serving in a permanent role or an interim role? (select permanent/interim/vacant)</v>
      </c>
      <c r="D249" s="231"/>
      <c r="E249" s="172">
        <f>'Unit Data from Audit Worksheet'!F271</f>
        <v>0</v>
      </c>
      <c r="F249" s="222" t="str">
        <f>'Unit Data from Audit Worksheet'!G271</f>
        <v>Please do not leave blank</v>
      </c>
      <c r="G249" s="224"/>
      <c r="H249" s="221"/>
      <c r="I249" s="32"/>
      <c r="J249" s="161">
        <v>949</v>
      </c>
      <c r="K249" s="346" t="s">
        <v>430</v>
      </c>
      <c r="L249" s="347">
        <f t="shared" si="24"/>
        <v>0</v>
      </c>
      <c r="N249" s="342"/>
      <c r="P249" s="202"/>
      <c r="X249" s="284">
        <v>949</v>
      </c>
      <c r="Y249" s="3">
        <v>949</v>
      </c>
      <c r="AA249" s="384">
        <f t="shared" si="20"/>
        <v>0</v>
      </c>
      <c r="AB249" s="284" t="b">
        <f t="shared" si="25"/>
        <v>1</v>
      </c>
    </row>
    <row r="250" spans="1:28" ht="93.75" customHeight="1" x14ac:dyDescent="0.3">
      <c r="A250" s="210">
        <f>'Unit Data from Audit Worksheet'!A272</f>
        <v>950</v>
      </c>
      <c r="B250" s="124"/>
      <c r="C250" s="209" t="str">
        <f>'Unit Data from Audit Worksheet'!D272</f>
        <v>Has the finance officer or interim finance officer been formally appointed by the local government, public authority, or designated official?  (Y/N)</v>
      </c>
      <c r="D250" s="231"/>
      <c r="E250" s="172">
        <f>'Unit Data from Audit Worksheet'!F272</f>
        <v>0</v>
      </c>
      <c r="F250" s="222" t="str">
        <f>'Unit Data from Audit Worksheet'!G272</f>
        <v>Please do not leave blank</v>
      </c>
      <c r="G250" s="224"/>
      <c r="H250" s="221"/>
      <c r="I250" s="32"/>
      <c r="J250" s="161">
        <v>950</v>
      </c>
      <c r="K250" s="346" t="s">
        <v>431</v>
      </c>
      <c r="L250" s="347">
        <f t="shared" si="24"/>
        <v>0</v>
      </c>
      <c r="N250" s="342"/>
      <c r="P250" s="202"/>
      <c r="X250" s="284">
        <v>950</v>
      </c>
      <c r="Y250" s="3">
        <v>950</v>
      </c>
      <c r="AA250" s="384">
        <f t="shared" si="20"/>
        <v>0</v>
      </c>
      <c r="AB250" s="284" t="b">
        <f t="shared" si="25"/>
        <v>1</v>
      </c>
    </row>
    <row r="251" spans="1:28" ht="153.75" customHeight="1" x14ac:dyDescent="0.3">
      <c r="A251" s="210">
        <f>'Unit Data from Audit Worksheet'!A273</f>
        <v>952</v>
      </c>
      <c r="B251" s="124"/>
      <c r="C251" s="209" t="str">
        <f>'Unit Data from Audit Worksheet'!D273</f>
        <v>Date on which the local government, public authority, or designated official appointed the finance officer?      Date Format  MM/DD/YYYY</v>
      </c>
      <c r="D251" s="231"/>
      <c r="E251" s="646" t="str">
        <f>IF('Unit Data from Audit Worksheet'!F273&gt;0,'Unit Data from Audit Worksheet'!F273," ")</f>
        <v xml:space="preserve"> </v>
      </c>
      <c r="F251" s="222" t="str">
        <f>'Unit Data from Audit Worksheet'!G273</f>
        <v>Leave blank if data not available</v>
      </c>
      <c r="G251" s="224"/>
      <c r="H251" s="221"/>
      <c r="I251" s="32"/>
      <c r="J251" s="161">
        <v>952</v>
      </c>
      <c r="K251" s="346" t="s">
        <v>432</v>
      </c>
      <c r="L251" s="349" t="str">
        <f t="shared" si="24"/>
        <v xml:space="preserve"> </v>
      </c>
      <c r="N251" s="342"/>
      <c r="P251" s="202"/>
      <c r="X251" s="284">
        <v>952</v>
      </c>
      <c r="Y251" s="3">
        <v>952</v>
      </c>
      <c r="AA251" s="384">
        <f t="shared" si="20"/>
        <v>0</v>
      </c>
      <c r="AB251" s="284" t="b">
        <f t="shared" si="25"/>
        <v>1</v>
      </c>
    </row>
    <row r="252" spans="1:28" ht="30.75" customHeight="1" x14ac:dyDescent="0.3">
      <c r="A252" s="350">
        <f>'Unit Data from Audit Worksheet'!A281</f>
        <v>960</v>
      </c>
      <c r="B252" s="168"/>
      <c r="C252" s="169" t="str">
        <f>'Unit Data from Audit Worksheet'!B281</f>
        <v>Name of Finance Officer</v>
      </c>
      <c r="D252" s="231"/>
      <c r="E252" s="351">
        <f>'Unit Data from Audit Worksheet'!D281</f>
        <v>0</v>
      </c>
      <c r="F252" s="352" t="str">
        <f>'Unit Data from Audit Worksheet'!F281</f>
        <v>Required</v>
      </c>
      <c r="G252" s="224"/>
      <c r="H252" s="221"/>
      <c r="I252" s="32"/>
      <c r="J252" s="171">
        <v>960</v>
      </c>
      <c r="K252" s="353" t="s">
        <v>426</v>
      </c>
      <c r="L252" s="354">
        <f t="shared" si="24"/>
        <v>0</v>
      </c>
      <c r="N252" s="309"/>
      <c r="P252" s="202"/>
      <c r="X252" s="284">
        <v>960</v>
      </c>
      <c r="Y252" s="3">
        <v>960</v>
      </c>
      <c r="AA252" s="384">
        <f t="shared" si="20"/>
        <v>0</v>
      </c>
      <c r="AB252" s="284" t="b">
        <f t="shared" si="25"/>
        <v>1</v>
      </c>
    </row>
    <row r="253" spans="1:28" ht="30.75" customHeight="1" x14ac:dyDescent="0.3">
      <c r="A253" s="350">
        <f>'Unit Data from Audit Worksheet'!A282</f>
        <v>962</v>
      </c>
      <c r="B253" s="168"/>
      <c r="C253" s="169" t="str">
        <f>'Unit Data from Audit Worksheet'!B282</f>
        <v>Title of Official</v>
      </c>
      <c r="D253" s="231"/>
      <c r="E253" s="351">
        <f>'Unit Data from Audit Worksheet'!D282</f>
        <v>0</v>
      </c>
      <c r="F253" s="352" t="str">
        <f>'Unit Data from Audit Worksheet'!F282</f>
        <v>Required</v>
      </c>
      <c r="G253" s="224"/>
      <c r="H253" s="221"/>
      <c r="I253" s="32"/>
      <c r="J253" s="171">
        <v>962</v>
      </c>
      <c r="K253" s="353" t="s">
        <v>402</v>
      </c>
      <c r="L253" s="354">
        <f t="shared" si="24"/>
        <v>0</v>
      </c>
      <c r="N253" s="309"/>
      <c r="P253" s="202"/>
      <c r="X253" s="284">
        <v>962</v>
      </c>
      <c r="Y253" s="3">
        <v>962</v>
      </c>
      <c r="AA253" s="384">
        <f t="shared" si="20"/>
        <v>0</v>
      </c>
      <c r="AB253" s="284" t="b">
        <f t="shared" si="25"/>
        <v>1</v>
      </c>
    </row>
    <row r="254" spans="1:28" ht="30.75" customHeight="1" x14ac:dyDescent="0.3">
      <c r="A254" s="350">
        <f>'Unit Data from Audit Worksheet'!A283</f>
        <v>964</v>
      </c>
      <c r="B254" s="168"/>
      <c r="C254" s="170" t="str">
        <f>'Unit Data from Audit Worksheet'!B283</f>
        <v>Date                        (Enter as "MM/DD/YYYY")</v>
      </c>
      <c r="D254" s="231"/>
      <c r="E254" s="355">
        <f>'Unit Data from Audit Worksheet'!D283</f>
        <v>0</v>
      </c>
      <c r="F254" s="352" t="str">
        <f>'Unit Data from Audit Worksheet'!F283</f>
        <v>Required</v>
      </c>
      <c r="G254" s="573"/>
      <c r="H254" s="221"/>
      <c r="I254" s="32"/>
      <c r="J254" s="171">
        <v>964</v>
      </c>
      <c r="K254" s="353" t="s">
        <v>457</v>
      </c>
      <c r="L254" s="356">
        <f t="shared" si="24"/>
        <v>0</v>
      </c>
      <c r="N254" s="309"/>
      <c r="P254" s="202"/>
      <c r="X254" s="284">
        <v>964</v>
      </c>
      <c r="Y254" s="3">
        <v>964</v>
      </c>
      <c r="AA254" s="384">
        <f t="shared" si="20"/>
        <v>0</v>
      </c>
      <c r="AB254" s="284" t="b">
        <f t="shared" si="25"/>
        <v>1</v>
      </c>
    </row>
    <row r="255" spans="1:28" ht="30.75" customHeight="1" x14ac:dyDescent="0.3">
      <c r="A255" s="350">
        <f>'Unit Data from Audit Worksheet'!A284</f>
        <v>966</v>
      </c>
      <c r="B255" s="168"/>
      <c r="C255" s="169" t="s">
        <v>1060</v>
      </c>
      <c r="D255" s="231"/>
      <c r="E255" s="572" t="str">
        <f>_xlfn.TEXTJOIN(",",,TEXT('Unit Data from Audit Worksheet'!D284,"###-###-####")," "&amp;'Unit Data from Audit Worksheet'!D285)</f>
        <v xml:space="preserve">--, </v>
      </c>
      <c r="F255" s="352" t="str">
        <f>'Unit Data from Audit Worksheet'!F284</f>
        <v>Required</v>
      </c>
      <c r="G255" s="224"/>
      <c r="H255" s="221"/>
      <c r="I255" s="32"/>
      <c r="J255" s="171">
        <v>966</v>
      </c>
      <c r="K255" s="353" t="s">
        <v>404</v>
      </c>
      <c r="L255" s="354" t="str">
        <f t="shared" si="24"/>
        <v xml:space="preserve">--, </v>
      </c>
      <c r="N255" s="309"/>
      <c r="P255" s="202"/>
      <c r="X255" s="284">
        <v>966</v>
      </c>
      <c r="Y255" s="3">
        <v>966</v>
      </c>
      <c r="AA255" s="384">
        <f t="shared" si="20"/>
        <v>0</v>
      </c>
      <c r="AB255" s="284" t="b">
        <f t="shared" si="25"/>
        <v>1</v>
      </c>
    </row>
    <row r="256" spans="1:28" ht="30.75" customHeight="1" x14ac:dyDescent="0.3">
      <c r="A256" s="350">
        <f>'Unit Data from Audit Worksheet'!A286</f>
        <v>968</v>
      </c>
      <c r="B256" s="168"/>
      <c r="C256" s="169" t="str">
        <f>'Unit Data from Audit Worksheet'!B286</f>
        <v>E-mail address</v>
      </c>
      <c r="D256" s="231"/>
      <c r="E256" s="351">
        <f>'Unit Data from Audit Worksheet'!D286</f>
        <v>0</v>
      </c>
      <c r="F256" s="352" t="str">
        <f>'Unit Data from Audit Worksheet'!F286</f>
        <v>Required</v>
      </c>
      <c r="G256" s="224"/>
      <c r="H256" s="221"/>
      <c r="I256" s="32"/>
      <c r="J256" s="171">
        <v>968</v>
      </c>
      <c r="K256" s="353" t="s">
        <v>405</v>
      </c>
      <c r="L256" s="354">
        <f t="shared" si="24"/>
        <v>0</v>
      </c>
      <c r="N256" s="309"/>
      <c r="P256" s="202"/>
      <c r="X256" s="284">
        <v>968</v>
      </c>
      <c r="Y256" s="3">
        <v>968</v>
      </c>
      <c r="AA256" s="384">
        <f t="shared" si="20"/>
        <v>0</v>
      </c>
      <c r="AB256" s="284" t="b">
        <f t="shared" si="25"/>
        <v>1</v>
      </c>
    </row>
    <row r="257" spans="1:28" ht="111" customHeight="1" x14ac:dyDescent="0.3">
      <c r="A257" s="357">
        <v>980</v>
      </c>
      <c r="B257" s="235" t="s">
        <v>590</v>
      </c>
      <c r="C257" s="246" t="str">
        <f>'TD Info Completed by Auditor'!B32</f>
        <v>Date the auditor presented or plans to present Financial Performance Indicators of Concern (FPIC) to the Governing Board.  If there are no FPICs to present to the governing board,  enter "7/1/2024" to indicate that an FPIC response is not required.</v>
      </c>
      <c r="D257" s="231"/>
      <c r="E257" s="626" t="str">
        <f>IF('TD Info Completed by Auditor'!C32&gt;0,'TD Info Completed by Auditor'!C32," ")</f>
        <v xml:space="preserve"> </v>
      </c>
      <c r="F257" s="358" t="s">
        <v>643</v>
      </c>
      <c r="G257" s="224"/>
      <c r="H257" s="221"/>
      <c r="I257" s="32"/>
      <c r="J257" s="247">
        <v>980</v>
      </c>
      <c r="K257" s="248" t="s">
        <v>583</v>
      </c>
      <c r="L257" s="359" t="str">
        <f t="shared" si="24"/>
        <v xml:space="preserve"> </v>
      </c>
      <c r="N257" s="387" t="s">
        <v>644</v>
      </c>
      <c r="P257" s="202"/>
      <c r="X257" s="284" t="e">
        <v>#N/A</v>
      </c>
      <c r="AA257" s="384">
        <f t="shared" si="20"/>
        <v>0</v>
      </c>
      <c r="AB257" s="284" t="b">
        <f t="shared" si="25"/>
        <v>1</v>
      </c>
    </row>
    <row r="258" spans="1:28" s="384" customFormat="1" ht="135.6" customHeight="1" x14ac:dyDescent="0.3">
      <c r="A258" s="210">
        <f>'Unit Data from Audit Worksheet'!A77</f>
        <v>590</v>
      </c>
      <c r="B258" s="210" t="str">
        <f>'Unit Data from Audit Worksheet'!B77</f>
        <v>Fiscal Review, UAL Determination, Financial Performance Indicator</v>
      </c>
      <c r="C258" s="74" t="str">
        <f>'Unit Data from Audit Worksheet'!D77</f>
        <v>If you appropriated General Fund Balance in your 2024 budget and your "change in fund balance": (account # 23 above) is negative, please select from the drop down box in column F either "operations" or "capital", whichever best describes what the fund balance was used for.  Briefly describe in column G to the right what the fund balance was used for.</v>
      </c>
      <c r="D258" s="231"/>
      <c r="E258" s="654" t="str">
        <f>CONCATENATE('Unit Data from Audit Worksheet'!F77," - ",'Unit Data from Audit Worksheet'!G77)</f>
        <v xml:space="preserve"> - </v>
      </c>
      <c r="F258" s="650"/>
      <c r="G258" s="224"/>
      <c r="H258" s="221"/>
      <c r="I258" s="32"/>
      <c r="J258" s="247">
        <v>590</v>
      </c>
      <c r="K258" s="248" t="s">
        <v>1475</v>
      </c>
      <c r="L258" s="655" t="str">
        <f t="shared" si="24"/>
        <v xml:space="preserve"> - </v>
      </c>
      <c r="M258"/>
      <c r="N258" s="387"/>
      <c r="P258" s="202"/>
      <c r="Q258" s="277"/>
      <c r="X258" s="284"/>
      <c r="AB258" s="284"/>
    </row>
    <row r="259" spans="1:28" s="384" customFormat="1" ht="135.6" customHeight="1" x14ac:dyDescent="0.3">
      <c r="A259" s="302">
        <f>'TD Info Completed by Auditor'!A31</f>
        <v>1079</v>
      </c>
      <c r="B259" s="302"/>
      <c r="C259" s="988" t="str">
        <f>'TD Info Completed by Auditor'!B31</f>
        <v>What date was the audit report submitted to the LGC?  (Note audit reports are due four months after fiscal year end regardless of the contract submission date.)  Enter as "MM/DD/YYYY"</v>
      </c>
      <c r="D259" s="231"/>
      <c r="E259" s="991">
        <f>'TD Info Completed by Auditor'!C31</f>
        <v>0</v>
      </c>
      <c r="F259" s="650"/>
      <c r="G259" s="224"/>
      <c r="H259" s="221"/>
      <c r="I259" s="32"/>
      <c r="J259" s="247">
        <v>1079</v>
      </c>
      <c r="K259" s="248" t="s">
        <v>1933</v>
      </c>
      <c r="L259" s="989">
        <f>E259</f>
        <v>0</v>
      </c>
      <c r="M259" s="180"/>
      <c r="N259" s="387"/>
      <c r="P259" s="202"/>
      <c r="Q259" s="277"/>
      <c r="X259" s="284"/>
      <c r="AB259" s="284"/>
    </row>
    <row r="260" spans="1:28" ht="83.4" customHeight="1" x14ac:dyDescent="0.3">
      <c r="A260" s="332"/>
      <c r="B260" s="90"/>
      <c r="C260" s="333"/>
      <c r="D260" s="335"/>
      <c r="E260" s="336"/>
      <c r="F260" s="337"/>
      <c r="G260" s="338"/>
      <c r="H260" s="339"/>
      <c r="I260" s="32"/>
      <c r="J260" s="161">
        <v>999</v>
      </c>
      <c r="K260" s="346" t="s">
        <v>278</v>
      </c>
      <c r="L260" s="360" t="e">
        <f>'Unit Data from Audit Worksheet'!D3</f>
        <v>#N/A</v>
      </c>
      <c r="N260" s="361" t="s">
        <v>642</v>
      </c>
      <c r="O260" s="361" t="s">
        <v>641</v>
      </c>
      <c r="P260" s="202"/>
      <c r="X260" s="284" t="e">
        <v>#N/A</v>
      </c>
      <c r="AA260" s="384">
        <f t="shared" si="20"/>
        <v>-999</v>
      </c>
      <c r="AB260" s="284" t="e">
        <f t="shared" si="25"/>
        <v>#N/A</v>
      </c>
    </row>
    <row r="261" spans="1:28" x14ac:dyDescent="0.3">
      <c r="A261" s="186"/>
      <c r="B261" s="186"/>
      <c r="C261" s="186"/>
      <c r="D261" s="186"/>
      <c r="E261" s="186"/>
      <c r="F261" s="186"/>
      <c r="G261" s="186"/>
      <c r="H261" s="186"/>
      <c r="I261" s="186"/>
      <c r="J261" s="3"/>
      <c r="K261" s="3"/>
      <c r="L261" s="3"/>
      <c r="N261" s="4"/>
      <c r="P261" s="202"/>
      <c r="AA261" s="384"/>
    </row>
    <row r="262" spans="1:28" s="384" customFormat="1" x14ac:dyDescent="0.3">
      <c r="A262" s="186"/>
      <c r="B262" s="186"/>
      <c r="C262" s="186"/>
      <c r="D262" s="186"/>
      <c r="E262" s="186"/>
      <c r="F262" s="186"/>
      <c r="G262" s="186"/>
      <c r="H262" s="186"/>
      <c r="I262" s="186"/>
      <c r="M262"/>
      <c r="N262" s="4"/>
      <c r="P262" s="202"/>
      <c r="Q262" s="277"/>
    </row>
    <row r="263" spans="1:28" x14ac:dyDescent="0.3">
      <c r="C263" s="637"/>
      <c r="D263" s="363"/>
      <c r="E263" s="364"/>
      <c r="F263" s="364"/>
      <c r="G263" s="365"/>
      <c r="H263" s="364"/>
      <c r="I263" s="366"/>
      <c r="K263" s="716" t="s">
        <v>1476</v>
      </c>
      <c r="L263" s="718" t="e">
        <f>SUM(L4:L245)</f>
        <v>#N/A</v>
      </c>
      <c r="N263" s="4"/>
      <c r="P263" s="202"/>
      <c r="AA263" s="384"/>
    </row>
    <row r="264" spans="1:28" ht="19.2" customHeight="1" x14ac:dyDescent="0.3">
      <c r="A264"/>
      <c r="B264"/>
      <c r="C264"/>
      <c r="D264"/>
      <c r="E264"/>
      <c r="F264"/>
      <c r="G264" s="365"/>
      <c r="H264" s="364"/>
      <c r="I264" s="366"/>
      <c r="K264" s="717" t="s">
        <v>1460</v>
      </c>
      <c r="L264" s="718"/>
      <c r="N264" s="4"/>
      <c r="P264" s="202"/>
      <c r="AA264" s="384"/>
    </row>
    <row r="265" spans="1:28" ht="21.6" customHeight="1" x14ac:dyDescent="0.7">
      <c r="B265" s="3"/>
      <c r="C265" s="3"/>
      <c r="D265" s="73"/>
      <c r="E265" s="96"/>
      <c r="F265" s="73"/>
      <c r="G265" s="365"/>
      <c r="H265" s="364"/>
      <c r="I265" s="366"/>
      <c r="J265" s="148"/>
      <c r="K265" s="147"/>
      <c r="L265" s="718" t="e">
        <f>L263-L264</f>
        <v>#N/A</v>
      </c>
      <c r="N265" s="4"/>
      <c r="P265" s="202"/>
      <c r="Y265" s="384">
        <v>590</v>
      </c>
      <c r="AA265" s="384"/>
    </row>
    <row r="266" spans="1:28" ht="25.2" customHeight="1" x14ac:dyDescent="0.3">
      <c r="A266" s="186"/>
      <c r="B266" s="186"/>
      <c r="C266" s="186"/>
      <c r="D266" s="186"/>
      <c r="E266" s="186"/>
      <c r="F266" s="364"/>
      <c r="G266" s="365"/>
      <c r="H266" s="364"/>
      <c r="I266" s="366"/>
      <c r="K266" s="10"/>
      <c r="L266" s="367"/>
      <c r="P266" s="202"/>
      <c r="X266" s="284">
        <f>SUM(X5:X211)</f>
        <v>83710</v>
      </c>
      <c r="Y266" s="3">
        <v>96734</v>
      </c>
      <c r="AA266" s="384"/>
    </row>
    <row r="267" spans="1:28" x14ac:dyDescent="0.3">
      <c r="A267" s="186"/>
      <c r="B267" s="186"/>
      <c r="C267" s="186"/>
      <c r="D267" s="186"/>
      <c r="E267" s="186"/>
      <c r="F267" s="364"/>
      <c r="G267" s="365"/>
      <c r="H267" s="364"/>
      <c r="I267" s="366"/>
      <c r="K267" s="10"/>
      <c r="P267" s="202"/>
      <c r="X267" s="284">
        <f>SUM(X247:X256)</f>
        <v>9566</v>
      </c>
      <c r="AA267" s="384"/>
    </row>
    <row r="268" spans="1:28" ht="18.75" customHeight="1" x14ac:dyDescent="0.3">
      <c r="A268" s="186"/>
      <c r="B268" s="186"/>
      <c r="C268" s="186"/>
      <c r="D268" s="186"/>
      <c r="E268" s="186"/>
      <c r="F268" s="364"/>
      <c r="G268" s="365"/>
      <c r="H268" s="364"/>
      <c r="I268" s="366"/>
      <c r="K268" s="10"/>
      <c r="L268"/>
      <c r="P268" s="202"/>
      <c r="Y268" s="3" t="s">
        <v>874</v>
      </c>
      <c r="AA268" s="384"/>
    </row>
    <row r="269" spans="1:28" ht="30.75" customHeight="1" x14ac:dyDescent="0.3">
      <c r="A269" s="186"/>
      <c r="B269" s="186"/>
      <c r="C269" s="186"/>
      <c r="D269" s="186"/>
      <c r="E269" s="186"/>
      <c r="F269" s="364"/>
      <c r="G269" s="365"/>
      <c r="H269" s="364"/>
      <c r="I269" s="366"/>
      <c r="K269" s="10"/>
      <c r="L269" s="367"/>
      <c r="P269" s="202"/>
      <c r="X269" s="284">
        <f>SUM(X266:X268)</f>
        <v>93276</v>
      </c>
      <c r="Y269" s="3">
        <f>Y266</f>
        <v>96734</v>
      </c>
      <c r="Z269" s="284">
        <f>X269-Y269</f>
        <v>-3458</v>
      </c>
      <c r="AA269" s="384"/>
    </row>
    <row r="270" spans="1:28" ht="30.75" customHeight="1" x14ac:dyDescent="0.3">
      <c r="A270" s="186"/>
      <c r="B270" s="186"/>
      <c r="C270" s="186"/>
      <c r="D270" s="186"/>
      <c r="E270" s="186"/>
      <c r="F270" s="364"/>
      <c r="G270" s="365"/>
      <c r="H270" s="364"/>
      <c r="I270" s="366"/>
      <c r="K270" s="10"/>
      <c r="L270" s="367"/>
      <c r="P270" s="202"/>
      <c r="AA270" s="384"/>
    </row>
    <row r="271" spans="1:28" ht="30.75" customHeight="1" x14ac:dyDescent="0.3">
      <c r="A271" s="186"/>
      <c r="B271" s="186"/>
      <c r="C271" s="186"/>
      <c r="D271" s="186"/>
      <c r="E271" s="186"/>
      <c r="F271" s="364"/>
      <c r="G271" s="365"/>
      <c r="H271" s="364"/>
      <c r="I271" s="366"/>
      <c r="K271" s="10"/>
      <c r="L271" s="367"/>
      <c r="P271" s="202"/>
      <c r="AA271" s="384"/>
    </row>
    <row r="272" spans="1:28" ht="30.75" customHeight="1" x14ac:dyDescent="0.3">
      <c r="A272" s="186"/>
      <c r="B272" s="186"/>
      <c r="C272" s="186"/>
      <c r="D272" s="186"/>
      <c r="E272" s="186"/>
      <c r="F272" s="364"/>
      <c r="G272" s="365"/>
      <c r="H272" s="364"/>
      <c r="I272" s="366"/>
      <c r="K272" s="10"/>
      <c r="L272" s="367"/>
      <c r="P272" s="202"/>
      <c r="AA272" s="384"/>
    </row>
    <row r="273" spans="1:27" ht="30.75" customHeight="1" x14ac:dyDescent="0.3">
      <c r="A273" s="186"/>
      <c r="B273" s="186"/>
      <c r="C273" s="186"/>
      <c r="D273" s="186"/>
      <c r="E273" s="186"/>
      <c r="F273" s="364"/>
      <c r="G273" s="365"/>
      <c r="H273" s="364"/>
      <c r="I273" s="366"/>
      <c r="K273" s="10"/>
      <c r="L273" s="367"/>
      <c r="P273" s="202"/>
      <c r="AA273" s="384"/>
    </row>
    <row r="274" spans="1:27" x14ac:dyDescent="0.3">
      <c r="A274" s="186"/>
      <c r="B274" s="186"/>
      <c r="C274" s="186"/>
      <c r="D274" s="186"/>
      <c r="E274" s="186"/>
      <c r="I274" s="366"/>
      <c r="K274" s="10"/>
      <c r="L274" s="367"/>
      <c r="P274" s="202"/>
      <c r="AA274" s="384"/>
    </row>
    <row r="275" spans="1:27" x14ac:dyDescent="0.3">
      <c r="A275" s="186"/>
      <c r="B275" s="186"/>
      <c r="C275" s="186"/>
      <c r="D275" s="186"/>
      <c r="E275" s="186"/>
      <c r="I275" s="366"/>
      <c r="L275" s="367"/>
      <c r="P275" s="202"/>
      <c r="AA275" s="384"/>
    </row>
    <row r="276" spans="1:27" x14ac:dyDescent="0.3">
      <c r="A276" s="5"/>
      <c r="B276" s="368"/>
      <c r="C276" s="23"/>
      <c r="D276" s="72"/>
      <c r="I276" s="366"/>
      <c r="L276" s="367"/>
      <c r="P276" s="202"/>
      <c r="AA276" s="384"/>
    </row>
    <row r="277" spans="1:27" x14ac:dyDescent="0.3">
      <c r="A277" s="5"/>
      <c r="B277" s="368"/>
      <c r="C277" s="23"/>
      <c r="D277" s="72"/>
      <c r="L277" s="367"/>
      <c r="P277" s="202"/>
      <c r="AA277" s="384"/>
    </row>
    <row r="278" spans="1:27" x14ac:dyDescent="0.3">
      <c r="D278" s="72"/>
      <c r="P278" s="202"/>
      <c r="AA278" s="384"/>
    </row>
    <row r="279" spans="1:27" x14ac:dyDescent="0.3">
      <c r="D279" s="72"/>
      <c r="P279" s="202"/>
      <c r="AA279" s="384"/>
    </row>
    <row r="280" spans="1:27" x14ac:dyDescent="0.3">
      <c r="D280" s="72"/>
      <c r="P280" s="202"/>
      <c r="AA280" s="384"/>
    </row>
    <row r="281" spans="1:27" x14ac:dyDescent="0.3">
      <c r="D281" s="72"/>
      <c r="P281" s="202"/>
      <c r="AA281" s="384"/>
    </row>
    <row r="282" spans="1:27" x14ac:dyDescent="0.3">
      <c r="A282" s="5"/>
      <c r="B282" s="368"/>
      <c r="C282" s="23"/>
      <c r="D282" s="72"/>
      <c r="P282" s="202"/>
      <c r="AA282" s="384"/>
    </row>
    <row r="283" spans="1:27" x14ac:dyDescent="0.3">
      <c r="A283" s="5"/>
      <c r="B283" s="368"/>
      <c r="C283" s="23"/>
      <c r="D283" s="72"/>
      <c r="P283" s="202"/>
      <c r="AA283" s="384"/>
    </row>
    <row r="284" spans="1:27" x14ac:dyDescent="0.3">
      <c r="D284" s="72"/>
      <c r="P284" s="202"/>
      <c r="AA284" s="384"/>
    </row>
    <row r="285" spans="1:27" x14ac:dyDescent="0.3">
      <c r="D285" s="72"/>
      <c r="P285" s="202"/>
      <c r="AA285" s="384"/>
    </row>
    <row r="286" spans="1:27" x14ac:dyDescent="0.3">
      <c r="D286" s="72"/>
      <c r="P286" s="202"/>
      <c r="AA286" s="384"/>
    </row>
    <row r="287" spans="1:27" x14ac:dyDescent="0.3">
      <c r="D287" s="72"/>
      <c r="P287" s="202"/>
      <c r="AA287" s="384"/>
    </row>
    <row r="288" spans="1:27" x14ac:dyDescent="0.3">
      <c r="A288" s="5"/>
      <c r="B288" s="368"/>
      <c r="C288" s="23"/>
      <c r="D288" s="72"/>
      <c r="P288" s="202"/>
      <c r="AA288" s="384"/>
    </row>
    <row r="289" spans="1:27" x14ac:dyDescent="0.3">
      <c r="A289" s="5"/>
      <c r="B289" s="368"/>
      <c r="C289" s="23"/>
      <c r="D289" s="72"/>
      <c r="P289" s="202"/>
      <c r="AA289" s="384"/>
    </row>
    <row r="290" spans="1:27" x14ac:dyDescent="0.3">
      <c r="D290" s="72"/>
      <c r="P290" s="202"/>
      <c r="AA290" s="384"/>
    </row>
    <row r="291" spans="1:27" x14ac:dyDescent="0.3">
      <c r="D291" s="72"/>
      <c r="P291" s="202"/>
      <c r="AA291" s="384"/>
    </row>
    <row r="292" spans="1:27" x14ac:dyDescent="0.3">
      <c r="D292" s="72"/>
      <c r="P292" s="202"/>
      <c r="AA292" s="384"/>
    </row>
    <row r="293" spans="1:27" x14ac:dyDescent="0.3">
      <c r="D293" s="72"/>
      <c r="P293" s="202"/>
      <c r="AA293" s="384"/>
    </row>
    <row r="294" spans="1:27" x14ac:dyDescent="0.3">
      <c r="A294" s="5"/>
      <c r="B294" s="368"/>
      <c r="C294" s="23"/>
      <c r="D294" s="72"/>
      <c r="P294" s="202"/>
      <c r="AA294" s="384"/>
    </row>
    <row r="295" spans="1:27" x14ac:dyDescent="0.3">
      <c r="A295" s="5"/>
      <c r="B295" s="368"/>
      <c r="C295" s="23"/>
      <c r="D295" s="72"/>
      <c r="P295" s="202"/>
      <c r="AA295" s="384"/>
    </row>
    <row r="296" spans="1:27" x14ac:dyDescent="0.3">
      <c r="A296" s="5"/>
      <c r="B296" s="368"/>
      <c r="C296" s="23"/>
      <c r="D296" s="72"/>
      <c r="P296" s="202"/>
      <c r="AA296" s="384"/>
    </row>
    <row r="297" spans="1:27" x14ac:dyDescent="0.3">
      <c r="A297" s="5"/>
      <c r="B297" s="368"/>
      <c r="C297" s="23"/>
      <c r="D297" s="72"/>
      <c r="P297" s="202"/>
      <c r="AA297" s="384"/>
    </row>
    <row r="298" spans="1:27" x14ac:dyDescent="0.3">
      <c r="D298" s="72"/>
      <c r="P298" s="202"/>
      <c r="AA298" s="384"/>
    </row>
    <row r="299" spans="1:27" x14ac:dyDescent="0.3">
      <c r="D299" s="72"/>
      <c r="P299" s="202"/>
      <c r="AA299" s="384"/>
    </row>
    <row r="300" spans="1:27" x14ac:dyDescent="0.3">
      <c r="D300" s="72"/>
      <c r="P300" s="202"/>
      <c r="AA300" s="384"/>
    </row>
    <row r="301" spans="1:27" x14ac:dyDescent="0.3">
      <c r="A301" s="5"/>
      <c r="B301" s="368"/>
      <c r="C301" s="23"/>
      <c r="D301" s="72"/>
      <c r="P301" s="202"/>
      <c r="AA301" s="384"/>
    </row>
    <row r="302" spans="1:27" x14ac:dyDescent="0.3">
      <c r="A302" s="5"/>
      <c r="B302" s="368"/>
      <c r="C302" s="23"/>
      <c r="D302" s="72"/>
      <c r="P302" s="202"/>
      <c r="AA302" s="384"/>
    </row>
    <row r="303" spans="1:27" x14ac:dyDescent="0.3">
      <c r="A303" s="5"/>
      <c r="B303" s="368"/>
      <c r="C303" s="23"/>
      <c r="D303" s="72"/>
      <c r="P303" s="202"/>
      <c r="AA303" s="384"/>
    </row>
    <row r="304" spans="1:27" x14ac:dyDescent="0.3">
      <c r="A304" s="5"/>
      <c r="B304" s="368"/>
      <c r="C304" s="23"/>
      <c r="D304" s="72"/>
      <c r="P304" s="202"/>
      <c r="AA304" s="384"/>
    </row>
    <row r="305" spans="1:27" x14ac:dyDescent="0.3">
      <c r="A305" s="5"/>
      <c r="B305" s="368"/>
      <c r="C305" s="23"/>
      <c r="D305" s="72"/>
      <c r="P305" s="202"/>
      <c r="AA305" s="384"/>
    </row>
    <row r="306" spans="1:27" x14ac:dyDescent="0.3">
      <c r="A306" s="5"/>
      <c r="B306" s="368"/>
      <c r="C306" s="23"/>
      <c r="D306" s="72"/>
      <c r="P306" s="202"/>
      <c r="AA306" s="384"/>
    </row>
    <row r="307" spans="1:27" x14ac:dyDescent="0.3">
      <c r="A307" s="5"/>
      <c r="B307" s="368"/>
      <c r="C307" s="23"/>
      <c r="D307" s="72"/>
      <c r="P307" s="202"/>
      <c r="AA307" s="384"/>
    </row>
    <row r="308" spans="1:27" x14ac:dyDescent="0.3">
      <c r="A308" s="5"/>
      <c r="B308" s="368"/>
      <c r="C308" s="23"/>
      <c r="D308" s="72"/>
      <c r="P308" s="202"/>
      <c r="AA308" s="384"/>
    </row>
    <row r="309" spans="1:27" x14ac:dyDescent="0.3">
      <c r="A309" s="5"/>
      <c r="B309" s="368"/>
      <c r="C309" s="23"/>
      <c r="D309" s="72"/>
      <c r="P309" s="202"/>
      <c r="AA309" s="384"/>
    </row>
    <row r="310" spans="1:27" x14ac:dyDescent="0.3">
      <c r="A310" s="5"/>
      <c r="B310" s="368"/>
      <c r="C310" s="23"/>
      <c r="D310" s="72"/>
      <c r="P310" s="202"/>
      <c r="AA310" s="384"/>
    </row>
    <row r="311" spans="1:27" x14ac:dyDescent="0.3">
      <c r="A311" s="5"/>
      <c r="B311" s="368"/>
      <c r="C311" s="23"/>
      <c r="D311" s="72"/>
      <c r="P311" s="202"/>
      <c r="AA311" s="384"/>
    </row>
    <row r="312" spans="1:27" x14ac:dyDescent="0.3">
      <c r="A312" s="5"/>
      <c r="B312" s="368"/>
      <c r="C312" s="23"/>
      <c r="D312" s="72"/>
      <c r="P312" s="202"/>
      <c r="AA312" s="384"/>
    </row>
    <row r="313" spans="1:27" x14ac:dyDescent="0.3">
      <c r="A313" s="5"/>
      <c r="B313" s="368"/>
      <c r="C313" s="23"/>
      <c r="D313" s="72"/>
      <c r="P313" s="202"/>
      <c r="AA313" s="384"/>
    </row>
    <row r="314" spans="1:27" x14ac:dyDescent="0.3">
      <c r="A314" s="5"/>
      <c r="B314" s="368"/>
      <c r="C314" s="23"/>
      <c r="D314" s="72"/>
      <c r="P314" s="202"/>
      <c r="AA314" s="384"/>
    </row>
    <row r="315" spans="1:27" x14ac:dyDescent="0.3">
      <c r="A315" s="5"/>
      <c r="B315" s="368"/>
      <c r="C315" s="23"/>
      <c r="D315" s="72"/>
      <c r="P315" s="202"/>
      <c r="AA315" s="384"/>
    </row>
    <row r="316" spans="1:27" x14ac:dyDescent="0.3">
      <c r="A316" s="5"/>
      <c r="B316" s="368"/>
      <c r="C316" s="23"/>
      <c r="D316" s="72"/>
      <c r="P316" s="202"/>
      <c r="AA316" s="384"/>
    </row>
    <row r="317" spans="1:27" x14ac:dyDescent="0.3">
      <c r="A317" s="5"/>
      <c r="B317" s="368"/>
      <c r="C317" s="23"/>
      <c r="D317" s="72"/>
      <c r="P317" s="202"/>
      <c r="AA317" s="384"/>
    </row>
    <row r="318" spans="1:27" x14ac:dyDescent="0.3">
      <c r="A318" s="5"/>
      <c r="B318" s="368"/>
      <c r="C318" s="23"/>
      <c r="D318" s="72"/>
      <c r="P318" s="202"/>
      <c r="AA318" s="384"/>
    </row>
    <row r="319" spans="1:27" x14ac:dyDescent="0.3">
      <c r="A319" s="5"/>
      <c r="B319" s="368"/>
      <c r="C319" s="23"/>
      <c r="D319" s="72"/>
      <c r="P319" s="202"/>
      <c r="AA319" s="384"/>
    </row>
    <row r="320" spans="1:27" x14ac:dyDescent="0.3">
      <c r="A320" s="5"/>
      <c r="B320" s="368"/>
      <c r="C320" s="23"/>
      <c r="D320" s="72"/>
      <c r="P320" s="202"/>
    </row>
    <row r="321" spans="1:16" x14ac:dyDescent="0.3">
      <c r="A321" s="5"/>
      <c r="B321" s="368"/>
      <c r="C321" s="23"/>
      <c r="D321" s="72"/>
      <c r="P321" s="202"/>
    </row>
    <row r="322" spans="1:16" x14ac:dyDescent="0.3">
      <c r="A322" s="5"/>
      <c r="B322" s="368"/>
      <c r="C322" s="23"/>
      <c r="D322" s="72"/>
      <c r="P322" s="202"/>
    </row>
    <row r="323" spans="1:16" x14ac:dyDescent="0.3">
      <c r="A323" s="5"/>
      <c r="B323" s="368"/>
      <c r="C323" s="23"/>
      <c r="D323" s="72"/>
      <c r="P323" s="202"/>
    </row>
    <row r="324" spans="1:16" x14ac:dyDescent="0.3">
      <c r="A324" s="5"/>
      <c r="B324" s="368"/>
      <c r="C324" s="23"/>
      <c r="D324" s="72"/>
      <c r="P324" s="202"/>
    </row>
    <row r="325" spans="1:16" x14ac:dyDescent="0.3">
      <c r="A325" s="5"/>
      <c r="B325" s="368"/>
      <c r="C325" s="23"/>
      <c r="D325" s="72"/>
      <c r="P325" s="202"/>
    </row>
    <row r="326" spans="1:16" x14ac:dyDescent="0.3">
      <c r="A326" s="5"/>
      <c r="B326" s="368"/>
      <c r="C326" s="23"/>
      <c r="D326" s="72"/>
      <c r="P326" s="202"/>
    </row>
    <row r="327" spans="1:16" x14ac:dyDescent="0.3">
      <c r="A327" s="5"/>
      <c r="B327" s="368"/>
      <c r="C327" s="23"/>
      <c r="D327" s="72"/>
      <c r="P327" s="202"/>
    </row>
    <row r="328" spans="1:16" x14ac:dyDescent="0.3">
      <c r="A328" s="5"/>
      <c r="B328" s="368"/>
      <c r="C328" s="23"/>
      <c r="D328" s="72"/>
      <c r="P328" s="202"/>
    </row>
    <row r="329" spans="1:16" x14ac:dyDescent="0.3">
      <c r="A329" s="5"/>
      <c r="B329" s="368"/>
      <c r="C329" s="23"/>
      <c r="D329" s="72"/>
      <c r="P329" s="202"/>
    </row>
    <row r="330" spans="1:16" x14ac:dyDescent="0.3">
      <c r="A330" s="5"/>
      <c r="B330" s="368"/>
      <c r="C330" s="23"/>
      <c r="D330" s="72"/>
      <c r="P330" s="202"/>
    </row>
    <row r="331" spans="1:16" x14ac:dyDescent="0.3">
      <c r="A331" s="5"/>
      <c r="B331" s="368"/>
      <c r="C331" s="23"/>
      <c r="D331" s="72"/>
      <c r="P331" s="202"/>
    </row>
    <row r="332" spans="1:16" x14ac:dyDescent="0.3">
      <c r="A332" s="5"/>
      <c r="B332" s="368"/>
      <c r="C332" s="23"/>
      <c r="D332" s="72"/>
      <c r="P332" s="202"/>
    </row>
    <row r="333" spans="1:16" x14ac:dyDescent="0.3">
      <c r="A333" s="5"/>
      <c r="B333" s="368"/>
      <c r="C333" s="23"/>
      <c r="D333" s="72"/>
      <c r="P333" s="202"/>
    </row>
    <row r="334" spans="1:16" x14ac:dyDescent="0.3">
      <c r="A334" s="5"/>
      <c r="B334" s="368"/>
      <c r="C334" s="23"/>
      <c r="D334" s="72"/>
      <c r="P334" s="202"/>
    </row>
    <row r="335" spans="1:16" x14ac:dyDescent="0.3">
      <c r="A335" s="5"/>
      <c r="B335" s="368"/>
      <c r="C335" s="23"/>
      <c r="D335" s="72"/>
      <c r="P335" s="202"/>
    </row>
    <row r="336" spans="1:16" x14ac:dyDescent="0.3">
      <c r="A336" s="5"/>
      <c r="B336" s="368"/>
      <c r="C336" s="23"/>
      <c r="D336" s="72"/>
      <c r="P336" s="202"/>
    </row>
    <row r="337" spans="1:16" x14ac:dyDescent="0.3">
      <c r="A337" s="5"/>
      <c r="B337" s="368"/>
      <c r="C337" s="23"/>
      <c r="D337" s="72"/>
      <c r="P337" s="202"/>
    </row>
    <row r="338" spans="1:16" x14ac:dyDescent="0.3">
      <c r="A338" s="5"/>
      <c r="B338" s="368"/>
      <c r="C338" s="23"/>
      <c r="D338" s="72"/>
      <c r="P338" s="202"/>
    </row>
    <row r="339" spans="1:16" x14ac:dyDescent="0.3">
      <c r="A339" s="5"/>
      <c r="B339" s="368"/>
      <c r="C339" s="23"/>
      <c r="D339" s="72"/>
      <c r="P339" s="202"/>
    </row>
    <row r="340" spans="1:16" x14ac:dyDescent="0.3">
      <c r="A340" s="5"/>
      <c r="B340" s="368"/>
      <c r="C340" s="23"/>
      <c r="D340" s="72"/>
      <c r="P340" s="202"/>
    </row>
    <row r="341" spans="1:16" x14ac:dyDescent="0.3">
      <c r="A341" s="5"/>
      <c r="B341" s="368"/>
      <c r="C341" s="23"/>
      <c r="D341" s="72"/>
      <c r="P341" s="202"/>
    </row>
    <row r="342" spans="1:16" x14ac:dyDescent="0.3">
      <c r="A342" s="5"/>
      <c r="B342" s="368"/>
      <c r="C342" s="23"/>
      <c r="D342" s="72"/>
      <c r="P342" s="202"/>
    </row>
    <row r="343" spans="1:16" x14ac:dyDescent="0.3">
      <c r="A343" s="5"/>
      <c r="B343" s="368"/>
      <c r="C343" s="23"/>
      <c r="D343" s="72"/>
      <c r="P343" s="202"/>
    </row>
    <row r="344" spans="1:16" x14ac:dyDescent="0.3">
      <c r="A344" s="5"/>
      <c r="B344" s="368"/>
      <c r="C344" s="23"/>
      <c r="D344" s="72"/>
      <c r="P344" s="202"/>
    </row>
    <row r="345" spans="1:16" x14ac:dyDescent="0.3">
      <c r="A345" s="5"/>
      <c r="B345" s="368"/>
      <c r="C345" s="23"/>
      <c r="D345" s="72"/>
      <c r="P345" s="202"/>
    </row>
    <row r="346" spans="1:16" x14ac:dyDescent="0.3">
      <c r="A346" s="5"/>
      <c r="B346" s="368"/>
      <c r="C346" s="23"/>
      <c r="D346" s="72"/>
      <c r="P346" s="202"/>
    </row>
    <row r="347" spans="1:16" x14ac:dyDescent="0.3">
      <c r="A347" s="5"/>
      <c r="B347" s="368"/>
      <c r="C347" s="23"/>
      <c r="D347" s="72"/>
      <c r="P347" s="202"/>
    </row>
    <row r="348" spans="1:16" x14ac:dyDescent="0.3">
      <c r="A348" s="5"/>
      <c r="B348" s="368"/>
      <c r="C348" s="23"/>
      <c r="D348" s="72"/>
      <c r="P348" s="202"/>
    </row>
    <row r="349" spans="1:16" x14ac:dyDescent="0.3">
      <c r="A349" s="5"/>
      <c r="B349" s="368"/>
      <c r="C349" s="23"/>
      <c r="D349" s="72"/>
      <c r="P349" s="202"/>
    </row>
    <row r="350" spans="1:16" x14ac:dyDescent="0.3">
      <c r="A350" s="5"/>
      <c r="B350" s="368"/>
      <c r="C350" s="23"/>
      <c r="D350" s="72"/>
      <c r="P350" s="202"/>
    </row>
    <row r="351" spans="1:16" x14ac:dyDescent="0.3">
      <c r="A351" s="5"/>
      <c r="B351" s="368"/>
      <c r="C351" s="23"/>
      <c r="D351" s="72"/>
      <c r="P351" s="202"/>
    </row>
    <row r="352" spans="1:16" x14ac:dyDescent="0.3">
      <c r="A352" s="5"/>
      <c r="B352" s="368"/>
      <c r="C352" s="23"/>
      <c r="D352" s="72"/>
      <c r="P352" s="202"/>
    </row>
    <row r="353" spans="1:16" x14ac:dyDescent="0.3">
      <c r="A353" s="5"/>
      <c r="B353" s="368"/>
      <c r="C353" s="23"/>
      <c r="D353" s="72"/>
      <c r="P353" s="202"/>
    </row>
    <row r="354" spans="1:16" x14ac:dyDescent="0.3">
      <c r="A354" s="5"/>
      <c r="B354" s="368"/>
      <c r="C354" s="23"/>
      <c r="D354" s="72"/>
      <c r="P354" s="202"/>
    </row>
    <row r="355" spans="1:16" x14ac:dyDescent="0.3">
      <c r="A355" s="5"/>
      <c r="B355" s="368"/>
      <c r="C355" s="23"/>
      <c r="D355" s="72"/>
      <c r="P355" s="202"/>
    </row>
    <row r="356" spans="1:16" x14ac:dyDescent="0.3">
      <c r="A356" s="5"/>
      <c r="B356" s="368"/>
      <c r="C356" s="23"/>
      <c r="D356" s="72"/>
      <c r="P356" s="202"/>
    </row>
    <row r="357" spans="1:16" x14ac:dyDescent="0.3">
      <c r="A357" s="5"/>
      <c r="B357" s="368"/>
      <c r="C357" s="23"/>
      <c r="D357" s="72"/>
      <c r="P357" s="202"/>
    </row>
    <row r="358" spans="1:16" x14ac:dyDescent="0.3">
      <c r="A358" s="5"/>
      <c r="B358" s="368"/>
      <c r="C358" s="23"/>
      <c r="D358" s="72"/>
      <c r="P358" s="202"/>
    </row>
    <row r="359" spans="1:16" x14ac:dyDescent="0.3">
      <c r="A359" s="5"/>
      <c r="B359" s="368"/>
      <c r="C359" s="23"/>
      <c r="D359" s="72"/>
      <c r="P359" s="202"/>
    </row>
    <row r="360" spans="1:16" x14ac:dyDescent="0.3">
      <c r="A360" s="5"/>
      <c r="B360" s="368"/>
      <c r="C360" s="23"/>
      <c r="D360" s="72"/>
      <c r="P360" s="202"/>
    </row>
    <row r="361" spans="1:16" x14ac:dyDescent="0.3">
      <c r="A361" s="5"/>
      <c r="B361" s="368"/>
      <c r="C361" s="23"/>
      <c r="D361" s="72"/>
      <c r="P361" s="202"/>
    </row>
    <row r="362" spans="1:16" x14ac:dyDescent="0.3">
      <c r="A362" s="5"/>
      <c r="B362" s="368"/>
      <c r="C362" s="23"/>
      <c r="D362" s="72"/>
      <c r="P362" s="202"/>
    </row>
    <row r="363" spans="1:16" x14ac:dyDescent="0.3">
      <c r="A363" s="5"/>
      <c r="B363" s="368"/>
      <c r="C363" s="23"/>
      <c r="D363" s="72"/>
      <c r="P363" s="202"/>
    </row>
    <row r="364" spans="1:16" x14ac:dyDescent="0.3">
      <c r="A364" s="5"/>
      <c r="B364" s="368"/>
      <c r="C364" s="23"/>
      <c r="D364" s="72"/>
      <c r="P364" s="202"/>
    </row>
    <row r="365" spans="1:16" x14ac:dyDescent="0.3">
      <c r="A365" s="5"/>
      <c r="B365" s="368"/>
      <c r="C365" s="23"/>
      <c r="D365" s="72"/>
      <c r="P365" s="202"/>
    </row>
    <row r="366" spans="1:16" x14ac:dyDescent="0.3">
      <c r="A366" s="5"/>
      <c r="B366" s="368"/>
      <c r="C366" s="23"/>
      <c r="D366" s="72"/>
      <c r="P366" s="202"/>
    </row>
    <row r="367" spans="1:16" x14ac:dyDescent="0.3">
      <c r="A367" s="5"/>
      <c r="B367" s="368"/>
      <c r="C367" s="23"/>
      <c r="D367" s="72"/>
      <c r="P367" s="202"/>
    </row>
    <row r="368" spans="1:16" x14ac:dyDescent="0.3">
      <c r="A368" s="5"/>
      <c r="B368" s="368"/>
      <c r="C368" s="23"/>
      <c r="D368" s="72"/>
      <c r="P368" s="202"/>
    </row>
    <row r="369" spans="1:16" x14ac:dyDescent="0.3">
      <c r="A369" s="5"/>
      <c r="B369" s="368"/>
      <c r="C369" s="23"/>
      <c r="D369" s="72"/>
      <c r="P369" s="202"/>
    </row>
    <row r="370" spans="1:16" x14ac:dyDescent="0.3">
      <c r="A370" s="5"/>
      <c r="B370" s="368"/>
      <c r="C370" s="23"/>
      <c r="D370" s="72"/>
      <c r="P370" s="202"/>
    </row>
    <row r="371" spans="1:16" x14ac:dyDescent="0.3">
      <c r="A371" s="5"/>
      <c r="B371" s="368"/>
      <c r="C371" s="23"/>
      <c r="D371" s="72"/>
      <c r="P371" s="202"/>
    </row>
    <row r="372" spans="1:16" x14ac:dyDescent="0.3">
      <c r="A372" s="5"/>
      <c r="B372" s="368"/>
      <c r="C372" s="23"/>
      <c r="D372" s="72"/>
      <c r="P372" s="202"/>
    </row>
    <row r="373" spans="1:16" x14ac:dyDescent="0.3">
      <c r="A373" s="5"/>
      <c r="B373" s="368"/>
      <c r="C373" s="23"/>
      <c r="D373" s="72"/>
      <c r="P373" s="202"/>
    </row>
    <row r="374" spans="1:16" x14ac:dyDescent="0.3">
      <c r="A374" s="5"/>
      <c r="B374" s="368"/>
      <c r="C374" s="23"/>
      <c r="D374" s="72"/>
      <c r="P374" s="202"/>
    </row>
    <row r="375" spans="1:16" x14ac:dyDescent="0.3">
      <c r="A375" s="5"/>
      <c r="B375" s="368"/>
      <c r="C375" s="23"/>
      <c r="D375" s="72"/>
      <c r="P375" s="202"/>
    </row>
    <row r="376" spans="1:16" x14ac:dyDescent="0.3">
      <c r="A376" s="5"/>
      <c r="B376" s="368"/>
      <c r="C376" s="23"/>
      <c r="D376" s="72"/>
      <c r="P376" s="202"/>
    </row>
    <row r="377" spans="1:16" x14ac:dyDescent="0.3">
      <c r="A377" s="5"/>
      <c r="B377" s="368"/>
      <c r="C377" s="23"/>
      <c r="D377" s="72"/>
      <c r="P377" s="202"/>
    </row>
    <row r="378" spans="1:16" x14ac:dyDescent="0.3">
      <c r="A378" s="5"/>
      <c r="B378" s="368"/>
      <c r="C378" s="23"/>
      <c r="D378" s="72"/>
      <c r="P378" s="202"/>
    </row>
    <row r="379" spans="1:16" x14ac:dyDescent="0.3">
      <c r="A379" s="5"/>
      <c r="B379" s="368"/>
      <c r="C379" s="23"/>
      <c r="D379" s="72"/>
    </row>
    <row r="380" spans="1:16" x14ac:dyDescent="0.3">
      <c r="A380" s="5"/>
      <c r="B380" s="368"/>
      <c r="C380" s="23"/>
      <c r="D380" s="72"/>
      <c r="P380" s="202"/>
    </row>
    <row r="381" spans="1:16" x14ac:dyDescent="0.3">
      <c r="A381" s="5"/>
      <c r="B381" s="368"/>
      <c r="C381" s="23"/>
      <c r="D381" s="72"/>
    </row>
    <row r="382" spans="1:16" x14ac:dyDescent="0.3">
      <c r="A382" s="5"/>
      <c r="B382" s="368"/>
      <c r="C382" s="23"/>
      <c r="D382" s="72"/>
    </row>
    <row r="383" spans="1:16" x14ac:dyDescent="0.3">
      <c r="A383" s="5"/>
      <c r="B383" s="368"/>
      <c r="C383" s="23"/>
      <c r="D383" s="72"/>
    </row>
    <row r="384" spans="1:16" x14ac:dyDescent="0.3">
      <c r="A384" s="5"/>
      <c r="B384" s="368"/>
      <c r="C384" s="23"/>
      <c r="D384" s="72"/>
    </row>
    <row r="385" spans="1:4" x14ac:dyDescent="0.3">
      <c r="A385" s="5"/>
      <c r="B385" s="368"/>
      <c r="C385" s="23"/>
      <c r="D385" s="72"/>
    </row>
    <row r="386" spans="1:4" x14ac:dyDescent="0.3">
      <c r="A386" s="5"/>
      <c r="B386" s="368"/>
      <c r="C386" s="23"/>
      <c r="D386" s="72"/>
    </row>
    <row r="387" spans="1:4" x14ac:dyDescent="0.3">
      <c r="A387" s="5"/>
      <c r="B387" s="368"/>
      <c r="C387" s="23"/>
      <c r="D387" s="72"/>
    </row>
    <row r="388" spans="1:4" x14ac:dyDescent="0.3">
      <c r="A388" s="5"/>
      <c r="B388" s="368"/>
      <c r="C388" s="23"/>
      <c r="D388" s="72"/>
    </row>
    <row r="389" spans="1:4" x14ac:dyDescent="0.3">
      <c r="A389" s="5"/>
      <c r="B389" s="368"/>
      <c r="C389" s="23"/>
      <c r="D389" s="72"/>
    </row>
    <row r="390" spans="1:4" x14ac:dyDescent="0.3">
      <c r="A390" s="5"/>
      <c r="B390" s="368"/>
      <c r="C390" s="23"/>
      <c r="D390" s="72"/>
    </row>
    <row r="391" spans="1:4" x14ac:dyDescent="0.3">
      <c r="A391" s="5"/>
      <c r="B391" s="368"/>
      <c r="C391" s="23"/>
      <c r="D391" s="72"/>
    </row>
    <row r="392" spans="1:4" x14ac:dyDescent="0.3">
      <c r="A392" s="5"/>
      <c r="B392" s="368"/>
      <c r="C392" s="23"/>
      <c r="D392" s="72"/>
    </row>
    <row r="393" spans="1:4" x14ac:dyDescent="0.3">
      <c r="A393" s="5"/>
      <c r="B393" s="368"/>
      <c r="C393" s="23"/>
      <c r="D393" s="72"/>
    </row>
    <row r="394" spans="1:4" x14ac:dyDescent="0.3">
      <c r="A394" s="5"/>
      <c r="B394" s="368"/>
      <c r="C394" s="23"/>
      <c r="D394" s="72"/>
    </row>
    <row r="395" spans="1:4" x14ac:dyDescent="0.3">
      <c r="A395" s="5"/>
      <c r="B395" s="368"/>
      <c r="C395" s="23"/>
      <c r="D395" s="72"/>
    </row>
    <row r="396" spans="1:4" x14ac:dyDescent="0.3">
      <c r="A396" s="5"/>
      <c r="B396" s="368"/>
      <c r="C396" s="23"/>
      <c r="D396" s="72"/>
    </row>
    <row r="397" spans="1:4" x14ac:dyDescent="0.3">
      <c r="A397" s="5"/>
      <c r="B397" s="368"/>
      <c r="C397" s="23"/>
      <c r="D397" s="72"/>
    </row>
    <row r="398" spans="1:4" x14ac:dyDescent="0.3">
      <c r="A398" s="5"/>
      <c r="B398" s="368"/>
      <c r="C398" s="23"/>
      <c r="D398" s="72"/>
    </row>
    <row r="399" spans="1:4" x14ac:dyDescent="0.3">
      <c r="A399" s="5"/>
      <c r="B399" s="368"/>
      <c r="C399" s="23"/>
      <c r="D399" s="72"/>
    </row>
    <row r="400" spans="1:4" x14ac:dyDescent="0.3">
      <c r="A400" s="5"/>
      <c r="B400" s="368"/>
      <c r="C400" s="23"/>
      <c r="D400" s="72"/>
    </row>
    <row r="401" spans="1:4" x14ac:dyDescent="0.3">
      <c r="A401" s="5"/>
      <c r="B401" s="368"/>
      <c r="C401" s="23"/>
      <c r="D401" s="72"/>
    </row>
    <row r="402" spans="1:4" x14ac:dyDescent="0.3">
      <c r="A402" s="5"/>
      <c r="B402" s="368"/>
      <c r="C402" s="23"/>
      <c r="D402" s="72"/>
    </row>
    <row r="403" spans="1:4" x14ac:dyDescent="0.3">
      <c r="A403" s="5"/>
      <c r="B403" s="368"/>
      <c r="C403" s="23"/>
      <c r="D403" s="72"/>
    </row>
    <row r="404" spans="1:4" x14ac:dyDescent="0.3">
      <c r="A404" s="5"/>
      <c r="B404" s="368"/>
      <c r="C404" s="23"/>
      <c r="D404" s="72"/>
    </row>
    <row r="405" spans="1:4" x14ac:dyDescent="0.3">
      <c r="A405" s="5"/>
      <c r="B405" s="368"/>
      <c r="C405" s="23"/>
      <c r="D405" s="72"/>
    </row>
    <row r="406" spans="1:4" x14ac:dyDescent="0.3">
      <c r="A406" s="5"/>
      <c r="B406" s="368"/>
      <c r="C406" s="23"/>
      <c r="D406" s="72"/>
    </row>
    <row r="407" spans="1:4" x14ac:dyDescent="0.3">
      <c r="A407" s="5"/>
      <c r="B407" s="368"/>
      <c r="C407" s="23"/>
      <c r="D407" s="72"/>
    </row>
    <row r="408" spans="1:4" x14ac:dyDescent="0.3">
      <c r="A408" s="5"/>
      <c r="B408" s="368"/>
      <c r="C408" s="23"/>
      <c r="D408" s="72"/>
    </row>
    <row r="409" spans="1:4" x14ac:dyDescent="0.3">
      <c r="A409" s="5"/>
      <c r="B409" s="368"/>
      <c r="C409" s="23"/>
      <c r="D409" s="72"/>
    </row>
    <row r="410" spans="1:4" x14ac:dyDescent="0.3">
      <c r="A410" s="5"/>
      <c r="B410" s="368"/>
      <c r="C410" s="23"/>
      <c r="D410" s="72"/>
    </row>
    <row r="411" spans="1:4" x14ac:dyDescent="0.3">
      <c r="A411" s="5"/>
      <c r="B411" s="368"/>
      <c r="C411" s="23"/>
      <c r="D411" s="72"/>
    </row>
    <row r="412" spans="1:4" x14ac:dyDescent="0.3">
      <c r="A412" s="5"/>
      <c r="B412" s="368"/>
      <c r="C412" s="23"/>
      <c r="D412" s="72"/>
    </row>
    <row r="413" spans="1:4" x14ac:dyDescent="0.3">
      <c r="D413" s="72"/>
    </row>
    <row r="414" spans="1:4" x14ac:dyDescent="0.3">
      <c r="D414" s="72"/>
    </row>
    <row r="415" spans="1:4" x14ac:dyDescent="0.3">
      <c r="D415" s="72"/>
    </row>
    <row r="416" spans="1:4" x14ac:dyDescent="0.3">
      <c r="D416" s="72"/>
    </row>
    <row r="417" spans="4:4" x14ac:dyDescent="0.3">
      <c r="D417" s="72"/>
    </row>
    <row r="418" spans="4:4" x14ac:dyDescent="0.3">
      <c r="D418" s="72"/>
    </row>
    <row r="419" spans="4:4" x14ac:dyDescent="0.3">
      <c r="D419" s="72"/>
    </row>
    <row r="420" spans="4:4" x14ac:dyDescent="0.3">
      <c r="D420" s="72"/>
    </row>
    <row r="421" spans="4:4" x14ac:dyDescent="0.3">
      <c r="D421" s="72"/>
    </row>
    <row r="422" spans="4:4" x14ac:dyDescent="0.3">
      <c r="D422" s="72"/>
    </row>
    <row r="423" spans="4:4" x14ac:dyDescent="0.3">
      <c r="D423" s="72"/>
    </row>
    <row r="424" spans="4:4" x14ac:dyDescent="0.3">
      <c r="D424" s="72"/>
    </row>
    <row r="425" spans="4:4" x14ac:dyDescent="0.3">
      <c r="D425" s="72"/>
    </row>
    <row r="426" spans="4:4" x14ac:dyDescent="0.3">
      <c r="D426" s="72"/>
    </row>
    <row r="427" spans="4:4" x14ac:dyDescent="0.3">
      <c r="D427" s="72"/>
    </row>
    <row r="428" spans="4:4" x14ac:dyDescent="0.3">
      <c r="D428" s="72"/>
    </row>
    <row r="429" spans="4:4" x14ac:dyDescent="0.3">
      <c r="D429" s="72"/>
    </row>
    <row r="430" spans="4:4" x14ac:dyDescent="0.3">
      <c r="D430" s="72"/>
    </row>
    <row r="431" spans="4:4" x14ac:dyDescent="0.3">
      <c r="D431" s="72"/>
    </row>
    <row r="432" spans="4:4" x14ac:dyDescent="0.3">
      <c r="D432" s="72"/>
    </row>
    <row r="433" spans="4:4" x14ac:dyDescent="0.3">
      <c r="D433" s="72"/>
    </row>
    <row r="434" spans="4:4" x14ac:dyDescent="0.3">
      <c r="D434" s="72"/>
    </row>
    <row r="435" spans="4:4" x14ac:dyDescent="0.3">
      <c r="D435" s="72"/>
    </row>
    <row r="436" spans="4:4" x14ac:dyDescent="0.3">
      <c r="D436" s="72"/>
    </row>
    <row r="437" spans="4:4" x14ac:dyDescent="0.3">
      <c r="D437" s="72"/>
    </row>
    <row r="438" spans="4:4" x14ac:dyDescent="0.3">
      <c r="D438" s="72"/>
    </row>
    <row r="439" spans="4:4" x14ac:dyDescent="0.3">
      <c r="D439" s="72"/>
    </row>
    <row r="440" spans="4:4" x14ac:dyDescent="0.3">
      <c r="D440" s="72"/>
    </row>
    <row r="441" spans="4:4" x14ac:dyDescent="0.3">
      <c r="D441" s="72"/>
    </row>
    <row r="442" spans="4:4" x14ac:dyDescent="0.3">
      <c r="D442" s="72"/>
    </row>
    <row r="443" spans="4:4" x14ac:dyDescent="0.3">
      <c r="D443" s="72"/>
    </row>
    <row r="444" spans="4:4" x14ac:dyDescent="0.3">
      <c r="D444" s="72"/>
    </row>
    <row r="445" spans="4:4" x14ac:dyDescent="0.3">
      <c r="D445" s="72"/>
    </row>
    <row r="446" spans="4:4" x14ac:dyDescent="0.3">
      <c r="D446" s="72"/>
    </row>
    <row r="447" spans="4:4" x14ac:dyDescent="0.3">
      <c r="D447" s="72"/>
    </row>
    <row r="448" spans="4:4" x14ac:dyDescent="0.3">
      <c r="D448" s="72"/>
    </row>
    <row r="449" spans="4:4" x14ac:dyDescent="0.3">
      <c r="D449" s="72"/>
    </row>
    <row r="450" spans="4:4" x14ac:dyDescent="0.3">
      <c r="D450" s="72"/>
    </row>
    <row r="451" spans="4:4" x14ac:dyDescent="0.3">
      <c r="D451" s="72"/>
    </row>
    <row r="452" spans="4:4" x14ac:dyDescent="0.3">
      <c r="D452" s="72"/>
    </row>
    <row r="453" spans="4:4" x14ac:dyDescent="0.3">
      <c r="D453" s="72"/>
    </row>
    <row r="454" spans="4:4" x14ac:dyDescent="0.3">
      <c r="D454" s="72"/>
    </row>
    <row r="455" spans="4:4" x14ac:dyDescent="0.3">
      <c r="D455" s="72"/>
    </row>
    <row r="456" spans="4:4" x14ac:dyDescent="0.3">
      <c r="D456" s="72"/>
    </row>
    <row r="457" spans="4:4" x14ac:dyDescent="0.3">
      <c r="D457" s="72"/>
    </row>
    <row r="458" spans="4:4" x14ac:dyDescent="0.3">
      <c r="D458" s="72"/>
    </row>
    <row r="459" spans="4:4" x14ac:dyDescent="0.3">
      <c r="D459" s="72"/>
    </row>
    <row r="460" spans="4:4" x14ac:dyDescent="0.3">
      <c r="D460" s="72"/>
    </row>
    <row r="461" spans="4:4" x14ac:dyDescent="0.3">
      <c r="D461" s="72"/>
    </row>
    <row r="462" spans="4:4" x14ac:dyDescent="0.3">
      <c r="D462" s="72"/>
    </row>
    <row r="463" spans="4:4" x14ac:dyDescent="0.3">
      <c r="D463" s="72"/>
    </row>
    <row r="464" spans="4:4" x14ac:dyDescent="0.3">
      <c r="D464" s="72"/>
    </row>
    <row r="465" spans="4:4" x14ac:dyDescent="0.3">
      <c r="D465" s="72"/>
    </row>
    <row r="466" spans="4:4" x14ac:dyDescent="0.3">
      <c r="D466" s="72"/>
    </row>
    <row r="467" spans="4:4" x14ac:dyDescent="0.3">
      <c r="D467" s="72"/>
    </row>
    <row r="468" spans="4:4" x14ac:dyDescent="0.3">
      <c r="D468" s="72"/>
    </row>
    <row r="469" spans="4:4" x14ac:dyDescent="0.3">
      <c r="D469" s="72"/>
    </row>
    <row r="470" spans="4:4" x14ac:dyDescent="0.3">
      <c r="D470" s="72"/>
    </row>
    <row r="471" spans="4:4" x14ac:dyDescent="0.3">
      <c r="D471" s="72"/>
    </row>
    <row r="472" spans="4:4" x14ac:dyDescent="0.3">
      <c r="D472" s="72"/>
    </row>
    <row r="473" spans="4:4" x14ac:dyDescent="0.3">
      <c r="D473" s="72"/>
    </row>
    <row r="474" spans="4:4" x14ac:dyDescent="0.3">
      <c r="D474" s="72"/>
    </row>
    <row r="475" spans="4:4" x14ac:dyDescent="0.3">
      <c r="D475" s="72"/>
    </row>
    <row r="476" spans="4:4" x14ac:dyDescent="0.3">
      <c r="D476" s="72"/>
    </row>
    <row r="477" spans="4:4" x14ac:dyDescent="0.3">
      <c r="D477" s="72"/>
    </row>
    <row r="478" spans="4:4" x14ac:dyDescent="0.3">
      <c r="D478" s="72"/>
    </row>
    <row r="479" spans="4:4" x14ac:dyDescent="0.3">
      <c r="D479" s="72"/>
    </row>
    <row r="480" spans="4:4" x14ac:dyDescent="0.3">
      <c r="D480" s="72"/>
    </row>
    <row r="481" spans="4:4" x14ac:dyDescent="0.3">
      <c r="D481" s="72"/>
    </row>
    <row r="482" spans="4:4" x14ac:dyDescent="0.3">
      <c r="D482" s="72"/>
    </row>
    <row r="483" spans="4:4" x14ac:dyDescent="0.3">
      <c r="D483" s="72"/>
    </row>
    <row r="484" spans="4:4" x14ac:dyDescent="0.3">
      <c r="D484" s="72"/>
    </row>
    <row r="485" spans="4:4" x14ac:dyDescent="0.3">
      <c r="D485" s="72"/>
    </row>
    <row r="486" spans="4:4" x14ac:dyDescent="0.3">
      <c r="D486" s="72"/>
    </row>
    <row r="487" spans="4:4" x14ac:dyDescent="0.3">
      <c r="D487" s="72"/>
    </row>
    <row r="488" spans="4:4" x14ac:dyDescent="0.3">
      <c r="D488" s="72"/>
    </row>
    <row r="489" spans="4:4" x14ac:dyDescent="0.3">
      <c r="D489" s="72"/>
    </row>
    <row r="490" spans="4:4" x14ac:dyDescent="0.3">
      <c r="D490" s="72"/>
    </row>
    <row r="491" spans="4:4" x14ac:dyDescent="0.3">
      <c r="D491" s="72"/>
    </row>
    <row r="492" spans="4:4" x14ac:dyDescent="0.3">
      <c r="D492" s="72"/>
    </row>
    <row r="493" spans="4:4" x14ac:dyDescent="0.3">
      <c r="D493" s="72"/>
    </row>
    <row r="494" spans="4:4" x14ac:dyDescent="0.3">
      <c r="D494" s="72"/>
    </row>
    <row r="495" spans="4:4" x14ac:dyDescent="0.3">
      <c r="D495" s="72"/>
    </row>
    <row r="496" spans="4:4" x14ac:dyDescent="0.3">
      <c r="D496" s="72"/>
    </row>
    <row r="497" spans="4:4" x14ac:dyDescent="0.3">
      <c r="D497" s="72"/>
    </row>
    <row r="498" spans="4:4" x14ac:dyDescent="0.3">
      <c r="D498" s="72"/>
    </row>
    <row r="499" spans="4:4" x14ac:dyDescent="0.3">
      <c r="D499" s="72"/>
    </row>
    <row r="500" spans="4:4" x14ac:dyDescent="0.3">
      <c r="D500" s="72"/>
    </row>
    <row r="501" spans="4:4" x14ac:dyDescent="0.3">
      <c r="D501" s="72"/>
    </row>
    <row r="502" spans="4:4" x14ac:dyDescent="0.3">
      <c r="D502" s="72"/>
    </row>
    <row r="503" spans="4:4" x14ac:dyDescent="0.3">
      <c r="D503" s="72"/>
    </row>
    <row r="504" spans="4:4" x14ac:dyDescent="0.3">
      <c r="D504" s="72"/>
    </row>
    <row r="505" spans="4:4" x14ac:dyDescent="0.3">
      <c r="D505" s="72"/>
    </row>
    <row r="506" spans="4:4" x14ac:dyDescent="0.3">
      <c r="D506" s="72"/>
    </row>
    <row r="507" spans="4:4" x14ac:dyDescent="0.3">
      <c r="D507" s="72"/>
    </row>
    <row r="508" spans="4:4" x14ac:dyDescent="0.3">
      <c r="D508" s="72"/>
    </row>
    <row r="509" spans="4:4" x14ac:dyDescent="0.3">
      <c r="D509" s="72"/>
    </row>
    <row r="510" spans="4:4" x14ac:dyDescent="0.3">
      <c r="D510" s="72"/>
    </row>
    <row r="511" spans="4:4" x14ac:dyDescent="0.3">
      <c r="D511" s="72"/>
    </row>
    <row r="512" spans="4:4" x14ac:dyDescent="0.3">
      <c r="D512" s="72"/>
    </row>
    <row r="513" spans="4:4" x14ac:dyDescent="0.3">
      <c r="D513" s="72"/>
    </row>
    <row r="514" spans="4:4" x14ac:dyDescent="0.3">
      <c r="D514" s="72"/>
    </row>
    <row r="515" spans="4:4" x14ac:dyDescent="0.3">
      <c r="D515" s="72"/>
    </row>
    <row r="516" spans="4:4" x14ac:dyDescent="0.3">
      <c r="D516" s="72"/>
    </row>
    <row r="517" spans="4:4" x14ac:dyDescent="0.3">
      <c r="D517" s="72"/>
    </row>
    <row r="518" spans="4:4" x14ac:dyDescent="0.3">
      <c r="D518" s="72"/>
    </row>
    <row r="519" spans="4:4" x14ac:dyDescent="0.3">
      <c r="D519" s="72"/>
    </row>
    <row r="520" spans="4:4" x14ac:dyDescent="0.3">
      <c r="D520" s="72"/>
    </row>
    <row r="521" spans="4:4" x14ac:dyDescent="0.3">
      <c r="D521" s="72"/>
    </row>
    <row r="522" spans="4:4" x14ac:dyDescent="0.3">
      <c r="D522" s="72"/>
    </row>
    <row r="523" spans="4:4" x14ac:dyDescent="0.3">
      <c r="D523" s="72"/>
    </row>
    <row r="524" spans="4:4" x14ac:dyDescent="0.3">
      <c r="D524" s="72"/>
    </row>
    <row r="525" spans="4:4" x14ac:dyDescent="0.3">
      <c r="D525" s="72"/>
    </row>
    <row r="526" spans="4:4" x14ac:dyDescent="0.3">
      <c r="D526" s="72"/>
    </row>
    <row r="527" spans="4:4" x14ac:dyDescent="0.3">
      <c r="D527" s="72"/>
    </row>
    <row r="528" spans="4:4" x14ac:dyDescent="0.3">
      <c r="D528" s="72"/>
    </row>
    <row r="529" spans="4:4" x14ac:dyDescent="0.3">
      <c r="D529" s="72"/>
    </row>
    <row r="530" spans="4:4" x14ac:dyDescent="0.3">
      <c r="D530" s="72"/>
    </row>
    <row r="531" spans="4:4" x14ac:dyDescent="0.3">
      <c r="D531" s="72"/>
    </row>
    <row r="532" spans="4:4" x14ac:dyDescent="0.3">
      <c r="D532" s="72"/>
    </row>
    <row r="533" spans="4:4" x14ac:dyDescent="0.3">
      <c r="D533" s="72"/>
    </row>
    <row r="534" spans="4:4" x14ac:dyDescent="0.3">
      <c r="D534" s="72"/>
    </row>
    <row r="535" spans="4:4" x14ac:dyDescent="0.3">
      <c r="D535" s="72"/>
    </row>
    <row r="536" spans="4:4" x14ac:dyDescent="0.3">
      <c r="D536" s="72"/>
    </row>
    <row r="537" spans="4:4" x14ac:dyDescent="0.3">
      <c r="D537" s="72"/>
    </row>
    <row r="538" spans="4:4" x14ac:dyDescent="0.3">
      <c r="D538" s="72"/>
    </row>
    <row r="539" spans="4:4" x14ac:dyDescent="0.3">
      <c r="D539" s="72"/>
    </row>
    <row r="540" spans="4:4" x14ac:dyDescent="0.3">
      <c r="D540" s="72"/>
    </row>
    <row r="541" spans="4:4" x14ac:dyDescent="0.3">
      <c r="D541" s="72"/>
    </row>
    <row r="542" spans="4:4" x14ac:dyDescent="0.3">
      <c r="D542" s="72"/>
    </row>
    <row r="543" spans="4:4" x14ac:dyDescent="0.3">
      <c r="D543" s="72"/>
    </row>
    <row r="544" spans="4:4" x14ac:dyDescent="0.3">
      <c r="D544" s="72"/>
    </row>
    <row r="545" spans="4:4" x14ac:dyDescent="0.3">
      <c r="D545" s="72"/>
    </row>
    <row r="546" spans="4:4" x14ac:dyDescent="0.3">
      <c r="D546" s="72"/>
    </row>
    <row r="547" spans="4:4" x14ac:dyDescent="0.3">
      <c r="D547" s="72"/>
    </row>
    <row r="548" spans="4:4" x14ac:dyDescent="0.3">
      <c r="D548" s="72"/>
    </row>
    <row r="549" spans="4:4" x14ac:dyDescent="0.3">
      <c r="D549" s="72"/>
    </row>
    <row r="550" spans="4:4" x14ac:dyDescent="0.3">
      <c r="D550" s="72"/>
    </row>
    <row r="551" spans="4:4" x14ac:dyDescent="0.3">
      <c r="D551" s="72"/>
    </row>
    <row r="552" spans="4:4" x14ac:dyDescent="0.3">
      <c r="D552" s="72"/>
    </row>
    <row r="553" spans="4:4" x14ac:dyDescent="0.3">
      <c r="D553" s="72"/>
    </row>
    <row r="554" spans="4:4" x14ac:dyDescent="0.3">
      <c r="D554" s="72"/>
    </row>
    <row r="555" spans="4:4" x14ac:dyDescent="0.3">
      <c r="D555" s="72"/>
    </row>
    <row r="556" spans="4:4" x14ac:dyDescent="0.3">
      <c r="D556" s="72"/>
    </row>
    <row r="557" spans="4:4" x14ac:dyDescent="0.3">
      <c r="D557" s="72"/>
    </row>
    <row r="558" spans="4:4" x14ac:dyDescent="0.3">
      <c r="D558" s="72"/>
    </row>
    <row r="559" spans="4:4" x14ac:dyDescent="0.3">
      <c r="D559" s="72"/>
    </row>
    <row r="560" spans="4:4" x14ac:dyDescent="0.3">
      <c r="D560" s="72"/>
    </row>
    <row r="561" spans="4:4" x14ac:dyDescent="0.3">
      <c r="D561" s="72"/>
    </row>
    <row r="562" spans="4:4" x14ac:dyDescent="0.3">
      <c r="D562" s="72"/>
    </row>
    <row r="563" spans="4:4" x14ac:dyDescent="0.3">
      <c r="D563" s="72"/>
    </row>
    <row r="564" spans="4:4" x14ac:dyDescent="0.3">
      <c r="D564" s="72"/>
    </row>
    <row r="565" spans="4:4" x14ac:dyDescent="0.3">
      <c r="D565" s="72"/>
    </row>
    <row r="566" spans="4:4" x14ac:dyDescent="0.3">
      <c r="D566" s="72"/>
    </row>
    <row r="567" spans="4:4" x14ac:dyDescent="0.3">
      <c r="D567" s="72"/>
    </row>
    <row r="568" spans="4:4" x14ac:dyDescent="0.3">
      <c r="D568" s="72"/>
    </row>
    <row r="569" spans="4:4" x14ac:dyDescent="0.3">
      <c r="D569" s="72"/>
    </row>
    <row r="570" spans="4:4" x14ac:dyDescent="0.3">
      <c r="D570" s="72"/>
    </row>
    <row r="571" spans="4:4" x14ac:dyDescent="0.3">
      <c r="D571" s="72"/>
    </row>
    <row r="572" spans="4:4" x14ac:dyDescent="0.3">
      <c r="D572" s="72"/>
    </row>
    <row r="573" spans="4:4" x14ac:dyDescent="0.3">
      <c r="D573" s="72"/>
    </row>
    <row r="574" spans="4:4" x14ac:dyDescent="0.3">
      <c r="D574" s="72"/>
    </row>
    <row r="575" spans="4:4" x14ac:dyDescent="0.3">
      <c r="D575" s="72"/>
    </row>
    <row r="576" spans="4:4" x14ac:dyDescent="0.3">
      <c r="D576" s="72"/>
    </row>
    <row r="577" spans="4:4" x14ac:dyDescent="0.3">
      <c r="D577" s="72"/>
    </row>
    <row r="578" spans="4:4" x14ac:dyDescent="0.3">
      <c r="D578" s="72"/>
    </row>
    <row r="579" spans="4:4" x14ac:dyDescent="0.3">
      <c r="D579" s="72"/>
    </row>
    <row r="580" spans="4:4" x14ac:dyDescent="0.3">
      <c r="D580" s="72"/>
    </row>
    <row r="581" spans="4:4" x14ac:dyDescent="0.3">
      <c r="D581" s="72"/>
    </row>
    <row r="582" spans="4:4" x14ac:dyDescent="0.3">
      <c r="D582" s="72"/>
    </row>
    <row r="583" spans="4:4" x14ac:dyDescent="0.3">
      <c r="D583" s="72"/>
    </row>
    <row r="584" spans="4:4" x14ac:dyDescent="0.3">
      <c r="D584" s="72"/>
    </row>
    <row r="585" spans="4:4" x14ac:dyDescent="0.3">
      <c r="D585" s="72"/>
    </row>
    <row r="586" spans="4:4" x14ac:dyDescent="0.3">
      <c r="D586" s="72"/>
    </row>
    <row r="587" spans="4:4" x14ac:dyDescent="0.3">
      <c r="D587" s="72"/>
    </row>
    <row r="588" spans="4:4" x14ac:dyDescent="0.3">
      <c r="D588" s="72"/>
    </row>
    <row r="589" spans="4:4" x14ac:dyDescent="0.3">
      <c r="D589" s="72"/>
    </row>
    <row r="590" spans="4:4" x14ac:dyDescent="0.3">
      <c r="D590" s="72"/>
    </row>
    <row r="591" spans="4:4" x14ac:dyDescent="0.3">
      <c r="D591" s="72"/>
    </row>
    <row r="592" spans="4:4" x14ac:dyDescent="0.3">
      <c r="D592" s="72"/>
    </row>
    <row r="593" spans="4:4" x14ac:dyDescent="0.3">
      <c r="D593" s="72"/>
    </row>
    <row r="594" spans="4:4" x14ac:dyDescent="0.3">
      <c r="D594" s="72"/>
    </row>
    <row r="595" spans="4:4" x14ac:dyDescent="0.3">
      <c r="D595" s="72"/>
    </row>
    <row r="596" spans="4:4" x14ac:dyDescent="0.3">
      <c r="D596" s="72"/>
    </row>
    <row r="597" spans="4:4" x14ac:dyDescent="0.3">
      <c r="D597" s="72"/>
    </row>
    <row r="598" spans="4:4" x14ac:dyDescent="0.3">
      <c r="D598" s="72"/>
    </row>
    <row r="599" spans="4:4" x14ac:dyDescent="0.3">
      <c r="D599" s="72"/>
    </row>
    <row r="600" spans="4:4" x14ac:dyDescent="0.3">
      <c r="D600" s="72"/>
    </row>
    <row r="601" spans="4:4" x14ac:dyDescent="0.3">
      <c r="D601" s="72"/>
    </row>
    <row r="602" spans="4:4" x14ac:dyDescent="0.3">
      <c r="D602" s="72"/>
    </row>
    <row r="603" spans="4:4" x14ac:dyDescent="0.3">
      <c r="D603" s="72"/>
    </row>
    <row r="604" spans="4:4" x14ac:dyDescent="0.3">
      <c r="D604" s="72"/>
    </row>
    <row r="605" spans="4:4" x14ac:dyDescent="0.3">
      <c r="D605" s="72"/>
    </row>
    <row r="606" spans="4:4" x14ac:dyDescent="0.3">
      <c r="D606" s="72"/>
    </row>
    <row r="607" spans="4:4" x14ac:dyDescent="0.3">
      <c r="D607" s="72"/>
    </row>
    <row r="608" spans="4:4" x14ac:dyDescent="0.3">
      <c r="D608" s="72"/>
    </row>
    <row r="609" spans="4:4" x14ac:dyDescent="0.3">
      <c r="D609" s="72"/>
    </row>
    <row r="610" spans="4:4" x14ac:dyDescent="0.3">
      <c r="D610" s="72"/>
    </row>
    <row r="611" spans="4:4" x14ac:dyDescent="0.3">
      <c r="D611" s="72"/>
    </row>
    <row r="612" spans="4:4" x14ac:dyDescent="0.3">
      <c r="D612" s="72"/>
    </row>
    <row r="613" spans="4:4" x14ac:dyDescent="0.3">
      <c r="D613" s="72"/>
    </row>
    <row r="614" spans="4:4" x14ac:dyDescent="0.3">
      <c r="D614" s="72"/>
    </row>
    <row r="615" spans="4:4" x14ac:dyDescent="0.3">
      <c r="D615" s="72"/>
    </row>
    <row r="616" spans="4:4" x14ac:dyDescent="0.3">
      <c r="D616" s="72"/>
    </row>
    <row r="617" spans="4:4" x14ac:dyDescent="0.3">
      <c r="D617" s="72"/>
    </row>
    <row r="618" spans="4:4" x14ac:dyDescent="0.3">
      <c r="D618" s="72"/>
    </row>
    <row r="619" spans="4:4" x14ac:dyDescent="0.3">
      <c r="D619" s="72"/>
    </row>
    <row r="620" spans="4:4" x14ac:dyDescent="0.3">
      <c r="D620" s="72"/>
    </row>
    <row r="621" spans="4:4" x14ac:dyDescent="0.3">
      <c r="D621" s="72"/>
    </row>
    <row r="622" spans="4:4" x14ac:dyDescent="0.3">
      <c r="D622" s="72"/>
    </row>
    <row r="623" spans="4:4" x14ac:dyDescent="0.3">
      <c r="D623" s="72"/>
    </row>
    <row r="624" spans="4:4" x14ac:dyDescent="0.3">
      <c r="D624" s="72"/>
    </row>
    <row r="625" spans="4:4" x14ac:dyDescent="0.3">
      <c r="D625" s="72"/>
    </row>
    <row r="626" spans="4:4" x14ac:dyDescent="0.3">
      <c r="D626" s="72"/>
    </row>
    <row r="627" spans="4:4" x14ac:dyDescent="0.3">
      <c r="D627" s="72"/>
    </row>
    <row r="628" spans="4:4" x14ac:dyDescent="0.3">
      <c r="D628" s="72"/>
    </row>
    <row r="629" spans="4:4" x14ac:dyDescent="0.3">
      <c r="D629" s="72"/>
    </row>
    <row r="630" spans="4:4" x14ac:dyDescent="0.3">
      <c r="D630" s="72"/>
    </row>
    <row r="631" spans="4:4" x14ac:dyDescent="0.3">
      <c r="D631" s="72"/>
    </row>
    <row r="632" spans="4:4" x14ac:dyDescent="0.3">
      <c r="D632" s="72"/>
    </row>
    <row r="633" spans="4:4" x14ac:dyDescent="0.3">
      <c r="D633" s="72"/>
    </row>
    <row r="634" spans="4:4" x14ac:dyDescent="0.3">
      <c r="D634" s="72"/>
    </row>
    <row r="635" spans="4:4" x14ac:dyDescent="0.3">
      <c r="D635" s="72"/>
    </row>
    <row r="636" spans="4:4" x14ac:dyDescent="0.3">
      <c r="D636" s="72"/>
    </row>
    <row r="637" spans="4:4" x14ac:dyDescent="0.3">
      <c r="D637" s="72"/>
    </row>
    <row r="638" spans="4:4" x14ac:dyDescent="0.3">
      <c r="D638" s="72"/>
    </row>
    <row r="639" spans="4:4" x14ac:dyDescent="0.3">
      <c r="D639" s="72"/>
    </row>
    <row r="640" spans="4:4" x14ac:dyDescent="0.3">
      <c r="D640" s="72"/>
    </row>
    <row r="641" spans="4:4" x14ac:dyDescent="0.3">
      <c r="D641" s="72"/>
    </row>
    <row r="642" spans="4:4" x14ac:dyDescent="0.3">
      <c r="D642" s="72"/>
    </row>
    <row r="643" spans="4:4" x14ac:dyDescent="0.3">
      <c r="D643" s="72"/>
    </row>
    <row r="644" spans="4:4" x14ac:dyDescent="0.3">
      <c r="D644" s="72"/>
    </row>
    <row r="645" spans="4:4" x14ac:dyDescent="0.3">
      <c r="D645" s="72"/>
    </row>
    <row r="646" spans="4:4" x14ac:dyDescent="0.3">
      <c r="D646" s="72"/>
    </row>
    <row r="647" spans="4:4" x14ac:dyDescent="0.3">
      <c r="D647" s="72"/>
    </row>
    <row r="648" spans="4:4" x14ac:dyDescent="0.3">
      <c r="D648" s="72"/>
    </row>
    <row r="649" spans="4:4" x14ac:dyDescent="0.3">
      <c r="D649" s="72"/>
    </row>
    <row r="650" spans="4:4" x14ac:dyDescent="0.3">
      <c r="D650" s="72"/>
    </row>
    <row r="651" spans="4:4" x14ac:dyDescent="0.3">
      <c r="D651" s="72"/>
    </row>
    <row r="652" spans="4:4" x14ac:dyDescent="0.3">
      <c r="D652" s="72"/>
    </row>
    <row r="653" spans="4:4" x14ac:dyDescent="0.3">
      <c r="D653" s="72"/>
    </row>
    <row r="654" spans="4:4" x14ac:dyDescent="0.3">
      <c r="D654" s="72"/>
    </row>
    <row r="655" spans="4:4" x14ac:dyDescent="0.3">
      <c r="D655" s="72"/>
    </row>
    <row r="656" spans="4:4" x14ac:dyDescent="0.3">
      <c r="D656" s="72"/>
    </row>
    <row r="657" spans="4:4" x14ac:dyDescent="0.3">
      <c r="D657" s="72"/>
    </row>
    <row r="658" spans="4:4" x14ac:dyDescent="0.3">
      <c r="D658" s="72"/>
    </row>
    <row r="659" spans="4:4" x14ac:dyDescent="0.3">
      <c r="D659" s="72"/>
    </row>
    <row r="660" spans="4:4" x14ac:dyDescent="0.3">
      <c r="D660" s="72"/>
    </row>
    <row r="661" spans="4:4" x14ac:dyDescent="0.3">
      <c r="D661" s="72"/>
    </row>
    <row r="662" spans="4:4" x14ac:dyDescent="0.3">
      <c r="D662" s="72"/>
    </row>
    <row r="663" spans="4:4" x14ac:dyDescent="0.3">
      <c r="D663" s="72"/>
    </row>
    <row r="664" spans="4:4" x14ac:dyDescent="0.3">
      <c r="D664" s="72"/>
    </row>
    <row r="665" spans="4:4" x14ac:dyDescent="0.3">
      <c r="D665" s="72"/>
    </row>
    <row r="666" spans="4:4" x14ac:dyDescent="0.3">
      <c r="D666" s="72"/>
    </row>
    <row r="667" spans="4:4" x14ac:dyDescent="0.3">
      <c r="D667" s="72"/>
    </row>
    <row r="668" spans="4:4" x14ac:dyDescent="0.3">
      <c r="D668" s="72"/>
    </row>
    <row r="669" spans="4:4" x14ac:dyDescent="0.3">
      <c r="D669" s="72"/>
    </row>
    <row r="670" spans="4:4" x14ac:dyDescent="0.3">
      <c r="D670" s="72"/>
    </row>
    <row r="671" spans="4:4" x14ac:dyDescent="0.3">
      <c r="D671" s="72"/>
    </row>
    <row r="672" spans="4:4" x14ac:dyDescent="0.3">
      <c r="D672" s="72"/>
    </row>
    <row r="673" spans="4:4" x14ac:dyDescent="0.3">
      <c r="D673" s="72"/>
    </row>
    <row r="674" spans="4:4" x14ac:dyDescent="0.3">
      <c r="D674" s="72"/>
    </row>
    <row r="675" spans="4:4" x14ac:dyDescent="0.3">
      <c r="D675" s="72"/>
    </row>
    <row r="676" spans="4:4" x14ac:dyDescent="0.3">
      <c r="D676" s="72"/>
    </row>
    <row r="677" spans="4:4" x14ac:dyDescent="0.3">
      <c r="D677" s="72"/>
    </row>
    <row r="678" spans="4:4" x14ac:dyDescent="0.3">
      <c r="D678" s="72"/>
    </row>
    <row r="679" spans="4:4" x14ac:dyDescent="0.3">
      <c r="D679" s="72"/>
    </row>
    <row r="680" spans="4:4" x14ac:dyDescent="0.3">
      <c r="D680" s="72"/>
    </row>
    <row r="681" spans="4:4" x14ac:dyDescent="0.3">
      <c r="D681" s="72"/>
    </row>
    <row r="682" spans="4:4" x14ac:dyDescent="0.3">
      <c r="D682" s="72"/>
    </row>
    <row r="683" spans="4:4" x14ac:dyDescent="0.3">
      <c r="D683" s="72"/>
    </row>
    <row r="684" spans="4:4" x14ac:dyDescent="0.3">
      <c r="D684" s="72"/>
    </row>
    <row r="685" spans="4:4" x14ac:dyDescent="0.3">
      <c r="D685" s="72"/>
    </row>
    <row r="686" spans="4:4" x14ac:dyDescent="0.3">
      <c r="D686" s="72"/>
    </row>
    <row r="687" spans="4:4" x14ac:dyDescent="0.3">
      <c r="D687" s="72"/>
    </row>
    <row r="688" spans="4:4" x14ac:dyDescent="0.3">
      <c r="D688" s="72"/>
    </row>
    <row r="689" spans="4:4" x14ac:dyDescent="0.3">
      <c r="D689" s="72"/>
    </row>
    <row r="690" spans="4:4" x14ac:dyDescent="0.3">
      <c r="D690" s="72"/>
    </row>
    <row r="691" spans="4:4" x14ac:dyDescent="0.3">
      <c r="D691" s="72"/>
    </row>
    <row r="692" spans="4:4" x14ac:dyDescent="0.3">
      <c r="D692" s="72"/>
    </row>
    <row r="693" spans="4:4" x14ac:dyDescent="0.3">
      <c r="D693" s="72"/>
    </row>
    <row r="694" spans="4:4" x14ac:dyDescent="0.3">
      <c r="D694" s="72"/>
    </row>
    <row r="695" spans="4:4" x14ac:dyDescent="0.3">
      <c r="D695" s="72"/>
    </row>
    <row r="696" spans="4:4" x14ac:dyDescent="0.3">
      <c r="D696" s="72"/>
    </row>
    <row r="697" spans="4:4" x14ac:dyDescent="0.3">
      <c r="D697" s="72"/>
    </row>
    <row r="698" spans="4:4" x14ac:dyDescent="0.3">
      <c r="D698" s="72"/>
    </row>
    <row r="699" spans="4:4" x14ac:dyDescent="0.3">
      <c r="D699" s="72"/>
    </row>
    <row r="700" spans="4:4" x14ac:dyDescent="0.3">
      <c r="D700" s="72"/>
    </row>
    <row r="701" spans="4:4" x14ac:dyDescent="0.3">
      <c r="D701" s="72"/>
    </row>
    <row r="702" spans="4:4" x14ac:dyDescent="0.3">
      <c r="D702" s="72"/>
    </row>
    <row r="703" spans="4:4" x14ac:dyDescent="0.3">
      <c r="D703" s="72"/>
    </row>
    <row r="704" spans="4:4" x14ac:dyDescent="0.3">
      <c r="D704" s="72"/>
    </row>
    <row r="705" spans="4:4" x14ac:dyDescent="0.3">
      <c r="D705" s="72"/>
    </row>
    <row r="706" spans="4:4" x14ac:dyDescent="0.3">
      <c r="D706" s="72"/>
    </row>
    <row r="707" spans="4:4" x14ac:dyDescent="0.3">
      <c r="D707" s="72"/>
    </row>
    <row r="708" spans="4:4" x14ac:dyDescent="0.3">
      <c r="D708" s="72"/>
    </row>
    <row r="709" spans="4:4" x14ac:dyDescent="0.3">
      <c r="D709" s="72"/>
    </row>
    <row r="710" spans="4:4" x14ac:dyDescent="0.3">
      <c r="D710" s="72"/>
    </row>
    <row r="711" spans="4:4" x14ac:dyDescent="0.3">
      <c r="D711" s="72"/>
    </row>
    <row r="712" spans="4:4" x14ac:dyDescent="0.3">
      <c r="D712" s="72"/>
    </row>
    <row r="713" spans="4:4" x14ac:dyDescent="0.3">
      <c r="D713" s="72"/>
    </row>
    <row r="714" spans="4:4" x14ac:dyDescent="0.3">
      <c r="D714" s="72"/>
    </row>
  </sheetData>
  <sheetProtection formatCells="0" formatColumns="0" formatRows="0"/>
  <conditionalFormatting sqref="G33 G68:G69">
    <cfRule type="cellIs" dxfId="35" priority="93" stopIfTrue="1" operator="notEqual">
      <formula>0</formula>
    </cfRule>
  </conditionalFormatting>
  <conditionalFormatting sqref="G34">
    <cfRule type="cellIs" dxfId="34" priority="92" stopIfTrue="1" operator="notEqual">
      <formula>0</formula>
    </cfRule>
  </conditionalFormatting>
  <conditionalFormatting sqref="G51">
    <cfRule type="cellIs" dxfId="33" priority="91" stopIfTrue="1" operator="notEqual">
      <formula>0</formula>
    </cfRule>
  </conditionalFormatting>
  <conditionalFormatting sqref="G67">
    <cfRule type="cellIs" dxfId="32" priority="90" stopIfTrue="1" operator="notEqual">
      <formula>0</formula>
    </cfRule>
  </conditionalFormatting>
  <conditionalFormatting sqref="G89">
    <cfRule type="cellIs" dxfId="31" priority="88" stopIfTrue="1" operator="notEqual">
      <formula>0</formula>
    </cfRule>
  </conditionalFormatting>
  <conditionalFormatting sqref="G107">
    <cfRule type="cellIs" dxfId="30" priority="87" stopIfTrue="1" operator="notEqual">
      <formula>0</formula>
    </cfRule>
  </conditionalFormatting>
  <conditionalFormatting sqref="G120">
    <cfRule type="cellIs" dxfId="29" priority="86" stopIfTrue="1" operator="notEqual">
      <formula>0</formula>
    </cfRule>
  </conditionalFormatting>
  <conditionalFormatting sqref="G121">
    <cfRule type="cellIs" dxfId="28" priority="85" stopIfTrue="1" operator="notEqual">
      <formula>0</formula>
    </cfRule>
  </conditionalFormatting>
  <conditionalFormatting sqref="G136">
    <cfRule type="cellIs" dxfId="27" priority="84" stopIfTrue="1" operator="notEqual">
      <formula>0</formula>
    </cfRule>
  </conditionalFormatting>
  <conditionalFormatting sqref="G137">
    <cfRule type="cellIs" dxfId="26" priority="83" stopIfTrue="1" operator="notEqual">
      <formula>0</formula>
    </cfRule>
  </conditionalFormatting>
  <conditionalFormatting sqref="H203:H205">
    <cfRule type="cellIs" priority="79" stopIfTrue="1" operator="equal">
      <formula>";;;"</formula>
    </cfRule>
  </conditionalFormatting>
  <conditionalFormatting sqref="H203">
    <cfRule type="cellIs" dxfId="25" priority="78" stopIfTrue="1" operator="equal">
      <formula>0</formula>
    </cfRule>
  </conditionalFormatting>
  <conditionalFormatting sqref="H204">
    <cfRule type="cellIs" dxfId="24" priority="77" stopIfTrue="1" operator="equal">
      <formula>0</formula>
    </cfRule>
  </conditionalFormatting>
  <conditionalFormatting sqref="H205">
    <cfRule type="cellIs" dxfId="23" priority="76" stopIfTrue="1" operator="equal">
      <formula>0</formula>
    </cfRule>
  </conditionalFormatting>
  <conditionalFormatting sqref="H205">
    <cfRule type="cellIs" dxfId="22" priority="75" stopIfTrue="1" operator="equal">
      <formula>0</formula>
    </cfRule>
  </conditionalFormatting>
  <conditionalFormatting sqref="H203">
    <cfRule type="cellIs" dxfId="21" priority="74" stopIfTrue="1" operator="equal">
      <formula>0</formula>
    </cfRule>
  </conditionalFormatting>
  <conditionalFormatting sqref="G21">
    <cfRule type="cellIs" dxfId="20" priority="73" stopIfTrue="1" operator="notEqual">
      <formula>0</formula>
    </cfRule>
  </conditionalFormatting>
  <conditionalFormatting sqref="G7">
    <cfRule type="containsText" dxfId="19" priority="71" stopIfTrue="1" operator="containsText" text="Included in error count">
      <formula>NOT(ISERROR(SEARCH("Included in error count",G7)))</formula>
    </cfRule>
    <cfRule type="cellIs" dxfId="18" priority="72" stopIfTrue="1" operator="equal">
      <formula>1</formula>
    </cfRule>
  </conditionalFormatting>
  <conditionalFormatting sqref="G41">
    <cfRule type="containsText" dxfId="17" priority="69" stopIfTrue="1" operator="containsText" text="Included in error count">
      <formula>NOT(ISERROR(SEARCH("Included in error count",G41)))</formula>
    </cfRule>
    <cfRule type="cellIs" dxfId="16" priority="70" stopIfTrue="1" operator="equal">
      <formula>1</formula>
    </cfRule>
  </conditionalFormatting>
  <conditionalFormatting sqref="G76:G77">
    <cfRule type="containsText" dxfId="15" priority="67" stopIfTrue="1" operator="containsText" text="Included in error count">
      <formula>NOT(ISERROR(SEARCH("Included in error count",G76)))</formula>
    </cfRule>
    <cfRule type="cellIs" dxfId="14" priority="68" stopIfTrue="1" operator="equal">
      <formula>1</formula>
    </cfRule>
  </conditionalFormatting>
  <conditionalFormatting sqref="G78">
    <cfRule type="containsText" dxfId="13" priority="65" stopIfTrue="1" operator="containsText" text="Included in error count">
      <formula>NOT(ISERROR(SEARCH("Included in error count",G78)))</formula>
    </cfRule>
    <cfRule type="cellIs" dxfId="12" priority="66" stopIfTrue="1" operator="equal">
      <formula>1</formula>
    </cfRule>
  </conditionalFormatting>
  <conditionalFormatting sqref="G87">
    <cfRule type="containsText" dxfId="11" priority="61" stopIfTrue="1" operator="containsText" text="Included in error count">
      <formula>NOT(ISERROR(SEARCH("Included in error count",G87)))</formula>
    </cfRule>
    <cfRule type="cellIs" dxfId="10" priority="62" stopIfTrue="1" operator="equal">
      <formula>1</formula>
    </cfRule>
  </conditionalFormatting>
  <conditionalFormatting sqref="G109">
    <cfRule type="containsText" dxfId="9" priority="57" stopIfTrue="1" operator="containsText" text="Included in error count">
      <formula>NOT(ISERROR(SEARCH("Included in error count",G109)))</formula>
    </cfRule>
    <cfRule type="cellIs" dxfId="8" priority="58" stopIfTrue="1" operator="equal">
      <formula>1</formula>
    </cfRule>
  </conditionalFormatting>
  <conditionalFormatting sqref="G203">
    <cfRule type="containsText" dxfId="7" priority="46" stopIfTrue="1" operator="containsText" text="Included in error count">
      <formula>NOT(ISERROR(SEARCH("Included in error count",G203)))</formula>
    </cfRule>
    <cfRule type="cellIs" dxfId="6" priority="47" stopIfTrue="1" operator="equal">
      <formula>1</formula>
    </cfRule>
  </conditionalFormatting>
  <conditionalFormatting sqref="G204">
    <cfRule type="containsText" dxfId="5" priority="44" stopIfTrue="1" operator="containsText" text="Included in error count">
      <formula>NOT(ISERROR(SEARCH("Included in error count",G204)))</formula>
    </cfRule>
    <cfRule type="cellIs" dxfId="4" priority="45" stopIfTrue="1" operator="equal">
      <formula>1</formula>
    </cfRule>
  </conditionalFormatting>
  <conditionalFormatting sqref="G205">
    <cfRule type="containsText" dxfId="3" priority="42" stopIfTrue="1" operator="containsText" text="Included in error count">
      <formula>NOT(ISERROR(SEARCH("Included in error count",G205)))</formula>
    </cfRule>
    <cfRule type="cellIs" dxfId="2" priority="43" stopIfTrue="1" operator="equal">
      <formula>1</formula>
    </cfRule>
  </conditionalFormatting>
  <conditionalFormatting sqref="G125">
    <cfRule type="containsText" dxfId="1" priority="40" stopIfTrue="1" operator="containsText" text="Included in error count">
      <formula>NOT(ISERROR(SEARCH("Included in error count",G125)))</formula>
    </cfRule>
    <cfRule type="cellIs" dxfId="0" priority="41"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2351-DC4A-4941-82DA-8C63291B538C}">
  <sheetPr codeName="Sheet7">
    <pageSetUpPr fitToPage="1"/>
  </sheetPr>
  <dimension ref="B1:R32"/>
  <sheetViews>
    <sheetView showGridLines="0" zoomScaleNormal="100" workbookViewId="0">
      <selection activeCell="B2" sqref="B2:D2"/>
    </sheetView>
  </sheetViews>
  <sheetFormatPr defaultColWidth="9.109375" defaultRowHeight="14.4" x14ac:dyDescent="0.3"/>
  <cols>
    <col min="1" max="1" width="2" style="180" customWidth="1"/>
    <col min="2" max="2" width="96.33203125" style="180" customWidth="1"/>
    <col min="3" max="3" width="2" style="180" customWidth="1"/>
    <col min="4" max="4" width="17.6640625" style="180" customWidth="1"/>
    <col min="5" max="5" width="9.33203125" style="180" customWidth="1"/>
    <col min="6" max="6" width="14.109375" style="155" customWidth="1"/>
    <col min="7" max="7" width="50.44140625" style="524" customWidth="1"/>
    <col min="8" max="8" width="44.33203125" style="180" customWidth="1"/>
    <col min="9" max="9" width="9.109375" style="180"/>
    <col min="10" max="10" width="36.6640625" style="180" customWidth="1"/>
    <col min="11" max="12" width="28.88671875" style="180" customWidth="1"/>
    <col min="13" max="13" width="9.109375" style="180"/>
    <col min="14" max="14" width="16.6640625" style="180" customWidth="1"/>
    <col min="15" max="15" width="22.5546875" style="180" customWidth="1"/>
    <col min="16" max="16" width="23.44140625" style="180" customWidth="1"/>
    <col min="17" max="17" width="9.109375" style="180"/>
    <col min="18" max="18" width="26.33203125" style="180" customWidth="1"/>
    <col min="19" max="16384" width="9.109375" style="180"/>
  </cols>
  <sheetData>
    <row r="1" spans="2:8" ht="42.6" customHeight="1" x14ac:dyDescent="0.35">
      <c r="B1" s="698" t="s">
        <v>1522</v>
      </c>
      <c r="C1" s="698"/>
      <c r="D1" s="698"/>
    </row>
    <row r="2" spans="2:8" ht="27" customHeight="1" x14ac:dyDescent="0.3">
      <c r="B2" s="1157"/>
      <c r="C2" s="1157"/>
      <c r="D2" s="1157"/>
    </row>
    <row r="3" spans="2:8" ht="26.4" customHeight="1" x14ac:dyDescent="0.35">
      <c r="B3" s="687" t="str">
        <f>'Unit Data from Audit Worksheet'!D2</f>
        <v>Select Unit Name from Drop Down List</v>
      </c>
      <c r="C3" s="564"/>
      <c r="D3" s="688">
        <v>2024</v>
      </c>
      <c r="F3" s="701" t="s">
        <v>1523</v>
      </c>
      <c r="G3" s="702" t="s">
        <v>41</v>
      </c>
    </row>
    <row r="4" spans="2:8" ht="18.600000000000001" customHeight="1" x14ac:dyDescent="0.3">
      <c r="B4" s="689" t="s">
        <v>71</v>
      </c>
      <c r="C4" s="263"/>
    </row>
    <row r="5" spans="2:8" ht="19.2" customHeight="1" x14ac:dyDescent="0.3">
      <c r="B5" s="600" t="s">
        <v>1501</v>
      </c>
      <c r="C5" s="600"/>
      <c r="D5" s="266"/>
    </row>
    <row r="6" spans="2:8" ht="19.95" customHeight="1" x14ac:dyDescent="0.3">
      <c r="B6" s="675" t="s">
        <v>1517</v>
      </c>
      <c r="C6" s="675"/>
      <c r="D6" s="691">
        <f>Import!L38</f>
        <v>0</v>
      </c>
      <c r="F6" s="671">
        <v>506</v>
      </c>
      <c r="G6" s="524" t="s">
        <v>189</v>
      </c>
    </row>
    <row r="7" spans="2:8" ht="19.95" customHeight="1" x14ac:dyDescent="0.3">
      <c r="B7" s="675" t="s">
        <v>1502</v>
      </c>
      <c r="C7" s="675"/>
      <c r="D7" s="692">
        <f>Import!L39</f>
        <v>0</v>
      </c>
      <c r="F7" s="671">
        <v>536</v>
      </c>
      <c r="G7" s="524" t="s">
        <v>190</v>
      </c>
    </row>
    <row r="8" spans="2:8" ht="19.95" customHeight="1" x14ac:dyDescent="0.3">
      <c r="B8" s="675" t="s">
        <v>1503</v>
      </c>
      <c r="C8" s="675"/>
      <c r="D8" s="692">
        <f>Import!L69</f>
        <v>0</v>
      </c>
      <c r="F8" s="557">
        <v>647</v>
      </c>
      <c r="G8" s="617" t="s">
        <v>792</v>
      </c>
    </row>
    <row r="9" spans="2:8" ht="19.95" customHeight="1" x14ac:dyDescent="0.3">
      <c r="B9" s="681" t="s">
        <v>1521</v>
      </c>
      <c r="C9" s="682"/>
      <c r="D9" s="692">
        <f>-Import!L48</f>
        <v>0</v>
      </c>
      <c r="F9" s="683">
        <v>11</v>
      </c>
      <c r="G9" s="684" t="s">
        <v>194</v>
      </c>
    </row>
    <row r="10" spans="2:8" ht="19.95" customHeight="1" x14ac:dyDescent="0.3">
      <c r="B10" s="601" t="s">
        <v>1420</v>
      </c>
      <c r="C10" s="601"/>
      <c r="D10" s="693"/>
    </row>
    <row r="11" spans="2:8" ht="19.95" customHeight="1" x14ac:dyDescent="0.3">
      <c r="B11" s="675" t="s">
        <v>1504</v>
      </c>
      <c r="C11" s="675"/>
      <c r="D11" s="694">
        <f>Import!L43</f>
        <v>0</v>
      </c>
      <c r="F11" s="155">
        <v>4</v>
      </c>
      <c r="G11" s="524" t="s">
        <v>1505</v>
      </c>
    </row>
    <row r="12" spans="2:8" ht="19.95" customHeight="1" x14ac:dyDescent="0.3">
      <c r="B12" s="675" t="s">
        <v>1421</v>
      </c>
      <c r="C12" s="675"/>
      <c r="D12" s="694">
        <f>Import!L196</f>
        <v>0</v>
      </c>
      <c r="F12" s="155">
        <v>6</v>
      </c>
      <c r="G12" s="524" t="s">
        <v>251</v>
      </c>
    </row>
    <row r="13" spans="2:8" ht="19.95" customHeight="1" x14ac:dyDescent="0.3">
      <c r="B13" s="675" t="s">
        <v>1506</v>
      </c>
      <c r="C13" s="675"/>
      <c r="D13" s="695">
        <f>Import!L44</f>
        <v>0</v>
      </c>
      <c r="F13" s="155">
        <v>5</v>
      </c>
      <c r="G13" s="524" t="s">
        <v>1507</v>
      </c>
    </row>
    <row r="14" spans="2:8" ht="24.6" customHeight="1" thickBot="1" x14ac:dyDescent="0.35">
      <c r="B14" s="676" t="s">
        <v>1519</v>
      </c>
      <c r="C14" s="675"/>
      <c r="D14" s="699">
        <f>SUM(D6:D9)-SUM(D11:D13)</f>
        <v>0</v>
      </c>
      <c r="E14" s="677"/>
      <c r="F14" s="155" t="s">
        <v>1493</v>
      </c>
      <c r="G14" s="685" t="s">
        <v>1871</v>
      </c>
      <c r="H14" s="714"/>
    </row>
    <row r="15" spans="2:8" ht="19.95" customHeight="1" thickTop="1" x14ac:dyDescent="0.3">
      <c r="B15" s="19"/>
      <c r="C15" s="19"/>
      <c r="D15" s="603"/>
    </row>
    <row r="16" spans="2:8" ht="19.95" customHeight="1" x14ac:dyDescent="0.3">
      <c r="B16" s="600"/>
      <c r="C16" s="600"/>
      <c r="D16" s="604"/>
    </row>
    <row r="17" spans="2:18" ht="19.95" customHeight="1" x14ac:dyDescent="0.3">
      <c r="B17" s="19" t="s">
        <v>1422</v>
      </c>
      <c r="C17" s="19"/>
      <c r="D17" s="266"/>
    </row>
    <row r="18" spans="2:18" ht="19.95" customHeight="1" x14ac:dyDescent="0.3">
      <c r="B18" s="675" t="s">
        <v>1508</v>
      </c>
      <c r="C18" s="675"/>
      <c r="D18" s="696">
        <f>Import!L59</f>
        <v>0</v>
      </c>
      <c r="F18" s="155">
        <v>532</v>
      </c>
      <c r="G18" s="524" t="s">
        <v>887</v>
      </c>
    </row>
    <row r="19" spans="2:18" ht="13.95" customHeight="1" x14ac:dyDescent="0.3">
      <c r="C19" s="19"/>
      <c r="D19" s="694"/>
    </row>
    <row r="20" spans="2:18" ht="16.95" customHeight="1" x14ac:dyDescent="0.3">
      <c r="B20" s="19" t="s">
        <v>1423</v>
      </c>
      <c r="C20" s="19"/>
      <c r="D20" s="694"/>
    </row>
    <row r="21" spans="2:18" ht="19.95" customHeight="1" x14ac:dyDescent="0.3">
      <c r="B21" s="675" t="s">
        <v>1509</v>
      </c>
      <c r="C21" s="675"/>
      <c r="D21" s="697">
        <f>Import!L62</f>
        <v>0</v>
      </c>
      <c r="F21" s="155">
        <v>20</v>
      </c>
      <c r="G21" s="524" t="s">
        <v>1510</v>
      </c>
    </row>
    <row r="22" spans="2:18" ht="33.6" customHeight="1" x14ac:dyDescent="0.3">
      <c r="B22" s="675" t="s">
        <v>1511</v>
      </c>
      <c r="C22" s="675"/>
      <c r="D22" s="694">
        <f>Import!L65</f>
        <v>0</v>
      </c>
      <c r="F22" s="155">
        <v>509</v>
      </c>
      <c r="G22" s="524" t="s">
        <v>288</v>
      </c>
    </row>
    <row r="23" spans="2:18" ht="28.95" customHeight="1" x14ac:dyDescent="0.3">
      <c r="B23" s="675" t="s">
        <v>1512</v>
      </c>
      <c r="C23" s="675"/>
      <c r="D23" s="697">
        <f>Import!L63</f>
        <v>0</v>
      </c>
      <c r="F23" s="155">
        <v>533</v>
      </c>
      <c r="G23" s="524" t="s">
        <v>888</v>
      </c>
    </row>
    <row r="24" spans="2:18" ht="38.4" customHeight="1" x14ac:dyDescent="0.3">
      <c r="B24" s="675" t="s">
        <v>1513</v>
      </c>
      <c r="C24" s="675"/>
      <c r="D24" s="697">
        <f>Import!L64</f>
        <v>0</v>
      </c>
      <c r="F24" s="155">
        <v>508</v>
      </c>
      <c r="G24" s="524" t="s">
        <v>290</v>
      </c>
    </row>
    <row r="25" spans="2:18" ht="39" customHeight="1" x14ac:dyDescent="0.3">
      <c r="B25" s="681" t="s">
        <v>1518</v>
      </c>
      <c r="C25" s="675"/>
      <c r="D25" s="713">
        <f>Import!L60</f>
        <v>0</v>
      </c>
      <c r="F25" s="683">
        <v>1050</v>
      </c>
      <c r="G25" s="690" t="s">
        <v>1436</v>
      </c>
    </row>
    <row r="26" spans="2:18" ht="25.95" customHeight="1" thickBot="1" x14ac:dyDescent="0.35">
      <c r="B26" s="676" t="s">
        <v>1514</v>
      </c>
      <c r="C26" s="678"/>
      <c r="D26" s="700">
        <f>D18+D21+D22-D23-D24-D25</f>
        <v>0</v>
      </c>
      <c r="F26" s="155" t="s">
        <v>1493</v>
      </c>
      <c r="G26" s="685" t="s">
        <v>1520</v>
      </c>
    </row>
    <row r="27" spans="2:18" ht="19.95" customHeight="1" thickTop="1" x14ac:dyDescent="0.3">
      <c r="B27" s="266"/>
      <c r="C27" s="266"/>
      <c r="D27" s="266"/>
    </row>
    <row r="28" spans="2:18" s="525" customFormat="1" ht="40.950000000000003" customHeight="1" thickBot="1" x14ac:dyDescent="0.35">
      <c r="B28" s="676" t="s">
        <v>1515</v>
      </c>
      <c r="C28" s="678"/>
      <c r="D28" s="605" t="e">
        <f>D14/D26</f>
        <v>#DIV/0!</v>
      </c>
      <c r="F28" s="155" t="s">
        <v>1493</v>
      </c>
      <c r="G28" s="686" t="s">
        <v>1516</v>
      </c>
      <c r="I28" s="180"/>
      <c r="J28" s="180"/>
      <c r="K28" s="180"/>
      <c r="L28" s="180"/>
      <c r="M28" s="180"/>
      <c r="N28" s="180"/>
      <c r="O28" s="180"/>
      <c r="P28" s="180"/>
      <c r="Q28" s="180"/>
      <c r="R28" s="180"/>
    </row>
    <row r="29" spans="2:18" s="525" customFormat="1" ht="15" thickTop="1" x14ac:dyDescent="0.3">
      <c r="B29" s="601"/>
      <c r="C29" s="601"/>
      <c r="D29" s="679"/>
      <c r="F29" s="155"/>
      <c r="G29" s="686"/>
      <c r="I29" s="180"/>
      <c r="J29" s="180"/>
      <c r="K29" s="180"/>
      <c r="L29" s="180"/>
      <c r="M29" s="180"/>
      <c r="N29" s="180"/>
      <c r="O29" s="180"/>
      <c r="P29" s="180"/>
      <c r="Q29" s="180"/>
      <c r="R29" s="180"/>
    </row>
    <row r="30" spans="2:18" s="525" customFormat="1" x14ac:dyDescent="0.3">
      <c r="B30" s="601"/>
      <c r="C30" s="601"/>
      <c r="D30" s="679"/>
      <c r="F30" s="155"/>
      <c r="G30" s="686"/>
      <c r="I30" s="180"/>
      <c r="J30" s="180"/>
      <c r="K30" s="180"/>
      <c r="L30" s="180"/>
      <c r="M30" s="180"/>
      <c r="N30" s="180"/>
      <c r="O30" s="180"/>
      <c r="P30" s="180"/>
      <c r="Q30" s="180"/>
      <c r="R30" s="180"/>
    </row>
    <row r="31" spans="2:18" s="525" customFormat="1" x14ac:dyDescent="0.3">
      <c r="B31" s="680"/>
      <c r="C31" s="680"/>
      <c r="D31" s="679"/>
      <c r="F31" s="155"/>
      <c r="G31" s="686"/>
      <c r="I31" s="180"/>
      <c r="J31" s="180"/>
      <c r="K31" s="180"/>
      <c r="L31" s="180"/>
      <c r="M31" s="180"/>
      <c r="N31" s="180"/>
      <c r="O31" s="180"/>
      <c r="P31" s="180"/>
      <c r="Q31" s="180"/>
      <c r="R31" s="180"/>
    </row>
    <row r="32" spans="2:18" x14ac:dyDescent="0.3">
      <c r="B32" s="577"/>
      <c r="C32" s="577"/>
      <c r="D32" s="602"/>
    </row>
  </sheetData>
  <sheetProtection algorithmName="SHA-512" hashValue="7P8Ak6NvN9rweevc0IGXjIzY530/Bm4pWul+aASASZzPXDNpQdFIUPrQIW8O/Nj6xf3KyosPjW2d9lT7rseypg==" saltValue="gArMGXj2mAbCcw7mRFThjQ==" spinCount="100000" sheet="1" formatCells="0" formatColumns="0" formatRows="0"/>
  <mergeCells count="1">
    <mergeCell ref="B2:D2"/>
  </mergeCells>
  <pageMargins left="0.7" right="0.7" top="0.75" bottom="0.75" header="0.3" footer="0.3"/>
  <pageSetup scale="3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C0C6-2C11-4A6E-9750-DEA167FE6AF6}">
  <sheetPr codeName="Sheet14">
    <pageSetUpPr fitToPage="1"/>
  </sheetPr>
  <dimension ref="A2:K43"/>
  <sheetViews>
    <sheetView workbookViewId="0">
      <selection activeCell="B3" sqref="B3"/>
    </sheetView>
  </sheetViews>
  <sheetFormatPr defaultColWidth="9.109375" defaultRowHeight="14.4" x14ac:dyDescent="0.3"/>
  <cols>
    <col min="1" max="1" width="4.6640625" style="180" customWidth="1"/>
    <col min="2" max="2" width="77.33203125" style="180" customWidth="1"/>
    <col min="3" max="3" width="20.33203125" style="180" customWidth="1"/>
    <col min="4" max="4" width="3.6640625" style="180" customWidth="1"/>
    <col min="5" max="5" width="20.33203125" style="180" customWidth="1"/>
    <col min="6" max="6" width="6.33203125" style="180" customWidth="1"/>
    <col min="7" max="7" width="17.33203125" style="180" customWidth="1"/>
    <col min="8" max="8" width="34.6640625" style="180" customWidth="1"/>
    <col min="9" max="9" width="17.109375" style="155" customWidth="1"/>
    <col min="10" max="10" width="21.109375" style="180" customWidth="1"/>
    <col min="11" max="11" width="18.33203125" style="180" customWidth="1"/>
    <col min="12" max="12" width="19.88671875" style="180" customWidth="1"/>
    <col min="13" max="13" width="17.6640625" style="180" customWidth="1"/>
    <col min="14" max="16384" width="9.109375" style="180"/>
  </cols>
  <sheetData>
    <row r="2" spans="1:11" ht="14.4" customHeight="1" x14ac:dyDescent="0.3">
      <c r="B2" s="1158" t="s">
        <v>104</v>
      </c>
      <c r="C2" s="1158"/>
      <c r="D2" s="1158"/>
      <c r="E2" s="1158"/>
      <c r="F2" s="599"/>
      <c r="G2" s="259"/>
    </row>
    <row r="4" spans="1:11" ht="15.6" x14ac:dyDescent="0.3">
      <c r="A4" s="259"/>
      <c r="B4" s="260" t="str">
        <f>'Unit Data from Audit Worksheet'!D2</f>
        <v>Select Unit Name from Drop Down List</v>
      </c>
      <c r="C4" s="673">
        <f>'Unit Data from Audit Worksheet'!F5</f>
        <v>2024</v>
      </c>
      <c r="E4" s="663">
        <f>'Unit Data from Audit Worksheet'!F5</f>
        <v>2024</v>
      </c>
    </row>
    <row r="5" spans="1:11" ht="27.6" x14ac:dyDescent="0.4">
      <c r="A5" s="262"/>
      <c r="B5" s="263" t="s">
        <v>71</v>
      </c>
      <c r="C5" s="261" t="s">
        <v>72</v>
      </c>
      <c r="D5" s="262"/>
      <c r="E5" s="264" t="s">
        <v>73</v>
      </c>
      <c r="G5" s="155"/>
      <c r="I5" s="180"/>
    </row>
    <row r="6" spans="1:11" x14ac:dyDescent="0.3">
      <c r="A6" s="259"/>
      <c r="B6" s="265" t="s">
        <v>74</v>
      </c>
      <c r="C6" s="266"/>
      <c r="D6" s="266"/>
      <c r="E6" s="266"/>
      <c r="G6" s="155"/>
      <c r="I6" s="180"/>
    </row>
    <row r="7" spans="1:11" x14ac:dyDescent="0.3">
      <c r="A7" s="259"/>
      <c r="B7" s="664" t="s">
        <v>1490</v>
      </c>
      <c r="C7" s="691">
        <f>Import!L38</f>
        <v>0</v>
      </c>
      <c r="D7" s="267"/>
      <c r="E7" s="691">
        <f>C7</f>
        <v>0</v>
      </c>
      <c r="G7" s="665">
        <v>506</v>
      </c>
      <c r="H7" s="666" t="s">
        <v>189</v>
      </c>
      <c r="I7" s="180"/>
    </row>
    <row r="8" spans="1:11" x14ac:dyDescent="0.3">
      <c r="A8" s="259"/>
      <c r="B8" s="664" t="s">
        <v>1491</v>
      </c>
      <c r="C8" s="693">
        <f>Import!L39</f>
        <v>0</v>
      </c>
      <c r="D8" s="268"/>
      <c r="E8" s="268"/>
      <c r="G8" s="665">
        <v>536</v>
      </c>
      <c r="H8" s="666" t="s">
        <v>190</v>
      </c>
      <c r="I8" s="180"/>
    </row>
    <row r="9" spans="1:11" x14ac:dyDescent="0.3">
      <c r="A9" s="259"/>
      <c r="B9" s="664" t="s">
        <v>173</v>
      </c>
      <c r="C9" s="728">
        <f>Import!L43</f>
        <v>0</v>
      </c>
      <c r="D9" s="268"/>
      <c r="E9" s="728">
        <f>C9</f>
        <v>0</v>
      </c>
      <c r="G9" s="665">
        <v>4</v>
      </c>
      <c r="H9" s="666" t="s">
        <v>111</v>
      </c>
      <c r="I9" s="180"/>
    </row>
    <row r="10" spans="1:11" x14ac:dyDescent="0.3">
      <c r="A10" s="259"/>
      <c r="B10" s="664" t="s">
        <v>75</v>
      </c>
      <c r="C10" s="694">
        <f>Import!L196</f>
        <v>0</v>
      </c>
      <c r="D10" s="268"/>
      <c r="E10" s="728">
        <f>C10</f>
        <v>0</v>
      </c>
      <c r="G10" s="665">
        <v>6</v>
      </c>
      <c r="H10" s="666" t="s">
        <v>251</v>
      </c>
      <c r="I10" s="180"/>
    </row>
    <row r="11" spans="1:11" x14ac:dyDescent="0.3">
      <c r="A11" s="259"/>
      <c r="B11" s="664" t="s">
        <v>76</v>
      </c>
      <c r="C11" s="695">
        <f>Import!L44</f>
        <v>0</v>
      </c>
      <c r="D11" s="269"/>
      <c r="E11" s="728">
        <f>C11</f>
        <v>0</v>
      </c>
      <c r="G11" s="665">
        <v>5</v>
      </c>
      <c r="H11" s="666" t="s">
        <v>112</v>
      </c>
      <c r="I11" s="180"/>
    </row>
    <row r="12" spans="1:11" x14ac:dyDescent="0.3">
      <c r="A12" s="19"/>
      <c r="B12" s="664" t="s">
        <v>77</v>
      </c>
      <c r="C12" s="729">
        <f>C7+C8-SUM(C9:C11)</f>
        <v>0</v>
      </c>
      <c r="E12" s="729">
        <f>E7-SUM(E9:E11)</f>
        <v>0</v>
      </c>
      <c r="G12" s="665" t="s">
        <v>1500</v>
      </c>
      <c r="H12" s="667" t="s">
        <v>1535</v>
      </c>
      <c r="I12" s="666" t="s">
        <v>1538</v>
      </c>
      <c r="J12" s="667" t="s">
        <v>1539</v>
      </c>
      <c r="K12" s="668"/>
    </row>
    <row r="13" spans="1:11" x14ac:dyDescent="0.3">
      <c r="A13" s="259"/>
      <c r="B13" s="259"/>
      <c r="C13" s="266"/>
      <c r="D13" s="266"/>
      <c r="E13" s="266"/>
      <c r="G13" s="665"/>
      <c r="H13" s="666"/>
      <c r="I13" s="180"/>
    </row>
    <row r="14" spans="1:11" x14ac:dyDescent="0.3">
      <c r="A14" s="259"/>
      <c r="B14" s="664" t="s">
        <v>1492</v>
      </c>
      <c r="C14" s="730">
        <f>Import!L51</f>
        <v>0</v>
      </c>
      <c r="D14" s="266"/>
      <c r="E14" s="266"/>
      <c r="G14" s="665">
        <v>9</v>
      </c>
      <c r="H14" s="666" t="s">
        <v>195</v>
      </c>
      <c r="I14" s="180"/>
    </row>
    <row r="15" spans="1:11" x14ac:dyDescent="0.3">
      <c r="A15" s="259"/>
      <c r="B15" s="664" t="s">
        <v>78</v>
      </c>
      <c r="C15" s="731">
        <f>C14-C12</f>
        <v>0</v>
      </c>
      <c r="D15" s="266"/>
      <c r="E15" s="266"/>
      <c r="G15" s="665" t="s">
        <v>1500</v>
      </c>
      <c r="H15" s="667" t="s">
        <v>1536</v>
      </c>
      <c r="I15" s="669"/>
    </row>
    <row r="16" spans="1:11" x14ac:dyDescent="0.3">
      <c r="A16" s="259"/>
      <c r="B16" s="270" t="s">
        <v>79</v>
      </c>
      <c r="C16" s="266"/>
      <c r="D16" s="266"/>
      <c r="E16" s="266"/>
      <c r="G16" s="665"/>
      <c r="H16" s="666"/>
      <c r="I16" s="180"/>
    </row>
    <row r="17" spans="1:9" x14ac:dyDescent="0.3">
      <c r="A17" s="271" t="s">
        <v>80</v>
      </c>
      <c r="B17" s="664" t="s">
        <v>1494</v>
      </c>
      <c r="C17" s="731">
        <f>Import!L47</f>
        <v>0</v>
      </c>
      <c r="D17" s="266"/>
      <c r="E17" s="266"/>
      <c r="G17" s="665">
        <v>7</v>
      </c>
      <c r="H17" s="666" t="s">
        <v>193</v>
      </c>
      <c r="I17" s="180"/>
    </row>
    <row r="18" spans="1:9" ht="15" thickBot="1" x14ac:dyDescent="0.35">
      <c r="B18" s="664" t="s">
        <v>81</v>
      </c>
      <c r="C18" s="732">
        <f>(C15-SUM(C17:C17))</f>
        <v>0</v>
      </c>
      <c r="D18" s="266"/>
      <c r="E18" s="266"/>
      <c r="G18" s="665" t="s">
        <v>1500</v>
      </c>
      <c r="H18" s="667" t="s">
        <v>1537</v>
      </c>
      <c r="I18" s="180"/>
    </row>
    <row r="19" spans="1:9" ht="15" thickTop="1" x14ac:dyDescent="0.3">
      <c r="B19" s="259"/>
      <c r="C19" s="266"/>
      <c r="D19" s="266"/>
      <c r="E19" s="266"/>
      <c r="G19" s="665"/>
      <c r="H19" s="666"/>
      <c r="I19" s="180"/>
    </row>
    <row r="20" spans="1:9" ht="15" thickBot="1" x14ac:dyDescent="0.35">
      <c r="B20" s="664" t="s">
        <v>1495</v>
      </c>
      <c r="C20" s="733">
        <f>Import!L46</f>
        <v>0</v>
      </c>
      <c r="D20" s="266"/>
      <c r="E20" s="266"/>
      <c r="G20" s="665">
        <v>391</v>
      </c>
      <c r="H20" s="666" t="s">
        <v>192</v>
      </c>
      <c r="I20" s="180"/>
    </row>
    <row r="21" spans="1:9" ht="15.6" thickTop="1" thickBot="1" x14ac:dyDescent="0.35">
      <c r="B21" s="272" t="str">
        <f>IF(C18&gt;C20, "Restricted-Stabilization by State Statute understated by ",IF(C20&gt;C18, "Restricted-Stabilization by State Statute overstated by ","Restricted-Stabilization by State Statutue Reportedly Correctly. "))</f>
        <v xml:space="preserve">Restricted-Stabilization by State Statutue Reportedly Correctly. </v>
      </c>
      <c r="C21" s="734">
        <f>ABS(C18-C20)</f>
        <v>0</v>
      </c>
      <c r="D21" s="266"/>
      <c r="E21" s="266"/>
      <c r="G21" s="155"/>
      <c r="I21" s="180"/>
    </row>
    <row r="22" spans="1:9" ht="15" thickTop="1" x14ac:dyDescent="0.3">
      <c r="B22" s="670" t="str">
        <f>IF(C18&gt;C20,"Since Restricted-Stabilization by State Statute was understated, verfiy that the unit did not appropriate fund balance in excess of legal amount available in row 12 above.","")</f>
        <v/>
      </c>
      <c r="C22" s="670"/>
      <c r="D22" s="670"/>
      <c r="E22" s="670"/>
      <c r="F22" s="266"/>
      <c r="G22" s="266"/>
    </row>
    <row r="23" spans="1:9" x14ac:dyDescent="0.3">
      <c r="B23" s="270" t="s">
        <v>82</v>
      </c>
      <c r="C23" s="266"/>
      <c r="D23" s="266"/>
      <c r="E23" s="273" t="s">
        <v>83</v>
      </c>
      <c r="G23" s="155"/>
      <c r="I23" s="180"/>
    </row>
    <row r="24" spans="1:9" x14ac:dyDescent="0.3">
      <c r="B24" s="270"/>
      <c r="C24" s="261" t="s">
        <v>84</v>
      </c>
      <c r="D24" s="266"/>
      <c r="E24" s="261" t="s">
        <v>91</v>
      </c>
      <c r="G24" s="155"/>
      <c r="I24" s="180"/>
    </row>
    <row r="25" spans="1:9" x14ac:dyDescent="0.3">
      <c r="B25" s="265" t="s">
        <v>85</v>
      </c>
      <c r="C25" s="266"/>
      <c r="D25" s="266"/>
      <c r="E25" s="266"/>
      <c r="G25" s="155"/>
      <c r="I25" s="180"/>
    </row>
    <row r="26" spans="1:9" x14ac:dyDescent="0.3">
      <c r="B26" s="664" t="s">
        <v>86</v>
      </c>
      <c r="C26" s="691">
        <f>Import!L59</f>
        <v>0</v>
      </c>
      <c r="D26" s="267"/>
      <c r="E26" s="691">
        <f>C26</f>
        <v>0</v>
      </c>
      <c r="G26" s="671">
        <v>532</v>
      </c>
      <c r="H26" s="674" t="s">
        <v>199</v>
      </c>
      <c r="I26" s="180"/>
    </row>
    <row r="27" spans="1:9" x14ac:dyDescent="0.3">
      <c r="B27" s="265" t="s">
        <v>87</v>
      </c>
      <c r="C27" s="266"/>
      <c r="D27" s="266"/>
      <c r="E27" s="266"/>
      <c r="G27" s="155"/>
      <c r="H27" s="666"/>
      <c r="I27" s="180"/>
    </row>
    <row r="28" spans="1:9" x14ac:dyDescent="0.3">
      <c r="B28" s="664" t="s">
        <v>88</v>
      </c>
      <c r="C28" s="693">
        <f>Import!L62</f>
        <v>0</v>
      </c>
      <c r="D28" s="268"/>
      <c r="E28" s="693">
        <f>C28</f>
        <v>0</v>
      </c>
      <c r="G28" s="671">
        <v>20</v>
      </c>
      <c r="H28" s="666" t="s">
        <v>201</v>
      </c>
      <c r="I28" s="180"/>
    </row>
    <row r="29" spans="1:9" ht="41.4" x14ac:dyDescent="0.3">
      <c r="B29" s="664" t="s">
        <v>1496</v>
      </c>
      <c r="C29" s="693">
        <f>Import!L65</f>
        <v>0</v>
      </c>
      <c r="D29" s="268"/>
      <c r="E29" s="693">
        <f>C29</f>
        <v>0</v>
      </c>
      <c r="G29" s="927">
        <v>509</v>
      </c>
      <c r="H29" s="928" t="s">
        <v>288</v>
      </c>
      <c r="I29" s="180"/>
    </row>
    <row r="30" spans="1:9" ht="21" customHeight="1" x14ac:dyDescent="0.3">
      <c r="B30" s="664" t="s">
        <v>89</v>
      </c>
      <c r="C30" s="693">
        <f>Import!L63</f>
        <v>0</v>
      </c>
      <c r="D30" s="268"/>
      <c r="E30" s="693">
        <f>C30</f>
        <v>0</v>
      </c>
      <c r="G30" s="927">
        <v>533</v>
      </c>
      <c r="H30" s="928" t="s">
        <v>888</v>
      </c>
      <c r="I30" s="180"/>
    </row>
    <row r="31" spans="1:9" ht="41.4" x14ac:dyDescent="0.3">
      <c r="B31" s="664" t="s">
        <v>1497</v>
      </c>
      <c r="C31" s="693">
        <f>Import!L64</f>
        <v>0</v>
      </c>
      <c r="D31" s="268"/>
      <c r="E31" s="693">
        <f>C31</f>
        <v>0</v>
      </c>
      <c r="G31" s="927">
        <v>508</v>
      </c>
      <c r="H31" s="928" t="s">
        <v>290</v>
      </c>
      <c r="I31" s="180"/>
    </row>
    <row r="32" spans="1:9" ht="16.95" customHeight="1" thickBot="1" x14ac:dyDescent="0.35">
      <c r="B32" s="672" t="s">
        <v>1498</v>
      </c>
      <c r="C32" s="735">
        <f>C26+C28+C29-C30-C31</f>
        <v>0</v>
      </c>
      <c r="D32" s="267"/>
      <c r="E32" s="735">
        <f>E26+E28+E29-E30-E31</f>
        <v>0</v>
      </c>
      <c r="G32" s="665" t="s">
        <v>1500</v>
      </c>
      <c r="H32" s="668" t="s">
        <v>1499</v>
      </c>
      <c r="I32" s="180"/>
    </row>
    <row r="33" spans="1:9" ht="15" thickTop="1" x14ac:dyDescent="0.3">
      <c r="B33" s="266"/>
      <c r="C33" s="266"/>
      <c r="D33" s="266"/>
      <c r="E33" s="266"/>
      <c r="G33" s="155"/>
      <c r="I33" s="180"/>
    </row>
    <row r="34" spans="1:9" ht="15" thickBot="1" x14ac:dyDescent="0.35">
      <c r="B34" s="672" t="s">
        <v>90</v>
      </c>
      <c r="C34" s="274" t="e">
        <f>C12/C32</f>
        <v>#DIV/0!</v>
      </c>
      <c r="D34" s="266"/>
      <c r="E34" s="274" t="e">
        <f>E12/E32</f>
        <v>#DIV/0!</v>
      </c>
      <c r="G34" s="155"/>
      <c r="I34" s="180"/>
    </row>
    <row r="35" spans="1:9" ht="15" thickTop="1" x14ac:dyDescent="0.3">
      <c r="C35" s="266"/>
      <c r="D35" s="266"/>
      <c r="E35" s="266"/>
      <c r="G35" s="155"/>
      <c r="I35" s="180"/>
    </row>
    <row r="36" spans="1:9" ht="15.6" x14ac:dyDescent="0.3">
      <c r="A36" s="20"/>
    </row>
    <row r="38" spans="1:9" x14ac:dyDescent="0.3">
      <c r="E38" s="527"/>
    </row>
    <row r="39" spans="1:9" x14ac:dyDescent="0.3">
      <c r="E39" s="122"/>
    </row>
    <row r="40" spans="1:9" x14ac:dyDescent="0.3">
      <c r="E40" s="122"/>
    </row>
    <row r="41" spans="1:9" x14ac:dyDescent="0.3">
      <c r="E41" s="122"/>
    </row>
    <row r="42" spans="1:9" x14ac:dyDescent="0.3">
      <c r="E42" s="122"/>
    </row>
    <row r="43" spans="1:9" x14ac:dyDescent="0.3">
      <c r="E43" s="122"/>
    </row>
  </sheetData>
  <sheetProtection algorithmName="SHA-512" hashValue="dLTOdwCmG0uusFLrErQs5Qhp4YJvUlcGYC5qs6AsTsdGUdRJdbDdKspxoNzKsam7e8tSrZM4lIwvGHQpbNaG1A==" saltValue="KRScpB7Nq+elqGOcTyGZaw==" spinCount="100000" sheet="1" objects="1" scenarios="1"/>
  <mergeCells count="1">
    <mergeCell ref="B2:E2"/>
  </mergeCells>
  <pageMargins left="0.7" right="0.7" top="0.75" bottom="0.75" header="0.3" footer="0.3"/>
  <pageSetup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D7EE2-1BD6-4867-8235-E926794B3B2E}">
  <sheetPr codeName="Sheet16"/>
  <dimension ref="A1:UW555"/>
  <sheetViews>
    <sheetView zoomScale="85" zoomScaleNormal="85" workbookViewId="0">
      <pane ySplit="3" topLeftCell="A4" activePane="bottomLeft" state="frozen"/>
      <selection pane="bottomLeft" activeCell="Q37" sqref="Q37"/>
    </sheetView>
  </sheetViews>
  <sheetFormatPr defaultColWidth="9.109375" defaultRowHeight="14.4" x14ac:dyDescent="0.3"/>
  <cols>
    <col min="1" max="1" width="45.109375" style="577" customWidth="1"/>
    <col min="2" max="2" width="36.44140625" style="577" customWidth="1"/>
    <col min="3" max="3" width="12.33203125" style="577" customWidth="1"/>
    <col min="4" max="4" width="1.33203125" style="577" customWidth="1"/>
    <col min="5" max="5" width="42.44140625" style="577" customWidth="1"/>
    <col min="6" max="6" width="19.88671875" style="577" customWidth="1"/>
    <col min="7" max="7" width="21.6640625" style="577" customWidth="1"/>
    <col min="8" max="8" width="6.6640625" style="577" customWidth="1"/>
    <col min="9" max="9" width="6.33203125" style="606" customWidth="1"/>
    <col min="10" max="10" width="11.6640625" style="606" hidden="1" customWidth="1"/>
    <col min="11" max="11" width="12" style="606" hidden="1" customWidth="1"/>
    <col min="12" max="12" width="17.109375" style="606" hidden="1" customWidth="1"/>
    <col min="13" max="13" width="15.109375" style="606" hidden="1" customWidth="1"/>
    <col min="14" max="14" width="15.5546875" style="606" hidden="1" customWidth="1"/>
    <col min="15" max="15" width="37.88671875" style="615" hidden="1" customWidth="1"/>
    <col min="16" max="16" width="15.109375" style="615" hidden="1" customWidth="1"/>
    <col min="17" max="17" width="26.6640625" style="606" customWidth="1"/>
    <col min="18" max="18" width="9.109375" style="606"/>
    <col min="19" max="19" width="11.44140625" style="606" customWidth="1"/>
    <col min="20" max="47" width="9.109375" style="606"/>
    <col min="48" max="16384" width="9.109375" style="577"/>
  </cols>
  <sheetData>
    <row r="1" spans="1:569" x14ac:dyDescent="0.3">
      <c r="A1" s="575"/>
      <c r="B1" s="589" t="str">
        <f>+'Unit Data from Audit Worksheet'!D2</f>
        <v>Select Unit Name from Drop Down List</v>
      </c>
      <c r="C1" s="576"/>
      <c r="D1" s="576"/>
      <c r="E1" s="630" t="s">
        <v>1455</v>
      </c>
      <c r="H1" s="576"/>
      <c r="J1" s="606" t="s">
        <v>1427</v>
      </c>
      <c r="K1" s="606" t="s">
        <v>1428</v>
      </c>
      <c r="M1" s="611" t="s">
        <v>1430</v>
      </c>
      <c r="N1" s="611" t="s">
        <v>1430</v>
      </c>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c r="DV1" s="180"/>
      <c r="DW1" s="180"/>
      <c r="DX1" s="180"/>
      <c r="DY1" s="180"/>
      <c r="DZ1" s="180"/>
      <c r="EA1" s="180"/>
      <c r="EB1" s="180"/>
      <c r="EC1" s="180"/>
      <c r="ED1" s="180"/>
      <c r="EE1" s="180"/>
      <c r="EF1" s="180"/>
      <c r="EG1" s="180"/>
      <c r="EH1" s="180"/>
      <c r="EI1" s="180"/>
      <c r="EJ1" s="180"/>
      <c r="EK1" s="180"/>
      <c r="EL1" s="180"/>
      <c r="EM1" s="180"/>
      <c r="EN1" s="180"/>
      <c r="EO1" s="180"/>
      <c r="EP1" s="180"/>
      <c r="EQ1" s="180"/>
      <c r="ER1" s="180"/>
      <c r="ES1" s="180"/>
      <c r="ET1" s="180"/>
      <c r="EU1" s="180"/>
      <c r="EV1" s="180"/>
      <c r="EW1" s="180"/>
      <c r="EX1" s="180"/>
      <c r="EY1" s="180"/>
      <c r="EZ1" s="180"/>
      <c r="FA1" s="180"/>
      <c r="FB1" s="180"/>
      <c r="FC1" s="180"/>
      <c r="FD1" s="180"/>
      <c r="FE1" s="180"/>
      <c r="FF1" s="180"/>
      <c r="FG1" s="180"/>
      <c r="FH1" s="180"/>
      <c r="FI1" s="180"/>
      <c r="FJ1" s="180"/>
      <c r="FK1" s="180"/>
      <c r="FL1" s="180"/>
      <c r="FM1" s="180"/>
      <c r="FN1" s="180"/>
      <c r="FO1" s="180"/>
      <c r="FP1" s="180"/>
      <c r="FQ1" s="180"/>
      <c r="FR1" s="180"/>
      <c r="FS1" s="180"/>
      <c r="FT1" s="180"/>
      <c r="FU1" s="180"/>
      <c r="FV1" s="180"/>
      <c r="FW1" s="180"/>
      <c r="FX1" s="180"/>
      <c r="FY1" s="180"/>
      <c r="FZ1" s="180"/>
      <c r="GA1" s="180"/>
      <c r="GB1" s="180"/>
      <c r="GC1" s="180"/>
      <c r="GD1" s="180"/>
      <c r="GE1" s="180"/>
      <c r="GF1" s="180"/>
      <c r="GG1" s="180"/>
      <c r="GH1" s="180"/>
      <c r="GI1" s="180"/>
      <c r="GJ1" s="180"/>
      <c r="GK1" s="180"/>
      <c r="GL1" s="180"/>
      <c r="GM1" s="180"/>
      <c r="GN1" s="180"/>
      <c r="GO1" s="180"/>
      <c r="GP1" s="180"/>
      <c r="GQ1" s="180"/>
      <c r="GR1" s="180"/>
      <c r="GS1" s="180"/>
      <c r="GT1" s="180"/>
      <c r="GU1" s="180"/>
      <c r="GV1" s="180"/>
      <c r="GW1" s="180"/>
      <c r="GX1" s="180"/>
      <c r="GY1" s="180"/>
      <c r="GZ1" s="180"/>
      <c r="HA1" s="180"/>
      <c r="HB1" s="180"/>
      <c r="HC1" s="180"/>
      <c r="HD1" s="180"/>
      <c r="HE1" s="180"/>
      <c r="HF1" s="180"/>
      <c r="HG1" s="180"/>
      <c r="HH1" s="180"/>
      <c r="HI1" s="180"/>
      <c r="HJ1" s="180"/>
      <c r="HK1" s="180"/>
      <c r="HL1" s="180"/>
      <c r="HM1" s="180"/>
      <c r="HN1" s="180"/>
      <c r="HO1" s="180"/>
      <c r="HP1" s="180"/>
      <c r="HQ1" s="180"/>
      <c r="HR1" s="180"/>
      <c r="HS1" s="180"/>
      <c r="HT1" s="180"/>
      <c r="HU1" s="180"/>
      <c r="HV1" s="180"/>
      <c r="HW1" s="180"/>
      <c r="HX1" s="180"/>
      <c r="HY1" s="180"/>
      <c r="HZ1" s="180"/>
      <c r="IA1" s="180"/>
      <c r="IB1" s="180"/>
      <c r="IC1" s="180"/>
      <c r="ID1" s="180"/>
      <c r="IE1" s="180"/>
      <c r="IF1" s="180"/>
      <c r="IG1" s="180"/>
      <c r="IH1" s="180"/>
      <c r="II1" s="180"/>
      <c r="IJ1" s="180"/>
      <c r="IK1" s="180"/>
      <c r="IL1" s="180"/>
      <c r="IM1" s="180"/>
      <c r="IN1" s="180"/>
      <c r="IO1" s="180"/>
      <c r="IP1" s="180"/>
      <c r="IQ1" s="180"/>
      <c r="IR1" s="180"/>
      <c r="IS1" s="180"/>
      <c r="IT1" s="180"/>
      <c r="IU1" s="180"/>
      <c r="IV1" s="180"/>
      <c r="IW1" s="180"/>
      <c r="IX1" s="180"/>
      <c r="IY1" s="180"/>
      <c r="IZ1" s="180"/>
      <c r="JA1" s="180"/>
      <c r="JB1" s="180"/>
      <c r="JC1" s="180"/>
      <c r="JD1" s="180"/>
      <c r="JE1" s="180"/>
      <c r="JF1" s="180"/>
      <c r="JG1" s="180"/>
      <c r="JH1" s="180"/>
      <c r="JI1" s="180"/>
      <c r="JJ1" s="180"/>
      <c r="JK1" s="180"/>
      <c r="JL1" s="180"/>
      <c r="JM1" s="180"/>
      <c r="JN1" s="180"/>
      <c r="JO1" s="180"/>
      <c r="JP1" s="180"/>
      <c r="JQ1" s="180"/>
      <c r="JR1" s="180"/>
      <c r="JS1" s="180"/>
      <c r="JT1" s="180"/>
      <c r="JU1" s="180"/>
      <c r="JV1" s="180"/>
      <c r="JW1" s="180"/>
      <c r="JX1" s="180"/>
      <c r="JY1" s="180"/>
      <c r="JZ1" s="180"/>
      <c r="KA1" s="180"/>
      <c r="KB1" s="180"/>
      <c r="KC1" s="180"/>
      <c r="KD1" s="180"/>
      <c r="KE1" s="180"/>
      <c r="KF1" s="180"/>
      <c r="KG1" s="180"/>
      <c r="KH1" s="180"/>
      <c r="KI1" s="180"/>
      <c r="KJ1" s="180"/>
      <c r="KK1" s="180"/>
      <c r="KL1" s="180"/>
      <c r="KM1" s="180"/>
      <c r="KN1" s="180"/>
      <c r="KO1" s="180"/>
      <c r="KP1" s="180"/>
      <c r="KQ1" s="180"/>
      <c r="KR1" s="180"/>
      <c r="KS1" s="180"/>
      <c r="KT1" s="180"/>
      <c r="KU1" s="180"/>
      <c r="KV1" s="180"/>
      <c r="KW1" s="180"/>
      <c r="KX1" s="180"/>
      <c r="KY1" s="180"/>
      <c r="KZ1" s="180"/>
      <c r="LA1" s="180"/>
      <c r="LB1" s="180"/>
      <c r="LC1" s="180"/>
      <c r="LD1" s="180"/>
      <c r="LE1" s="180"/>
      <c r="LF1" s="180"/>
      <c r="LG1" s="180"/>
      <c r="LH1" s="180"/>
      <c r="LI1" s="180"/>
      <c r="LJ1" s="180"/>
      <c r="LK1" s="180"/>
      <c r="LL1" s="180"/>
      <c r="LM1" s="180"/>
      <c r="LN1" s="180"/>
      <c r="LO1" s="180"/>
      <c r="LP1" s="180"/>
      <c r="LQ1" s="180"/>
      <c r="LR1" s="180"/>
      <c r="LS1" s="180"/>
      <c r="LT1" s="180"/>
      <c r="LU1" s="180"/>
      <c r="LV1" s="180"/>
      <c r="LW1" s="180"/>
      <c r="LX1" s="180"/>
      <c r="LY1" s="180"/>
      <c r="LZ1" s="180"/>
      <c r="MA1" s="180"/>
      <c r="MB1" s="180"/>
      <c r="MC1" s="180"/>
      <c r="MD1" s="180"/>
      <c r="ME1" s="180"/>
      <c r="MF1" s="180"/>
      <c r="MG1" s="180"/>
      <c r="MH1" s="180"/>
      <c r="MI1" s="180"/>
      <c r="MJ1" s="180"/>
      <c r="MK1" s="180"/>
      <c r="ML1" s="180"/>
      <c r="MM1" s="180"/>
      <c r="MN1" s="180"/>
      <c r="MO1" s="180"/>
      <c r="MP1" s="180"/>
      <c r="MQ1" s="180"/>
      <c r="MR1" s="180"/>
      <c r="MS1" s="180"/>
      <c r="MT1" s="180"/>
      <c r="MU1" s="180"/>
      <c r="MV1" s="180"/>
      <c r="MW1" s="180"/>
      <c r="MX1" s="180"/>
      <c r="MY1" s="180"/>
      <c r="MZ1" s="180"/>
      <c r="NA1" s="180"/>
      <c r="NB1" s="180"/>
      <c r="NC1" s="180"/>
      <c r="ND1" s="180"/>
      <c r="NE1" s="180"/>
      <c r="NF1" s="180"/>
      <c r="NG1" s="180"/>
      <c r="NH1" s="180"/>
      <c r="NI1" s="180"/>
      <c r="NJ1" s="180"/>
      <c r="NK1" s="180"/>
      <c r="NL1" s="180"/>
      <c r="NM1" s="180"/>
      <c r="NN1" s="180"/>
      <c r="NO1" s="180"/>
      <c r="NP1" s="180"/>
      <c r="NQ1" s="180"/>
      <c r="NR1" s="180"/>
      <c r="NS1" s="180"/>
      <c r="NT1" s="180"/>
      <c r="NU1" s="180"/>
      <c r="NV1" s="180"/>
      <c r="NW1" s="180"/>
      <c r="NX1" s="180"/>
      <c r="NY1" s="180"/>
      <c r="NZ1" s="180"/>
      <c r="OA1" s="180"/>
      <c r="OB1" s="180"/>
      <c r="OC1" s="180"/>
      <c r="OD1" s="180"/>
      <c r="OE1" s="180"/>
      <c r="OF1" s="180"/>
      <c r="OG1" s="180"/>
      <c r="OH1" s="180"/>
      <c r="OI1" s="180"/>
      <c r="OJ1" s="180"/>
      <c r="OK1" s="180"/>
      <c r="OL1" s="180"/>
      <c r="OM1" s="180"/>
      <c r="ON1" s="180"/>
      <c r="OO1" s="180"/>
      <c r="OP1" s="180"/>
      <c r="OQ1" s="180"/>
      <c r="OR1" s="180"/>
      <c r="OS1" s="180"/>
      <c r="OT1" s="180"/>
      <c r="OU1" s="180"/>
      <c r="OV1" s="180"/>
      <c r="OW1" s="180"/>
      <c r="OX1" s="180"/>
      <c r="OY1" s="180"/>
      <c r="OZ1" s="180"/>
      <c r="PA1" s="180"/>
      <c r="PB1" s="180"/>
      <c r="PC1" s="180"/>
      <c r="PD1" s="180"/>
      <c r="PE1" s="180"/>
      <c r="PF1" s="180"/>
      <c r="PG1" s="180"/>
      <c r="PH1" s="180"/>
      <c r="PI1" s="180"/>
      <c r="PJ1" s="180"/>
      <c r="PK1" s="180"/>
      <c r="PL1" s="180"/>
      <c r="PM1" s="180"/>
      <c r="PN1" s="180"/>
      <c r="PO1" s="180"/>
      <c r="PP1" s="180"/>
      <c r="PQ1" s="180"/>
      <c r="PR1" s="180"/>
      <c r="PS1" s="180"/>
      <c r="PT1" s="180"/>
      <c r="PU1" s="180"/>
      <c r="PV1" s="180"/>
      <c r="PW1" s="180"/>
      <c r="PX1" s="180"/>
      <c r="PY1" s="180"/>
      <c r="PZ1" s="180"/>
      <c r="QA1" s="180"/>
      <c r="QB1" s="180"/>
      <c r="QC1" s="180"/>
      <c r="QD1" s="180"/>
      <c r="QE1" s="180"/>
      <c r="QF1" s="180"/>
      <c r="QG1" s="180"/>
      <c r="QH1" s="180"/>
      <c r="QI1" s="180"/>
      <c r="QJ1" s="180"/>
      <c r="QK1" s="180"/>
      <c r="QL1" s="180"/>
      <c r="QM1" s="180"/>
      <c r="QN1" s="180"/>
      <c r="QO1" s="180"/>
      <c r="QP1" s="180"/>
      <c r="QQ1" s="180"/>
      <c r="QR1" s="180"/>
      <c r="QS1" s="180"/>
      <c r="QT1" s="180"/>
      <c r="QU1" s="180"/>
      <c r="QV1" s="180"/>
      <c r="QW1" s="180"/>
      <c r="QX1" s="180"/>
      <c r="QY1" s="180"/>
      <c r="QZ1" s="180"/>
      <c r="RA1" s="180"/>
      <c r="RB1" s="180"/>
      <c r="RC1" s="180"/>
      <c r="RD1" s="180"/>
      <c r="RE1" s="180"/>
      <c r="RF1" s="180"/>
      <c r="RG1" s="180"/>
      <c r="RH1" s="180"/>
      <c r="RI1" s="180"/>
      <c r="RJ1" s="180"/>
      <c r="RK1" s="180"/>
      <c r="RL1" s="180"/>
      <c r="RM1" s="180"/>
      <c r="RN1" s="180"/>
      <c r="RO1" s="180"/>
      <c r="RP1" s="180"/>
      <c r="RQ1" s="180"/>
      <c r="RR1" s="180"/>
      <c r="RS1" s="180"/>
      <c r="RT1" s="180"/>
      <c r="RU1" s="180"/>
      <c r="RV1" s="180"/>
      <c r="RW1" s="180"/>
      <c r="RX1" s="180"/>
      <c r="RY1" s="180"/>
      <c r="RZ1" s="180"/>
      <c r="SA1" s="180"/>
      <c r="SB1" s="180"/>
      <c r="SC1" s="180"/>
      <c r="SD1" s="180"/>
      <c r="SE1" s="180"/>
      <c r="SF1" s="180"/>
      <c r="SG1" s="180"/>
      <c r="SH1" s="180"/>
      <c r="SI1" s="180"/>
      <c r="SJ1" s="180"/>
      <c r="SK1" s="180"/>
      <c r="SL1" s="180"/>
      <c r="SM1" s="180"/>
      <c r="SN1" s="180"/>
      <c r="SO1" s="180"/>
      <c r="SP1" s="180"/>
      <c r="SQ1" s="180"/>
      <c r="SR1" s="180"/>
      <c r="SS1" s="180"/>
      <c r="ST1" s="180"/>
      <c r="SU1" s="180"/>
      <c r="SV1" s="180"/>
      <c r="SW1" s="180"/>
      <c r="SX1" s="180"/>
      <c r="SY1" s="180"/>
      <c r="SZ1" s="180"/>
      <c r="TA1" s="180"/>
      <c r="TB1" s="180"/>
      <c r="TC1" s="180"/>
      <c r="TD1" s="180"/>
      <c r="TE1" s="180"/>
      <c r="TF1" s="180"/>
      <c r="TG1" s="180"/>
      <c r="TH1" s="180"/>
      <c r="TI1" s="180"/>
      <c r="TJ1" s="180"/>
      <c r="TK1" s="180"/>
      <c r="TL1" s="180"/>
      <c r="TM1" s="180"/>
      <c r="TN1" s="180"/>
      <c r="TO1" s="180"/>
      <c r="TP1" s="180"/>
      <c r="TQ1" s="180"/>
      <c r="TR1" s="180"/>
      <c r="TS1" s="180"/>
      <c r="TT1" s="180"/>
      <c r="TU1" s="180"/>
      <c r="TV1" s="180"/>
      <c r="TW1" s="180"/>
      <c r="TX1" s="180"/>
      <c r="TY1" s="180"/>
      <c r="TZ1" s="180"/>
      <c r="UA1" s="180"/>
      <c r="UB1" s="180"/>
      <c r="UC1" s="180"/>
      <c r="UD1" s="180"/>
      <c r="UE1" s="180"/>
      <c r="UF1" s="180"/>
      <c r="UG1" s="180"/>
      <c r="UH1" s="180"/>
      <c r="UI1" s="180"/>
      <c r="UJ1" s="180"/>
      <c r="UK1" s="180"/>
      <c r="UL1" s="180"/>
      <c r="UM1" s="180"/>
      <c r="UN1" s="180"/>
      <c r="UO1" s="180"/>
      <c r="UP1" s="180"/>
      <c r="UQ1" s="180"/>
      <c r="UR1" s="180"/>
      <c r="US1" s="180"/>
      <c r="UT1" s="180"/>
      <c r="UU1" s="180"/>
      <c r="UV1" s="180"/>
      <c r="UW1" s="180"/>
    </row>
    <row r="2" spans="1:569" x14ac:dyDescent="0.3">
      <c r="A2" s="575" t="s">
        <v>1449</v>
      </c>
      <c r="B2" s="575" t="e">
        <f>+'Unit Data from Audit Worksheet'!D3</f>
        <v>#N/A</v>
      </c>
      <c r="C2" s="576"/>
      <c r="D2" s="576"/>
      <c r="E2" s="631" t="s">
        <v>1454</v>
      </c>
      <c r="H2" s="576"/>
      <c r="M2" s="612" t="s">
        <v>1431</v>
      </c>
      <c r="N2" s="612" t="s">
        <v>1435</v>
      </c>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c r="FF2" s="180"/>
      <c r="FG2" s="180"/>
      <c r="FH2" s="180"/>
      <c r="FI2" s="180"/>
      <c r="FJ2" s="180"/>
      <c r="FK2" s="180"/>
      <c r="FL2" s="180"/>
      <c r="FM2" s="180"/>
      <c r="FN2" s="180"/>
      <c r="FO2" s="180"/>
      <c r="FP2" s="180"/>
      <c r="FQ2" s="180"/>
      <c r="FR2" s="180"/>
      <c r="FS2" s="180"/>
      <c r="FT2" s="180"/>
      <c r="FU2" s="180"/>
      <c r="FV2" s="180"/>
      <c r="FW2" s="180"/>
      <c r="FX2" s="180"/>
      <c r="FY2" s="180"/>
      <c r="FZ2" s="180"/>
      <c r="GA2" s="180"/>
      <c r="GB2" s="180"/>
      <c r="GC2" s="180"/>
      <c r="GD2" s="180"/>
      <c r="GE2" s="180"/>
      <c r="GF2" s="180"/>
      <c r="GG2" s="180"/>
      <c r="GH2" s="180"/>
      <c r="GI2" s="180"/>
      <c r="GJ2" s="180"/>
      <c r="GK2" s="180"/>
      <c r="GL2" s="180"/>
      <c r="GM2" s="180"/>
      <c r="GN2" s="180"/>
      <c r="GO2" s="180"/>
      <c r="GP2" s="180"/>
      <c r="GQ2" s="180"/>
      <c r="GR2" s="180"/>
      <c r="GS2" s="180"/>
      <c r="GT2" s="180"/>
      <c r="GU2" s="180"/>
      <c r="GV2" s="180"/>
      <c r="GW2" s="180"/>
      <c r="GX2" s="180"/>
      <c r="GY2" s="180"/>
      <c r="GZ2" s="180"/>
      <c r="HA2" s="180"/>
      <c r="HB2" s="180"/>
      <c r="HC2" s="180"/>
      <c r="HD2" s="180"/>
      <c r="HE2" s="180"/>
      <c r="HF2" s="180"/>
      <c r="HG2" s="180"/>
      <c r="HH2" s="180"/>
      <c r="HI2" s="180"/>
      <c r="HJ2" s="180"/>
      <c r="HK2" s="180"/>
      <c r="HL2" s="180"/>
      <c r="HM2" s="180"/>
      <c r="HN2" s="180"/>
      <c r="HO2" s="180"/>
      <c r="HP2" s="180"/>
      <c r="HQ2" s="180"/>
      <c r="HR2" s="180"/>
      <c r="HS2" s="180"/>
      <c r="HT2" s="180"/>
      <c r="HU2" s="180"/>
      <c r="HV2" s="180"/>
      <c r="HW2" s="180"/>
      <c r="HX2" s="180"/>
      <c r="HY2" s="180"/>
      <c r="HZ2" s="180"/>
      <c r="IA2" s="180"/>
      <c r="IB2" s="180"/>
      <c r="IC2" s="180"/>
      <c r="ID2" s="180"/>
      <c r="IE2" s="180"/>
      <c r="IF2" s="180"/>
      <c r="IG2" s="180"/>
      <c r="IH2" s="180"/>
      <c r="II2" s="180"/>
      <c r="IJ2" s="180"/>
      <c r="IK2" s="180"/>
      <c r="IL2" s="180"/>
      <c r="IM2" s="180"/>
      <c r="IN2" s="180"/>
      <c r="IO2" s="180"/>
      <c r="IP2" s="180"/>
      <c r="IQ2" s="180"/>
      <c r="IR2" s="180"/>
      <c r="IS2" s="180"/>
      <c r="IT2" s="180"/>
      <c r="IU2" s="180"/>
      <c r="IV2" s="180"/>
      <c r="IW2" s="180"/>
      <c r="IX2" s="180"/>
      <c r="IY2" s="180"/>
      <c r="IZ2" s="180"/>
      <c r="JA2" s="180"/>
      <c r="JB2" s="180"/>
      <c r="JC2" s="180"/>
      <c r="JD2" s="180"/>
      <c r="JE2" s="180"/>
      <c r="JF2" s="180"/>
      <c r="JG2" s="180"/>
      <c r="JH2" s="180"/>
      <c r="JI2" s="180"/>
      <c r="JJ2" s="180"/>
      <c r="JK2" s="180"/>
      <c r="JL2" s="180"/>
      <c r="JM2" s="180"/>
      <c r="JN2" s="180"/>
      <c r="JO2" s="180"/>
      <c r="JP2" s="180"/>
      <c r="JQ2" s="180"/>
      <c r="JR2" s="180"/>
      <c r="JS2" s="180"/>
      <c r="JT2" s="180"/>
      <c r="JU2" s="180"/>
      <c r="JV2" s="180"/>
      <c r="JW2" s="180"/>
      <c r="JX2" s="180"/>
      <c r="JY2" s="180"/>
      <c r="JZ2" s="180"/>
      <c r="KA2" s="180"/>
      <c r="KB2" s="180"/>
      <c r="KC2" s="180"/>
      <c r="KD2" s="180"/>
      <c r="KE2" s="180"/>
      <c r="KF2" s="180"/>
      <c r="KG2" s="180"/>
      <c r="KH2" s="180"/>
      <c r="KI2" s="180"/>
      <c r="KJ2" s="180"/>
      <c r="KK2" s="180"/>
      <c r="KL2" s="180"/>
      <c r="KM2" s="180"/>
      <c r="KN2" s="180"/>
      <c r="KO2" s="180"/>
      <c r="KP2" s="180"/>
      <c r="KQ2" s="180"/>
      <c r="KR2" s="180"/>
      <c r="KS2" s="180"/>
      <c r="KT2" s="180"/>
      <c r="KU2" s="180"/>
      <c r="KV2" s="180"/>
      <c r="KW2" s="180"/>
      <c r="KX2" s="180"/>
      <c r="KY2" s="180"/>
      <c r="KZ2" s="180"/>
      <c r="LA2" s="180"/>
      <c r="LB2" s="180"/>
      <c r="LC2" s="180"/>
      <c r="LD2" s="180"/>
      <c r="LE2" s="180"/>
      <c r="LF2" s="180"/>
      <c r="LG2" s="180"/>
      <c r="LH2" s="180"/>
      <c r="LI2" s="180"/>
      <c r="LJ2" s="180"/>
      <c r="LK2" s="180"/>
      <c r="LL2" s="180"/>
      <c r="LM2" s="180"/>
      <c r="LN2" s="180"/>
      <c r="LO2" s="180"/>
      <c r="LP2" s="180"/>
      <c r="LQ2" s="180"/>
      <c r="LR2" s="180"/>
      <c r="LS2" s="180"/>
      <c r="LT2" s="180"/>
      <c r="LU2" s="180"/>
      <c r="LV2" s="180"/>
      <c r="LW2" s="180"/>
      <c r="LX2" s="180"/>
      <c r="LY2" s="180"/>
      <c r="LZ2" s="180"/>
      <c r="MA2" s="180"/>
      <c r="MB2" s="180"/>
      <c r="MC2" s="180"/>
      <c r="MD2" s="180"/>
      <c r="ME2" s="180"/>
      <c r="MF2" s="180"/>
      <c r="MG2" s="180"/>
      <c r="MH2" s="180"/>
      <c r="MI2" s="180"/>
      <c r="MJ2" s="180"/>
      <c r="MK2" s="180"/>
      <c r="ML2" s="180"/>
      <c r="MM2" s="180"/>
      <c r="MN2" s="180"/>
      <c r="MO2" s="180"/>
      <c r="MP2" s="180"/>
      <c r="MQ2" s="180"/>
      <c r="MR2" s="180"/>
      <c r="MS2" s="180"/>
      <c r="MT2" s="180"/>
      <c r="MU2" s="180"/>
      <c r="MV2" s="180"/>
      <c r="MW2" s="180"/>
      <c r="MX2" s="180"/>
      <c r="MY2" s="180"/>
      <c r="MZ2" s="180"/>
      <c r="NA2" s="180"/>
      <c r="NB2" s="180"/>
      <c r="NC2" s="180"/>
      <c r="ND2" s="180"/>
      <c r="NE2" s="180"/>
      <c r="NF2" s="180"/>
      <c r="NG2" s="180"/>
      <c r="NH2" s="180"/>
      <c r="NI2" s="180"/>
      <c r="NJ2" s="180"/>
      <c r="NK2" s="180"/>
      <c r="NL2" s="180"/>
      <c r="NM2" s="180"/>
      <c r="NN2" s="180"/>
      <c r="NO2" s="180"/>
      <c r="NP2" s="180"/>
      <c r="NQ2" s="180"/>
      <c r="NR2" s="180"/>
      <c r="NS2" s="180"/>
      <c r="NT2" s="180"/>
      <c r="NU2" s="180"/>
      <c r="NV2" s="180"/>
      <c r="NW2" s="180"/>
      <c r="NX2" s="180"/>
      <c r="NY2" s="180"/>
      <c r="NZ2" s="180"/>
      <c r="OA2" s="180"/>
      <c r="OB2" s="180"/>
      <c r="OC2" s="180"/>
      <c r="OD2" s="180"/>
      <c r="OE2" s="180"/>
      <c r="OF2" s="180"/>
      <c r="OG2" s="180"/>
      <c r="OH2" s="180"/>
      <c r="OI2" s="180"/>
      <c r="OJ2" s="180"/>
      <c r="OK2" s="180"/>
      <c r="OL2" s="180"/>
      <c r="OM2" s="180"/>
      <c r="ON2" s="180"/>
      <c r="OO2" s="180"/>
      <c r="OP2" s="180"/>
      <c r="OQ2" s="180"/>
      <c r="OR2" s="180"/>
      <c r="OS2" s="180"/>
      <c r="OT2" s="180"/>
      <c r="OU2" s="180"/>
      <c r="OV2" s="180"/>
      <c r="OW2" s="180"/>
      <c r="OX2" s="180"/>
      <c r="OY2" s="180"/>
      <c r="OZ2" s="180"/>
      <c r="PA2" s="180"/>
      <c r="PB2" s="180"/>
      <c r="PC2" s="180"/>
      <c r="PD2" s="180"/>
      <c r="PE2" s="180"/>
      <c r="PF2" s="180"/>
      <c r="PG2" s="180"/>
      <c r="PH2" s="180"/>
      <c r="PI2" s="180"/>
      <c r="PJ2" s="180"/>
      <c r="PK2" s="180"/>
      <c r="PL2" s="180"/>
      <c r="PM2" s="180"/>
      <c r="PN2" s="180"/>
      <c r="PO2" s="180"/>
      <c r="PP2" s="180"/>
      <c r="PQ2" s="180"/>
      <c r="PR2" s="180"/>
      <c r="PS2" s="180"/>
      <c r="PT2" s="180"/>
      <c r="PU2" s="180"/>
      <c r="PV2" s="180"/>
      <c r="PW2" s="180"/>
      <c r="PX2" s="180"/>
      <c r="PY2" s="180"/>
      <c r="PZ2" s="180"/>
      <c r="QA2" s="180"/>
      <c r="QB2" s="180"/>
      <c r="QC2" s="180"/>
      <c r="QD2" s="180"/>
      <c r="QE2" s="180"/>
      <c r="QF2" s="180"/>
      <c r="QG2" s="180"/>
      <c r="QH2" s="180"/>
      <c r="QI2" s="180"/>
      <c r="QJ2" s="180"/>
      <c r="QK2" s="180"/>
      <c r="QL2" s="180"/>
      <c r="QM2" s="180"/>
      <c r="QN2" s="180"/>
      <c r="QO2" s="180"/>
      <c r="QP2" s="180"/>
      <c r="QQ2" s="180"/>
      <c r="QR2" s="180"/>
      <c r="QS2" s="180"/>
      <c r="QT2" s="180"/>
      <c r="QU2" s="180"/>
      <c r="QV2" s="180"/>
      <c r="QW2" s="180"/>
      <c r="QX2" s="180"/>
      <c r="QY2" s="180"/>
      <c r="QZ2" s="180"/>
      <c r="RA2" s="180"/>
      <c r="RB2" s="180"/>
      <c r="RC2" s="180"/>
      <c r="RD2" s="180"/>
      <c r="RE2" s="180"/>
      <c r="RF2" s="180"/>
      <c r="RG2" s="180"/>
      <c r="RH2" s="180"/>
      <c r="RI2" s="180"/>
      <c r="RJ2" s="180"/>
      <c r="RK2" s="180"/>
      <c r="RL2" s="180"/>
      <c r="RM2" s="180"/>
      <c r="RN2" s="180"/>
      <c r="RO2" s="180"/>
      <c r="RP2" s="180"/>
      <c r="RQ2" s="180"/>
      <c r="RR2" s="180"/>
      <c r="RS2" s="180"/>
      <c r="RT2" s="180"/>
      <c r="RU2" s="180"/>
      <c r="RV2" s="180"/>
      <c r="RW2" s="180"/>
      <c r="RX2" s="180"/>
      <c r="RY2" s="180"/>
      <c r="RZ2" s="180"/>
      <c r="SA2" s="180"/>
      <c r="SB2" s="180"/>
      <c r="SC2" s="180"/>
      <c r="SD2" s="180"/>
      <c r="SE2" s="180"/>
      <c r="SF2" s="180"/>
      <c r="SG2" s="180"/>
      <c r="SH2" s="180"/>
      <c r="SI2" s="180"/>
      <c r="SJ2" s="180"/>
      <c r="SK2" s="180"/>
      <c r="SL2" s="180"/>
      <c r="SM2" s="180"/>
      <c r="SN2" s="180"/>
      <c r="SO2" s="180"/>
      <c r="SP2" s="180"/>
      <c r="SQ2" s="180"/>
      <c r="SR2" s="180"/>
      <c r="SS2" s="180"/>
      <c r="ST2" s="180"/>
      <c r="SU2" s="180"/>
      <c r="SV2" s="180"/>
      <c r="SW2" s="180"/>
      <c r="SX2" s="180"/>
      <c r="SY2" s="180"/>
      <c r="SZ2" s="180"/>
      <c r="TA2" s="180"/>
      <c r="TB2" s="180"/>
      <c r="TC2" s="180"/>
      <c r="TD2" s="180"/>
      <c r="TE2" s="180"/>
      <c r="TF2" s="180"/>
      <c r="TG2" s="180"/>
      <c r="TH2" s="180"/>
      <c r="TI2" s="180"/>
      <c r="TJ2" s="180"/>
      <c r="TK2" s="180"/>
      <c r="TL2" s="180"/>
      <c r="TM2" s="180"/>
      <c r="TN2" s="180"/>
      <c r="TO2" s="180"/>
      <c r="TP2" s="180"/>
      <c r="TQ2" s="180"/>
      <c r="TR2" s="180"/>
      <c r="TS2" s="180"/>
      <c r="TT2" s="180"/>
      <c r="TU2" s="180"/>
      <c r="TV2" s="180"/>
      <c r="TW2" s="180"/>
      <c r="TX2" s="180"/>
      <c r="TY2" s="180"/>
      <c r="TZ2" s="180"/>
      <c r="UA2" s="180"/>
      <c r="UB2" s="180"/>
      <c r="UC2" s="180"/>
      <c r="UD2" s="180"/>
      <c r="UE2" s="180"/>
      <c r="UF2" s="180"/>
      <c r="UG2" s="180"/>
      <c r="UH2" s="180"/>
      <c r="UI2" s="180"/>
      <c r="UJ2" s="180"/>
      <c r="UK2" s="180"/>
      <c r="UL2" s="180"/>
      <c r="UM2" s="180"/>
      <c r="UN2" s="180"/>
      <c r="UO2" s="180"/>
      <c r="UP2" s="180"/>
      <c r="UQ2" s="180"/>
      <c r="UR2" s="180"/>
      <c r="US2" s="180"/>
      <c r="UT2" s="180"/>
      <c r="UU2" s="180"/>
      <c r="UV2" s="180"/>
      <c r="UW2" s="180"/>
    </row>
    <row r="3" spans="1:569" x14ac:dyDescent="0.3">
      <c r="A3" s="575" t="e">
        <f>IF(LEN(VLOOKUP(B1,$L$4:$O$555,4,FALSE))=0,"",(VLOOKUP(B1,$L$4:$O$555,4,FALSE)))</f>
        <v>#N/A</v>
      </c>
      <c r="B3" s="575" t="s">
        <v>1450</v>
      </c>
      <c r="C3" s="576"/>
      <c r="D3" s="576"/>
      <c r="H3" s="576"/>
      <c r="J3" s="606" t="s">
        <v>383</v>
      </c>
      <c r="K3" s="606" t="s">
        <v>383</v>
      </c>
      <c r="M3" s="613" t="s">
        <v>1432</v>
      </c>
      <c r="N3" s="613" t="s">
        <v>1434</v>
      </c>
    </row>
    <row r="4" spans="1:569" x14ac:dyDescent="0.3">
      <c r="A4" s="1168" t="s">
        <v>557</v>
      </c>
      <c r="B4" s="1168"/>
      <c r="C4" s="1168"/>
      <c r="D4" s="576"/>
      <c r="E4" s="1169" t="s">
        <v>558</v>
      </c>
      <c r="F4" s="1169"/>
      <c r="G4" s="576"/>
      <c r="H4" s="576"/>
      <c r="L4" s="606" t="s">
        <v>470</v>
      </c>
      <c r="M4" s="606" t="s">
        <v>461</v>
      </c>
      <c r="N4" s="606" t="s">
        <v>461</v>
      </c>
      <c r="O4" s="606"/>
    </row>
    <row r="5" spans="1:569" ht="15" thickBot="1" x14ac:dyDescent="0.35">
      <c r="A5" s="578"/>
      <c r="B5" s="579"/>
      <c r="C5" s="578"/>
      <c r="D5" s="580"/>
      <c r="E5" s="578"/>
      <c r="F5" s="579"/>
      <c r="G5" s="579"/>
      <c r="H5" s="576"/>
      <c r="K5" s="615"/>
      <c r="L5" s="606" t="s">
        <v>1083</v>
      </c>
      <c r="M5" s="606" t="s">
        <v>461</v>
      </c>
      <c r="N5" s="606" t="s">
        <v>461</v>
      </c>
      <c r="O5" s="606"/>
    </row>
    <row r="6" spans="1:569" ht="15" thickBot="1" x14ac:dyDescent="0.35">
      <c r="A6" s="581" t="s">
        <v>559</v>
      </c>
      <c r="B6" s="582" t="e">
        <f>VLOOKUP(B1,$L$4:$M$555,2,FALSE)</f>
        <v>#N/A</v>
      </c>
      <c r="C6" s="582"/>
      <c r="D6" s="582"/>
      <c r="H6" s="582"/>
      <c r="L6" s="606" t="s">
        <v>1084</v>
      </c>
      <c r="M6" s="606" t="s">
        <v>461</v>
      </c>
      <c r="N6" s="606" t="s">
        <v>461</v>
      </c>
      <c r="O6" s="606"/>
    </row>
    <row r="7" spans="1:569" ht="15" thickBot="1" x14ac:dyDescent="0.35">
      <c r="A7" s="576" t="s">
        <v>652</v>
      </c>
      <c r="B7" s="252" t="e">
        <f>HLOOKUP(B1,'PY1 Data(H)'!D1:CZ277,127,FALSE)+HLOOKUP(B1,'PY1 Data(H)'!D1:CZ277,70,FALSE)</f>
        <v>#N/A</v>
      </c>
      <c r="C7" s="253"/>
      <c r="D7" s="253"/>
      <c r="E7" s="576" t="s">
        <v>563</v>
      </c>
      <c r="F7" s="633">
        <f>Import!L135</f>
        <v>0</v>
      </c>
      <c r="G7" s="582"/>
      <c r="H7" s="576"/>
      <c r="J7" s="606">
        <v>527</v>
      </c>
      <c r="K7" s="615">
        <v>366</v>
      </c>
      <c r="L7" s="609" t="s">
        <v>1085</v>
      </c>
      <c r="M7" s="609" t="s">
        <v>461</v>
      </c>
      <c r="N7" s="609">
        <v>0.05</v>
      </c>
      <c r="O7" s="606" t="s">
        <v>1451</v>
      </c>
    </row>
    <row r="8" spans="1:569" ht="15" thickBot="1" x14ac:dyDescent="0.35">
      <c r="A8" s="576" t="s">
        <v>561</v>
      </c>
      <c r="B8" s="627" t="e">
        <f>IF(B6="N/A","N/A",B6*B7)</f>
        <v>#N/A</v>
      </c>
      <c r="C8" s="254"/>
      <c r="D8" s="254"/>
      <c r="E8" s="629" t="s">
        <v>1087</v>
      </c>
      <c r="F8" s="633">
        <f>Import!L195</f>
        <v>0</v>
      </c>
      <c r="G8" s="575"/>
      <c r="H8" s="576"/>
      <c r="J8" s="614">
        <v>356</v>
      </c>
      <c r="K8" s="606">
        <v>1051</v>
      </c>
      <c r="L8" s="606" t="s">
        <v>1086</v>
      </c>
      <c r="M8" s="606" t="s">
        <v>461</v>
      </c>
      <c r="N8" s="606" t="s">
        <v>461</v>
      </c>
      <c r="O8" s="606"/>
    </row>
    <row r="9" spans="1:569" ht="15" thickBot="1" x14ac:dyDescent="0.35">
      <c r="A9" s="576"/>
      <c r="B9" s="576"/>
      <c r="C9" s="576"/>
      <c r="D9" s="576"/>
      <c r="E9" s="576"/>
      <c r="F9" s="576"/>
      <c r="G9" s="576"/>
      <c r="H9" s="576"/>
      <c r="L9" s="606" t="s">
        <v>471</v>
      </c>
      <c r="M9" s="606" t="s">
        <v>461</v>
      </c>
      <c r="N9" s="606" t="s">
        <v>461</v>
      </c>
      <c r="O9" s="606"/>
    </row>
    <row r="10" spans="1:569" ht="15" thickBot="1" x14ac:dyDescent="0.35">
      <c r="A10" s="581" t="s">
        <v>562</v>
      </c>
      <c r="B10" s="582" t="e">
        <f>VLOOKUP(B1,$L$4:$N$555,3,FALSE)</f>
        <v>#N/A</v>
      </c>
      <c r="C10" s="582"/>
      <c r="D10" s="582"/>
      <c r="E10" s="582"/>
      <c r="F10" s="582"/>
      <c r="G10" s="582"/>
      <c r="H10" s="582"/>
      <c r="L10" s="606" t="s">
        <v>1088</v>
      </c>
      <c r="M10" s="606" t="s">
        <v>461</v>
      </c>
      <c r="N10" s="606" t="s">
        <v>461</v>
      </c>
      <c r="O10" s="606"/>
    </row>
    <row r="11" spans="1:569" ht="15" thickBot="1" x14ac:dyDescent="0.35">
      <c r="A11" s="576" t="s">
        <v>653</v>
      </c>
      <c r="B11" s="583" t="e">
        <f>HLOOKUP(B1,'PY1 Data(H)'!D1:CZ277,35,FALSE)</f>
        <v>#N/A</v>
      </c>
      <c r="C11" s="584"/>
      <c r="D11" s="584"/>
      <c r="E11" s="628" t="s">
        <v>1453</v>
      </c>
      <c r="F11" s="627">
        <f>F7-F8</f>
        <v>0</v>
      </c>
      <c r="G11" s="576"/>
      <c r="H11" s="576"/>
      <c r="J11" s="606">
        <v>93</v>
      </c>
      <c r="L11" s="606" t="s">
        <v>1089</v>
      </c>
      <c r="M11" s="606" t="s">
        <v>461</v>
      </c>
      <c r="N11" s="606" t="s">
        <v>461</v>
      </c>
      <c r="O11" s="606"/>
    </row>
    <row r="12" spans="1:569" ht="15" thickBot="1" x14ac:dyDescent="0.35">
      <c r="A12" s="576" t="s">
        <v>561</v>
      </c>
      <c r="B12" s="627" t="e">
        <f>IF(B10="N/A","N/A",B10*B11)</f>
        <v>#N/A</v>
      </c>
      <c r="C12" s="254"/>
      <c r="D12" s="254"/>
      <c r="G12" s="576"/>
      <c r="H12" s="576"/>
      <c r="L12" s="608" t="s">
        <v>1090</v>
      </c>
      <c r="M12" s="608">
        <v>0.03</v>
      </c>
      <c r="N12" s="608">
        <v>0.05</v>
      </c>
      <c r="O12" s="606" t="s">
        <v>1456</v>
      </c>
      <c r="P12" s="615" t="s">
        <v>1452</v>
      </c>
    </row>
    <row r="13" spans="1:569" x14ac:dyDescent="0.3">
      <c r="A13" s="576"/>
      <c r="B13" s="585"/>
      <c r="C13" s="576"/>
      <c r="D13" s="576"/>
      <c r="E13" s="576"/>
      <c r="F13" s="576"/>
      <c r="G13" s="576"/>
      <c r="H13" s="576"/>
      <c r="L13" s="606" t="s">
        <v>1091</v>
      </c>
      <c r="M13" s="606" t="s">
        <v>461</v>
      </c>
      <c r="N13" s="606" t="s">
        <v>461</v>
      </c>
      <c r="O13" s="606"/>
    </row>
    <row r="14" spans="1:569" x14ac:dyDescent="0.3">
      <c r="A14" s="578"/>
      <c r="B14" s="579"/>
      <c r="C14" s="578"/>
      <c r="D14" s="580"/>
      <c r="E14" s="578"/>
      <c r="F14" s="579"/>
      <c r="G14" s="579"/>
      <c r="H14" s="255"/>
      <c r="L14" s="606" t="s">
        <v>1092</v>
      </c>
      <c r="M14" s="606" t="s">
        <v>461</v>
      </c>
      <c r="N14" s="606" t="s">
        <v>461</v>
      </c>
      <c r="O14" s="606"/>
    </row>
    <row r="15" spans="1:569" ht="15" thickBot="1" x14ac:dyDescent="0.35">
      <c r="A15" s="586" t="s">
        <v>564</v>
      </c>
      <c r="B15" s="576"/>
      <c r="C15" s="576"/>
      <c r="D15" s="576"/>
      <c r="E15" s="586" t="s">
        <v>564</v>
      </c>
      <c r="F15" s="575" t="s">
        <v>565</v>
      </c>
      <c r="G15" s="575" t="s">
        <v>566</v>
      </c>
      <c r="H15" s="576"/>
      <c r="L15" s="606" t="s">
        <v>1093</v>
      </c>
      <c r="M15" s="606" t="s">
        <v>461</v>
      </c>
      <c r="N15" s="606" t="s">
        <v>461</v>
      </c>
      <c r="O15" s="606"/>
    </row>
    <row r="16" spans="1:569" ht="15" thickBot="1" x14ac:dyDescent="0.35">
      <c r="A16" s="576" t="s">
        <v>560</v>
      </c>
      <c r="B16" s="252" t="e">
        <f>+B7</f>
        <v>#N/A</v>
      </c>
      <c r="C16" s="253"/>
      <c r="D16" s="253"/>
      <c r="E16" s="576" t="s">
        <v>567</v>
      </c>
      <c r="F16" s="634">
        <f>Import!L194</f>
        <v>0</v>
      </c>
      <c r="G16" s="594" t="e">
        <f>+B18</f>
        <v>#N/A</v>
      </c>
      <c r="H16" s="576"/>
      <c r="K16" s="606">
        <v>990</v>
      </c>
      <c r="L16" s="606" t="s">
        <v>1094</v>
      </c>
      <c r="M16" s="606" t="s">
        <v>461</v>
      </c>
      <c r="N16" s="606" t="s">
        <v>461</v>
      </c>
      <c r="O16" s="606"/>
    </row>
    <row r="17" spans="1:16" ht="15" thickBot="1" x14ac:dyDescent="0.35">
      <c r="A17" s="576" t="s">
        <v>568</v>
      </c>
      <c r="B17" s="662">
        <f>Import!L209</f>
        <v>0</v>
      </c>
      <c r="C17" s="576"/>
      <c r="D17" s="576"/>
      <c r="E17" s="576"/>
      <c r="F17" s="595"/>
      <c r="G17" s="595"/>
      <c r="H17" s="576"/>
      <c r="J17" s="606">
        <v>648</v>
      </c>
      <c r="L17" s="606" t="s">
        <v>1095</v>
      </c>
      <c r="M17" s="606" t="s">
        <v>461</v>
      </c>
      <c r="N17" s="606" t="s">
        <v>461</v>
      </c>
      <c r="O17" s="606"/>
    </row>
    <row r="18" spans="1:16" ht="29.4" thickBot="1" x14ac:dyDescent="0.35">
      <c r="A18" s="576" t="s">
        <v>561</v>
      </c>
      <c r="B18" s="593" t="e">
        <f>ROUND((B16/100)*B17,0)</f>
        <v>#N/A</v>
      </c>
      <c r="C18" s="256"/>
      <c r="D18" s="254"/>
      <c r="E18" s="587" t="s">
        <v>1097</v>
      </c>
      <c r="F18" s="593">
        <f>IF(F16=0,F11-F16,F11-MAX(F16,G16))</f>
        <v>0</v>
      </c>
      <c r="G18" s="595"/>
      <c r="H18" s="576"/>
      <c r="L18" s="606" t="s">
        <v>473</v>
      </c>
      <c r="M18" s="606" t="s">
        <v>461</v>
      </c>
      <c r="N18" s="606" t="s">
        <v>461</v>
      </c>
      <c r="O18" s="606"/>
    </row>
    <row r="19" spans="1:16" x14ac:dyDescent="0.3">
      <c r="A19" s="576"/>
      <c r="B19" s="576"/>
      <c r="C19" s="576"/>
      <c r="D19" s="588"/>
      <c r="E19" s="576"/>
      <c r="F19" s="526"/>
      <c r="G19" s="256"/>
      <c r="H19" s="576"/>
      <c r="L19" s="606" t="s">
        <v>1096</v>
      </c>
      <c r="M19" s="606" t="s">
        <v>461</v>
      </c>
      <c r="N19" s="606" t="s">
        <v>461</v>
      </c>
      <c r="O19" s="606"/>
    </row>
    <row r="20" spans="1:16" x14ac:dyDescent="0.3">
      <c r="A20" s="578"/>
      <c r="B20" s="579"/>
      <c r="C20" s="578"/>
      <c r="D20" s="576"/>
      <c r="E20" s="578"/>
      <c r="F20" s="579"/>
      <c r="G20" s="579"/>
      <c r="H20" s="576"/>
      <c r="L20" s="606" t="s">
        <v>1098</v>
      </c>
      <c r="M20" s="606" t="s">
        <v>461</v>
      </c>
      <c r="N20" s="606" t="s">
        <v>461</v>
      </c>
      <c r="O20" s="606"/>
    </row>
    <row r="21" spans="1:16" ht="15" thickBot="1" x14ac:dyDescent="0.35">
      <c r="A21" s="576"/>
      <c r="B21" s="576"/>
      <c r="C21" s="576"/>
      <c r="D21" s="576"/>
      <c r="E21" s="586" t="s">
        <v>569</v>
      </c>
      <c r="F21" s="586"/>
      <c r="G21" s="586"/>
      <c r="H21" s="576"/>
      <c r="L21" s="606" t="s">
        <v>800</v>
      </c>
      <c r="M21" s="606" t="s">
        <v>461</v>
      </c>
      <c r="N21" s="606" t="s">
        <v>461</v>
      </c>
      <c r="O21" s="606"/>
    </row>
    <row r="22" spans="1:16" ht="15" thickBot="1" x14ac:dyDescent="0.35">
      <c r="A22" s="576"/>
      <c r="B22" s="635"/>
      <c r="C22" s="576"/>
      <c r="D22" s="580"/>
      <c r="E22" s="576" t="s">
        <v>570</v>
      </c>
      <c r="F22" s="596" t="e">
        <f>MAX(B8,B12)</f>
        <v>#N/A</v>
      </c>
      <c r="G22" s="588"/>
      <c r="H22" s="254"/>
      <c r="L22" s="606" t="s">
        <v>1099</v>
      </c>
      <c r="M22" s="606" t="s">
        <v>461</v>
      </c>
      <c r="N22" s="606" t="s">
        <v>461</v>
      </c>
      <c r="O22" s="606"/>
    </row>
    <row r="23" spans="1:16" ht="15" thickBot="1" x14ac:dyDescent="0.35">
      <c r="A23" s="576"/>
      <c r="B23" s="635"/>
      <c r="C23" s="576"/>
      <c r="D23" s="586"/>
      <c r="E23" s="576"/>
      <c r="F23" s="647"/>
      <c r="G23" s="588"/>
      <c r="H23" s="254"/>
      <c r="L23" s="606" t="s">
        <v>1100</v>
      </c>
      <c r="M23" s="606" t="s">
        <v>461</v>
      </c>
      <c r="N23" s="606" t="s">
        <v>461</v>
      </c>
      <c r="O23" s="606"/>
    </row>
    <row r="24" spans="1:16" ht="15" thickBot="1" x14ac:dyDescent="0.35">
      <c r="B24" s="632"/>
      <c r="D24" s="588"/>
      <c r="E24" s="576" t="s">
        <v>571</v>
      </c>
      <c r="F24" s="597">
        <f>IF(F7=0,0,IF(F18&lt;=F22,"Yes", "No, unit exceeds limit by:"))</f>
        <v>0</v>
      </c>
      <c r="G24" s="576"/>
      <c r="H24" s="576"/>
      <c r="L24" s="608" t="s">
        <v>801</v>
      </c>
      <c r="M24" s="608">
        <v>0.03</v>
      </c>
      <c r="N24" s="608">
        <v>0.05</v>
      </c>
      <c r="O24" s="606" t="s">
        <v>1456</v>
      </c>
      <c r="P24" s="615" t="s">
        <v>1452</v>
      </c>
    </row>
    <row r="25" spans="1:16" ht="15" thickBot="1" x14ac:dyDescent="0.35">
      <c r="B25" s="632"/>
      <c r="C25" s="576"/>
      <c r="D25" s="588"/>
      <c r="E25" s="576"/>
      <c r="F25" s="597" t="e">
        <f>IF(F18-F22&lt;=0,0,F18-F22)</f>
        <v>#N/A</v>
      </c>
      <c r="G25" s="257"/>
      <c r="H25" s="586"/>
      <c r="L25" s="606" t="s">
        <v>474</v>
      </c>
      <c r="M25" s="606" t="s">
        <v>461</v>
      </c>
      <c r="N25" s="606" t="s">
        <v>461</v>
      </c>
      <c r="O25" s="606"/>
    </row>
    <row r="26" spans="1:16" ht="15" thickBot="1" x14ac:dyDescent="0.35">
      <c r="B26" s="632"/>
      <c r="C26" s="576"/>
      <c r="D26" s="589"/>
      <c r="E26" s="576"/>
      <c r="F26" s="595"/>
      <c r="G26" s="576"/>
      <c r="H26" s="576"/>
      <c r="L26" s="606" t="s">
        <v>802</v>
      </c>
      <c r="M26" s="606" t="s">
        <v>461</v>
      </c>
      <c r="N26" s="606" t="s">
        <v>461</v>
      </c>
      <c r="O26" s="606"/>
    </row>
    <row r="27" spans="1:16" x14ac:dyDescent="0.3">
      <c r="A27" s="576"/>
      <c r="B27" s="635"/>
      <c r="C27" s="576"/>
      <c r="D27" s="589"/>
      <c r="E27" s="590" t="s">
        <v>572</v>
      </c>
      <c r="F27" s="598">
        <f>IF(F16=0,0,F16-G16)</f>
        <v>0</v>
      </c>
      <c r="G27" s="576"/>
      <c r="H27" s="576"/>
      <c r="L27" s="606" t="s">
        <v>1101</v>
      </c>
      <c r="M27" s="606" t="s">
        <v>461</v>
      </c>
      <c r="N27" s="606" t="s">
        <v>461</v>
      </c>
      <c r="O27" s="606"/>
    </row>
    <row r="28" spans="1:16" ht="33.75" customHeight="1" thickBot="1" x14ac:dyDescent="0.35">
      <c r="A28" s="576"/>
      <c r="B28" s="635"/>
      <c r="C28" s="576"/>
      <c r="D28" s="576"/>
      <c r="E28" s="576"/>
      <c r="F28" s="258" t="str">
        <f>IF(F27=0,"","Investigate")</f>
        <v/>
      </c>
      <c r="G28" s="576"/>
      <c r="H28" s="576"/>
      <c r="L28" s="606" t="s">
        <v>1102</v>
      </c>
      <c r="M28" s="606" t="s">
        <v>461</v>
      </c>
      <c r="N28" s="606" t="s">
        <v>461</v>
      </c>
      <c r="O28" s="606"/>
    </row>
    <row r="29" spans="1:16" x14ac:dyDescent="0.3">
      <c r="A29" s="580"/>
      <c r="B29" s="576"/>
      <c r="C29" s="576"/>
      <c r="D29" s="576"/>
      <c r="E29" s="580" t="s">
        <v>573</v>
      </c>
      <c r="F29" s="576"/>
      <c r="G29" s="576"/>
      <c r="H29" s="576"/>
      <c r="L29" s="606" t="s">
        <v>1103</v>
      </c>
      <c r="M29" s="606" t="s">
        <v>461</v>
      </c>
      <c r="N29" s="606" t="s">
        <v>461</v>
      </c>
      <c r="O29" s="606"/>
    </row>
    <row r="30" spans="1:16" ht="14.4" customHeight="1" x14ac:dyDescent="0.3">
      <c r="A30" s="591"/>
      <c r="B30" s="591"/>
      <c r="C30" s="591"/>
      <c r="D30" s="576"/>
      <c r="E30" s="1170" t="s">
        <v>1488</v>
      </c>
      <c r="F30" s="1171"/>
      <c r="G30" s="1172"/>
      <c r="H30" s="576"/>
      <c r="L30" s="606" t="s">
        <v>475</v>
      </c>
      <c r="M30" s="606" t="s">
        <v>461</v>
      </c>
      <c r="N30" s="606" t="s">
        <v>461</v>
      </c>
      <c r="O30" s="606"/>
    </row>
    <row r="31" spans="1:16" x14ac:dyDescent="0.3">
      <c r="A31" s="576"/>
      <c r="B31" s="576"/>
      <c r="C31" s="591"/>
      <c r="D31" s="576"/>
      <c r="E31" s="1173"/>
      <c r="F31" s="1174"/>
      <c r="G31" s="1175"/>
      <c r="H31" s="576"/>
      <c r="L31" s="606" t="s">
        <v>1104</v>
      </c>
      <c r="M31" s="606" t="s">
        <v>461</v>
      </c>
      <c r="N31" s="606" t="s">
        <v>461</v>
      </c>
      <c r="O31" s="606"/>
    </row>
    <row r="32" spans="1:16" x14ac:dyDescent="0.3">
      <c r="A32" s="591"/>
      <c r="B32" s="591"/>
      <c r="C32" s="591"/>
      <c r="D32" s="576"/>
      <c r="E32" s="1173"/>
      <c r="F32" s="1174"/>
      <c r="G32" s="1175"/>
      <c r="L32" s="606" t="s">
        <v>1105</v>
      </c>
      <c r="M32" s="606" t="s">
        <v>461</v>
      </c>
      <c r="N32" s="606" t="s">
        <v>461</v>
      </c>
      <c r="O32" s="606"/>
    </row>
    <row r="33" spans="1:16" ht="30" customHeight="1" x14ac:dyDescent="0.3">
      <c r="A33" s="591"/>
      <c r="B33" s="591"/>
      <c r="C33" s="591"/>
      <c r="D33" s="576"/>
      <c r="E33" s="1176"/>
      <c r="F33" s="1177"/>
      <c r="G33" s="1178"/>
      <c r="L33" s="606" t="s">
        <v>1106</v>
      </c>
      <c r="M33" s="606" t="s">
        <v>461</v>
      </c>
      <c r="N33" s="606" t="s">
        <v>461</v>
      </c>
      <c r="O33" s="606"/>
    </row>
    <row r="34" spans="1:16" x14ac:dyDescent="0.3">
      <c r="A34" s="591"/>
      <c r="B34" s="591"/>
      <c r="C34" s="591"/>
      <c r="D34" s="576"/>
      <c r="E34" s="592"/>
      <c r="F34" s="592"/>
      <c r="G34" s="592"/>
      <c r="L34" s="606" t="s">
        <v>1107</v>
      </c>
      <c r="M34" s="606" t="s">
        <v>461</v>
      </c>
      <c r="N34" s="606" t="s">
        <v>461</v>
      </c>
      <c r="O34" s="606"/>
    </row>
    <row r="35" spans="1:16" x14ac:dyDescent="0.3">
      <c r="A35" s="591"/>
      <c r="B35" s="591"/>
      <c r="C35" s="591"/>
      <c r="D35" s="576"/>
      <c r="E35" s="1170" t="s">
        <v>1419</v>
      </c>
      <c r="F35" s="1171"/>
      <c r="G35" s="1172"/>
      <c r="L35" s="608" t="s">
        <v>476</v>
      </c>
      <c r="M35" s="608">
        <v>0.03</v>
      </c>
      <c r="N35" s="608">
        <v>0.05</v>
      </c>
      <c r="O35" s="606" t="s">
        <v>1456</v>
      </c>
      <c r="P35" s="615" t="s">
        <v>1452</v>
      </c>
    </row>
    <row r="36" spans="1:16" x14ac:dyDescent="0.3">
      <c r="A36" s="576"/>
      <c r="B36" s="576"/>
      <c r="C36" s="576"/>
      <c r="D36" s="576"/>
      <c r="E36" s="1173"/>
      <c r="F36" s="1179"/>
      <c r="G36" s="1175"/>
      <c r="L36" s="606" t="s">
        <v>803</v>
      </c>
      <c r="M36" s="606" t="s">
        <v>461</v>
      </c>
      <c r="N36" s="606" t="s">
        <v>461</v>
      </c>
      <c r="O36" s="606"/>
    </row>
    <row r="37" spans="1:16" x14ac:dyDescent="0.3">
      <c r="A37" s="576"/>
      <c r="B37" s="576"/>
      <c r="C37" s="576"/>
      <c r="D37" s="576"/>
      <c r="E37" s="1176"/>
      <c r="F37" s="1177"/>
      <c r="G37" s="1178"/>
      <c r="L37" s="606" t="s">
        <v>477</v>
      </c>
      <c r="M37" s="606" t="s">
        <v>461</v>
      </c>
      <c r="N37" s="606" t="s">
        <v>461</v>
      </c>
      <c r="O37" s="606"/>
    </row>
    <row r="38" spans="1:16" x14ac:dyDescent="0.3">
      <c r="A38" s="576"/>
      <c r="B38" s="576"/>
      <c r="C38" s="576"/>
      <c r="D38" s="576"/>
      <c r="E38" s="576"/>
      <c r="F38" s="576"/>
      <c r="G38" s="576"/>
      <c r="L38" s="606" t="s">
        <v>1109</v>
      </c>
      <c r="M38" s="606" t="s">
        <v>461</v>
      </c>
      <c r="N38" s="606" t="s">
        <v>461</v>
      </c>
      <c r="O38" s="606"/>
    </row>
    <row r="39" spans="1:16" ht="15" thickBot="1" x14ac:dyDescent="0.35">
      <c r="C39" s="576"/>
      <c r="D39" s="576"/>
      <c r="E39" s="1180" t="s">
        <v>574</v>
      </c>
      <c r="F39" s="1180"/>
      <c r="G39" s="1180"/>
      <c r="L39" s="608" t="s">
        <v>1110</v>
      </c>
      <c r="M39" s="608">
        <v>0.03</v>
      </c>
      <c r="N39" s="608">
        <v>0.05</v>
      </c>
      <c r="O39" s="606" t="s">
        <v>1456</v>
      </c>
      <c r="P39" s="615" t="s">
        <v>1452</v>
      </c>
    </row>
    <row r="40" spans="1:16" x14ac:dyDescent="0.3">
      <c r="A40" s="576"/>
      <c r="B40" s="576"/>
      <c r="C40" s="576"/>
      <c r="D40" s="576"/>
      <c r="E40" s="1159"/>
      <c r="F40" s="1160"/>
      <c r="G40" s="1161"/>
      <c r="L40" s="606" t="s">
        <v>1111</v>
      </c>
      <c r="M40" s="606" t="s">
        <v>461</v>
      </c>
      <c r="N40" s="606" t="s">
        <v>461</v>
      </c>
      <c r="O40" s="606"/>
    </row>
    <row r="41" spans="1:16" x14ac:dyDescent="0.3">
      <c r="A41" s="576"/>
      <c r="B41" s="576"/>
      <c r="C41" s="576"/>
      <c r="D41" s="576"/>
      <c r="E41" s="1162"/>
      <c r="F41" s="1163"/>
      <c r="G41" s="1164"/>
      <c r="L41" s="606" t="s">
        <v>1112</v>
      </c>
      <c r="M41" s="606" t="s">
        <v>461</v>
      </c>
      <c r="N41" s="606" t="s">
        <v>461</v>
      </c>
      <c r="O41" s="606"/>
    </row>
    <row r="42" spans="1:16" x14ac:dyDescent="0.3">
      <c r="A42" s="576"/>
      <c r="B42" s="576"/>
      <c r="C42" s="576"/>
      <c r="D42" s="576"/>
      <c r="E42" s="1162"/>
      <c r="F42" s="1163"/>
      <c r="G42" s="1164"/>
      <c r="L42" s="606" t="s">
        <v>1108</v>
      </c>
      <c r="M42" s="606" t="s">
        <v>461</v>
      </c>
      <c r="N42" s="606" t="s">
        <v>461</v>
      </c>
      <c r="O42" s="606"/>
    </row>
    <row r="43" spans="1:16" x14ac:dyDescent="0.3">
      <c r="A43" s="576"/>
      <c r="B43" s="576"/>
      <c r="C43" s="576"/>
      <c r="D43" s="576"/>
      <c r="E43" s="1162"/>
      <c r="F43" s="1163"/>
      <c r="G43" s="1164"/>
      <c r="L43" s="606" t="s">
        <v>479</v>
      </c>
      <c r="M43" s="606" t="s">
        <v>461</v>
      </c>
      <c r="N43" s="606" t="s">
        <v>461</v>
      </c>
      <c r="O43" s="606"/>
    </row>
    <row r="44" spans="1:16" x14ac:dyDescent="0.3">
      <c r="D44" s="576"/>
      <c r="E44" s="1162"/>
      <c r="F44" s="1163"/>
      <c r="G44" s="1164"/>
      <c r="L44" s="606" t="s">
        <v>1113</v>
      </c>
      <c r="M44" s="606" t="s">
        <v>461</v>
      </c>
      <c r="N44" s="606" t="s">
        <v>461</v>
      </c>
      <c r="O44" s="606"/>
    </row>
    <row r="45" spans="1:16" x14ac:dyDescent="0.3">
      <c r="D45" s="576"/>
      <c r="E45" s="1162"/>
      <c r="F45" s="1163"/>
      <c r="G45" s="1164"/>
      <c r="L45" s="606" t="s">
        <v>1114</v>
      </c>
      <c r="M45" s="606" t="s">
        <v>461</v>
      </c>
      <c r="N45" s="606" t="s">
        <v>461</v>
      </c>
      <c r="O45" s="606"/>
    </row>
    <row r="46" spans="1:16" x14ac:dyDescent="0.3">
      <c r="E46" s="1162"/>
      <c r="F46" s="1163"/>
      <c r="G46" s="1164"/>
      <c r="L46" s="606" t="s">
        <v>1115</v>
      </c>
      <c r="M46" s="606" t="s">
        <v>461</v>
      </c>
      <c r="N46" s="606" t="s">
        <v>461</v>
      </c>
      <c r="O46" s="606"/>
    </row>
    <row r="47" spans="1:16" x14ac:dyDescent="0.3">
      <c r="E47" s="1162"/>
      <c r="F47" s="1163"/>
      <c r="G47" s="1164"/>
      <c r="L47" s="606" t="s">
        <v>480</v>
      </c>
      <c r="M47" s="606" t="s">
        <v>461</v>
      </c>
      <c r="N47" s="606" t="s">
        <v>461</v>
      </c>
      <c r="O47" s="606" t="s">
        <v>1547</v>
      </c>
    </row>
    <row r="48" spans="1:16" x14ac:dyDescent="0.3">
      <c r="E48" s="1162"/>
      <c r="F48" s="1163"/>
      <c r="G48" s="1164"/>
      <c r="L48" s="606" t="s">
        <v>1116</v>
      </c>
      <c r="M48" s="606" t="s">
        <v>461</v>
      </c>
      <c r="N48" s="606" t="s">
        <v>461</v>
      </c>
      <c r="O48" s="606"/>
    </row>
    <row r="49" spans="5:15" x14ac:dyDescent="0.3">
      <c r="E49" s="1162"/>
      <c r="F49" s="1163"/>
      <c r="G49" s="1164"/>
      <c r="L49" s="606" t="s">
        <v>1117</v>
      </c>
      <c r="M49" s="606" t="s">
        <v>461</v>
      </c>
      <c r="N49" s="606" t="s">
        <v>461</v>
      </c>
      <c r="O49" s="606"/>
    </row>
    <row r="50" spans="5:15" x14ac:dyDescent="0.3">
      <c r="E50" s="1162"/>
      <c r="F50" s="1163"/>
      <c r="G50" s="1164"/>
      <c r="L50" s="606" t="s">
        <v>1118</v>
      </c>
      <c r="M50" s="606" t="s">
        <v>461</v>
      </c>
      <c r="N50" s="606" t="s">
        <v>461</v>
      </c>
      <c r="O50" s="606"/>
    </row>
    <row r="51" spans="5:15" ht="15" thickBot="1" x14ac:dyDescent="0.35">
      <c r="E51" s="1165"/>
      <c r="F51" s="1166"/>
      <c r="G51" s="1167"/>
      <c r="L51" s="606" t="s">
        <v>481</v>
      </c>
      <c r="M51" s="606" t="s">
        <v>461</v>
      </c>
      <c r="N51" s="606" t="s">
        <v>461</v>
      </c>
      <c r="O51" s="606"/>
    </row>
    <row r="52" spans="5:15" x14ac:dyDescent="0.3">
      <c r="L52" s="606" t="s">
        <v>1119</v>
      </c>
      <c r="M52" s="606" t="s">
        <v>461</v>
      </c>
      <c r="N52" s="606" t="s">
        <v>461</v>
      </c>
      <c r="O52" s="606"/>
    </row>
    <row r="53" spans="5:15" x14ac:dyDescent="0.3">
      <c r="L53" s="606" t="s">
        <v>1121</v>
      </c>
      <c r="M53" s="606" t="s">
        <v>461</v>
      </c>
      <c r="N53" s="606" t="s">
        <v>461</v>
      </c>
      <c r="O53" s="606"/>
    </row>
    <row r="54" spans="5:15" x14ac:dyDescent="0.3">
      <c r="L54" s="606" t="s">
        <v>1120</v>
      </c>
      <c r="M54" s="606" t="s">
        <v>461</v>
      </c>
      <c r="N54" s="606" t="s">
        <v>461</v>
      </c>
      <c r="O54" s="606"/>
    </row>
    <row r="55" spans="5:15" x14ac:dyDescent="0.3">
      <c r="L55" s="606" t="s">
        <v>1122</v>
      </c>
      <c r="M55" s="606" t="s">
        <v>461</v>
      </c>
      <c r="N55" s="606" t="s">
        <v>461</v>
      </c>
      <c r="O55" s="606"/>
    </row>
    <row r="56" spans="5:15" x14ac:dyDescent="0.3">
      <c r="L56" s="606" t="s">
        <v>482</v>
      </c>
      <c r="M56" s="606" t="s">
        <v>461</v>
      </c>
      <c r="N56" s="606" t="s">
        <v>461</v>
      </c>
      <c r="O56" s="606"/>
    </row>
    <row r="57" spans="5:15" x14ac:dyDescent="0.3">
      <c r="L57" s="606" t="s">
        <v>1123</v>
      </c>
      <c r="M57" s="606" t="s">
        <v>461</v>
      </c>
      <c r="N57" s="606" t="s">
        <v>461</v>
      </c>
      <c r="O57" s="606"/>
    </row>
    <row r="58" spans="5:15" x14ac:dyDescent="0.3">
      <c r="L58" s="606" t="s">
        <v>1124</v>
      </c>
      <c r="M58" s="606" t="s">
        <v>461</v>
      </c>
      <c r="N58" s="606" t="s">
        <v>461</v>
      </c>
      <c r="O58" s="606"/>
    </row>
    <row r="59" spans="5:15" x14ac:dyDescent="0.3">
      <c r="L59" s="609" t="s">
        <v>1125</v>
      </c>
      <c r="M59" s="609">
        <v>0.15</v>
      </c>
      <c r="N59" s="609" t="s">
        <v>461</v>
      </c>
      <c r="O59" s="606" t="s">
        <v>1451</v>
      </c>
    </row>
    <row r="60" spans="5:15" x14ac:dyDescent="0.3">
      <c r="L60" s="606" t="s">
        <v>483</v>
      </c>
      <c r="M60" s="606" t="s">
        <v>461</v>
      </c>
      <c r="N60" s="606" t="s">
        <v>461</v>
      </c>
      <c r="O60" s="606"/>
    </row>
    <row r="61" spans="5:15" x14ac:dyDescent="0.3">
      <c r="L61" s="606" t="s">
        <v>1126</v>
      </c>
      <c r="M61" s="606" t="s">
        <v>461</v>
      </c>
      <c r="N61" s="606" t="s">
        <v>461</v>
      </c>
      <c r="O61" s="606"/>
    </row>
    <row r="62" spans="5:15" x14ac:dyDescent="0.3">
      <c r="L62" s="606" t="s">
        <v>1127</v>
      </c>
      <c r="M62" s="606" t="s">
        <v>461</v>
      </c>
      <c r="N62" s="606" t="s">
        <v>461</v>
      </c>
      <c r="O62" s="606"/>
    </row>
    <row r="63" spans="5:15" x14ac:dyDescent="0.3">
      <c r="L63" s="606" t="s">
        <v>1128</v>
      </c>
      <c r="M63" s="606" t="s">
        <v>461</v>
      </c>
      <c r="N63" s="606" t="s">
        <v>461</v>
      </c>
      <c r="O63" s="606"/>
    </row>
    <row r="64" spans="5:15" x14ac:dyDescent="0.3">
      <c r="L64" s="606" t="s">
        <v>1129</v>
      </c>
      <c r="M64" s="606" t="s">
        <v>461</v>
      </c>
      <c r="N64" s="606" t="s">
        <v>461</v>
      </c>
      <c r="O64" s="606"/>
    </row>
    <row r="65" spans="12:15" x14ac:dyDescent="0.3">
      <c r="L65" s="606" t="s">
        <v>1130</v>
      </c>
      <c r="M65" s="606" t="s">
        <v>461</v>
      </c>
      <c r="N65" s="606" t="s">
        <v>461</v>
      </c>
      <c r="O65" s="606"/>
    </row>
    <row r="66" spans="12:15" x14ac:dyDescent="0.3">
      <c r="L66" s="606" t="s">
        <v>804</v>
      </c>
      <c r="M66" s="606" t="s">
        <v>461</v>
      </c>
      <c r="N66" s="606" t="s">
        <v>461</v>
      </c>
      <c r="O66" s="606"/>
    </row>
    <row r="67" spans="12:15" x14ac:dyDescent="0.3">
      <c r="L67" s="606" t="s">
        <v>1131</v>
      </c>
      <c r="M67" s="606" t="s">
        <v>461</v>
      </c>
      <c r="N67" s="606" t="s">
        <v>461</v>
      </c>
      <c r="O67" s="606"/>
    </row>
    <row r="68" spans="12:15" x14ac:dyDescent="0.3">
      <c r="L68" s="606" t="s">
        <v>1132</v>
      </c>
      <c r="M68" s="606" t="s">
        <v>461</v>
      </c>
      <c r="N68" s="606" t="s">
        <v>461</v>
      </c>
      <c r="O68" s="606"/>
    </row>
    <row r="69" spans="12:15" x14ac:dyDescent="0.3">
      <c r="L69" s="606" t="s">
        <v>1133</v>
      </c>
      <c r="M69" s="606" t="s">
        <v>461</v>
      </c>
      <c r="N69" s="606" t="s">
        <v>461</v>
      </c>
      <c r="O69" s="606"/>
    </row>
    <row r="70" spans="12:15" x14ac:dyDescent="0.3">
      <c r="L70" s="606" t="s">
        <v>1134</v>
      </c>
      <c r="M70" s="606" t="s">
        <v>461</v>
      </c>
      <c r="N70" s="606" t="s">
        <v>461</v>
      </c>
      <c r="O70" s="606"/>
    </row>
    <row r="71" spans="12:15" x14ac:dyDescent="0.3">
      <c r="L71" s="606" t="s">
        <v>1135</v>
      </c>
      <c r="M71" s="606" t="s">
        <v>461</v>
      </c>
      <c r="N71" s="606" t="s">
        <v>461</v>
      </c>
      <c r="O71" s="606"/>
    </row>
    <row r="72" spans="12:15" x14ac:dyDescent="0.3">
      <c r="L72" s="606" t="s">
        <v>1136</v>
      </c>
      <c r="M72" s="606" t="s">
        <v>461</v>
      </c>
      <c r="N72" s="606" t="s">
        <v>461</v>
      </c>
      <c r="O72" s="606"/>
    </row>
    <row r="73" spans="12:15" x14ac:dyDescent="0.3">
      <c r="L73" s="606" t="s">
        <v>1137</v>
      </c>
      <c r="M73" s="606" t="s">
        <v>461</v>
      </c>
      <c r="N73" s="606" t="s">
        <v>461</v>
      </c>
      <c r="O73" s="606"/>
    </row>
    <row r="74" spans="12:15" x14ac:dyDescent="0.3">
      <c r="L74" s="606" t="s">
        <v>1138</v>
      </c>
      <c r="M74" s="606" t="s">
        <v>461</v>
      </c>
      <c r="N74" s="606" t="s">
        <v>461</v>
      </c>
      <c r="O74" s="606"/>
    </row>
    <row r="75" spans="12:15" x14ac:dyDescent="0.3">
      <c r="L75" s="606" t="s">
        <v>1139</v>
      </c>
      <c r="M75" s="606" t="s">
        <v>461</v>
      </c>
      <c r="N75" s="606" t="s">
        <v>461</v>
      </c>
      <c r="O75" s="606"/>
    </row>
    <row r="76" spans="12:15" x14ac:dyDescent="0.3">
      <c r="L76" s="606" t="s">
        <v>1140</v>
      </c>
      <c r="M76" s="606" t="s">
        <v>461</v>
      </c>
      <c r="N76" s="606" t="s">
        <v>461</v>
      </c>
      <c r="O76" s="606"/>
    </row>
    <row r="77" spans="12:15" x14ac:dyDescent="0.3">
      <c r="L77" s="606" t="s">
        <v>1141</v>
      </c>
      <c r="M77" s="606" t="s">
        <v>461</v>
      </c>
      <c r="N77" s="606" t="s">
        <v>461</v>
      </c>
      <c r="O77" s="606"/>
    </row>
    <row r="78" spans="12:15" x14ac:dyDescent="0.3">
      <c r="L78" s="606" t="s">
        <v>1142</v>
      </c>
      <c r="M78" s="606" t="s">
        <v>461</v>
      </c>
      <c r="N78" s="606" t="s">
        <v>461</v>
      </c>
      <c r="O78" s="606"/>
    </row>
    <row r="79" spans="12:15" x14ac:dyDescent="0.3">
      <c r="L79" s="606" t="s">
        <v>1143</v>
      </c>
      <c r="M79" s="606" t="s">
        <v>461</v>
      </c>
      <c r="N79" s="606" t="s">
        <v>461</v>
      </c>
      <c r="O79" s="606"/>
    </row>
    <row r="80" spans="12:15" x14ac:dyDescent="0.3">
      <c r="L80" s="606" t="s">
        <v>1144</v>
      </c>
      <c r="M80" s="606" t="s">
        <v>461</v>
      </c>
      <c r="N80" s="606" t="s">
        <v>461</v>
      </c>
      <c r="O80" s="606"/>
    </row>
    <row r="81" spans="12:15" x14ac:dyDescent="0.3">
      <c r="L81" s="606" t="s">
        <v>1145</v>
      </c>
      <c r="M81" s="606" t="s">
        <v>461</v>
      </c>
      <c r="N81" s="606" t="s">
        <v>461</v>
      </c>
      <c r="O81" s="606"/>
    </row>
    <row r="82" spans="12:15" x14ac:dyDescent="0.3">
      <c r="L82" s="606" t="s">
        <v>1146</v>
      </c>
      <c r="M82" s="606" t="s">
        <v>461</v>
      </c>
      <c r="N82" s="606" t="s">
        <v>461</v>
      </c>
      <c r="O82" s="606"/>
    </row>
    <row r="83" spans="12:15" x14ac:dyDescent="0.3">
      <c r="L83" s="606" t="s">
        <v>805</v>
      </c>
      <c r="M83" s="606" t="s">
        <v>461</v>
      </c>
      <c r="N83" s="606" t="s">
        <v>461</v>
      </c>
      <c r="O83" s="606"/>
    </row>
    <row r="84" spans="12:15" x14ac:dyDescent="0.3">
      <c r="L84" s="606" t="s">
        <v>484</v>
      </c>
      <c r="M84" s="606" t="s">
        <v>461</v>
      </c>
      <c r="N84" s="606" t="s">
        <v>461</v>
      </c>
      <c r="O84" s="606"/>
    </row>
    <row r="85" spans="12:15" x14ac:dyDescent="0.3">
      <c r="L85" s="606" t="s">
        <v>1147</v>
      </c>
      <c r="M85" s="606" t="s">
        <v>461</v>
      </c>
      <c r="N85" s="606" t="s">
        <v>461</v>
      </c>
      <c r="O85" s="606"/>
    </row>
    <row r="86" spans="12:15" x14ac:dyDescent="0.3">
      <c r="L86" s="606" t="s">
        <v>1148</v>
      </c>
      <c r="M86" s="606" t="s">
        <v>461</v>
      </c>
      <c r="N86" s="606" t="s">
        <v>461</v>
      </c>
      <c r="O86" s="606"/>
    </row>
    <row r="87" spans="12:15" x14ac:dyDescent="0.3">
      <c r="L87" s="606" t="s">
        <v>1149</v>
      </c>
      <c r="M87" s="606" t="s">
        <v>461</v>
      </c>
      <c r="N87" s="606" t="s">
        <v>461</v>
      </c>
      <c r="O87" s="606"/>
    </row>
    <row r="88" spans="12:15" x14ac:dyDescent="0.3">
      <c r="L88" s="606" t="s">
        <v>1150</v>
      </c>
      <c r="M88" s="606" t="s">
        <v>461</v>
      </c>
      <c r="N88" s="606" t="s">
        <v>461</v>
      </c>
      <c r="O88" s="606"/>
    </row>
    <row r="89" spans="12:15" x14ac:dyDescent="0.3">
      <c r="L89" s="606" t="s">
        <v>485</v>
      </c>
      <c r="M89" s="606" t="s">
        <v>461</v>
      </c>
      <c r="N89" s="606" t="s">
        <v>461</v>
      </c>
      <c r="O89" s="606"/>
    </row>
    <row r="90" spans="12:15" x14ac:dyDescent="0.3">
      <c r="L90" s="606" t="s">
        <v>1151</v>
      </c>
      <c r="M90" s="606" t="s">
        <v>461</v>
      </c>
      <c r="N90" s="606" t="s">
        <v>461</v>
      </c>
      <c r="O90" s="606"/>
    </row>
    <row r="91" spans="12:15" x14ac:dyDescent="0.3">
      <c r="L91" s="606" t="s">
        <v>392</v>
      </c>
      <c r="M91" s="606" t="s">
        <v>461</v>
      </c>
      <c r="N91" s="606" t="s">
        <v>461</v>
      </c>
      <c r="O91" s="606"/>
    </row>
    <row r="92" spans="12:15" x14ac:dyDescent="0.3">
      <c r="L92" s="606" t="s">
        <v>393</v>
      </c>
      <c r="M92" s="606" t="s">
        <v>461</v>
      </c>
      <c r="N92" s="606" t="s">
        <v>461</v>
      </c>
      <c r="O92" s="606"/>
    </row>
    <row r="93" spans="12:15" x14ac:dyDescent="0.3">
      <c r="L93" s="609" t="s">
        <v>1152</v>
      </c>
      <c r="M93" s="609">
        <v>0.05</v>
      </c>
      <c r="N93" s="609" t="s">
        <v>461</v>
      </c>
      <c r="O93" s="606" t="s">
        <v>1451</v>
      </c>
    </row>
    <row r="94" spans="12:15" x14ac:dyDescent="0.3">
      <c r="L94" s="606" t="s">
        <v>486</v>
      </c>
      <c r="M94" s="606" t="s">
        <v>461</v>
      </c>
      <c r="N94" s="606" t="s">
        <v>461</v>
      </c>
      <c r="O94" s="606"/>
    </row>
    <row r="95" spans="12:15" x14ac:dyDescent="0.3">
      <c r="L95" s="606" t="s">
        <v>1153</v>
      </c>
      <c r="M95" s="606" t="s">
        <v>461</v>
      </c>
      <c r="N95" s="606" t="s">
        <v>461</v>
      </c>
      <c r="O95" s="606"/>
    </row>
    <row r="96" spans="12:15" x14ac:dyDescent="0.3">
      <c r="L96" s="606" t="s">
        <v>806</v>
      </c>
      <c r="M96" s="606" t="s">
        <v>461</v>
      </c>
      <c r="N96" s="606" t="s">
        <v>461</v>
      </c>
      <c r="O96" s="606"/>
    </row>
    <row r="97" spans="12:16" x14ac:dyDescent="0.3">
      <c r="L97" s="606" t="s">
        <v>1154</v>
      </c>
      <c r="M97" s="606" t="s">
        <v>461</v>
      </c>
      <c r="N97" s="606" t="s">
        <v>461</v>
      </c>
      <c r="O97" s="606"/>
    </row>
    <row r="98" spans="12:16" x14ac:dyDescent="0.3">
      <c r="L98" s="606" t="s">
        <v>807</v>
      </c>
      <c r="M98" s="606" t="s">
        <v>461</v>
      </c>
      <c r="N98" s="606" t="s">
        <v>461</v>
      </c>
      <c r="O98" s="606"/>
    </row>
    <row r="99" spans="12:16" x14ac:dyDescent="0.3">
      <c r="L99" s="608" t="s">
        <v>1155</v>
      </c>
      <c r="M99" s="608">
        <v>0.03</v>
      </c>
      <c r="N99" s="608">
        <v>0.05</v>
      </c>
      <c r="O99" s="606" t="s">
        <v>1456</v>
      </c>
      <c r="P99" s="615" t="s">
        <v>1452</v>
      </c>
    </row>
    <row r="100" spans="12:16" x14ac:dyDescent="0.3">
      <c r="L100" s="606" t="s">
        <v>1156</v>
      </c>
      <c r="M100" s="606" t="s">
        <v>461</v>
      </c>
      <c r="N100" s="606" t="s">
        <v>461</v>
      </c>
      <c r="O100" s="606"/>
    </row>
    <row r="101" spans="12:16" x14ac:dyDescent="0.3">
      <c r="L101" s="606" t="s">
        <v>1157</v>
      </c>
      <c r="M101" s="606" t="s">
        <v>461</v>
      </c>
      <c r="N101" s="606" t="s">
        <v>461</v>
      </c>
      <c r="O101" s="606"/>
    </row>
    <row r="102" spans="12:16" x14ac:dyDescent="0.3">
      <c r="L102" s="606" t="s">
        <v>1158</v>
      </c>
      <c r="M102" s="606" t="s">
        <v>461</v>
      </c>
      <c r="N102" s="606" t="s">
        <v>461</v>
      </c>
      <c r="O102" s="606"/>
    </row>
    <row r="103" spans="12:16" x14ac:dyDescent="0.3">
      <c r="L103" s="606" t="s">
        <v>1159</v>
      </c>
      <c r="M103" s="606" t="s">
        <v>461</v>
      </c>
      <c r="N103" s="606" t="s">
        <v>461</v>
      </c>
      <c r="O103" s="606"/>
    </row>
    <row r="104" spans="12:16" x14ac:dyDescent="0.3">
      <c r="L104" s="606" t="s">
        <v>1160</v>
      </c>
      <c r="M104" s="606" t="s">
        <v>461</v>
      </c>
      <c r="N104" s="606" t="s">
        <v>461</v>
      </c>
      <c r="O104" s="606"/>
    </row>
    <row r="105" spans="12:16" x14ac:dyDescent="0.3">
      <c r="L105" s="606" t="s">
        <v>808</v>
      </c>
      <c r="M105" s="606" t="s">
        <v>461</v>
      </c>
      <c r="N105" s="606" t="s">
        <v>461</v>
      </c>
      <c r="O105" s="606"/>
    </row>
    <row r="106" spans="12:16" x14ac:dyDescent="0.3">
      <c r="L106" s="606" t="s">
        <v>487</v>
      </c>
      <c r="M106" s="606" t="s">
        <v>461</v>
      </c>
      <c r="N106" s="606" t="s">
        <v>461</v>
      </c>
      <c r="O106" s="606"/>
    </row>
    <row r="107" spans="12:16" x14ac:dyDescent="0.3">
      <c r="L107" s="606" t="s">
        <v>488</v>
      </c>
      <c r="M107" s="606" t="s">
        <v>461</v>
      </c>
      <c r="N107" s="606" t="s">
        <v>461</v>
      </c>
      <c r="O107" s="606"/>
    </row>
    <row r="108" spans="12:16" x14ac:dyDescent="0.3">
      <c r="L108" s="606" t="s">
        <v>1161</v>
      </c>
      <c r="M108" s="606" t="s">
        <v>461</v>
      </c>
      <c r="N108" s="606" t="s">
        <v>461</v>
      </c>
      <c r="O108" s="606"/>
    </row>
    <row r="109" spans="12:16" x14ac:dyDescent="0.3">
      <c r="L109" s="606" t="s">
        <v>1162</v>
      </c>
      <c r="M109" s="606" t="s">
        <v>461</v>
      </c>
      <c r="N109" s="606" t="s">
        <v>461</v>
      </c>
      <c r="O109" s="606"/>
    </row>
    <row r="110" spans="12:16" x14ac:dyDescent="0.3">
      <c r="L110" s="606" t="s">
        <v>1163</v>
      </c>
      <c r="M110" s="606" t="s">
        <v>461</v>
      </c>
      <c r="N110" s="606" t="s">
        <v>461</v>
      </c>
      <c r="O110" s="606" t="s">
        <v>1547</v>
      </c>
    </row>
    <row r="111" spans="12:16" x14ac:dyDescent="0.3">
      <c r="L111" s="606" t="s">
        <v>809</v>
      </c>
      <c r="M111" s="606" t="s">
        <v>461</v>
      </c>
      <c r="N111" s="606" t="s">
        <v>461</v>
      </c>
      <c r="O111" s="606"/>
    </row>
    <row r="112" spans="12:16" x14ac:dyDescent="0.3">
      <c r="L112" s="606" t="s">
        <v>1164</v>
      </c>
      <c r="M112" s="606" t="s">
        <v>461</v>
      </c>
      <c r="N112" s="606" t="s">
        <v>461</v>
      </c>
      <c r="O112" s="606"/>
    </row>
    <row r="113" spans="12:15" x14ac:dyDescent="0.3">
      <c r="L113" s="606" t="s">
        <v>1165</v>
      </c>
      <c r="M113" s="606" t="s">
        <v>461</v>
      </c>
      <c r="N113" s="606" t="s">
        <v>461</v>
      </c>
      <c r="O113" s="606"/>
    </row>
    <row r="114" spans="12:15" x14ac:dyDescent="0.3">
      <c r="L114" s="606" t="s">
        <v>1166</v>
      </c>
      <c r="M114" s="606" t="s">
        <v>461</v>
      </c>
      <c r="N114" s="606" t="s">
        <v>461</v>
      </c>
      <c r="O114" s="606"/>
    </row>
    <row r="115" spans="12:15" x14ac:dyDescent="0.3">
      <c r="L115" s="606" t="s">
        <v>1167</v>
      </c>
      <c r="M115" s="606" t="s">
        <v>461</v>
      </c>
      <c r="N115" s="606" t="s">
        <v>461</v>
      </c>
      <c r="O115" s="606"/>
    </row>
    <row r="116" spans="12:15" x14ac:dyDescent="0.3">
      <c r="L116" s="609" t="s">
        <v>1168</v>
      </c>
      <c r="M116" s="609">
        <v>0.03</v>
      </c>
      <c r="N116" s="609" t="s">
        <v>461</v>
      </c>
      <c r="O116" s="606" t="s">
        <v>1451</v>
      </c>
    </row>
    <row r="117" spans="12:15" x14ac:dyDescent="0.3">
      <c r="L117" s="606" t="s">
        <v>1169</v>
      </c>
      <c r="M117" s="606" t="s">
        <v>461</v>
      </c>
      <c r="N117" s="606" t="s">
        <v>461</v>
      </c>
      <c r="O117" s="606"/>
    </row>
    <row r="118" spans="12:15" x14ac:dyDescent="0.3">
      <c r="L118" s="606" t="s">
        <v>1170</v>
      </c>
      <c r="M118" s="606" t="s">
        <v>461</v>
      </c>
      <c r="N118" s="606" t="s">
        <v>461</v>
      </c>
      <c r="O118" s="606"/>
    </row>
    <row r="119" spans="12:15" x14ac:dyDescent="0.3">
      <c r="L119" s="606" t="s">
        <v>1171</v>
      </c>
      <c r="M119" s="606" t="s">
        <v>461</v>
      </c>
      <c r="N119" s="606" t="s">
        <v>461</v>
      </c>
      <c r="O119" s="606"/>
    </row>
    <row r="120" spans="12:15" x14ac:dyDescent="0.3">
      <c r="L120" s="606" t="s">
        <v>810</v>
      </c>
      <c r="M120" s="606" t="s">
        <v>461</v>
      </c>
      <c r="N120" s="606" t="s">
        <v>461</v>
      </c>
      <c r="O120" s="606"/>
    </row>
    <row r="121" spans="12:15" x14ac:dyDescent="0.3">
      <c r="L121" s="606" t="s">
        <v>1172</v>
      </c>
      <c r="M121" s="606" t="s">
        <v>461</v>
      </c>
      <c r="N121" s="606" t="s">
        <v>461</v>
      </c>
      <c r="O121" s="606"/>
    </row>
    <row r="122" spans="12:15" x14ac:dyDescent="0.3">
      <c r="L122" s="606" t="s">
        <v>811</v>
      </c>
      <c r="M122" s="606" t="s">
        <v>461</v>
      </c>
      <c r="N122" s="606" t="s">
        <v>461</v>
      </c>
      <c r="O122" s="606" t="s">
        <v>1547</v>
      </c>
    </row>
    <row r="123" spans="12:15" x14ac:dyDescent="0.3">
      <c r="L123" s="606" t="s">
        <v>1173</v>
      </c>
      <c r="M123" s="606" t="s">
        <v>461</v>
      </c>
      <c r="N123" s="606" t="s">
        <v>461</v>
      </c>
      <c r="O123" s="606"/>
    </row>
    <row r="124" spans="12:15" x14ac:dyDescent="0.3">
      <c r="L124" s="606" t="s">
        <v>1174</v>
      </c>
      <c r="M124" s="606" t="s">
        <v>461</v>
      </c>
      <c r="N124" s="606" t="s">
        <v>461</v>
      </c>
      <c r="O124" s="606"/>
    </row>
    <row r="125" spans="12:15" x14ac:dyDescent="0.3">
      <c r="L125" s="606" t="s">
        <v>1175</v>
      </c>
      <c r="M125" s="606" t="s">
        <v>461</v>
      </c>
      <c r="N125" s="606" t="s">
        <v>461</v>
      </c>
      <c r="O125" s="606"/>
    </row>
    <row r="126" spans="12:15" x14ac:dyDescent="0.3">
      <c r="L126" s="606" t="s">
        <v>1176</v>
      </c>
      <c r="M126" s="606" t="s">
        <v>461</v>
      </c>
      <c r="N126" s="606" t="s">
        <v>461</v>
      </c>
      <c r="O126" s="606"/>
    </row>
    <row r="127" spans="12:15" x14ac:dyDescent="0.3">
      <c r="L127" s="606" t="s">
        <v>489</v>
      </c>
      <c r="M127" s="606" t="s">
        <v>461</v>
      </c>
      <c r="N127" s="606" t="s">
        <v>461</v>
      </c>
      <c r="O127" s="606"/>
    </row>
    <row r="128" spans="12:15" x14ac:dyDescent="0.3">
      <c r="L128" s="606" t="s">
        <v>1177</v>
      </c>
      <c r="M128" s="606" t="s">
        <v>461</v>
      </c>
      <c r="N128" s="606" t="s">
        <v>461</v>
      </c>
      <c r="O128" s="606"/>
    </row>
    <row r="129" spans="12:16" x14ac:dyDescent="0.3">
      <c r="L129" s="606" t="s">
        <v>1178</v>
      </c>
      <c r="M129" s="606" t="s">
        <v>461</v>
      </c>
      <c r="N129" s="606" t="s">
        <v>461</v>
      </c>
      <c r="O129" s="606"/>
    </row>
    <row r="130" spans="12:16" x14ac:dyDescent="0.3">
      <c r="L130" s="606" t="s">
        <v>490</v>
      </c>
      <c r="M130" s="606" t="s">
        <v>461</v>
      </c>
      <c r="N130" s="606" t="s">
        <v>461</v>
      </c>
      <c r="O130" s="606"/>
    </row>
    <row r="131" spans="12:16" x14ac:dyDescent="0.3">
      <c r="L131" s="609" t="s">
        <v>1179</v>
      </c>
      <c r="M131" s="609">
        <v>0.03</v>
      </c>
      <c r="N131" s="609" t="s">
        <v>461</v>
      </c>
      <c r="O131" s="606" t="s">
        <v>1451</v>
      </c>
    </row>
    <row r="132" spans="12:16" x14ac:dyDescent="0.3">
      <c r="L132" s="606" t="s">
        <v>1180</v>
      </c>
      <c r="M132" s="606" t="s">
        <v>461</v>
      </c>
      <c r="N132" s="606" t="s">
        <v>461</v>
      </c>
      <c r="O132" s="606"/>
    </row>
    <row r="133" spans="12:16" x14ac:dyDescent="0.3">
      <c r="L133" s="606" t="s">
        <v>1181</v>
      </c>
      <c r="M133" s="606" t="s">
        <v>461</v>
      </c>
      <c r="N133" s="606" t="s">
        <v>461</v>
      </c>
      <c r="O133" s="606"/>
    </row>
    <row r="134" spans="12:16" x14ac:dyDescent="0.3">
      <c r="L134" s="606" t="s">
        <v>1182</v>
      </c>
      <c r="M134" s="606" t="s">
        <v>461</v>
      </c>
      <c r="N134" s="606" t="s">
        <v>461</v>
      </c>
      <c r="O134" s="606"/>
    </row>
    <row r="135" spans="12:16" x14ac:dyDescent="0.3">
      <c r="L135" s="606" t="s">
        <v>387</v>
      </c>
      <c r="M135" s="606" t="s">
        <v>461</v>
      </c>
      <c r="N135" s="606" t="s">
        <v>461</v>
      </c>
      <c r="O135" s="606"/>
    </row>
    <row r="136" spans="12:16" x14ac:dyDescent="0.3">
      <c r="L136" s="606" t="s">
        <v>491</v>
      </c>
      <c r="M136" s="606" t="s">
        <v>461</v>
      </c>
      <c r="N136" s="606" t="s">
        <v>461</v>
      </c>
      <c r="O136" s="606"/>
    </row>
    <row r="137" spans="12:16" x14ac:dyDescent="0.3">
      <c r="L137" s="606" t="s">
        <v>1183</v>
      </c>
      <c r="M137" s="606" t="s">
        <v>461</v>
      </c>
      <c r="N137" s="606" t="s">
        <v>461</v>
      </c>
      <c r="O137" s="606"/>
    </row>
    <row r="138" spans="12:16" x14ac:dyDescent="0.3">
      <c r="L138" s="606" t="s">
        <v>1184</v>
      </c>
      <c r="M138" s="606" t="s">
        <v>461</v>
      </c>
      <c r="N138" s="606" t="s">
        <v>461</v>
      </c>
      <c r="O138" s="606"/>
    </row>
    <row r="139" spans="12:16" x14ac:dyDescent="0.3">
      <c r="L139" s="606" t="s">
        <v>492</v>
      </c>
      <c r="M139" s="606" t="s">
        <v>461</v>
      </c>
      <c r="N139" s="606" t="s">
        <v>461</v>
      </c>
      <c r="O139" s="606"/>
    </row>
    <row r="140" spans="12:16" x14ac:dyDescent="0.3">
      <c r="L140" s="606" t="s">
        <v>493</v>
      </c>
      <c r="M140" s="606" t="s">
        <v>461</v>
      </c>
      <c r="N140" s="606" t="s">
        <v>461</v>
      </c>
      <c r="O140" s="606"/>
    </row>
    <row r="141" spans="12:16" x14ac:dyDescent="0.3">
      <c r="L141" s="606" t="s">
        <v>1185</v>
      </c>
      <c r="M141" s="606" t="s">
        <v>461</v>
      </c>
      <c r="N141" s="606" t="s">
        <v>461</v>
      </c>
      <c r="O141" s="606"/>
    </row>
    <row r="142" spans="12:16" x14ac:dyDescent="0.3">
      <c r="L142" s="606" t="s">
        <v>1186</v>
      </c>
      <c r="M142" s="606" t="s">
        <v>461</v>
      </c>
      <c r="N142" s="606" t="s">
        <v>461</v>
      </c>
      <c r="O142" s="606"/>
    </row>
    <row r="143" spans="12:16" x14ac:dyDescent="0.3">
      <c r="L143" s="608" t="s">
        <v>1187</v>
      </c>
      <c r="M143" s="608">
        <v>0.03</v>
      </c>
      <c r="N143" s="608">
        <v>0.05</v>
      </c>
      <c r="O143" s="606" t="s">
        <v>1456</v>
      </c>
      <c r="P143" s="615" t="s">
        <v>1452</v>
      </c>
    </row>
    <row r="144" spans="12:16" x14ac:dyDescent="0.3">
      <c r="L144" s="608" t="s">
        <v>812</v>
      </c>
      <c r="M144" s="608">
        <v>0.03</v>
      </c>
      <c r="N144" s="608">
        <v>0.05</v>
      </c>
      <c r="O144" s="606" t="s">
        <v>1456</v>
      </c>
      <c r="P144" s="615" t="s">
        <v>1452</v>
      </c>
    </row>
    <row r="145" spans="12:15" x14ac:dyDescent="0.3">
      <c r="L145" s="606" t="s">
        <v>1188</v>
      </c>
      <c r="M145" s="606" t="s">
        <v>461</v>
      </c>
      <c r="N145" s="606" t="s">
        <v>461</v>
      </c>
      <c r="O145" s="606"/>
    </row>
    <row r="146" spans="12:15" x14ac:dyDescent="0.3">
      <c r="L146" s="606" t="s">
        <v>1189</v>
      </c>
      <c r="M146" s="606" t="s">
        <v>461</v>
      </c>
      <c r="N146" s="606" t="s">
        <v>461</v>
      </c>
      <c r="O146" s="606"/>
    </row>
    <row r="147" spans="12:15" x14ac:dyDescent="0.3">
      <c r="L147" s="606" t="s">
        <v>1190</v>
      </c>
      <c r="M147" s="606" t="s">
        <v>461</v>
      </c>
      <c r="N147" s="606" t="s">
        <v>461</v>
      </c>
      <c r="O147" s="606"/>
    </row>
    <row r="148" spans="12:15" x14ac:dyDescent="0.3">
      <c r="L148" s="606" t="s">
        <v>1191</v>
      </c>
      <c r="M148" s="606" t="s">
        <v>461</v>
      </c>
      <c r="N148" s="606" t="s">
        <v>461</v>
      </c>
      <c r="O148" s="606"/>
    </row>
    <row r="149" spans="12:15" x14ac:dyDescent="0.3">
      <c r="L149" s="606" t="s">
        <v>495</v>
      </c>
      <c r="M149" s="606" t="s">
        <v>461</v>
      </c>
      <c r="N149" s="606" t="s">
        <v>461</v>
      </c>
      <c r="O149" s="606"/>
    </row>
    <row r="150" spans="12:15" x14ac:dyDescent="0.3">
      <c r="L150" s="606" t="s">
        <v>496</v>
      </c>
      <c r="M150" s="606" t="s">
        <v>461</v>
      </c>
      <c r="N150" s="606" t="s">
        <v>461</v>
      </c>
      <c r="O150" s="606"/>
    </row>
    <row r="151" spans="12:15" x14ac:dyDescent="0.3">
      <c r="L151" s="606" t="s">
        <v>1192</v>
      </c>
      <c r="M151" s="606" t="s">
        <v>461</v>
      </c>
      <c r="N151" s="606" t="s">
        <v>461</v>
      </c>
      <c r="O151" s="606"/>
    </row>
    <row r="152" spans="12:15" x14ac:dyDescent="0.3">
      <c r="L152" s="606" t="s">
        <v>1193</v>
      </c>
      <c r="M152" s="606" t="s">
        <v>461</v>
      </c>
      <c r="N152" s="606" t="s">
        <v>461</v>
      </c>
      <c r="O152" s="606"/>
    </row>
    <row r="153" spans="12:15" x14ac:dyDescent="0.3">
      <c r="L153" s="606" t="s">
        <v>497</v>
      </c>
      <c r="M153" s="606" t="s">
        <v>461</v>
      </c>
      <c r="N153" s="606" t="s">
        <v>461</v>
      </c>
      <c r="O153" s="606" t="s">
        <v>1547</v>
      </c>
    </row>
    <row r="154" spans="12:15" x14ac:dyDescent="0.3">
      <c r="L154" s="606" t="s">
        <v>813</v>
      </c>
      <c r="M154" s="606" t="s">
        <v>461</v>
      </c>
      <c r="N154" s="606" t="s">
        <v>461</v>
      </c>
      <c r="O154" s="606"/>
    </row>
    <row r="155" spans="12:15" x14ac:dyDescent="0.3">
      <c r="L155" s="606" t="s">
        <v>814</v>
      </c>
      <c r="M155" s="606" t="s">
        <v>461</v>
      </c>
      <c r="N155" s="606" t="s">
        <v>461</v>
      </c>
      <c r="O155" s="606"/>
    </row>
    <row r="156" spans="12:15" x14ac:dyDescent="0.3">
      <c r="L156" s="606" t="s">
        <v>498</v>
      </c>
      <c r="M156" s="606" t="s">
        <v>461</v>
      </c>
      <c r="N156" s="606" t="s">
        <v>461</v>
      </c>
      <c r="O156" s="606"/>
    </row>
    <row r="157" spans="12:15" x14ac:dyDescent="0.3">
      <c r="L157" s="606" t="s">
        <v>499</v>
      </c>
      <c r="M157" s="606" t="s">
        <v>461</v>
      </c>
      <c r="N157" s="606" t="s">
        <v>461</v>
      </c>
      <c r="O157" s="606"/>
    </row>
    <row r="158" spans="12:15" x14ac:dyDescent="0.3">
      <c r="L158" s="606" t="s">
        <v>500</v>
      </c>
      <c r="M158" s="606" t="s">
        <v>461</v>
      </c>
      <c r="N158" s="606" t="s">
        <v>461</v>
      </c>
      <c r="O158" s="606"/>
    </row>
    <row r="159" spans="12:15" x14ac:dyDescent="0.3">
      <c r="L159" s="606" t="s">
        <v>1194</v>
      </c>
      <c r="M159" s="606" t="s">
        <v>461</v>
      </c>
      <c r="N159" s="606" t="s">
        <v>461</v>
      </c>
      <c r="O159" s="606"/>
    </row>
    <row r="160" spans="12:15" x14ac:dyDescent="0.3">
      <c r="L160" s="606" t="s">
        <v>1195</v>
      </c>
      <c r="M160" s="606" t="s">
        <v>461</v>
      </c>
      <c r="N160" s="606" t="s">
        <v>461</v>
      </c>
      <c r="O160" s="606"/>
    </row>
    <row r="161" spans="12:16" x14ac:dyDescent="0.3">
      <c r="L161" s="606" t="s">
        <v>1196</v>
      </c>
      <c r="M161" s="606" t="s">
        <v>461</v>
      </c>
      <c r="N161" s="606" t="s">
        <v>461</v>
      </c>
      <c r="O161" s="606"/>
    </row>
    <row r="162" spans="12:16" x14ac:dyDescent="0.3">
      <c r="L162" s="606" t="s">
        <v>1197</v>
      </c>
      <c r="M162" s="606" t="s">
        <v>461</v>
      </c>
      <c r="N162" s="606" t="s">
        <v>461</v>
      </c>
      <c r="O162" s="606"/>
    </row>
    <row r="163" spans="12:16" x14ac:dyDescent="0.3">
      <c r="L163" s="606" t="s">
        <v>1198</v>
      </c>
      <c r="M163" s="606" t="s">
        <v>461</v>
      </c>
      <c r="N163" s="606" t="s">
        <v>461</v>
      </c>
      <c r="O163" s="606"/>
    </row>
    <row r="164" spans="12:16" x14ac:dyDescent="0.3">
      <c r="L164" s="606" t="s">
        <v>1199</v>
      </c>
      <c r="M164" s="606" t="s">
        <v>461</v>
      </c>
      <c r="N164" s="606" t="s">
        <v>461</v>
      </c>
      <c r="O164" s="606"/>
    </row>
    <row r="165" spans="12:16" x14ac:dyDescent="0.3">
      <c r="L165" s="608" t="s">
        <v>1200</v>
      </c>
      <c r="M165" s="608">
        <v>0.03</v>
      </c>
      <c r="N165" s="608">
        <v>0.05</v>
      </c>
      <c r="O165" s="606" t="s">
        <v>1456</v>
      </c>
      <c r="P165" s="615" t="s">
        <v>1452</v>
      </c>
    </row>
    <row r="166" spans="12:16" x14ac:dyDescent="0.3">
      <c r="L166" s="606" t="s">
        <v>1201</v>
      </c>
      <c r="M166" s="606" t="s">
        <v>461</v>
      </c>
      <c r="N166" s="606" t="s">
        <v>461</v>
      </c>
      <c r="O166" s="606" t="s">
        <v>1547</v>
      </c>
    </row>
    <row r="167" spans="12:16" x14ac:dyDescent="0.3">
      <c r="L167" s="606" t="s">
        <v>1202</v>
      </c>
      <c r="M167" s="606" t="s">
        <v>461</v>
      </c>
      <c r="N167" s="606" t="s">
        <v>461</v>
      </c>
      <c r="O167" s="606"/>
    </row>
    <row r="168" spans="12:16" x14ac:dyDescent="0.3">
      <c r="L168" s="606" t="s">
        <v>1203</v>
      </c>
      <c r="M168" s="606" t="s">
        <v>461</v>
      </c>
      <c r="N168" s="606" t="s">
        <v>461</v>
      </c>
      <c r="O168" s="606"/>
    </row>
    <row r="169" spans="12:16" x14ac:dyDescent="0.3">
      <c r="L169" s="606" t="s">
        <v>501</v>
      </c>
      <c r="M169" s="606" t="s">
        <v>461</v>
      </c>
      <c r="N169" s="606" t="s">
        <v>461</v>
      </c>
      <c r="O169" s="606"/>
    </row>
    <row r="170" spans="12:16" x14ac:dyDescent="0.3">
      <c r="L170" s="606" t="s">
        <v>1204</v>
      </c>
      <c r="M170" s="606" t="s">
        <v>461</v>
      </c>
      <c r="N170" s="606" t="s">
        <v>461</v>
      </c>
      <c r="O170" s="606" t="s">
        <v>1547</v>
      </c>
    </row>
    <row r="171" spans="12:16" x14ac:dyDescent="0.3">
      <c r="L171" s="606" t="s">
        <v>1205</v>
      </c>
      <c r="M171" s="606" t="s">
        <v>461</v>
      </c>
      <c r="N171" s="606" t="s">
        <v>461</v>
      </c>
      <c r="O171" s="606"/>
    </row>
    <row r="172" spans="12:16" x14ac:dyDescent="0.3">
      <c r="L172" s="606" t="s">
        <v>1206</v>
      </c>
      <c r="M172" s="606" t="s">
        <v>461</v>
      </c>
      <c r="N172" s="606" t="s">
        <v>461</v>
      </c>
      <c r="O172" s="606" t="s">
        <v>1547</v>
      </c>
    </row>
    <row r="173" spans="12:16" x14ac:dyDescent="0.3">
      <c r="L173" s="606" t="s">
        <v>502</v>
      </c>
      <c r="M173" s="606" t="s">
        <v>461</v>
      </c>
      <c r="N173" s="606" t="s">
        <v>461</v>
      </c>
      <c r="O173" s="606"/>
    </row>
    <row r="174" spans="12:16" x14ac:dyDescent="0.3">
      <c r="L174" s="606" t="s">
        <v>1207</v>
      </c>
      <c r="M174" s="606" t="s">
        <v>461</v>
      </c>
      <c r="N174" s="606" t="s">
        <v>461</v>
      </c>
      <c r="O174" s="606"/>
    </row>
    <row r="175" spans="12:16" x14ac:dyDescent="0.3">
      <c r="L175" s="606" t="s">
        <v>1208</v>
      </c>
      <c r="M175" s="606" t="s">
        <v>461</v>
      </c>
      <c r="N175" s="606" t="s">
        <v>461</v>
      </c>
      <c r="O175" s="606"/>
    </row>
    <row r="176" spans="12:16" x14ac:dyDescent="0.3">
      <c r="L176" s="606" t="s">
        <v>1209</v>
      </c>
      <c r="M176" s="606" t="s">
        <v>461</v>
      </c>
      <c r="N176" s="606" t="s">
        <v>461</v>
      </c>
      <c r="O176" s="606"/>
    </row>
    <row r="177" spans="12:16" x14ac:dyDescent="0.3">
      <c r="L177" s="606" t="s">
        <v>503</v>
      </c>
      <c r="M177" s="606" t="s">
        <v>461</v>
      </c>
      <c r="N177" s="606" t="s">
        <v>461</v>
      </c>
      <c r="O177" s="606"/>
    </row>
    <row r="178" spans="12:16" x14ac:dyDescent="0.3">
      <c r="L178" s="608" t="s">
        <v>504</v>
      </c>
      <c r="M178" s="608">
        <v>0.03</v>
      </c>
      <c r="N178" s="608">
        <v>0.05</v>
      </c>
      <c r="O178" s="606" t="s">
        <v>1456</v>
      </c>
      <c r="P178" s="615" t="s">
        <v>1452</v>
      </c>
    </row>
    <row r="179" spans="12:16" x14ac:dyDescent="0.3">
      <c r="L179" s="606" t="s">
        <v>1210</v>
      </c>
      <c r="M179" s="606" t="s">
        <v>461</v>
      </c>
      <c r="N179" s="606" t="s">
        <v>461</v>
      </c>
      <c r="O179" s="606"/>
    </row>
    <row r="180" spans="12:16" x14ac:dyDescent="0.3">
      <c r="L180" s="606" t="s">
        <v>1211</v>
      </c>
      <c r="M180" s="606" t="s">
        <v>461</v>
      </c>
      <c r="N180" s="606" t="s">
        <v>461</v>
      </c>
      <c r="O180" s="606"/>
    </row>
    <row r="181" spans="12:16" x14ac:dyDescent="0.3">
      <c r="L181" s="606" t="s">
        <v>1212</v>
      </c>
      <c r="M181" s="606" t="s">
        <v>461</v>
      </c>
      <c r="N181" s="606" t="s">
        <v>461</v>
      </c>
      <c r="O181" s="606"/>
    </row>
    <row r="182" spans="12:16" x14ac:dyDescent="0.3">
      <c r="L182" s="606" t="s">
        <v>1213</v>
      </c>
      <c r="M182" s="606" t="s">
        <v>461</v>
      </c>
      <c r="N182" s="606" t="s">
        <v>461</v>
      </c>
      <c r="O182" s="606"/>
    </row>
    <row r="183" spans="12:16" x14ac:dyDescent="0.3">
      <c r="L183" s="606" t="s">
        <v>1214</v>
      </c>
      <c r="M183" s="606" t="s">
        <v>461</v>
      </c>
      <c r="N183" s="606" t="s">
        <v>461</v>
      </c>
      <c r="O183" s="606"/>
    </row>
    <row r="184" spans="12:16" x14ac:dyDescent="0.3">
      <c r="L184" s="606" t="s">
        <v>388</v>
      </c>
      <c r="M184" s="606" t="s">
        <v>461</v>
      </c>
      <c r="N184" s="606" t="s">
        <v>461</v>
      </c>
      <c r="O184" s="606"/>
    </row>
    <row r="185" spans="12:16" x14ac:dyDescent="0.3">
      <c r="L185" s="609" t="s">
        <v>1215</v>
      </c>
      <c r="M185" s="609">
        <v>0.03</v>
      </c>
      <c r="N185" s="609" t="s">
        <v>461</v>
      </c>
      <c r="O185" s="606" t="s">
        <v>1451</v>
      </c>
    </row>
    <row r="186" spans="12:16" x14ac:dyDescent="0.3">
      <c r="L186" s="606" t="s">
        <v>1216</v>
      </c>
      <c r="M186" s="606" t="s">
        <v>461</v>
      </c>
      <c r="N186" s="606" t="s">
        <v>461</v>
      </c>
      <c r="O186" s="606"/>
    </row>
    <row r="187" spans="12:16" x14ac:dyDescent="0.3">
      <c r="L187" s="606" t="s">
        <v>815</v>
      </c>
      <c r="M187" s="606" t="s">
        <v>461</v>
      </c>
      <c r="N187" s="606" t="s">
        <v>461</v>
      </c>
      <c r="O187" s="606"/>
    </row>
    <row r="188" spans="12:16" x14ac:dyDescent="0.3">
      <c r="L188" s="606" t="s">
        <v>1217</v>
      </c>
      <c r="M188" s="606" t="s">
        <v>461</v>
      </c>
      <c r="N188" s="606" t="s">
        <v>461</v>
      </c>
      <c r="O188" s="606"/>
    </row>
    <row r="189" spans="12:16" x14ac:dyDescent="0.3">
      <c r="L189" s="606" t="s">
        <v>505</v>
      </c>
      <c r="M189" s="606" t="s">
        <v>461</v>
      </c>
      <c r="N189" s="606" t="s">
        <v>461</v>
      </c>
      <c r="O189" s="606"/>
    </row>
    <row r="190" spans="12:16" x14ac:dyDescent="0.3">
      <c r="L190" s="606" t="s">
        <v>1218</v>
      </c>
      <c r="M190" s="606" t="s">
        <v>461</v>
      </c>
      <c r="N190" s="606" t="s">
        <v>461</v>
      </c>
      <c r="O190" s="606"/>
    </row>
    <row r="191" spans="12:16" x14ac:dyDescent="0.3">
      <c r="L191" s="606" t="s">
        <v>506</v>
      </c>
      <c r="M191" s="606" t="s">
        <v>461</v>
      </c>
      <c r="N191" s="606" t="s">
        <v>461</v>
      </c>
      <c r="O191" s="606"/>
    </row>
    <row r="192" spans="12:16" x14ac:dyDescent="0.3">
      <c r="L192" s="606" t="s">
        <v>1219</v>
      </c>
      <c r="M192" s="606" t="s">
        <v>461</v>
      </c>
      <c r="N192" s="606" t="s">
        <v>461</v>
      </c>
      <c r="O192" s="606"/>
    </row>
    <row r="193" spans="12:16" x14ac:dyDescent="0.3">
      <c r="L193" s="606" t="s">
        <v>1055</v>
      </c>
      <c r="M193" s="606" t="s">
        <v>461</v>
      </c>
      <c r="N193" s="606" t="s">
        <v>461</v>
      </c>
      <c r="O193" s="606"/>
    </row>
    <row r="194" spans="12:16" x14ac:dyDescent="0.3">
      <c r="L194" s="606" t="s">
        <v>1220</v>
      </c>
      <c r="M194" s="606" t="s">
        <v>461</v>
      </c>
      <c r="N194" s="606" t="s">
        <v>461</v>
      </c>
      <c r="O194" s="606"/>
    </row>
    <row r="195" spans="12:16" x14ac:dyDescent="0.3">
      <c r="L195" s="609" t="s">
        <v>1221</v>
      </c>
      <c r="M195" s="609">
        <v>0.03</v>
      </c>
      <c r="N195" s="609" t="s">
        <v>461</v>
      </c>
      <c r="O195" s="606" t="s">
        <v>1451</v>
      </c>
    </row>
    <row r="196" spans="12:16" x14ac:dyDescent="0.3">
      <c r="L196" s="606" t="s">
        <v>1222</v>
      </c>
      <c r="M196" s="606" t="s">
        <v>461</v>
      </c>
      <c r="N196" s="606" t="s">
        <v>461</v>
      </c>
      <c r="O196" s="606"/>
    </row>
    <row r="197" spans="12:16" x14ac:dyDescent="0.3">
      <c r="L197" s="606" t="s">
        <v>1223</v>
      </c>
      <c r="M197" s="606" t="s">
        <v>461</v>
      </c>
      <c r="N197" s="606" t="s">
        <v>461</v>
      </c>
      <c r="O197" s="606"/>
    </row>
    <row r="198" spans="12:16" x14ac:dyDescent="0.3">
      <c r="L198" s="606" t="s">
        <v>816</v>
      </c>
      <c r="M198" s="606" t="s">
        <v>461</v>
      </c>
      <c r="N198" s="606" t="s">
        <v>461</v>
      </c>
      <c r="O198" s="606"/>
    </row>
    <row r="199" spans="12:16" x14ac:dyDescent="0.3">
      <c r="L199" s="606" t="s">
        <v>507</v>
      </c>
      <c r="M199" s="606" t="s">
        <v>461</v>
      </c>
      <c r="N199" s="606" t="s">
        <v>461</v>
      </c>
      <c r="O199" s="606"/>
    </row>
    <row r="200" spans="12:16" x14ac:dyDescent="0.3">
      <c r="L200" s="606" t="s">
        <v>394</v>
      </c>
      <c r="M200" s="606" t="s">
        <v>461</v>
      </c>
      <c r="N200" s="606" t="s">
        <v>461</v>
      </c>
      <c r="O200" s="606"/>
    </row>
    <row r="201" spans="12:16" x14ac:dyDescent="0.3">
      <c r="L201" s="608" t="s">
        <v>395</v>
      </c>
      <c r="M201" s="608">
        <v>0.03</v>
      </c>
      <c r="N201" s="608">
        <v>0.05</v>
      </c>
      <c r="O201" s="606" t="s">
        <v>1456</v>
      </c>
      <c r="P201" s="615" t="s">
        <v>1452</v>
      </c>
    </row>
    <row r="202" spans="12:16" x14ac:dyDescent="0.3">
      <c r="L202" s="606" t="s">
        <v>1224</v>
      </c>
      <c r="M202" s="606" t="s">
        <v>461</v>
      </c>
      <c r="N202" s="606" t="s">
        <v>461</v>
      </c>
      <c r="O202" s="606"/>
    </row>
    <row r="203" spans="12:16" x14ac:dyDescent="0.3">
      <c r="L203" s="606" t="s">
        <v>1225</v>
      </c>
      <c r="M203" s="606" t="s">
        <v>461</v>
      </c>
      <c r="N203" s="606" t="s">
        <v>461</v>
      </c>
      <c r="O203" s="606"/>
    </row>
    <row r="204" spans="12:16" x14ac:dyDescent="0.3">
      <c r="L204" s="606" t="s">
        <v>508</v>
      </c>
      <c r="M204" s="606" t="s">
        <v>461</v>
      </c>
      <c r="N204" s="606" t="s">
        <v>461</v>
      </c>
      <c r="O204" s="606"/>
    </row>
    <row r="205" spans="12:16" x14ac:dyDescent="0.3">
      <c r="L205" s="606" t="s">
        <v>509</v>
      </c>
      <c r="M205" s="606" t="s">
        <v>461</v>
      </c>
      <c r="N205" s="606" t="s">
        <v>461</v>
      </c>
      <c r="O205" s="606"/>
    </row>
    <row r="206" spans="12:16" x14ac:dyDescent="0.3">
      <c r="L206" s="608" t="s">
        <v>510</v>
      </c>
      <c r="M206" s="608">
        <v>0.03</v>
      </c>
      <c r="N206" s="608">
        <v>0.05</v>
      </c>
      <c r="O206" s="606" t="s">
        <v>1456</v>
      </c>
      <c r="P206" s="615" t="s">
        <v>1452</v>
      </c>
    </row>
    <row r="207" spans="12:16" x14ac:dyDescent="0.3">
      <c r="L207" s="606" t="s">
        <v>511</v>
      </c>
      <c r="M207" s="606" t="s">
        <v>461</v>
      </c>
      <c r="N207" s="606" t="s">
        <v>461</v>
      </c>
      <c r="O207" s="606"/>
    </row>
    <row r="208" spans="12:16" x14ac:dyDescent="0.3">
      <c r="L208" s="606" t="s">
        <v>1226</v>
      </c>
      <c r="M208" s="606" t="s">
        <v>461</v>
      </c>
      <c r="N208" s="606" t="s">
        <v>461</v>
      </c>
      <c r="O208" s="606"/>
    </row>
    <row r="209" spans="12:16" x14ac:dyDescent="0.3">
      <c r="L209" s="606" t="s">
        <v>1227</v>
      </c>
      <c r="M209" s="606" t="s">
        <v>461</v>
      </c>
      <c r="N209" s="606" t="s">
        <v>461</v>
      </c>
      <c r="O209" s="606"/>
    </row>
    <row r="210" spans="12:16" x14ac:dyDescent="0.3">
      <c r="L210" s="606" t="s">
        <v>1228</v>
      </c>
      <c r="M210" s="606" t="s">
        <v>461</v>
      </c>
      <c r="N210" s="606" t="s">
        <v>461</v>
      </c>
      <c r="O210" s="606"/>
    </row>
    <row r="211" spans="12:16" x14ac:dyDescent="0.3">
      <c r="L211" s="606" t="s">
        <v>1229</v>
      </c>
      <c r="M211" s="606" t="s">
        <v>461</v>
      </c>
      <c r="N211" s="606" t="s">
        <v>461</v>
      </c>
      <c r="O211" s="606"/>
    </row>
    <row r="212" spans="12:16" x14ac:dyDescent="0.3">
      <c r="L212" s="606" t="s">
        <v>817</v>
      </c>
      <c r="M212" s="606" t="s">
        <v>461</v>
      </c>
      <c r="N212" s="606" t="s">
        <v>461</v>
      </c>
      <c r="O212" s="606"/>
    </row>
    <row r="213" spans="12:16" x14ac:dyDescent="0.3">
      <c r="L213" s="606" t="s">
        <v>1230</v>
      </c>
      <c r="M213" s="606" t="s">
        <v>461</v>
      </c>
      <c r="N213" s="606" t="s">
        <v>461</v>
      </c>
      <c r="O213" s="606"/>
    </row>
    <row r="214" spans="12:16" x14ac:dyDescent="0.3">
      <c r="L214" s="606" t="s">
        <v>818</v>
      </c>
      <c r="M214" s="606" t="s">
        <v>461</v>
      </c>
      <c r="N214" s="606" t="s">
        <v>461</v>
      </c>
      <c r="O214" s="606"/>
    </row>
    <row r="215" spans="12:16" x14ac:dyDescent="0.3">
      <c r="L215" s="606" t="s">
        <v>1231</v>
      </c>
      <c r="M215" s="606" t="s">
        <v>461</v>
      </c>
      <c r="N215" s="606" t="s">
        <v>461</v>
      </c>
      <c r="O215" s="606"/>
    </row>
    <row r="216" spans="12:16" x14ac:dyDescent="0.3">
      <c r="L216" s="606" t="s">
        <v>1232</v>
      </c>
      <c r="M216" s="606" t="s">
        <v>461</v>
      </c>
      <c r="N216" s="606" t="s">
        <v>461</v>
      </c>
      <c r="O216" s="606"/>
    </row>
    <row r="217" spans="12:16" x14ac:dyDescent="0.3">
      <c r="L217" s="606" t="s">
        <v>389</v>
      </c>
      <c r="M217" s="606" t="s">
        <v>461</v>
      </c>
      <c r="N217" s="606" t="s">
        <v>461</v>
      </c>
      <c r="O217" s="606"/>
    </row>
    <row r="218" spans="12:16" x14ac:dyDescent="0.3">
      <c r="L218" s="606" t="s">
        <v>1233</v>
      </c>
      <c r="M218" s="606" t="s">
        <v>461</v>
      </c>
      <c r="N218" s="606" t="s">
        <v>461</v>
      </c>
      <c r="O218" s="606"/>
    </row>
    <row r="219" spans="12:16" x14ac:dyDescent="0.3">
      <c r="L219" s="608" t="s">
        <v>819</v>
      </c>
      <c r="M219" s="608">
        <v>0.03</v>
      </c>
      <c r="N219" s="608">
        <v>0.05</v>
      </c>
      <c r="O219" s="606" t="s">
        <v>1456</v>
      </c>
      <c r="P219" s="615" t="s">
        <v>1452</v>
      </c>
    </row>
    <row r="220" spans="12:16" x14ac:dyDescent="0.3">
      <c r="L220" s="606" t="s">
        <v>1234</v>
      </c>
      <c r="M220" s="606" t="s">
        <v>461</v>
      </c>
      <c r="N220" s="606" t="s">
        <v>461</v>
      </c>
      <c r="O220" s="606"/>
    </row>
    <row r="221" spans="12:16" x14ac:dyDescent="0.3">
      <c r="L221" s="609" t="s">
        <v>396</v>
      </c>
      <c r="M221" s="609" t="s">
        <v>461</v>
      </c>
      <c r="N221" s="609" t="s">
        <v>461</v>
      </c>
      <c r="O221" s="606" t="s">
        <v>1451</v>
      </c>
    </row>
    <row r="222" spans="12:16" x14ac:dyDescent="0.3">
      <c r="L222" s="606" t="s">
        <v>1235</v>
      </c>
      <c r="M222" s="606" t="s">
        <v>461</v>
      </c>
      <c r="N222" s="606" t="s">
        <v>461</v>
      </c>
      <c r="O222" s="606"/>
    </row>
    <row r="223" spans="12:16" x14ac:dyDescent="0.3">
      <c r="L223" s="606" t="s">
        <v>1236</v>
      </c>
      <c r="M223" s="606" t="s">
        <v>461</v>
      </c>
      <c r="N223" s="606" t="s">
        <v>461</v>
      </c>
      <c r="O223" s="606" t="s">
        <v>1547</v>
      </c>
    </row>
    <row r="224" spans="12:16" x14ac:dyDescent="0.3">
      <c r="L224" s="606" t="s">
        <v>1237</v>
      </c>
      <c r="M224" s="606" t="s">
        <v>461</v>
      </c>
      <c r="N224" s="606" t="s">
        <v>461</v>
      </c>
      <c r="O224" s="606"/>
    </row>
    <row r="225" spans="12:16" x14ac:dyDescent="0.3">
      <c r="L225" s="606" t="s">
        <v>1238</v>
      </c>
      <c r="M225" s="606" t="s">
        <v>461</v>
      </c>
      <c r="N225" s="606" t="s">
        <v>461</v>
      </c>
      <c r="O225" s="606"/>
    </row>
    <row r="226" spans="12:16" x14ac:dyDescent="0.3">
      <c r="L226" s="608" t="s">
        <v>1239</v>
      </c>
      <c r="M226" s="608">
        <v>0.03</v>
      </c>
      <c r="N226" s="608">
        <v>0.05</v>
      </c>
      <c r="O226" s="606" t="s">
        <v>1456</v>
      </c>
      <c r="P226" s="615" t="s">
        <v>1452</v>
      </c>
    </row>
    <row r="227" spans="12:16" x14ac:dyDescent="0.3">
      <c r="L227" s="606" t="s">
        <v>512</v>
      </c>
      <c r="M227" s="606" t="s">
        <v>461</v>
      </c>
      <c r="N227" s="606" t="s">
        <v>461</v>
      </c>
      <c r="O227" s="606"/>
    </row>
    <row r="228" spans="12:16" x14ac:dyDescent="0.3">
      <c r="L228" s="606" t="s">
        <v>1240</v>
      </c>
      <c r="M228" s="606" t="s">
        <v>461</v>
      </c>
      <c r="N228" s="606" t="s">
        <v>461</v>
      </c>
      <c r="O228" s="606"/>
    </row>
    <row r="229" spans="12:16" x14ac:dyDescent="0.3">
      <c r="L229" s="606" t="s">
        <v>513</v>
      </c>
      <c r="M229" s="606" t="s">
        <v>461</v>
      </c>
      <c r="N229" s="606" t="s">
        <v>461</v>
      </c>
      <c r="O229" s="606"/>
    </row>
    <row r="230" spans="12:16" x14ac:dyDescent="0.3">
      <c r="L230" s="606" t="s">
        <v>1241</v>
      </c>
      <c r="M230" s="606" t="s">
        <v>461</v>
      </c>
      <c r="N230" s="606" t="s">
        <v>461</v>
      </c>
      <c r="O230" s="606"/>
    </row>
    <row r="231" spans="12:16" x14ac:dyDescent="0.3">
      <c r="L231" s="608" t="s">
        <v>514</v>
      </c>
      <c r="M231" s="608">
        <v>0.03</v>
      </c>
      <c r="N231" s="608">
        <v>0.05</v>
      </c>
      <c r="O231" s="606" t="s">
        <v>1456</v>
      </c>
      <c r="P231" s="615" t="s">
        <v>1452</v>
      </c>
    </row>
    <row r="232" spans="12:16" x14ac:dyDescent="0.3">
      <c r="L232" s="606" t="s">
        <v>1242</v>
      </c>
      <c r="M232" s="606" t="s">
        <v>461</v>
      </c>
      <c r="N232" s="606" t="s">
        <v>461</v>
      </c>
      <c r="O232" s="606"/>
    </row>
    <row r="233" spans="12:16" x14ac:dyDescent="0.3">
      <c r="L233" s="606" t="s">
        <v>1243</v>
      </c>
      <c r="M233" s="606" t="s">
        <v>461</v>
      </c>
      <c r="N233" s="606" t="s">
        <v>461</v>
      </c>
      <c r="O233" s="606"/>
    </row>
    <row r="234" spans="12:16" x14ac:dyDescent="0.3">
      <c r="L234" s="606" t="s">
        <v>1056</v>
      </c>
      <c r="M234" s="606" t="s">
        <v>461</v>
      </c>
      <c r="N234" s="606" t="s">
        <v>461</v>
      </c>
      <c r="O234" s="606"/>
    </row>
    <row r="235" spans="12:16" x14ac:dyDescent="0.3">
      <c r="L235" s="609" t="s">
        <v>1244</v>
      </c>
      <c r="M235" s="609" t="s">
        <v>461</v>
      </c>
      <c r="N235" s="609" t="s">
        <v>461</v>
      </c>
      <c r="O235" s="606" t="s">
        <v>1451</v>
      </c>
    </row>
    <row r="236" spans="12:16" x14ac:dyDescent="0.3">
      <c r="L236" s="606" t="s">
        <v>433</v>
      </c>
      <c r="M236" s="606" t="s">
        <v>461</v>
      </c>
      <c r="N236" s="606" t="s">
        <v>461</v>
      </c>
      <c r="O236" s="606"/>
    </row>
    <row r="237" spans="12:16" x14ac:dyDescent="0.3">
      <c r="L237" s="606" t="s">
        <v>1245</v>
      </c>
      <c r="M237" s="606" t="s">
        <v>461</v>
      </c>
      <c r="N237" s="606" t="s">
        <v>461</v>
      </c>
      <c r="O237" s="606"/>
    </row>
    <row r="238" spans="12:16" x14ac:dyDescent="0.3">
      <c r="L238" s="606" t="s">
        <v>434</v>
      </c>
      <c r="M238" s="606" t="s">
        <v>461</v>
      </c>
      <c r="N238" s="606" t="s">
        <v>461</v>
      </c>
      <c r="O238" s="606"/>
    </row>
    <row r="239" spans="12:16" x14ac:dyDescent="0.3">
      <c r="L239" s="606" t="s">
        <v>1246</v>
      </c>
      <c r="M239" s="606" t="s">
        <v>461</v>
      </c>
      <c r="N239" s="606" t="s">
        <v>461</v>
      </c>
      <c r="O239" s="606"/>
    </row>
    <row r="240" spans="12:16" x14ac:dyDescent="0.3">
      <c r="L240" s="606" t="s">
        <v>1247</v>
      </c>
      <c r="M240" s="606" t="s">
        <v>461</v>
      </c>
      <c r="N240" s="606" t="s">
        <v>461</v>
      </c>
      <c r="O240" s="606"/>
    </row>
    <row r="241" spans="12:16" x14ac:dyDescent="0.3">
      <c r="L241" s="606" t="s">
        <v>1248</v>
      </c>
      <c r="M241" s="606" t="s">
        <v>461</v>
      </c>
      <c r="N241" s="606" t="s">
        <v>461</v>
      </c>
      <c r="O241" s="606"/>
    </row>
    <row r="242" spans="12:16" x14ac:dyDescent="0.3">
      <c r="L242" s="606" t="s">
        <v>1249</v>
      </c>
      <c r="M242" s="606" t="s">
        <v>461</v>
      </c>
      <c r="N242" s="606" t="s">
        <v>461</v>
      </c>
      <c r="O242" s="606"/>
    </row>
    <row r="243" spans="12:16" x14ac:dyDescent="0.3">
      <c r="L243" s="606" t="s">
        <v>1250</v>
      </c>
      <c r="M243" s="606" t="s">
        <v>461</v>
      </c>
      <c r="N243" s="606" t="s">
        <v>461</v>
      </c>
      <c r="O243" s="606"/>
    </row>
    <row r="244" spans="12:16" x14ac:dyDescent="0.3">
      <c r="L244" s="606" t="s">
        <v>1251</v>
      </c>
      <c r="M244" s="606" t="s">
        <v>461</v>
      </c>
      <c r="N244" s="606" t="s">
        <v>461</v>
      </c>
      <c r="O244" s="606"/>
    </row>
    <row r="245" spans="12:16" x14ac:dyDescent="0.3">
      <c r="L245" s="606" t="s">
        <v>1252</v>
      </c>
      <c r="M245" s="606" t="s">
        <v>461</v>
      </c>
      <c r="N245" s="606" t="s">
        <v>461</v>
      </c>
      <c r="O245" s="606"/>
    </row>
    <row r="246" spans="12:16" x14ac:dyDescent="0.3">
      <c r="L246" s="606" t="s">
        <v>1253</v>
      </c>
      <c r="M246" s="606" t="s">
        <v>461</v>
      </c>
      <c r="N246" s="606" t="s">
        <v>461</v>
      </c>
      <c r="O246" s="606"/>
    </row>
    <row r="247" spans="12:16" x14ac:dyDescent="0.3">
      <c r="L247" s="606" t="s">
        <v>1254</v>
      </c>
      <c r="M247" s="606" t="s">
        <v>461</v>
      </c>
      <c r="N247" s="606" t="s">
        <v>461</v>
      </c>
      <c r="O247" s="606"/>
    </row>
    <row r="248" spans="12:16" x14ac:dyDescent="0.3">
      <c r="L248" s="606" t="s">
        <v>1255</v>
      </c>
      <c r="M248" s="606" t="s">
        <v>461</v>
      </c>
      <c r="N248" s="606" t="s">
        <v>461</v>
      </c>
      <c r="O248" s="606"/>
    </row>
    <row r="249" spans="12:16" x14ac:dyDescent="0.3">
      <c r="L249" s="606" t="s">
        <v>1256</v>
      </c>
      <c r="M249" s="606" t="s">
        <v>461</v>
      </c>
      <c r="N249" s="606" t="s">
        <v>461</v>
      </c>
      <c r="O249" s="606"/>
    </row>
    <row r="250" spans="12:16" x14ac:dyDescent="0.3">
      <c r="L250" s="606" t="s">
        <v>1257</v>
      </c>
      <c r="M250" s="606" t="s">
        <v>461</v>
      </c>
      <c r="N250" s="606" t="s">
        <v>461</v>
      </c>
      <c r="O250" s="606"/>
    </row>
    <row r="251" spans="12:16" x14ac:dyDescent="0.3">
      <c r="L251" s="606" t="s">
        <v>1258</v>
      </c>
      <c r="M251" s="606" t="s">
        <v>461</v>
      </c>
      <c r="N251" s="606" t="s">
        <v>461</v>
      </c>
      <c r="O251" s="606" t="s">
        <v>1547</v>
      </c>
    </row>
    <row r="252" spans="12:16" x14ac:dyDescent="0.3">
      <c r="L252" s="606" t="s">
        <v>435</v>
      </c>
      <c r="M252" s="606" t="s">
        <v>461</v>
      </c>
      <c r="N252" s="606" t="s">
        <v>461</v>
      </c>
      <c r="O252" s="606"/>
    </row>
    <row r="253" spans="12:16" x14ac:dyDescent="0.3">
      <c r="L253" s="608" t="s">
        <v>1259</v>
      </c>
      <c r="M253" s="608">
        <v>0.03</v>
      </c>
      <c r="N253" s="608">
        <v>0.05</v>
      </c>
      <c r="O253" s="606" t="s">
        <v>1456</v>
      </c>
      <c r="P253" s="615" t="s">
        <v>1452</v>
      </c>
    </row>
    <row r="254" spans="12:16" x14ac:dyDescent="0.3">
      <c r="L254" s="606" t="s">
        <v>1260</v>
      </c>
      <c r="M254" s="606" t="s">
        <v>461</v>
      </c>
      <c r="N254" s="606" t="s">
        <v>461</v>
      </c>
      <c r="O254" s="606"/>
    </row>
    <row r="255" spans="12:16" x14ac:dyDescent="0.3">
      <c r="L255" s="606" t="s">
        <v>1261</v>
      </c>
      <c r="M255" s="606" t="s">
        <v>461</v>
      </c>
      <c r="N255" s="606" t="s">
        <v>461</v>
      </c>
      <c r="O255" s="606"/>
    </row>
    <row r="256" spans="12:16" x14ac:dyDescent="0.3">
      <c r="L256" s="606" t="s">
        <v>1262</v>
      </c>
      <c r="M256" s="606" t="s">
        <v>461</v>
      </c>
      <c r="N256" s="606" t="s">
        <v>461</v>
      </c>
      <c r="O256" s="606"/>
    </row>
    <row r="257" spans="12:16" x14ac:dyDescent="0.3">
      <c r="L257" s="606" t="s">
        <v>1263</v>
      </c>
      <c r="M257" s="606" t="s">
        <v>461</v>
      </c>
      <c r="N257" s="606" t="s">
        <v>461</v>
      </c>
      <c r="O257" s="606"/>
    </row>
    <row r="258" spans="12:16" x14ac:dyDescent="0.3">
      <c r="L258" s="608" t="s">
        <v>1264</v>
      </c>
      <c r="M258" s="608">
        <v>0.03</v>
      </c>
      <c r="N258" s="608">
        <v>0.05</v>
      </c>
      <c r="O258" s="606" t="s">
        <v>1456</v>
      </c>
      <c r="P258" s="615" t="s">
        <v>1452</v>
      </c>
    </row>
    <row r="259" spans="12:16" x14ac:dyDescent="0.3">
      <c r="L259" s="606" t="s">
        <v>1265</v>
      </c>
      <c r="M259" s="606" t="s">
        <v>461</v>
      </c>
      <c r="N259" s="606" t="s">
        <v>461</v>
      </c>
      <c r="O259" s="606"/>
    </row>
    <row r="260" spans="12:16" x14ac:dyDescent="0.3">
      <c r="L260" s="606" t="s">
        <v>1266</v>
      </c>
      <c r="M260" s="606" t="s">
        <v>461</v>
      </c>
      <c r="N260" s="606" t="s">
        <v>461</v>
      </c>
      <c r="O260" s="606"/>
    </row>
    <row r="261" spans="12:16" x14ac:dyDescent="0.3">
      <c r="L261" s="606" t="s">
        <v>1267</v>
      </c>
      <c r="M261" s="606" t="s">
        <v>461</v>
      </c>
      <c r="N261" s="606" t="s">
        <v>461</v>
      </c>
      <c r="O261" s="606"/>
    </row>
    <row r="262" spans="12:16" x14ac:dyDescent="0.3">
      <c r="L262" s="606" t="s">
        <v>1268</v>
      </c>
      <c r="M262" s="606" t="s">
        <v>461</v>
      </c>
      <c r="N262" s="606" t="s">
        <v>461</v>
      </c>
      <c r="O262" s="606"/>
    </row>
    <row r="263" spans="12:16" x14ac:dyDescent="0.3">
      <c r="L263" s="609" t="s">
        <v>1269</v>
      </c>
      <c r="M263" s="609" t="s">
        <v>461</v>
      </c>
      <c r="N263" s="609" t="s">
        <v>461</v>
      </c>
      <c r="O263" s="606" t="s">
        <v>1451</v>
      </c>
    </row>
    <row r="264" spans="12:16" x14ac:dyDescent="0.3">
      <c r="L264" s="606" t="s">
        <v>1270</v>
      </c>
      <c r="M264" s="606" t="s">
        <v>461</v>
      </c>
      <c r="N264" s="606" t="s">
        <v>461</v>
      </c>
      <c r="O264" s="606"/>
    </row>
    <row r="265" spans="12:16" x14ac:dyDescent="0.3">
      <c r="L265" s="606" t="s">
        <v>1271</v>
      </c>
      <c r="M265" s="606" t="s">
        <v>461</v>
      </c>
      <c r="N265" s="606" t="s">
        <v>461</v>
      </c>
      <c r="O265" s="606"/>
    </row>
    <row r="266" spans="12:16" x14ac:dyDescent="0.3">
      <c r="L266" s="606" t="s">
        <v>1272</v>
      </c>
      <c r="M266" s="606" t="s">
        <v>461</v>
      </c>
      <c r="N266" s="606" t="s">
        <v>461</v>
      </c>
      <c r="O266" s="606"/>
    </row>
    <row r="267" spans="12:16" x14ac:dyDescent="0.3">
      <c r="L267" s="606" t="s">
        <v>1273</v>
      </c>
      <c r="M267" s="606" t="s">
        <v>461</v>
      </c>
      <c r="N267" s="606" t="s">
        <v>461</v>
      </c>
      <c r="O267" s="606"/>
    </row>
    <row r="268" spans="12:16" x14ac:dyDescent="0.3">
      <c r="L268" s="608" t="s">
        <v>1274</v>
      </c>
      <c r="M268" s="608">
        <v>0.03</v>
      </c>
      <c r="N268" s="608">
        <v>0.05</v>
      </c>
      <c r="O268" s="606" t="s">
        <v>1456</v>
      </c>
      <c r="P268" s="615" t="s">
        <v>1452</v>
      </c>
    </row>
    <row r="269" spans="12:16" x14ac:dyDescent="0.3">
      <c r="L269" s="606" t="s">
        <v>1275</v>
      </c>
      <c r="M269" s="606" t="s">
        <v>461</v>
      </c>
      <c r="N269" s="606" t="s">
        <v>461</v>
      </c>
      <c r="O269" s="606"/>
    </row>
    <row r="270" spans="12:16" x14ac:dyDescent="0.3">
      <c r="L270" s="606" t="s">
        <v>1276</v>
      </c>
      <c r="M270" s="606" t="s">
        <v>461</v>
      </c>
      <c r="N270" s="606" t="s">
        <v>461</v>
      </c>
      <c r="O270" s="606"/>
    </row>
    <row r="271" spans="12:16" x14ac:dyDescent="0.3">
      <c r="L271" s="606" t="s">
        <v>1277</v>
      </c>
      <c r="M271" s="606" t="s">
        <v>461</v>
      </c>
      <c r="N271" s="606" t="s">
        <v>461</v>
      </c>
      <c r="O271" s="606"/>
    </row>
    <row r="272" spans="12:16" x14ac:dyDescent="0.3">
      <c r="L272" s="606" t="s">
        <v>1278</v>
      </c>
      <c r="M272" s="606" t="s">
        <v>461</v>
      </c>
      <c r="N272" s="606" t="s">
        <v>461</v>
      </c>
      <c r="O272" s="606"/>
    </row>
    <row r="273" spans="12:16" x14ac:dyDescent="0.3">
      <c r="L273" s="606" t="s">
        <v>1279</v>
      </c>
      <c r="M273" s="606" t="s">
        <v>461</v>
      </c>
      <c r="N273" s="606" t="s">
        <v>461</v>
      </c>
      <c r="O273" s="606"/>
    </row>
    <row r="274" spans="12:16" x14ac:dyDescent="0.3">
      <c r="L274" s="606" t="s">
        <v>1280</v>
      </c>
      <c r="M274" s="606" t="s">
        <v>461</v>
      </c>
      <c r="N274" s="606" t="s">
        <v>461</v>
      </c>
      <c r="O274" s="606"/>
    </row>
    <row r="275" spans="12:16" x14ac:dyDescent="0.3">
      <c r="L275" s="609" t="s">
        <v>1281</v>
      </c>
      <c r="M275" s="609">
        <v>0.03</v>
      </c>
      <c r="N275" s="609">
        <v>0.03</v>
      </c>
      <c r="O275" s="606" t="s">
        <v>1451</v>
      </c>
    </row>
    <row r="276" spans="12:16" x14ac:dyDescent="0.3">
      <c r="L276" s="606" t="s">
        <v>1282</v>
      </c>
      <c r="M276" s="606" t="s">
        <v>461</v>
      </c>
      <c r="N276" s="606" t="s">
        <v>461</v>
      </c>
      <c r="O276" s="606"/>
    </row>
    <row r="277" spans="12:16" x14ac:dyDescent="0.3">
      <c r="L277" s="606" t="s">
        <v>1283</v>
      </c>
      <c r="M277" s="606" t="s">
        <v>461</v>
      </c>
      <c r="N277" s="606" t="s">
        <v>461</v>
      </c>
      <c r="O277" s="606"/>
    </row>
    <row r="278" spans="12:16" x14ac:dyDescent="0.3">
      <c r="L278" s="606" t="s">
        <v>1284</v>
      </c>
      <c r="M278" s="606" t="s">
        <v>461</v>
      </c>
      <c r="N278" s="606" t="s">
        <v>461</v>
      </c>
      <c r="O278" s="606"/>
    </row>
    <row r="279" spans="12:16" x14ac:dyDescent="0.3">
      <c r="L279" s="609" t="s">
        <v>1285</v>
      </c>
      <c r="M279" s="609" t="s">
        <v>461</v>
      </c>
      <c r="N279" s="609" t="s">
        <v>461</v>
      </c>
      <c r="O279" s="606" t="s">
        <v>1451</v>
      </c>
    </row>
    <row r="280" spans="12:16" x14ac:dyDescent="0.3">
      <c r="L280" s="606" t="s">
        <v>1286</v>
      </c>
      <c r="M280" s="606" t="s">
        <v>461</v>
      </c>
      <c r="N280" s="606" t="s">
        <v>461</v>
      </c>
      <c r="O280" s="606"/>
    </row>
    <row r="281" spans="12:16" x14ac:dyDescent="0.3">
      <c r="L281" s="606" t="s">
        <v>1287</v>
      </c>
      <c r="M281" s="606" t="s">
        <v>461</v>
      </c>
      <c r="N281" s="606" t="s">
        <v>461</v>
      </c>
      <c r="O281" s="606"/>
    </row>
    <row r="282" spans="12:16" x14ac:dyDescent="0.3">
      <c r="L282" s="606" t="s">
        <v>1288</v>
      </c>
      <c r="M282" s="606" t="s">
        <v>461</v>
      </c>
      <c r="N282" s="606" t="s">
        <v>461</v>
      </c>
      <c r="O282" s="606"/>
    </row>
    <row r="283" spans="12:16" x14ac:dyDescent="0.3">
      <c r="L283" s="606" t="s">
        <v>1289</v>
      </c>
      <c r="M283" s="606" t="s">
        <v>461</v>
      </c>
      <c r="N283" s="606" t="s">
        <v>461</v>
      </c>
      <c r="O283" s="606"/>
    </row>
    <row r="284" spans="12:16" x14ac:dyDescent="0.3">
      <c r="L284" s="608" t="s">
        <v>1290</v>
      </c>
      <c r="M284" s="608">
        <v>0.03</v>
      </c>
      <c r="N284" s="608">
        <v>0.05</v>
      </c>
      <c r="O284" s="606" t="s">
        <v>1456</v>
      </c>
      <c r="P284" s="615" t="s">
        <v>1452</v>
      </c>
    </row>
    <row r="285" spans="12:16" x14ac:dyDescent="0.3">
      <c r="L285" s="606" t="s">
        <v>436</v>
      </c>
      <c r="M285" s="606" t="s">
        <v>461</v>
      </c>
      <c r="N285" s="606" t="s">
        <v>461</v>
      </c>
      <c r="O285" s="606"/>
    </row>
    <row r="286" spans="12:16" x14ac:dyDescent="0.3">
      <c r="L286" s="606" t="s">
        <v>1291</v>
      </c>
      <c r="M286" s="606" t="s">
        <v>461</v>
      </c>
      <c r="N286" s="606" t="s">
        <v>461</v>
      </c>
    </row>
    <row r="287" spans="12:16" x14ac:dyDescent="0.3">
      <c r="L287" s="606" t="s">
        <v>437</v>
      </c>
      <c r="M287" s="606" t="s">
        <v>461</v>
      </c>
      <c r="N287" s="606" t="s">
        <v>461</v>
      </c>
      <c r="O287" s="606" t="s">
        <v>1547</v>
      </c>
    </row>
    <row r="288" spans="12:16" x14ac:dyDescent="0.3">
      <c r="L288" s="606" t="s">
        <v>1292</v>
      </c>
      <c r="M288" s="606" t="s">
        <v>461</v>
      </c>
      <c r="N288" s="606" t="s">
        <v>461</v>
      </c>
      <c r="O288" s="606"/>
    </row>
    <row r="289" spans="12:16" x14ac:dyDescent="0.3">
      <c r="L289" s="608" t="s">
        <v>438</v>
      </c>
      <c r="M289" s="608">
        <v>0.03</v>
      </c>
      <c r="N289" s="608">
        <v>0.05</v>
      </c>
      <c r="O289" s="606" t="s">
        <v>1456</v>
      </c>
      <c r="P289" s="615" t="s">
        <v>1452</v>
      </c>
    </row>
    <row r="290" spans="12:16" x14ac:dyDescent="0.3">
      <c r="L290" s="606" t="s">
        <v>439</v>
      </c>
      <c r="M290" s="606" t="s">
        <v>461</v>
      </c>
      <c r="N290" s="606" t="s">
        <v>461</v>
      </c>
      <c r="O290" s="606" t="s">
        <v>1547</v>
      </c>
    </row>
    <row r="291" spans="12:16" x14ac:dyDescent="0.3">
      <c r="L291" s="606" t="s">
        <v>390</v>
      </c>
      <c r="M291" s="606" t="s">
        <v>461</v>
      </c>
      <c r="N291" s="606" t="s">
        <v>461</v>
      </c>
      <c r="O291" s="606"/>
    </row>
    <row r="292" spans="12:16" x14ac:dyDescent="0.3">
      <c r="L292" s="606" t="s">
        <v>1293</v>
      </c>
      <c r="M292" s="606" t="s">
        <v>461</v>
      </c>
      <c r="N292" s="606" t="s">
        <v>461</v>
      </c>
      <c r="O292" s="606"/>
    </row>
    <row r="293" spans="12:16" x14ac:dyDescent="0.3">
      <c r="L293" s="606" t="s">
        <v>1294</v>
      </c>
      <c r="M293" s="606" t="s">
        <v>461</v>
      </c>
      <c r="N293" s="606" t="s">
        <v>461</v>
      </c>
      <c r="O293" s="606"/>
    </row>
    <row r="294" spans="12:16" x14ac:dyDescent="0.3">
      <c r="L294" s="606" t="s">
        <v>440</v>
      </c>
      <c r="M294" s="606" t="s">
        <v>461</v>
      </c>
      <c r="N294" s="606" t="s">
        <v>461</v>
      </c>
      <c r="O294" s="606"/>
    </row>
    <row r="295" spans="12:16" x14ac:dyDescent="0.3">
      <c r="L295" s="609" t="s">
        <v>1295</v>
      </c>
      <c r="M295" s="609">
        <v>0.03</v>
      </c>
      <c r="N295" s="609" t="s">
        <v>461</v>
      </c>
      <c r="O295" s="606" t="s">
        <v>1451</v>
      </c>
    </row>
    <row r="296" spans="12:16" x14ac:dyDescent="0.3">
      <c r="L296" s="606" t="s">
        <v>1296</v>
      </c>
      <c r="M296" s="606" t="s">
        <v>461</v>
      </c>
      <c r="N296" s="606" t="s">
        <v>461</v>
      </c>
      <c r="O296" s="606"/>
    </row>
    <row r="297" spans="12:16" x14ac:dyDescent="0.3">
      <c r="L297" s="606" t="s">
        <v>1297</v>
      </c>
      <c r="M297" s="606" t="s">
        <v>461</v>
      </c>
      <c r="N297" s="606" t="s">
        <v>461</v>
      </c>
      <c r="O297" s="606"/>
    </row>
    <row r="298" spans="12:16" x14ac:dyDescent="0.3">
      <c r="L298" s="606" t="s">
        <v>1298</v>
      </c>
      <c r="M298" s="606" t="s">
        <v>461</v>
      </c>
      <c r="N298" s="606" t="s">
        <v>461</v>
      </c>
      <c r="O298" s="606"/>
    </row>
    <row r="299" spans="12:16" x14ac:dyDescent="0.3">
      <c r="L299" s="606" t="s">
        <v>1299</v>
      </c>
      <c r="M299" s="606" t="s">
        <v>461</v>
      </c>
      <c r="N299" s="606" t="s">
        <v>461</v>
      </c>
      <c r="O299" s="606"/>
    </row>
    <row r="300" spans="12:16" x14ac:dyDescent="0.3">
      <c r="L300" s="606" t="s">
        <v>1300</v>
      </c>
      <c r="M300" s="606" t="s">
        <v>461</v>
      </c>
      <c r="N300" s="606" t="s">
        <v>461</v>
      </c>
      <c r="O300" s="606"/>
    </row>
    <row r="301" spans="12:16" x14ac:dyDescent="0.3">
      <c r="L301" s="606" t="s">
        <v>1301</v>
      </c>
      <c r="M301" s="606" t="s">
        <v>461</v>
      </c>
      <c r="N301" s="606" t="s">
        <v>461</v>
      </c>
      <c r="O301" s="606"/>
    </row>
    <row r="302" spans="12:16" x14ac:dyDescent="0.3">
      <c r="L302" s="606" t="s">
        <v>1302</v>
      </c>
      <c r="M302" s="606" t="s">
        <v>461</v>
      </c>
      <c r="N302" s="606" t="s">
        <v>461</v>
      </c>
      <c r="O302" s="606"/>
    </row>
    <row r="303" spans="12:16" x14ac:dyDescent="0.3">
      <c r="L303" s="606" t="s">
        <v>1303</v>
      </c>
      <c r="M303" s="606" t="s">
        <v>461</v>
      </c>
      <c r="N303" s="606" t="s">
        <v>461</v>
      </c>
      <c r="O303" s="606"/>
    </row>
    <row r="304" spans="12:16" x14ac:dyDescent="0.3">
      <c r="L304" s="606" t="s">
        <v>1304</v>
      </c>
      <c r="M304" s="606" t="s">
        <v>461</v>
      </c>
      <c r="N304" s="606" t="s">
        <v>461</v>
      </c>
      <c r="O304" s="606"/>
    </row>
    <row r="305" spans="12:15" x14ac:dyDescent="0.3">
      <c r="L305" s="606" t="s">
        <v>1305</v>
      </c>
      <c r="M305" s="606" t="s">
        <v>461</v>
      </c>
      <c r="N305" s="606" t="s">
        <v>461</v>
      </c>
      <c r="O305" s="606"/>
    </row>
    <row r="306" spans="12:15" x14ac:dyDescent="0.3">
      <c r="L306" s="606" t="s">
        <v>441</v>
      </c>
      <c r="M306" s="606" t="s">
        <v>461</v>
      </c>
      <c r="N306" s="606" t="s">
        <v>461</v>
      </c>
      <c r="O306" s="606"/>
    </row>
    <row r="307" spans="12:15" x14ac:dyDescent="0.3">
      <c r="L307" s="606" t="s">
        <v>1306</v>
      </c>
      <c r="M307" s="606" t="s">
        <v>461</v>
      </c>
      <c r="N307" s="606" t="s">
        <v>461</v>
      </c>
      <c r="O307" s="606"/>
    </row>
    <row r="308" spans="12:15" x14ac:dyDescent="0.3">
      <c r="L308" s="606" t="s">
        <v>1307</v>
      </c>
      <c r="M308" s="606" t="s">
        <v>461</v>
      </c>
      <c r="N308" s="606" t="s">
        <v>461</v>
      </c>
      <c r="O308" s="606"/>
    </row>
    <row r="309" spans="12:15" x14ac:dyDescent="0.3">
      <c r="L309" s="606" t="s">
        <v>1308</v>
      </c>
      <c r="M309" s="606" t="s">
        <v>461</v>
      </c>
      <c r="N309" s="606" t="s">
        <v>461</v>
      </c>
      <c r="O309" s="606"/>
    </row>
    <row r="310" spans="12:15" x14ac:dyDescent="0.3">
      <c r="L310" s="606" t="s">
        <v>1309</v>
      </c>
      <c r="M310" s="606" t="s">
        <v>461</v>
      </c>
      <c r="N310" s="606" t="s">
        <v>461</v>
      </c>
      <c r="O310" s="606"/>
    </row>
    <row r="311" spans="12:15" x14ac:dyDescent="0.3">
      <c r="L311" s="606" t="s">
        <v>1310</v>
      </c>
      <c r="M311" s="606" t="s">
        <v>461</v>
      </c>
      <c r="N311" s="606" t="s">
        <v>461</v>
      </c>
      <c r="O311" s="606"/>
    </row>
    <row r="312" spans="12:15" x14ac:dyDescent="0.3">
      <c r="L312" s="606" t="s">
        <v>820</v>
      </c>
      <c r="M312" s="606" t="s">
        <v>461</v>
      </c>
      <c r="N312" s="606" t="s">
        <v>461</v>
      </c>
      <c r="O312" s="606"/>
    </row>
    <row r="313" spans="12:15" x14ac:dyDescent="0.3">
      <c r="L313" s="606" t="s">
        <v>821</v>
      </c>
      <c r="M313" s="606" t="s">
        <v>461</v>
      </c>
      <c r="N313" s="606" t="s">
        <v>461</v>
      </c>
      <c r="O313" s="606"/>
    </row>
    <row r="314" spans="12:15" x14ac:dyDescent="0.3">
      <c r="L314" s="606" t="s">
        <v>1311</v>
      </c>
      <c r="M314" s="606" t="s">
        <v>461</v>
      </c>
      <c r="N314" s="606" t="s">
        <v>461</v>
      </c>
      <c r="O314" s="606"/>
    </row>
    <row r="315" spans="12:15" x14ac:dyDescent="0.3">
      <c r="L315" s="606" t="s">
        <v>1312</v>
      </c>
      <c r="M315" s="606" t="s">
        <v>461</v>
      </c>
      <c r="N315" s="606" t="s">
        <v>461</v>
      </c>
      <c r="O315" s="606"/>
    </row>
    <row r="316" spans="12:15" x14ac:dyDescent="0.3">
      <c r="L316" s="606" t="s">
        <v>1313</v>
      </c>
      <c r="M316" s="606" t="s">
        <v>461</v>
      </c>
      <c r="N316" s="606" t="s">
        <v>461</v>
      </c>
      <c r="O316" s="606"/>
    </row>
    <row r="317" spans="12:15" x14ac:dyDescent="0.3">
      <c r="L317" s="606" t="s">
        <v>1314</v>
      </c>
      <c r="M317" s="606" t="s">
        <v>461</v>
      </c>
      <c r="N317" s="606" t="s">
        <v>461</v>
      </c>
      <c r="O317" s="606"/>
    </row>
    <row r="318" spans="12:15" x14ac:dyDescent="0.3">
      <c r="L318" s="606" t="s">
        <v>516</v>
      </c>
      <c r="M318" s="606" t="s">
        <v>461</v>
      </c>
      <c r="N318" s="606" t="s">
        <v>461</v>
      </c>
      <c r="O318" s="606"/>
    </row>
    <row r="319" spans="12:15" x14ac:dyDescent="0.3">
      <c r="L319" s="606" t="s">
        <v>1315</v>
      </c>
      <c r="M319" s="606" t="s">
        <v>461</v>
      </c>
      <c r="N319" s="606" t="s">
        <v>461</v>
      </c>
      <c r="O319" s="606"/>
    </row>
    <row r="320" spans="12:15" x14ac:dyDescent="0.3">
      <c r="L320" s="606" t="s">
        <v>1316</v>
      </c>
      <c r="M320" s="606" t="s">
        <v>461</v>
      </c>
      <c r="N320" s="606" t="s">
        <v>461</v>
      </c>
      <c r="O320" s="606"/>
    </row>
    <row r="321" spans="12:15" x14ac:dyDescent="0.3">
      <c r="L321" s="606" t="s">
        <v>822</v>
      </c>
      <c r="M321" s="606" t="s">
        <v>461</v>
      </c>
      <c r="N321" s="606" t="s">
        <v>461</v>
      </c>
      <c r="O321" s="606"/>
    </row>
    <row r="322" spans="12:15" x14ac:dyDescent="0.3">
      <c r="L322" s="606" t="s">
        <v>1317</v>
      </c>
      <c r="M322" s="606" t="s">
        <v>461</v>
      </c>
      <c r="N322" s="606" t="s">
        <v>461</v>
      </c>
      <c r="O322" s="606"/>
    </row>
    <row r="323" spans="12:15" x14ac:dyDescent="0.3">
      <c r="L323" s="606" t="s">
        <v>1318</v>
      </c>
      <c r="M323" s="606" t="s">
        <v>461</v>
      </c>
      <c r="N323" s="606" t="s">
        <v>461</v>
      </c>
      <c r="O323" s="606"/>
    </row>
    <row r="324" spans="12:15" x14ac:dyDescent="0.3">
      <c r="L324" s="606" t="s">
        <v>1319</v>
      </c>
      <c r="M324" s="606" t="s">
        <v>461</v>
      </c>
      <c r="N324" s="606" t="s">
        <v>461</v>
      </c>
      <c r="O324" s="606"/>
    </row>
    <row r="325" spans="12:15" x14ac:dyDescent="0.3">
      <c r="L325" s="609" t="s">
        <v>1320</v>
      </c>
      <c r="M325" s="609">
        <v>0.01</v>
      </c>
      <c r="N325" s="609" t="s">
        <v>461</v>
      </c>
      <c r="O325" s="606" t="s">
        <v>1451</v>
      </c>
    </row>
    <row r="326" spans="12:15" x14ac:dyDescent="0.3">
      <c r="L326" s="606" t="s">
        <v>517</v>
      </c>
      <c r="M326" s="606" t="s">
        <v>461</v>
      </c>
      <c r="N326" s="606" t="s">
        <v>461</v>
      </c>
      <c r="O326" s="606"/>
    </row>
    <row r="327" spans="12:15" x14ac:dyDescent="0.3">
      <c r="L327" s="606" t="s">
        <v>1321</v>
      </c>
      <c r="M327" s="606" t="s">
        <v>461</v>
      </c>
      <c r="N327" s="606" t="s">
        <v>461</v>
      </c>
      <c r="O327" s="606"/>
    </row>
    <row r="328" spans="12:15" x14ac:dyDescent="0.3">
      <c r="L328" s="606" t="s">
        <v>1322</v>
      </c>
      <c r="M328" s="606" t="s">
        <v>461</v>
      </c>
      <c r="N328" s="606" t="s">
        <v>461</v>
      </c>
      <c r="O328" s="606"/>
    </row>
    <row r="329" spans="12:15" x14ac:dyDescent="0.3">
      <c r="L329" s="606" t="s">
        <v>1323</v>
      </c>
      <c r="M329" s="606" t="s">
        <v>461</v>
      </c>
      <c r="N329" s="606" t="s">
        <v>461</v>
      </c>
      <c r="O329" s="606"/>
    </row>
    <row r="330" spans="12:15" x14ac:dyDescent="0.3">
      <c r="L330" s="609" t="s">
        <v>1324</v>
      </c>
      <c r="M330" s="609">
        <v>0.05</v>
      </c>
      <c r="N330" s="609" t="s">
        <v>461</v>
      </c>
      <c r="O330" s="606" t="s">
        <v>1451</v>
      </c>
    </row>
    <row r="331" spans="12:15" x14ac:dyDescent="0.3">
      <c r="L331" s="606" t="s">
        <v>1325</v>
      </c>
      <c r="M331" s="606" t="s">
        <v>461</v>
      </c>
      <c r="N331" s="606" t="s">
        <v>461</v>
      </c>
      <c r="O331" s="606"/>
    </row>
    <row r="332" spans="12:15" x14ac:dyDescent="0.3">
      <c r="L332" s="606" t="s">
        <v>1326</v>
      </c>
      <c r="M332" s="606" t="s">
        <v>461</v>
      </c>
      <c r="N332" s="606" t="s">
        <v>461</v>
      </c>
      <c r="O332" s="606"/>
    </row>
    <row r="333" spans="12:15" x14ac:dyDescent="0.3">
      <c r="L333" s="606" t="s">
        <v>1327</v>
      </c>
      <c r="M333" s="606" t="s">
        <v>461</v>
      </c>
      <c r="N333" s="606" t="s">
        <v>461</v>
      </c>
      <c r="O333" s="606"/>
    </row>
    <row r="334" spans="12:15" x14ac:dyDescent="0.3">
      <c r="L334" s="606" t="s">
        <v>1328</v>
      </c>
      <c r="M334" s="606" t="s">
        <v>461</v>
      </c>
      <c r="N334" s="606" t="s">
        <v>461</v>
      </c>
      <c r="O334" s="606"/>
    </row>
    <row r="335" spans="12:15" x14ac:dyDescent="0.3">
      <c r="L335" s="606" t="s">
        <v>823</v>
      </c>
      <c r="M335" s="606" t="s">
        <v>461</v>
      </c>
      <c r="N335" s="606" t="s">
        <v>461</v>
      </c>
      <c r="O335" s="606"/>
    </row>
    <row r="336" spans="12:15" x14ac:dyDescent="0.3">
      <c r="L336" s="606" t="s">
        <v>518</v>
      </c>
      <c r="M336" s="606" t="s">
        <v>461</v>
      </c>
      <c r="N336" s="606" t="s">
        <v>461</v>
      </c>
      <c r="O336" s="606"/>
    </row>
    <row r="337" spans="12:16" x14ac:dyDescent="0.3">
      <c r="L337" s="606" t="s">
        <v>1329</v>
      </c>
      <c r="M337" s="606" t="s">
        <v>461</v>
      </c>
      <c r="N337" s="606" t="s">
        <v>461</v>
      </c>
      <c r="O337" s="606"/>
    </row>
    <row r="338" spans="12:16" x14ac:dyDescent="0.3">
      <c r="L338" s="606" t="s">
        <v>1330</v>
      </c>
      <c r="M338" s="606" t="s">
        <v>461</v>
      </c>
      <c r="N338" s="606" t="s">
        <v>461</v>
      </c>
      <c r="O338" s="606"/>
    </row>
    <row r="339" spans="12:16" x14ac:dyDescent="0.3">
      <c r="L339" s="606" t="s">
        <v>1331</v>
      </c>
      <c r="M339" s="606" t="s">
        <v>461</v>
      </c>
      <c r="N339" s="606" t="s">
        <v>461</v>
      </c>
      <c r="O339" s="606"/>
    </row>
    <row r="340" spans="12:16" x14ac:dyDescent="0.3">
      <c r="L340" s="606" t="s">
        <v>1332</v>
      </c>
      <c r="M340" s="606" t="s">
        <v>461</v>
      </c>
      <c r="N340" s="606" t="s">
        <v>461</v>
      </c>
      <c r="O340" s="606"/>
    </row>
    <row r="341" spans="12:16" x14ac:dyDescent="0.3">
      <c r="L341" s="606" t="s">
        <v>1333</v>
      </c>
      <c r="M341" s="606" t="s">
        <v>461</v>
      </c>
      <c r="N341" s="606" t="s">
        <v>461</v>
      </c>
      <c r="O341" s="606"/>
    </row>
    <row r="342" spans="12:16" x14ac:dyDescent="0.3">
      <c r="L342" s="606" t="s">
        <v>519</v>
      </c>
      <c r="M342" s="606" t="s">
        <v>461</v>
      </c>
      <c r="N342" s="606" t="s">
        <v>461</v>
      </c>
      <c r="O342" s="606"/>
    </row>
    <row r="343" spans="12:16" x14ac:dyDescent="0.3">
      <c r="L343" s="608" t="s">
        <v>1334</v>
      </c>
      <c r="M343" s="608">
        <v>0.03</v>
      </c>
      <c r="N343" s="608">
        <v>0.05</v>
      </c>
      <c r="O343" s="606" t="s">
        <v>1456</v>
      </c>
      <c r="P343" s="615" t="s">
        <v>1452</v>
      </c>
    </row>
    <row r="344" spans="12:16" x14ac:dyDescent="0.3">
      <c r="L344" s="606" t="s">
        <v>1335</v>
      </c>
      <c r="M344" s="606" t="s">
        <v>461</v>
      </c>
      <c r="N344" s="606" t="s">
        <v>461</v>
      </c>
      <c r="O344" s="606"/>
    </row>
    <row r="345" spans="12:16" x14ac:dyDescent="0.3">
      <c r="L345" s="606" t="s">
        <v>1336</v>
      </c>
      <c r="M345" s="606" t="s">
        <v>461</v>
      </c>
      <c r="N345" s="606" t="s">
        <v>461</v>
      </c>
      <c r="O345" s="606"/>
    </row>
    <row r="346" spans="12:16" x14ac:dyDescent="0.3">
      <c r="L346" s="606" t="s">
        <v>520</v>
      </c>
      <c r="M346" s="606" t="s">
        <v>461</v>
      </c>
      <c r="N346" s="606" t="s">
        <v>461</v>
      </c>
      <c r="O346" s="606"/>
    </row>
    <row r="347" spans="12:16" x14ac:dyDescent="0.3">
      <c r="L347" s="609" t="s">
        <v>1337</v>
      </c>
      <c r="M347" s="609">
        <v>0.03</v>
      </c>
      <c r="N347" s="609">
        <v>0.05</v>
      </c>
      <c r="O347" s="606" t="s">
        <v>1451</v>
      </c>
    </row>
    <row r="348" spans="12:16" x14ac:dyDescent="0.3">
      <c r="L348" s="606" t="s">
        <v>521</v>
      </c>
      <c r="M348" s="606" t="s">
        <v>461</v>
      </c>
      <c r="N348" s="606" t="s">
        <v>461</v>
      </c>
      <c r="O348" s="606"/>
    </row>
    <row r="349" spans="12:16" x14ac:dyDescent="0.3">
      <c r="L349" s="606" t="s">
        <v>522</v>
      </c>
      <c r="M349" s="606" t="s">
        <v>461</v>
      </c>
      <c r="N349" s="606" t="s">
        <v>461</v>
      </c>
      <c r="O349" s="606"/>
    </row>
    <row r="350" spans="12:16" x14ac:dyDescent="0.3">
      <c r="L350" s="606" t="s">
        <v>523</v>
      </c>
      <c r="M350" s="606" t="s">
        <v>461</v>
      </c>
      <c r="N350" s="606" t="s">
        <v>461</v>
      </c>
      <c r="O350" s="606"/>
    </row>
    <row r="351" spans="12:16" x14ac:dyDescent="0.3">
      <c r="L351" s="606" t="s">
        <v>1338</v>
      </c>
      <c r="M351" s="606" t="s">
        <v>461</v>
      </c>
      <c r="N351" s="606" t="s">
        <v>461</v>
      </c>
      <c r="O351" s="606"/>
    </row>
    <row r="352" spans="12:16" x14ac:dyDescent="0.3">
      <c r="L352" s="606" t="s">
        <v>1339</v>
      </c>
      <c r="M352" s="606" t="s">
        <v>461</v>
      </c>
      <c r="N352" s="606" t="s">
        <v>461</v>
      </c>
      <c r="O352" s="606"/>
    </row>
    <row r="353" spans="12:15" x14ac:dyDescent="0.3">
      <c r="L353" s="606" t="s">
        <v>1340</v>
      </c>
      <c r="M353" s="606" t="s">
        <v>461</v>
      </c>
      <c r="N353" s="606" t="s">
        <v>461</v>
      </c>
      <c r="O353" s="606"/>
    </row>
    <row r="354" spans="12:15" x14ac:dyDescent="0.3">
      <c r="L354" s="606" t="s">
        <v>525</v>
      </c>
      <c r="M354" s="606" t="s">
        <v>461</v>
      </c>
      <c r="N354" s="606" t="s">
        <v>461</v>
      </c>
      <c r="O354" s="606"/>
    </row>
    <row r="355" spans="12:15" x14ac:dyDescent="0.3">
      <c r="L355" s="606" t="s">
        <v>526</v>
      </c>
      <c r="M355" s="606" t="s">
        <v>461</v>
      </c>
      <c r="N355" s="606" t="s">
        <v>461</v>
      </c>
      <c r="O355" s="606" t="s">
        <v>1547</v>
      </c>
    </row>
    <row r="356" spans="12:15" x14ac:dyDescent="0.3">
      <c r="L356" s="606" t="s">
        <v>1341</v>
      </c>
      <c r="M356" s="606" t="s">
        <v>461</v>
      </c>
      <c r="N356" s="606" t="s">
        <v>461</v>
      </c>
      <c r="O356" s="606"/>
    </row>
    <row r="357" spans="12:15" x14ac:dyDescent="0.3">
      <c r="L357" s="606" t="s">
        <v>1342</v>
      </c>
      <c r="M357" s="606" t="s">
        <v>461</v>
      </c>
      <c r="N357" s="606" t="s">
        <v>461</v>
      </c>
      <c r="O357" s="606"/>
    </row>
    <row r="358" spans="12:15" x14ac:dyDescent="0.3">
      <c r="L358" s="606" t="s">
        <v>1343</v>
      </c>
      <c r="M358" s="606" t="s">
        <v>461</v>
      </c>
      <c r="N358" s="606" t="s">
        <v>461</v>
      </c>
      <c r="O358" s="606"/>
    </row>
    <row r="359" spans="12:15" x14ac:dyDescent="0.3">
      <c r="L359" s="606" t="s">
        <v>1344</v>
      </c>
      <c r="M359" s="606" t="s">
        <v>461</v>
      </c>
      <c r="N359" s="606" t="s">
        <v>461</v>
      </c>
      <c r="O359" s="606"/>
    </row>
    <row r="360" spans="12:15" x14ac:dyDescent="0.3">
      <c r="L360" s="606" t="s">
        <v>1345</v>
      </c>
      <c r="M360" s="606" t="s">
        <v>461</v>
      </c>
      <c r="N360" s="606" t="s">
        <v>461</v>
      </c>
      <c r="O360" s="606"/>
    </row>
    <row r="361" spans="12:15" x14ac:dyDescent="0.3">
      <c r="L361" s="606" t="s">
        <v>1346</v>
      </c>
      <c r="M361" s="606" t="s">
        <v>461</v>
      </c>
      <c r="N361" s="606" t="s">
        <v>461</v>
      </c>
      <c r="O361" s="606"/>
    </row>
    <row r="362" spans="12:15" x14ac:dyDescent="0.3">
      <c r="L362" s="606" t="s">
        <v>1347</v>
      </c>
      <c r="M362" s="606" t="s">
        <v>461</v>
      </c>
      <c r="N362" s="606" t="s">
        <v>461</v>
      </c>
      <c r="O362" s="606"/>
    </row>
    <row r="363" spans="12:15" x14ac:dyDescent="0.3">
      <c r="L363" s="606" t="s">
        <v>1348</v>
      </c>
      <c r="M363" s="606" t="s">
        <v>461</v>
      </c>
      <c r="N363" s="606" t="s">
        <v>461</v>
      </c>
      <c r="O363" s="606"/>
    </row>
    <row r="364" spans="12:15" x14ac:dyDescent="0.3">
      <c r="L364" s="606" t="s">
        <v>1349</v>
      </c>
      <c r="M364" s="606" t="s">
        <v>461</v>
      </c>
      <c r="N364" s="606" t="s">
        <v>461</v>
      </c>
      <c r="O364" s="606"/>
    </row>
    <row r="365" spans="12:15" x14ac:dyDescent="0.3">
      <c r="L365" s="606" t="s">
        <v>1350</v>
      </c>
      <c r="M365" s="606" t="s">
        <v>461</v>
      </c>
      <c r="N365" s="606" t="s">
        <v>461</v>
      </c>
      <c r="O365" s="606"/>
    </row>
    <row r="366" spans="12:15" x14ac:dyDescent="0.3">
      <c r="L366" s="606" t="s">
        <v>1351</v>
      </c>
      <c r="M366" s="606" t="s">
        <v>461</v>
      </c>
      <c r="N366" s="606" t="s">
        <v>461</v>
      </c>
      <c r="O366" s="606"/>
    </row>
    <row r="367" spans="12:15" x14ac:dyDescent="0.3">
      <c r="L367" s="606" t="s">
        <v>1352</v>
      </c>
      <c r="M367" s="606" t="s">
        <v>461</v>
      </c>
      <c r="N367" s="606" t="s">
        <v>461</v>
      </c>
      <c r="O367" s="606"/>
    </row>
    <row r="368" spans="12:15" x14ac:dyDescent="0.3">
      <c r="L368" s="606" t="s">
        <v>1353</v>
      </c>
      <c r="M368" s="606" t="s">
        <v>461</v>
      </c>
      <c r="N368" s="606" t="s">
        <v>461</v>
      </c>
      <c r="O368" s="606"/>
    </row>
    <row r="369" spans="12:16" x14ac:dyDescent="0.3">
      <c r="L369" s="606" t="s">
        <v>1354</v>
      </c>
      <c r="M369" s="606" t="s">
        <v>461</v>
      </c>
      <c r="N369" s="606" t="s">
        <v>461</v>
      </c>
      <c r="O369" s="606"/>
    </row>
    <row r="370" spans="12:16" x14ac:dyDescent="0.3">
      <c r="L370" s="606" t="s">
        <v>1355</v>
      </c>
      <c r="M370" s="606" t="s">
        <v>461</v>
      </c>
      <c r="N370" s="606" t="s">
        <v>461</v>
      </c>
      <c r="O370" s="606"/>
    </row>
    <row r="371" spans="12:16" x14ac:dyDescent="0.3">
      <c r="L371" s="606" t="s">
        <v>1356</v>
      </c>
      <c r="M371" s="606" t="s">
        <v>461</v>
      </c>
      <c r="N371" s="606" t="s">
        <v>461</v>
      </c>
      <c r="O371" s="606"/>
    </row>
    <row r="372" spans="12:16" x14ac:dyDescent="0.3">
      <c r="L372" s="608" t="s">
        <v>528</v>
      </c>
      <c r="M372" s="608">
        <v>0.03</v>
      </c>
      <c r="N372" s="608">
        <v>0.05</v>
      </c>
      <c r="O372" s="606" t="s">
        <v>1456</v>
      </c>
      <c r="P372" s="615" t="s">
        <v>1452</v>
      </c>
    </row>
    <row r="373" spans="12:16" x14ac:dyDescent="0.3">
      <c r="L373" s="606" t="s">
        <v>529</v>
      </c>
      <c r="M373" s="606" t="s">
        <v>461</v>
      </c>
      <c r="N373" s="606" t="s">
        <v>461</v>
      </c>
      <c r="O373" s="606"/>
    </row>
    <row r="374" spans="12:16" x14ac:dyDescent="0.3">
      <c r="L374" s="606" t="s">
        <v>1357</v>
      </c>
      <c r="M374" s="606" t="s">
        <v>461</v>
      </c>
      <c r="N374" s="606" t="s">
        <v>461</v>
      </c>
      <c r="O374" s="606"/>
    </row>
    <row r="375" spans="12:16" x14ac:dyDescent="0.3">
      <c r="L375" s="606" t="s">
        <v>1358</v>
      </c>
      <c r="M375" s="606" t="s">
        <v>461</v>
      </c>
      <c r="N375" s="606" t="s">
        <v>461</v>
      </c>
      <c r="O375" s="606"/>
    </row>
    <row r="376" spans="12:16" x14ac:dyDescent="0.3">
      <c r="L376" s="606" t="s">
        <v>1359</v>
      </c>
      <c r="M376" s="606" t="s">
        <v>461</v>
      </c>
      <c r="N376" s="606" t="s">
        <v>461</v>
      </c>
      <c r="O376" s="606"/>
    </row>
    <row r="377" spans="12:16" x14ac:dyDescent="0.3">
      <c r="L377" s="606" t="s">
        <v>1360</v>
      </c>
      <c r="M377" s="606" t="s">
        <v>461</v>
      </c>
      <c r="N377" s="606" t="s">
        <v>461</v>
      </c>
      <c r="O377" s="606"/>
    </row>
    <row r="378" spans="12:16" x14ac:dyDescent="0.3">
      <c r="L378" s="606" t="s">
        <v>1361</v>
      </c>
      <c r="M378" s="606" t="s">
        <v>461</v>
      </c>
      <c r="N378" s="606" t="s">
        <v>461</v>
      </c>
      <c r="O378" s="606" t="s">
        <v>1547</v>
      </c>
    </row>
    <row r="379" spans="12:16" x14ac:dyDescent="0.3">
      <c r="L379" s="609" t="s">
        <v>1362</v>
      </c>
      <c r="M379" s="609" t="s">
        <v>461</v>
      </c>
      <c r="N379" s="609" t="s">
        <v>461</v>
      </c>
      <c r="O379" s="606" t="s">
        <v>1451</v>
      </c>
    </row>
    <row r="380" spans="12:16" x14ac:dyDescent="0.3">
      <c r="L380" s="606" t="s">
        <v>1363</v>
      </c>
      <c r="M380" s="606" t="s">
        <v>461</v>
      </c>
      <c r="N380" s="606" t="s">
        <v>461</v>
      </c>
      <c r="O380" s="606"/>
    </row>
    <row r="381" spans="12:16" x14ac:dyDescent="0.3">
      <c r="L381" s="606" t="s">
        <v>1364</v>
      </c>
      <c r="M381" s="606" t="s">
        <v>461</v>
      </c>
      <c r="N381" s="606" t="s">
        <v>461</v>
      </c>
      <c r="O381" s="606"/>
    </row>
    <row r="382" spans="12:16" x14ac:dyDescent="0.3">
      <c r="L382" s="606" t="s">
        <v>1365</v>
      </c>
      <c r="M382" s="606" t="s">
        <v>461</v>
      </c>
      <c r="N382" s="606" t="s">
        <v>461</v>
      </c>
      <c r="O382" s="606"/>
    </row>
    <row r="383" spans="12:16" x14ac:dyDescent="0.3">
      <c r="L383" s="606" t="s">
        <v>824</v>
      </c>
      <c r="M383" s="606" t="s">
        <v>461</v>
      </c>
      <c r="N383" s="606" t="s">
        <v>461</v>
      </c>
      <c r="O383" s="606"/>
    </row>
    <row r="384" spans="12:16" x14ac:dyDescent="0.3">
      <c r="L384" s="606" t="s">
        <v>1366</v>
      </c>
      <c r="M384" s="606" t="s">
        <v>461</v>
      </c>
      <c r="N384" s="606" t="s">
        <v>461</v>
      </c>
      <c r="O384" s="606"/>
    </row>
    <row r="385" spans="12:16" x14ac:dyDescent="0.3">
      <c r="L385" s="606" t="s">
        <v>530</v>
      </c>
      <c r="M385" s="606" t="s">
        <v>461</v>
      </c>
      <c r="N385" s="606" t="s">
        <v>461</v>
      </c>
      <c r="O385" s="606"/>
    </row>
    <row r="386" spans="12:16" x14ac:dyDescent="0.3">
      <c r="L386" s="606" t="s">
        <v>531</v>
      </c>
      <c r="M386" s="606" t="s">
        <v>461</v>
      </c>
      <c r="N386" s="606" t="s">
        <v>461</v>
      </c>
      <c r="O386" s="606"/>
    </row>
    <row r="387" spans="12:16" x14ac:dyDescent="0.3">
      <c r="L387" s="606" t="s">
        <v>1367</v>
      </c>
      <c r="M387" s="606" t="s">
        <v>461</v>
      </c>
      <c r="N387" s="606" t="s">
        <v>461</v>
      </c>
      <c r="O387" s="606"/>
    </row>
    <row r="388" spans="12:16" x14ac:dyDescent="0.3">
      <c r="L388" s="606" t="s">
        <v>1368</v>
      </c>
      <c r="M388" s="606" t="s">
        <v>461</v>
      </c>
      <c r="N388" s="606" t="s">
        <v>461</v>
      </c>
      <c r="O388" s="606"/>
    </row>
    <row r="389" spans="12:16" x14ac:dyDescent="0.3">
      <c r="L389" s="606" t="s">
        <v>532</v>
      </c>
      <c r="M389" s="606" t="s">
        <v>461</v>
      </c>
      <c r="N389" s="606" t="s">
        <v>461</v>
      </c>
      <c r="O389" s="606"/>
    </row>
    <row r="390" spans="12:16" x14ac:dyDescent="0.3">
      <c r="L390" s="606" t="s">
        <v>533</v>
      </c>
      <c r="M390" s="606" t="s">
        <v>461</v>
      </c>
      <c r="N390" s="606" t="s">
        <v>461</v>
      </c>
      <c r="O390" s="606"/>
    </row>
    <row r="391" spans="12:16" x14ac:dyDescent="0.3">
      <c r="L391" s="606" t="s">
        <v>1369</v>
      </c>
      <c r="M391" s="606" t="s">
        <v>461</v>
      </c>
      <c r="N391" s="606" t="s">
        <v>461</v>
      </c>
      <c r="O391" s="606"/>
    </row>
    <row r="392" spans="12:16" x14ac:dyDescent="0.3">
      <c r="L392" s="606" t="s">
        <v>1370</v>
      </c>
      <c r="M392" s="606" t="s">
        <v>461</v>
      </c>
      <c r="N392" s="606" t="s">
        <v>461</v>
      </c>
      <c r="O392" s="606"/>
    </row>
    <row r="393" spans="12:16" x14ac:dyDescent="0.3">
      <c r="L393" s="606" t="s">
        <v>534</v>
      </c>
      <c r="M393" s="606" t="s">
        <v>461</v>
      </c>
      <c r="N393" s="606" t="s">
        <v>461</v>
      </c>
      <c r="O393" s="606"/>
    </row>
    <row r="394" spans="12:16" x14ac:dyDescent="0.3">
      <c r="L394" s="606" t="s">
        <v>1371</v>
      </c>
      <c r="M394" s="606" t="s">
        <v>461</v>
      </c>
      <c r="N394" s="606" t="s">
        <v>461</v>
      </c>
      <c r="O394" s="606"/>
    </row>
    <row r="395" spans="12:16" x14ac:dyDescent="0.3">
      <c r="L395" s="606" t="s">
        <v>535</v>
      </c>
      <c r="M395" s="606" t="s">
        <v>461</v>
      </c>
      <c r="N395" s="606" t="s">
        <v>461</v>
      </c>
      <c r="O395" s="606"/>
    </row>
    <row r="396" spans="12:16" x14ac:dyDescent="0.3">
      <c r="L396" s="606" t="s">
        <v>1372</v>
      </c>
      <c r="M396" s="606" t="s">
        <v>461</v>
      </c>
      <c r="N396" s="606" t="s">
        <v>461</v>
      </c>
      <c r="O396" s="606"/>
    </row>
    <row r="397" spans="12:16" x14ac:dyDescent="0.3">
      <c r="L397" s="606" t="s">
        <v>1373</v>
      </c>
      <c r="M397" s="606" t="s">
        <v>461</v>
      </c>
      <c r="N397" s="606" t="s">
        <v>461</v>
      </c>
      <c r="O397" s="606"/>
    </row>
    <row r="398" spans="12:16" x14ac:dyDescent="0.3">
      <c r="L398" s="606" t="s">
        <v>1374</v>
      </c>
      <c r="M398" s="606" t="s">
        <v>461</v>
      </c>
      <c r="N398" s="606" t="s">
        <v>461</v>
      </c>
      <c r="O398" s="606"/>
    </row>
    <row r="399" spans="12:16" x14ac:dyDescent="0.3">
      <c r="L399" s="608" t="s">
        <v>536</v>
      </c>
      <c r="M399" s="608">
        <v>0.03</v>
      </c>
      <c r="N399" s="608">
        <v>0.05</v>
      </c>
      <c r="O399" s="606" t="s">
        <v>1456</v>
      </c>
      <c r="P399" s="615" t="s">
        <v>1452</v>
      </c>
    </row>
    <row r="400" spans="12:16" x14ac:dyDescent="0.3">
      <c r="L400" s="606" t="s">
        <v>1375</v>
      </c>
      <c r="M400" s="606" t="s">
        <v>461</v>
      </c>
      <c r="N400" s="606" t="s">
        <v>461</v>
      </c>
      <c r="O400" s="606"/>
    </row>
    <row r="401" spans="12:16" x14ac:dyDescent="0.3">
      <c r="L401" s="606" t="s">
        <v>1376</v>
      </c>
      <c r="M401" s="606" t="s">
        <v>461</v>
      </c>
      <c r="N401" s="606" t="s">
        <v>461</v>
      </c>
      <c r="O401" s="606"/>
    </row>
    <row r="402" spans="12:16" x14ac:dyDescent="0.3">
      <c r="L402" s="606" t="s">
        <v>1377</v>
      </c>
      <c r="M402" s="606" t="s">
        <v>461</v>
      </c>
      <c r="N402" s="606" t="s">
        <v>461</v>
      </c>
      <c r="O402" s="606"/>
    </row>
    <row r="403" spans="12:16" x14ac:dyDescent="0.3">
      <c r="L403" s="606" t="s">
        <v>537</v>
      </c>
      <c r="M403" s="606" t="s">
        <v>461</v>
      </c>
      <c r="N403" s="606" t="s">
        <v>461</v>
      </c>
      <c r="O403" s="606"/>
    </row>
    <row r="404" spans="12:16" x14ac:dyDescent="0.3">
      <c r="L404" s="606" t="s">
        <v>825</v>
      </c>
      <c r="M404" s="606" t="s">
        <v>461</v>
      </c>
      <c r="N404" s="606" t="s">
        <v>461</v>
      </c>
      <c r="O404" s="606"/>
    </row>
    <row r="405" spans="12:16" x14ac:dyDescent="0.3">
      <c r="L405" s="606" t="s">
        <v>1378</v>
      </c>
      <c r="M405" s="606" t="s">
        <v>461</v>
      </c>
      <c r="N405" s="606" t="s">
        <v>461</v>
      </c>
      <c r="O405" s="606"/>
    </row>
    <row r="406" spans="12:16" x14ac:dyDescent="0.3">
      <c r="L406" s="606" t="s">
        <v>1379</v>
      </c>
      <c r="M406" s="606" t="s">
        <v>461</v>
      </c>
      <c r="N406" s="606" t="s">
        <v>461</v>
      </c>
      <c r="O406" s="606"/>
    </row>
    <row r="407" spans="12:16" x14ac:dyDescent="0.3">
      <c r="L407" s="606" t="s">
        <v>1380</v>
      </c>
      <c r="M407" s="606" t="s">
        <v>461</v>
      </c>
      <c r="N407" s="606" t="s">
        <v>461</v>
      </c>
      <c r="O407" s="606"/>
    </row>
    <row r="408" spans="12:16" x14ac:dyDescent="0.3">
      <c r="L408" s="606" t="s">
        <v>538</v>
      </c>
      <c r="M408" s="606" t="s">
        <v>461</v>
      </c>
      <c r="N408" s="606" t="s">
        <v>461</v>
      </c>
      <c r="O408" s="606"/>
    </row>
    <row r="409" spans="12:16" x14ac:dyDescent="0.3">
      <c r="L409" s="606" t="s">
        <v>1381</v>
      </c>
      <c r="M409" s="606" t="s">
        <v>461</v>
      </c>
      <c r="N409" s="606" t="s">
        <v>461</v>
      </c>
      <c r="O409" s="606"/>
    </row>
    <row r="410" spans="12:16" x14ac:dyDescent="0.3">
      <c r="L410" s="608" t="s">
        <v>539</v>
      </c>
      <c r="M410" s="608">
        <v>0.03</v>
      </c>
      <c r="N410" s="608">
        <v>0.05</v>
      </c>
      <c r="O410" s="606" t="s">
        <v>1456</v>
      </c>
      <c r="P410" s="615" t="s">
        <v>1452</v>
      </c>
    </row>
    <row r="411" spans="12:16" x14ac:dyDescent="0.3">
      <c r="L411" s="606" t="s">
        <v>391</v>
      </c>
      <c r="M411" s="606" t="s">
        <v>461</v>
      </c>
      <c r="N411" s="606" t="s">
        <v>461</v>
      </c>
      <c r="O411" s="606"/>
    </row>
    <row r="412" spans="12:16" x14ac:dyDescent="0.3">
      <c r="L412" s="606" t="s">
        <v>1382</v>
      </c>
      <c r="M412" s="606" t="s">
        <v>461</v>
      </c>
      <c r="N412" s="606" t="s">
        <v>461</v>
      </c>
      <c r="O412" s="606"/>
    </row>
    <row r="413" spans="12:16" x14ac:dyDescent="0.3">
      <c r="L413" s="608" t="s">
        <v>1383</v>
      </c>
      <c r="M413" s="608">
        <v>0.03</v>
      </c>
      <c r="N413" s="608">
        <v>0.05</v>
      </c>
      <c r="O413" s="606" t="s">
        <v>1456</v>
      </c>
      <c r="P413" s="615" t="s">
        <v>1452</v>
      </c>
    </row>
    <row r="414" spans="12:16" x14ac:dyDescent="0.3">
      <c r="L414" s="606" t="s">
        <v>1384</v>
      </c>
      <c r="M414" s="606" t="s">
        <v>461</v>
      </c>
      <c r="N414" s="606" t="s">
        <v>461</v>
      </c>
      <c r="O414" s="606"/>
    </row>
    <row r="415" spans="12:16" x14ac:dyDescent="0.3">
      <c r="L415" s="606" t="s">
        <v>540</v>
      </c>
      <c r="M415" s="606" t="s">
        <v>461</v>
      </c>
      <c r="N415" s="606" t="s">
        <v>461</v>
      </c>
      <c r="O415" s="606"/>
    </row>
    <row r="416" spans="12:16" x14ac:dyDescent="0.3">
      <c r="L416" s="606" t="s">
        <v>1385</v>
      </c>
      <c r="M416" s="606" t="s">
        <v>461</v>
      </c>
      <c r="N416" s="606" t="s">
        <v>461</v>
      </c>
      <c r="O416" s="606"/>
    </row>
    <row r="417" spans="12:15" x14ac:dyDescent="0.3">
      <c r="L417" s="606" t="s">
        <v>1386</v>
      </c>
      <c r="M417" s="606" t="s">
        <v>461</v>
      </c>
      <c r="N417" s="606" t="s">
        <v>461</v>
      </c>
      <c r="O417" s="606"/>
    </row>
    <row r="418" spans="12:15" x14ac:dyDescent="0.3">
      <c r="L418" s="606" t="s">
        <v>826</v>
      </c>
      <c r="M418" s="606" t="s">
        <v>461</v>
      </c>
      <c r="N418" s="606" t="s">
        <v>461</v>
      </c>
      <c r="O418" s="606"/>
    </row>
    <row r="419" spans="12:15" x14ac:dyDescent="0.3">
      <c r="L419" s="606" t="s">
        <v>827</v>
      </c>
      <c r="M419" s="606" t="s">
        <v>461</v>
      </c>
      <c r="N419" s="606" t="s">
        <v>461</v>
      </c>
      <c r="O419" s="606"/>
    </row>
    <row r="420" spans="12:15" x14ac:dyDescent="0.3">
      <c r="L420" s="606" t="s">
        <v>828</v>
      </c>
      <c r="M420" s="606" t="s">
        <v>461</v>
      </c>
      <c r="N420" s="606" t="s">
        <v>461</v>
      </c>
      <c r="O420" s="606"/>
    </row>
    <row r="421" spans="12:15" x14ac:dyDescent="0.3">
      <c r="L421" s="606" t="s">
        <v>829</v>
      </c>
      <c r="M421" s="606" t="s">
        <v>461</v>
      </c>
      <c r="N421" s="606" t="s">
        <v>461</v>
      </c>
      <c r="O421" s="606"/>
    </row>
    <row r="422" spans="12:15" x14ac:dyDescent="0.3">
      <c r="L422" s="606" t="s">
        <v>1387</v>
      </c>
      <c r="M422" s="606" t="s">
        <v>461</v>
      </c>
      <c r="N422" s="606" t="s">
        <v>461</v>
      </c>
      <c r="O422" s="606"/>
    </row>
    <row r="423" spans="12:15" x14ac:dyDescent="0.3">
      <c r="L423" s="606" t="s">
        <v>1388</v>
      </c>
      <c r="M423" s="606" t="s">
        <v>461</v>
      </c>
      <c r="N423" s="606" t="s">
        <v>461</v>
      </c>
      <c r="O423" s="606"/>
    </row>
    <row r="424" spans="12:15" x14ac:dyDescent="0.3">
      <c r="L424" s="606" t="s">
        <v>830</v>
      </c>
      <c r="M424" s="606" t="s">
        <v>461</v>
      </c>
      <c r="N424" s="606" t="s">
        <v>461</v>
      </c>
      <c r="O424" s="606"/>
    </row>
    <row r="425" spans="12:15" x14ac:dyDescent="0.3">
      <c r="L425" s="606" t="s">
        <v>1389</v>
      </c>
      <c r="M425" s="606" t="s">
        <v>461</v>
      </c>
      <c r="N425" s="606" t="s">
        <v>461</v>
      </c>
      <c r="O425" s="606"/>
    </row>
    <row r="426" spans="12:15" x14ac:dyDescent="0.3">
      <c r="L426" s="606" t="s">
        <v>1390</v>
      </c>
      <c r="M426" s="606" t="s">
        <v>461</v>
      </c>
      <c r="N426" s="606" t="s">
        <v>461</v>
      </c>
      <c r="O426" s="606"/>
    </row>
    <row r="427" spans="12:15" x14ac:dyDescent="0.3">
      <c r="L427" s="606" t="s">
        <v>1391</v>
      </c>
      <c r="M427" s="606" t="s">
        <v>461</v>
      </c>
      <c r="N427" s="606" t="s">
        <v>461</v>
      </c>
      <c r="O427" s="606"/>
    </row>
    <row r="428" spans="12:15" x14ac:dyDescent="0.3">
      <c r="L428" s="606" t="s">
        <v>1392</v>
      </c>
      <c r="M428" s="606" t="s">
        <v>461</v>
      </c>
      <c r="N428" s="606" t="s">
        <v>461</v>
      </c>
      <c r="O428" s="606"/>
    </row>
    <row r="429" spans="12:15" x14ac:dyDescent="0.3">
      <c r="L429" s="606" t="s">
        <v>1393</v>
      </c>
      <c r="M429" s="606" t="s">
        <v>461</v>
      </c>
      <c r="N429" s="606" t="s">
        <v>461</v>
      </c>
      <c r="O429" s="606"/>
    </row>
    <row r="430" spans="12:15" x14ac:dyDescent="0.3">
      <c r="L430" s="606" t="s">
        <v>1394</v>
      </c>
      <c r="M430" s="606" t="s">
        <v>461</v>
      </c>
      <c r="N430" s="606" t="s">
        <v>461</v>
      </c>
      <c r="O430" s="606"/>
    </row>
    <row r="431" spans="12:15" x14ac:dyDescent="0.3">
      <c r="L431" s="606" t="s">
        <v>1395</v>
      </c>
      <c r="M431" s="606" t="s">
        <v>461</v>
      </c>
      <c r="N431" s="606" t="s">
        <v>461</v>
      </c>
      <c r="O431" s="606"/>
    </row>
    <row r="432" spans="12:15" x14ac:dyDescent="0.3">
      <c r="L432" s="606" t="s">
        <v>1396</v>
      </c>
      <c r="M432" s="606" t="s">
        <v>461</v>
      </c>
      <c r="N432" s="606" t="s">
        <v>461</v>
      </c>
      <c r="O432" s="606"/>
    </row>
    <row r="433" spans="12:16" x14ac:dyDescent="0.3">
      <c r="L433" s="606" t="s">
        <v>1397</v>
      </c>
      <c r="M433" s="606" t="s">
        <v>461</v>
      </c>
      <c r="N433" s="606" t="s">
        <v>461</v>
      </c>
      <c r="O433" s="606"/>
    </row>
    <row r="434" spans="12:16" x14ac:dyDescent="0.3">
      <c r="L434" s="606" t="s">
        <v>1398</v>
      </c>
      <c r="M434" s="606" t="s">
        <v>461</v>
      </c>
      <c r="N434" s="606" t="s">
        <v>461</v>
      </c>
      <c r="O434" s="606"/>
    </row>
    <row r="435" spans="12:16" x14ac:dyDescent="0.3">
      <c r="L435" s="608" t="s">
        <v>542</v>
      </c>
      <c r="M435" s="608">
        <v>0.03</v>
      </c>
      <c r="N435" s="608">
        <v>0.05</v>
      </c>
      <c r="O435" s="606" t="s">
        <v>1456</v>
      </c>
      <c r="P435" s="615" t="s">
        <v>1452</v>
      </c>
    </row>
    <row r="436" spans="12:16" x14ac:dyDescent="0.3">
      <c r="L436" s="606" t="s">
        <v>1399</v>
      </c>
      <c r="M436" s="606" t="s">
        <v>461</v>
      </c>
      <c r="N436" s="606" t="s">
        <v>461</v>
      </c>
      <c r="O436" s="606"/>
    </row>
    <row r="437" spans="12:16" x14ac:dyDescent="0.3">
      <c r="L437" s="606" t="s">
        <v>1400</v>
      </c>
      <c r="M437" s="606" t="s">
        <v>461</v>
      </c>
      <c r="N437" s="606" t="s">
        <v>461</v>
      </c>
      <c r="O437" s="606"/>
    </row>
    <row r="438" spans="12:16" x14ac:dyDescent="0.3">
      <c r="L438" s="606" t="s">
        <v>543</v>
      </c>
      <c r="M438" s="606" t="s">
        <v>461</v>
      </c>
      <c r="N438" s="606" t="s">
        <v>461</v>
      </c>
      <c r="O438" s="606"/>
    </row>
    <row r="439" spans="12:16" x14ac:dyDescent="0.3">
      <c r="L439" s="608" t="s">
        <v>1401</v>
      </c>
      <c r="M439" s="608">
        <v>0.03</v>
      </c>
      <c r="N439" s="608">
        <v>0.05</v>
      </c>
      <c r="O439" s="606" t="s">
        <v>1456</v>
      </c>
      <c r="P439" s="615" t="s">
        <v>1452</v>
      </c>
    </row>
    <row r="440" spans="12:16" x14ac:dyDescent="0.3">
      <c r="L440" s="606" t="s">
        <v>1402</v>
      </c>
      <c r="M440" s="606" t="s">
        <v>461</v>
      </c>
      <c r="N440" s="606" t="s">
        <v>461</v>
      </c>
      <c r="O440" s="606"/>
    </row>
    <row r="441" spans="12:16" x14ac:dyDescent="0.3">
      <c r="L441" s="606" t="s">
        <v>1403</v>
      </c>
      <c r="M441" s="606" t="s">
        <v>461</v>
      </c>
      <c r="N441" s="606" t="s">
        <v>461</v>
      </c>
      <c r="O441" s="606"/>
    </row>
    <row r="442" spans="12:16" x14ac:dyDescent="0.3">
      <c r="L442" s="606" t="s">
        <v>1404</v>
      </c>
      <c r="M442" s="606" t="s">
        <v>461</v>
      </c>
      <c r="N442" s="606" t="s">
        <v>461</v>
      </c>
      <c r="O442" s="606"/>
    </row>
    <row r="443" spans="12:16" x14ac:dyDescent="0.3">
      <c r="L443" s="606" t="s">
        <v>1405</v>
      </c>
      <c r="M443" s="606" t="s">
        <v>461</v>
      </c>
      <c r="N443" s="606" t="s">
        <v>461</v>
      </c>
      <c r="O443" s="606"/>
    </row>
    <row r="444" spans="12:16" x14ac:dyDescent="0.3">
      <c r="L444" s="606" t="s">
        <v>544</v>
      </c>
      <c r="M444" s="606" t="s">
        <v>461</v>
      </c>
      <c r="N444" s="606" t="s">
        <v>461</v>
      </c>
      <c r="O444" s="606" t="s">
        <v>1547</v>
      </c>
    </row>
    <row r="445" spans="12:16" x14ac:dyDescent="0.3">
      <c r="L445" s="609" t="s">
        <v>1406</v>
      </c>
      <c r="M445" s="609">
        <v>0.03</v>
      </c>
      <c r="N445" s="610" t="s">
        <v>461</v>
      </c>
      <c r="O445" s="606" t="s">
        <v>1451</v>
      </c>
    </row>
    <row r="446" spans="12:16" x14ac:dyDescent="0.3">
      <c r="L446" s="606" t="s">
        <v>831</v>
      </c>
      <c r="M446" s="606" t="s">
        <v>461</v>
      </c>
      <c r="N446" s="606" t="s">
        <v>461</v>
      </c>
      <c r="O446" s="606"/>
    </row>
    <row r="447" spans="12:16" x14ac:dyDescent="0.3">
      <c r="L447" s="606" t="s">
        <v>1407</v>
      </c>
      <c r="M447" s="606" t="s">
        <v>461</v>
      </c>
      <c r="N447" s="606" t="s">
        <v>461</v>
      </c>
      <c r="O447" s="606"/>
    </row>
    <row r="448" spans="12:16" x14ac:dyDescent="0.3">
      <c r="L448" s="606" t="s">
        <v>1408</v>
      </c>
      <c r="M448" s="606" t="s">
        <v>461</v>
      </c>
      <c r="N448" s="606" t="s">
        <v>461</v>
      </c>
      <c r="O448" s="606"/>
    </row>
    <row r="449" spans="12:16" x14ac:dyDescent="0.3">
      <c r="L449" s="608" t="s">
        <v>1409</v>
      </c>
      <c r="M449" s="608">
        <v>0.03</v>
      </c>
      <c r="N449" s="608">
        <v>0.05</v>
      </c>
      <c r="O449" s="606" t="s">
        <v>1456</v>
      </c>
      <c r="P449" s="615" t="s">
        <v>1452</v>
      </c>
    </row>
    <row r="450" spans="12:16" x14ac:dyDescent="0.3">
      <c r="L450" s="606" t="s">
        <v>545</v>
      </c>
      <c r="M450" s="606" t="s">
        <v>461</v>
      </c>
      <c r="N450" s="606" t="s">
        <v>461</v>
      </c>
      <c r="O450" s="606"/>
    </row>
    <row r="451" spans="12:16" x14ac:dyDescent="0.3">
      <c r="L451" s="606" t="s">
        <v>1410</v>
      </c>
      <c r="M451" s="606" t="s">
        <v>461</v>
      </c>
      <c r="N451" s="606" t="s">
        <v>461</v>
      </c>
      <c r="O451" s="606"/>
    </row>
    <row r="452" spans="12:16" x14ac:dyDescent="0.3">
      <c r="L452" s="606" t="s">
        <v>1411</v>
      </c>
      <c r="M452" s="606" t="s">
        <v>461</v>
      </c>
      <c r="N452" s="606" t="s">
        <v>461</v>
      </c>
      <c r="O452" s="606"/>
    </row>
    <row r="453" spans="12:16" x14ac:dyDescent="0.3">
      <c r="L453" s="608" t="s">
        <v>1412</v>
      </c>
      <c r="M453" s="608">
        <v>0.03</v>
      </c>
      <c r="N453" s="608">
        <v>0.05</v>
      </c>
      <c r="O453" s="606" t="s">
        <v>1456</v>
      </c>
      <c r="P453" s="615" t="s">
        <v>1452</v>
      </c>
    </row>
    <row r="454" spans="12:16" x14ac:dyDescent="0.3">
      <c r="L454" s="606" t="s">
        <v>1413</v>
      </c>
      <c r="M454" s="606" t="s">
        <v>461</v>
      </c>
      <c r="N454" s="606" t="s">
        <v>461</v>
      </c>
      <c r="O454" s="606"/>
    </row>
    <row r="455" spans="12:16" x14ac:dyDescent="0.3">
      <c r="L455" s="606" t="s">
        <v>1414</v>
      </c>
      <c r="M455" s="606" t="s">
        <v>461</v>
      </c>
      <c r="N455" s="606" t="s">
        <v>461</v>
      </c>
      <c r="O455" s="606"/>
    </row>
    <row r="456" spans="12:16" x14ac:dyDescent="0.3">
      <c r="L456" s="606" t="s">
        <v>1415</v>
      </c>
      <c r="M456" s="606" t="s">
        <v>461</v>
      </c>
      <c r="N456" s="606" t="s">
        <v>461</v>
      </c>
      <c r="O456" s="606"/>
    </row>
    <row r="457" spans="12:16" x14ac:dyDescent="0.3">
      <c r="L457" s="606" t="s">
        <v>1426</v>
      </c>
      <c r="M457" s="606" t="s">
        <v>461</v>
      </c>
      <c r="N457" s="606" t="s">
        <v>461</v>
      </c>
      <c r="O457" s="606"/>
    </row>
    <row r="458" spans="12:16" x14ac:dyDescent="0.3">
      <c r="L458" s="606" t="s">
        <v>1416</v>
      </c>
      <c r="M458" s="606" t="s">
        <v>461</v>
      </c>
      <c r="N458" s="606" t="s">
        <v>461</v>
      </c>
      <c r="O458" s="606"/>
    </row>
    <row r="459" spans="12:16" x14ac:dyDescent="0.3">
      <c r="L459" s="606" t="s">
        <v>1417</v>
      </c>
      <c r="M459" s="606" t="s">
        <v>461</v>
      </c>
      <c r="N459" s="606" t="s">
        <v>461</v>
      </c>
      <c r="O459" s="606"/>
    </row>
    <row r="460" spans="12:16" x14ac:dyDescent="0.3">
      <c r="L460" s="606" t="s">
        <v>546</v>
      </c>
      <c r="M460" s="606" t="s">
        <v>461</v>
      </c>
      <c r="N460" s="606" t="s">
        <v>461</v>
      </c>
      <c r="O460" s="606"/>
    </row>
    <row r="461" spans="12:16" x14ac:dyDescent="0.3">
      <c r="L461" s="606" t="s">
        <v>1418</v>
      </c>
      <c r="M461" s="606" t="s">
        <v>461</v>
      </c>
      <c r="N461" s="606" t="s">
        <v>461</v>
      </c>
      <c r="O461" s="606"/>
    </row>
    <row r="462" spans="12:16" x14ac:dyDescent="0.3">
      <c r="L462" s="606" t="s">
        <v>981</v>
      </c>
      <c r="M462" s="606" t="s">
        <v>461</v>
      </c>
      <c r="N462" s="606" t="s">
        <v>461</v>
      </c>
      <c r="O462" s="606"/>
    </row>
    <row r="463" spans="12:16" x14ac:dyDescent="0.3">
      <c r="L463" s="606" t="s">
        <v>982</v>
      </c>
      <c r="M463" s="606" t="s">
        <v>461</v>
      </c>
      <c r="N463" s="606" t="s">
        <v>461</v>
      </c>
      <c r="O463" s="606"/>
    </row>
    <row r="464" spans="12:16" x14ac:dyDescent="0.3">
      <c r="L464" s="606" t="s">
        <v>983</v>
      </c>
      <c r="M464" s="606" t="s">
        <v>461</v>
      </c>
      <c r="N464" s="606" t="s">
        <v>461</v>
      </c>
      <c r="O464" s="606"/>
    </row>
    <row r="465" spans="12:15" x14ac:dyDescent="0.3">
      <c r="L465" s="606" t="s">
        <v>984</v>
      </c>
      <c r="M465" s="606" t="s">
        <v>461</v>
      </c>
      <c r="N465" s="606" t="s">
        <v>461</v>
      </c>
      <c r="O465" s="606"/>
    </row>
    <row r="466" spans="12:15" x14ac:dyDescent="0.3">
      <c r="L466" s="606" t="s">
        <v>985</v>
      </c>
      <c r="M466" s="606" t="s">
        <v>461</v>
      </c>
      <c r="N466" s="606" t="s">
        <v>461</v>
      </c>
      <c r="O466" s="606"/>
    </row>
    <row r="467" spans="12:15" x14ac:dyDescent="0.3">
      <c r="L467" s="606" t="s">
        <v>986</v>
      </c>
      <c r="M467" s="606" t="s">
        <v>461</v>
      </c>
      <c r="N467" s="606" t="s">
        <v>461</v>
      </c>
      <c r="O467" s="606"/>
    </row>
    <row r="468" spans="12:15" x14ac:dyDescent="0.3">
      <c r="L468" s="606" t="s">
        <v>832</v>
      </c>
      <c r="M468" s="606" t="s">
        <v>461</v>
      </c>
      <c r="N468" s="606" t="s">
        <v>461</v>
      </c>
      <c r="O468" s="606"/>
    </row>
    <row r="469" spans="12:15" x14ac:dyDescent="0.3">
      <c r="L469" s="606" t="s">
        <v>987</v>
      </c>
      <c r="M469" s="606" t="s">
        <v>461</v>
      </c>
      <c r="N469" s="606" t="s">
        <v>461</v>
      </c>
      <c r="O469" s="606" t="s">
        <v>1547</v>
      </c>
    </row>
    <row r="470" spans="12:15" x14ac:dyDescent="0.3">
      <c r="L470" s="606" t="s">
        <v>988</v>
      </c>
      <c r="M470" s="606" t="s">
        <v>461</v>
      </c>
      <c r="N470" s="606" t="s">
        <v>461</v>
      </c>
      <c r="O470" s="606"/>
    </row>
    <row r="471" spans="12:15" x14ac:dyDescent="0.3">
      <c r="L471" s="609" t="s">
        <v>989</v>
      </c>
      <c r="M471" s="609" t="s">
        <v>461</v>
      </c>
      <c r="N471" s="609" t="s">
        <v>461</v>
      </c>
      <c r="O471" s="606" t="s">
        <v>1451</v>
      </c>
    </row>
    <row r="472" spans="12:15" x14ac:dyDescent="0.3">
      <c r="L472" s="606" t="s">
        <v>990</v>
      </c>
      <c r="M472" s="606" t="s">
        <v>461</v>
      </c>
      <c r="N472" s="606" t="s">
        <v>461</v>
      </c>
      <c r="O472" s="606"/>
    </row>
    <row r="473" spans="12:15" x14ac:dyDescent="0.3">
      <c r="L473" s="606" t="s">
        <v>991</v>
      </c>
      <c r="M473" s="606" t="s">
        <v>461</v>
      </c>
      <c r="N473" s="606" t="s">
        <v>461</v>
      </c>
      <c r="O473" s="606"/>
    </row>
    <row r="474" spans="12:15" x14ac:dyDescent="0.3">
      <c r="L474" s="606" t="s">
        <v>992</v>
      </c>
      <c r="M474" s="606" t="s">
        <v>461</v>
      </c>
      <c r="N474" s="606" t="s">
        <v>461</v>
      </c>
      <c r="O474" s="606"/>
    </row>
    <row r="475" spans="12:15" x14ac:dyDescent="0.3">
      <c r="L475" s="606" t="s">
        <v>993</v>
      </c>
      <c r="M475" s="606" t="s">
        <v>461</v>
      </c>
      <c r="N475" s="606" t="s">
        <v>461</v>
      </c>
      <c r="O475" s="606"/>
    </row>
    <row r="476" spans="12:15" x14ac:dyDescent="0.3">
      <c r="L476" s="606" t="s">
        <v>833</v>
      </c>
      <c r="M476" s="606" t="s">
        <v>461</v>
      </c>
      <c r="N476" s="606" t="s">
        <v>461</v>
      </c>
      <c r="O476" s="606"/>
    </row>
    <row r="477" spans="12:15" x14ac:dyDescent="0.3">
      <c r="L477" s="606" t="s">
        <v>994</v>
      </c>
      <c r="M477" s="606" t="s">
        <v>461</v>
      </c>
      <c r="N477" s="606" t="s">
        <v>461</v>
      </c>
      <c r="O477" s="606"/>
    </row>
    <row r="478" spans="12:15" x14ac:dyDescent="0.3">
      <c r="L478" s="606" t="s">
        <v>995</v>
      </c>
      <c r="M478" s="606" t="s">
        <v>461</v>
      </c>
      <c r="N478" s="606" t="s">
        <v>461</v>
      </c>
      <c r="O478" s="606"/>
    </row>
    <row r="479" spans="12:15" x14ac:dyDescent="0.3">
      <c r="L479" s="606" t="s">
        <v>996</v>
      </c>
      <c r="M479" s="606" t="s">
        <v>461</v>
      </c>
      <c r="N479" s="606" t="s">
        <v>461</v>
      </c>
      <c r="O479" s="606"/>
    </row>
    <row r="480" spans="12:15" x14ac:dyDescent="0.3">
      <c r="L480" s="606" t="s">
        <v>997</v>
      </c>
      <c r="M480" s="606" t="s">
        <v>461</v>
      </c>
      <c r="N480" s="606" t="s">
        <v>461</v>
      </c>
      <c r="O480" s="606"/>
    </row>
    <row r="481" spans="12:16" x14ac:dyDescent="0.3">
      <c r="L481" s="606" t="s">
        <v>998</v>
      </c>
      <c r="M481" s="606" t="s">
        <v>461</v>
      </c>
      <c r="N481" s="606" t="s">
        <v>461</v>
      </c>
      <c r="O481" s="606"/>
    </row>
    <row r="482" spans="12:16" x14ac:dyDescent="0.3">
      <c r="L482" s="606" t="s">
        <v>999</v>
      </c>
      <c r="M482" s="606" t="s">
        <v>461</v>
      </c>
      <c r="N482" s="606" t="s">
        <v>461</v>
      </c>
      <c r="O482" s="606"/>
    </row>
    <row r="483" spans="12:16" x14ac:dyDescent="0.3">
      <c r="L483" s="606" t="s">
        <v>1000</v>
      </c>
      <c r="M483" s="606" t="s">
        <v>461</v>
      </c>
      <c r="N483" s="606" t="s">
        <v>461</v>
      </c>
      <c r="O483" s="606"/>
    </row>
    <row r="484" spans="12:16" x14ac:dyDescent="0.3">
      <c r="L484" s="606" t="s">
        <v>1001</v>
      </c>
      <c r="M484" s="606" t="s">
        <v>461</v>
      </c>
      <c r="N484" s="606" t="s">
        <v>461</v>
      </c>
      <c r="O484" s="606"/>
    </row>
    <row r="485" spans="12:16" x14ac:dyDescent="0.3">
      <c r="L485" s="606" t="s">
        <v>834</v>
      </c>
      <c r="M485" s="606" t="s">
        <v>461</v>
      </c>
      <c r="N485" s="606" t="s">
        <v>461</v>
      </c>
      <c r="O485" s="606"/>
    </row>
    <row r="486" spans="12:16" x14ac:dyDescent="0.3">
      <c r="L486" s="606" t="s">
        <v>1002</v>
      </c>
      <c r="M486" s="606" t="s">
        <v>461</v>
      </c>
      <c r="N486" s="606" t="s">
        <v>461</v>
      </c>
      <c r="O486" s="606"/>
    </row>
    <row r="487" spans="12:16" x14ac:dyDescent="0.3">
      <c r="L487" s="608" t="s">
        <v>1003</v>
      </c>
      <c r="M487" s="608">
        <v>0.03</v>
      </c>
      <c r="N487" s="608">
        <v>0.05</v>
      </c>
      <c r="O487" s="606" t="s">
        <v>1456</v>
      </c>
      <c r="P487" s="615" t="s">
        <v>1452</v>
      </c>
    </row>
    <row r="488" spans="12:16" x14ac:dyDescent="0.3">
      <c r="L488" s="606" t="s">
        <v>547</v>
      </c>
      <c r="M488" s="606" t="s">
        <v>461</v>
      </c>
      <c r="N488" s="606" t="s">
        <v>461</v>
      </c>
      <c r="O488" s="606"/>
    </row>
    <row r="489" spans="12:16" x14ac:dyDescent="0.3">
      <c r="L489" s="606" t="s">
        <v>548</v>
      </c>
      <c r="M489" s="606" t="s">
        <v>461</v>
      </c>
      <c r="N489" s="606" t="s">
        <v>461</v>
      </c>
      <c r="O489" s="606"/>
    </row>
    <row r="490" spans="12:16" x14ac:dyDescent="0.3">
      <c r="L490" s="606" t="s">
        <v>835</v>
      </c>
      <c r="M490" s="606" t="s">
        <v>461</v>
      </c>
      <c r="N490" s="606" t="s">
        <v>461</v>
      </c>
      <c r="O490" s="606"/>
    </row>
    <row r="491" spans="12:16" x14ac:dyDescent="0.3">
      <c r="L491" s="606" t="s">
        <v>1004</v>
      </c>
      <c r="M491" s="606" t="s">
        <v>461</v>
      </c>
      <c r="N491" s="606" t="s">
        <v>461</v>
      </c>
      <c r="O491" s="606"/>
    </row>
    <row r="492" spans="12:16" x14ac:dyDescent="0.3">
      <c r="L492" s="606" t="s">
        <v>1005</v>
      </c>
      <c r="M492" s="606" t="s">
        <v>461</v>
      </c>
      <c r="N492" s="606" t="s">
        <v>461</v>
      </c>
      <c r="O492" s="606"/>
    </row>
    <row r="493" spans="12:16" x14ac:dyDescent="0.3">
      <c r="L493" s="606" t="s">
        <v>1006</v>
      </c>
      <c r="M493" s="606" t="s">
        <v>461</v>
      </c>
      <c r="N493" s="606" t="s">
        <v>461</v>
      </c>
      <c r="O493" s="606"/>
    </row>
    <row r="494" spans="12:16" x14ac:dyDescent="0.3">
      <c r="L494" s="606" t="s">
        <v>1007</v>
      </c>
      <c r="M494" s="606" t="s">
        <v>461</v>
      </c>
      <c r="N494" s="606" t="s">
        <v>461</v>
      </c>
      <c r="O494" s="606"/>
    </row>
    <row r="495" spans="12:16" x14ac:dyDescent="0.3">
      <c r="L495" s="606" t="s">
        <v>1008</v>
      </c>
      <c r="M495" s="606" t="s">
        <v>461</v>
      </c>
      <c r="N495" s="606" t="s">
        <v>461</v>
      </c>
      <c r="O495" s="606"/>
    </row>
    <row r="496" spans="12:16" x14ac:dyDescent="0.3">
      <c r="L496" s="606" t="s">
        <v>1009</v>
      </c>
      <c r="M496" s="606" t="s">
        <v>461</v>
      </c>
      <c r="N496" s="606" t="s">
        <v>461</v>
      </c>
      <c r="O496" s="606"/>
    </row>
    <row r="497" spans="12:16" x14ac:dyDescent="0.3">
      <c r="L497" s="606" t="s">
        <v>1010</v>
      </c>
      <c r="M497" s="606" t="s">
        <v>461</v>
      </c>
      <c r="N497" s="606" t="s">
        <v>461</v>
      </c>
      <c r="O497" s="606"/>
    </row>
    <row r="498" spans="12:16" x14ac:dyDescent="0.3">
      <c r="L498" s="606" t="s">
        <v>1011</v>
      </c>
      <c r="M498" s="606" t="s">
        <v>461</v>
      </c>
      <c r="N498" s="606" t="s">
        <v>461</v>
      </c>
      <c r="O498" s="606"/>
    </row>
    <row r="499" spans="12:16" x14ac:dyDescent="0.3">
      <c r="L499" s="606" t="s">
        <v>549</v>
      </c>
      <c r="M499" s="606" t="s">
        <v>461</v>
      </c>
      <c r="N499" s="606" t="s">
        <v>461</v>
      </c>
      <c r="O499" s="606"/>
    </row>
    <row r="500" spans="12:16" x14ac:dyDescent="0.3">
      <c r="L500" s="606" t="s">
        <v>1012</v>
      </c>
      <c r="M500" s="606" t="s">
        <v>461</v>
      </c>
      <c r="N500" s="606" t="s">
        <v>461</v>
      </c>
      <c r="O500" s="606"/>
    </row>
    <row r="501" spans="12:16" x14ac:dyDescent="0.3">
      <c r="L501" s="606" t="s">
        <v>1013</v>
      </c>
      <c r="M501" s="606" t="s">
        <v>461</v>
      </c>
      <c r="N501" s="606" t="s">
        <v>461</v>
      </c>
      <c r="O501" s="606"/>
    </row>
    <row r="502" spans="12:16" x14ac:dyDescent="0.3">
      <c r="L502" s="606" t="s">
        <v>1014</v>
      </c>
      <c r="M502" s="606" t="s">
        <v>461</v>
      </c>
      <c r="N502" s="606" t="s">
        <v>461</v>
      </c>
      <c r="O502" s="606"/>
    </row>
    <row r="503" spans="12:16" x14ac:dyDescent="0.3">
      <c r="L503" s="606" t="s">
        <v>551</v>
      </c>
      <c r="M503" s="606" t="s">
        <v>461</v>
      </c>
      <c r="N503" s="606" t="s">
        <v>461</v>
      </c>
      <c r="O503" s="606"/>
    </row>
    <row r="504" spans="12:16" x14ac:dyDescent="0.3">
      <c r="L504" s="606" t="s">
        <v>1015</v>
      </c>
      <c r="M504" s="606" t="s">
        <v>461</v>
      </c>
      <c r="N504" s="606" t="s">
        <v>461</v>
      </c>
      <c r="O504" s="606"/>
    </row>
    <row r="505" spans="12:16" x14ac:dyDescent="0.3">
      <c r="L505" s="606" t="s">
        <v>1016</v>
      </c>
      <c r="M505" s="606" t="s">
        <v>461</v>
      </c>
      <c r="N505" s="606" t="s">
        <v>461</v>
      </c>
      <c r="O505" s="606"/>
    </row>
    <row r="506" spans="12:16" x14ac:dyDescent="0.3">
      <c r="L506" s="606" t="s">
        <v>552</v>
      </c>
      <c r="M506" s="606" t="s">
        <v>461</v>
      </c>
      <c r="N506" s="606" t="s">
        <v>461</v>
      </c>
      <c r="O506" s="606"/>
    </row>
    <row r="507" spans="12:16" x14ac:dyDescent="0.3">
      <c r="L507" s="606" t="s">
        <v>836</v>
      </c>
      <c r="M507" s="606" t="s">
        <v>461</v>
      </c>
      <c r="N507" s="606" t="s">
        <v>461</v>
      </c>
      <c r="O507" s="606"/>
    </row>
    <row r="508" spans="12:16" x14ac:dyDescent="0.3">
      <c r="L508" s="606" t="s">
        <v>1017</v>
      </c>
      <c r="M508" s="606" t="s">
        <v>461</v>
      </c>
      <c r="N508" s="606" t="s">
        <v>461</v>
      </c>
      <c r="O508" s="606"/>
    </row>
    <row r="509" spans="12:16" x14ac:dyDescent="0.3">
      <c r="L509" s="606" t="s">
        <v>1018</v>
      </c>
      <c r="M509" s="606" t="s">
        <v>461</v>
      </c>
      <c r="N509" s="606" t="s">
        <v>461</v>
      </c>
      <c r="O509" s="606"/>
    </row>
    <row r="510" spans="12:16" x14ac:dyDescent="0.3">
      <c r="L510" s="606" t="s">
        <v>1019</v>
      </c>
      <c r="M510" s="606" t="s">
        <v>461</v>
      </c>
      <c r="N510" s="606" t="s">
        <v>461</v>
      </c>
      <c r="O510" s="606"/>
    </row>
    <row r="511" spans="12:16" x14ac:dyDescent="0.3">
      <c r="L511" s="608" t="s">
        <v>397</v>
      </c>
      <c r="M511" s="608">
        <v>0.03</v>
      </c>
      <c r="N511" s="608">
        <v>0.05</v>
      </c>
      <c r="O511" s="606" t="s">
        <v>1456</v>
      </c>
      <c r="P511" s="615" t="s">
        <v>1452</v>
      </c>
    </row>
    <row r="512" spans="12:16" x14ac:dyDescent="0.3">
      <c r="L512" s="606" t="s">
        <v>1020</v>
      </c>
      <c r="M512" s="606" t="s">
        <v>461</v>
      </c>
      <c r="N512" s="606" t="s">
        <v>461</v>
      </c>
      <c r="O512" s="606"/>
    </row>
    <row r="513" spans="12:16" x14ac:dyDescent="0.3">
      <c r="L513" s="606" t="s">
        <v>1021</v>
      </c>
      <c r="M513" s="606" t="s">
        <v>461</v>
      </c>
      <c r="N513" s="606" t="s">
        <v>461</v>
      </c>
      <c r="O513" s="606"/>
    </row>
    <row r="514" spans="12:16" x14ac:dyDescent="0.3">
      <c r="L514" s="606" t="s">
        <v>1022</v>
      </c>
      <c r="M514" s="606" t="s">
        <v>461</v>
      </c>
      <c r="N514" s="606" t="s">
        <v>461</v>
      </c>
      <c r="O514" s="606"/>
    </row>
    <row r="515" spans="12:16" x14ac:dyDescent="0.3">
      <c r="L515" s="606" t="s">
        <v>1023</v>
      </c>
      <c r="M515" s="606" t="s">
        <v>461</v>
      </c>
      <c r="N515" s="606" t="s">
        <v>461</v>
      </c>
      <c r="O515" s="606"/>
    </row>
    <row r="516" spans="12:16" x14ac:dyDescent="0.3">
      <c r="L516" s="606" t="s">
        <v>837</v>
      </c>
      <c r="M516" s="606" t="s">
        <v>461</v>
      </c>
      <c r="N516" s="606" t="s">
        <v>461</v>
      </c>
      <c r="O516" s="606"/>
    </row>
    <row r="517" spans="12:16" x14ac:dyDescent="0.3">
      <c r="L517" s="606" t="s">
        <v>1024</v>
      </c>
      <c r="M517" s="606" t="s">
        <v>461</v>
      </c>
      <c r="N517" s="606" t="s">
        <v>461</v>
      </c>
      <c r="O517" s="606" t="s">
        <v>1547</v>
      </c>
    </row>
    <row r="518" spans="12:16" x14ac:dyDescent="0.3">
      <c r="L518" s="606" t="s">
        <v>838</v>
      </c>
      <c r="M518" s="606" t="s">
        <v>461</v>
      </c>
      <c r="N518" s="606" t="s">
        <v>461</v>
      </c>
      <c r="O518" s="606"/>
    </row>
    <row r="519" spans="12:16" x14ac:dyDescent="0.3">
      <c r="L519" s="606" t="s">
        <v>1025</v>
      </c>
      <c r="M519" s="606" t="s">
        <v>461</v>
      </c>
      <c r="N519" s="606" t="s">
        <v>461</v>
      </c>
      <c r="O519" s="606"/>
    </row>
    <row r="520" spans="12:16" x14ac:dyDescent="0.3">
      <c r="L520" s="608" t="s">
        <v>1026</v>
      </c>
      <c r="M520" s="608">
        <v>0.03</v>
      </c>
      <c r="N520" s="608">
        <v>0.05</v>
      </c>
      <c r="O520" s="606" t="s">
        <v>1456</v>
      </c>
      <c r="P520" s="615" t="s">
        <v>1452</v>
      </c>
    </row>
    <row r="521" spans="12:16" x14ac:dyDescent="0.3">
      <c r="L521" s="606" t="s">
        <v>1027</v>
      </c>
      <c r="M521" s="606" t="s">
        <v>461</v>
      </c>
      <c r="N521" s="606" t="s">
        <v>461</v>
      </c>
      <c r="O521" s="606"/>
    </row>
    <row r="522" spans="12:16" x14ac:dyDescent="0.3">
      <c r="L522" s="606" t="s">
        <v>1028</v>
      </c>
      <c r="M522" s="606" t="s">
        <v>461</v>
      </c>
      <c r="N522" s="606" t="s">
        <v>461</v>
      </c>
      <c r="O522" s="606"/>
    </row>
    <row r="523" spans="12:16" x14ac:dyDescent="0.3">
      <c r="L523" s="606" t="s">
        <v>1029</v>
      </c>
      <c r="M523" s="606" t="s">
        <v>461</v>
      </c>
      <c r="N523" s="606" t="s">
        <v>461</v>
      </c>
      <c r="O523" s="606"/>
    </row>
    <row r="524" spans="12:16" x14ac:dyDescent="0.3">
      <c r="L524" s="606" t="s">
        <v>1030</v>
      </c>
      <c r="M524" s="606" t="s">
        <v>461</v>
      </c>
      <c r="N524" s="606" t="s">
        <v>461</v>
      </c>
      <c r="O524" s="606" t="s">
        <v>1547</v>
      </c>
    </row>
    <row r="525" spans="12:16" x14ac:dyDescent="0.3">
      <c r="L525" s="606" t="s">
        <v>1031</v>
      </c>
      <c r="M525" s="606" t="s">
        <v>461</v>
      </c>
      <c r="N525" s="606" t="s">
        <v>461</v>
      </c>
      <c r="O525" s="606"/>
    </row>
    <row r="526" spans="12:16" x14ac:dyDescent="0.3">
      <c r="L526" s="606" t="s">
        <v>1032</v>
      </c>
      <c r="M526" s="606" t="s">
        <v>461</v>
      </c>
      <c r="N526" s="606" t="s">
        <v>461</v>
      </c>
      <c r="O526" s="606"/>
    </row>
    <row r="527" spans="12:16" x14ac:dyDescent="0.3">
      <c r="L527" s="606" t="s">
        <v>1033</v>
      </c>
      <c r="M527" s="606" t="s">
        <v>461</v>
      </c>
      <c r="N527" s="606" t="s">
        <v>461</v>
      </c>
      <c r="O527" s="606"/>
    </row>
    <row r="528" spans="12:16" x14ac:dyDescent="0.3">
      <c r="L528" s="606" t="s">
        <v>1034</v>
      </c>
      <c r="M528" s="606" t="s">
        <v>461</v>
      </c>
      <c r="N528" s="606" t="s">
        <v>461</v>
      </c>
      <c r="O528" s="606"/>
    </row>
    <row r="529" spans="12:16" x14ac:dyDescent="0.3">
      <c r="L529" s="606" t="s">
        <v>1035</v>
      </c>
      <c r="M529" s="606" t="s">
        <v>461</v>
      </c>
      <c r="N529" s="606" t="s">
        <v>461</v>
      </c>
      <c r="O529" s="606"/>
    </row>
    <row r="530" spans="12:16" x14ac:dyDescent="0.3">
      <c r="L530" s="606" t="s">
        <v>1036</v>
      </c>
      <c r="M530" s="606" t="s">
        <v>461</v>
      </c>
      <c r="N530" s="606" t="s">
        <v>461</v>
      </c>
      <c r="O530" s="606"/>
    </row>
    <row r="531" spans="12:16" x14ac:dyDescent="0.3">
      <c r="L531" s="606" t="s">
        <v>1037</v>
      </c>
      <c r="M531" s="606" t="s">
        <v>461</v>
      </c>
      <c r="N531" s="606" t="s">
        <v>461</v>
      </c>
      <c r="O531" s="606"/>
    </row>
    <row r="532" spans="12:16" x14ac:dyDescent="0.3">
      <c r="L532" s="606" t="s">
        <v>1038</v>
      </c>
      <c r="M532" s="606" t="s">
        <v>461</v>
      </c>
      <c r="N532" s="606" t="s">
        <v>461</v>
      </c>
      <c r="O532" s="606"/>
    </row>
    <row r="533" spans="12:16" x14ac:dyDescent="0.3">
      <c r="L533" s="606" t="s">
        <v>1039</v>
      </c>
      <c r="M533" s="606" t="s">
        <v>461</v>
      </c>
      <c r="N533" s="606" t="s">
        <v>461</v>
      </c>
      <c r="O533" s="606"/>
    </row>
    <row r="534" spans="12:16" x14ac:dyDescent="0.3">
      <c r="L534" s="606" t="s">
        <v>553</v>
      </c>
      <c r="M534" s="606" t="s">
        <v>461</v>
      </c>
      <c r="N534" s="606" t="s">
        <v>461</v>
      </c>
      <c r="O534" s="606"/>
    </row>
    <row r="535" spans="12:16" x14ac:dyDescent="0.3">
      <c r="L535" s="606" t="s">
        <v>839</v>
      </c>
      <c r="M535" s="606" t="s">
        <v>461</v>
      </c>
      <c r="N535" s="606" t="s">
        <v>461</v>
      </c>
      <c r="O535" s="606"/>
    </row>
    <row r="536" spans="12:16" x14ac:dyDescent="0.3">
      <c r="L536" s="606" t="s">
        <v>1040</v>
      </c>
      <c r="M536" s="606" t="s">
        <v>461</v>
      </c>
      <c r="N536" s="606" t="s">
        <v>461</v>
      </c>
      <c r="O536" s="606"/>
    </row>
    <row r="537" spans="12:16" x14ac:dyDescent="0.3">
      <c r="L537" s="606" t="s">
        <v>1041</v>
      </c>
      <c r="M537" s="606" t="s">
        <v>461</v>
      </c>
      <c r="N537" s="606" t="s">
        <v>461</v>
      </c>
      <c r="O537" s="606"/>
    </row>
    <row r="538" spans="12:16" x14ac:dyDescent="0.3">
      <c r="L538" s="606" t="s">
        <v>554</v>
      </c>
      <c r="M538" s="606" t="s">
        <v>461</v>
      </c>
      <c r="N538" s="606" t="s">
        <v>461</v>
      </c>
      <c r="O538" s="606"/>
    </row>
    <row r="539" spans="12:16" x14ac:dyDescent="0.3">
      <c r="L539" s="606" t="s">
        <v>1042</v>
      </c>
      <c r="M539" s="606" t="s">
        <v>461</v>
      </c>
      <c r="N539" s="606" t="s">
        <v>461</v>
      </c>
      <c r="O539" s="606"/>
    </row>
    <row r="540" spans="12:16" x14ac:dyDescent="0.3">
      <c r="L540" s="606" t="s">
        <v>398</v>
      </c>
      <c r="M540" s="606" t="s">
        <v>461</v>
      </c>
      <c r="N540" s="606" t="s">
        <v>461</v>
      </c>
      <c r="O540" s="606"/>
    </row>
    <row r="541" spans="12:16" x14ac:dyDescent="0.3">
      <c r="L541" s="608" t="s">
        <v>1043</v>
      </c>
      <c r="M541" s="608">
        <v>0.03</v>
      </c>
      <c r="N541" s="608">
        <v>0.05</v>
      </c>
      <c r="O541" s="606" t="s">
        <v>1456</v>
      </c>
      <c r="P541" s="615" t="s">
        <v>1452</v>
      </c>
    </row>
    <row r="542" spans="12:16" x14ac:dyDescent="0.3">
      <c r="L542" s="606" t="s">
        <v>1044</v>
      </c>
      <c r="M542" s="606" t="s">
        <v>461</v>
      </c>
      <c r="N542" s="606" t="s">
        <v>461</v>
      </c>
      <c r="O542" s="606"/>
    </row>
    <row r="543" spans="12:16" x14ac:dyDescent="0.3">
      <c r="L543" s="606" t="s">
        <v>1045</v>
      </c>
      <c r="M543" s="606" t="s">
        <v>461</v>
      </c>
      <c r="N543" s="606" t="s">
        <v>461</v>
      </c>
      <c r="O543" s="606" t="s">
        <v>1547</v>
      </c>
    </row>
    <row r="544" spans="12:16" x14ac:dyDescent="0.3">
      <c r="L544" s="606" t="s">
        <v>1046</v>
      </c>
      <c r="M544" s="606" t="s">
        <v>461</v>
      </c>
      <c r="N544" s="606" t="s">
        <v>461</v>
      </c>
      <c r="O544" s="606"/>
    </row>
    <row r="545" spans="12:15" x14ac:dyDescent="0.3">
      <c r="L545" s="606" t="s">
        <v>1047</v>
      </c>
      <c r="M545" s="606" t="s">
        <v>461</v>
      </c>
      <c r="N545" s="606" t="s">
        <v>461</v>
      </c>
      <c r="O545" s="606"/>
    </row>
    <row r="546" spans="12:15" x14ac:dyDescent="0.3">
      <c r="L546" s="606" t="s">
        <v>399</v>
      </c>
      <c r="M546" s="606" t="s">
        <v>461</v>
      </c>
      <c r="N546" s="606" t="s">
        <v>461</v>
      </c>
      <c r="O546" s="606"/>
    </row>
    <row r="547" spans="12:15" x14ac:dyDescent="0.3">
      <c r="L547" s="606" t="s">
        <v>1048</v>
      </c>
      <c r="M547" s="606" t="s">
        <v>461</v>
      </c>
      <c r="N547" s="606" t="s">
        <v>461</v>
      </c>
      <c r="O547" s="606" t="s">
        <v>1547</v>
      </c>
    </row>
    <row r="548" spans="12:15" x14ac:dyDescent="0.3">
      <c r="L548" s="606" t="s">
        <v>840</v>
      </c>
      <c r="M548" s="606" t="s">
        <v>461</v>
      </c>
      <c r="N548" s="606" t="s">
        <v>461</v>
      </c>
      <c r="O548" s="606"/>
    </row>
    <row r="549" spans="12:15" x14ac:dyDescent="0.3">
      <c r="L549" s="606" t="s">
        <v>1049</v>
      </c>
      <c r="M549" s="606" t="s">
        <v>461</v>
      </c>
      <c r="N549" s="606" t="s">
        <v>461</v>
      </c>
      <c r="O549" s="606"/>
    </row>
    <row r="550" spans="12:15" x14ac:dyDescent="0.3">
      <c r="L550" s="606" t="s">
        <v>1050</v>
      </c>
      <c r="M550" s="606" t="s">
        <v>461</v>
      </c>
      <c r="N550" s="606" t="s">
        <v>461</v>
      </c>
      <c r="O550" s="606"/>
    </row>
    <row r="551" spans="12:15" x14ac:dyDescent="0.3">
      <c r="L551" s="606" t="s">
        <v>1051</v>
      </c>
      <c r="M551" s="606" t="s">
        <v>461</v>
      </c>
      <c r="N551" s="606" t="s">
        <v>461</v>
      </c>
      <c r="O551" s="606"/>
    </row>
    <row r="552" spans="12:15" x14ac:dyDescent="0.3">
      <c r="L552" s="606" t="s">
        <v>1052</v>
      </c>
      <c r="M552" s="606" t="s">
        <v>461</v>
      </c>
      <c r="N552" s="606" t="s">
        <v>461</v>
      </c>
      <c r="O552" s="606"/>
    </row>
    <row r="553" spans="12:15" x14ac:dyDescent="0.3">
      <c r="L553" s="606" t="s">
        <v>841</v>
      </c>
      <c r="M553" s="606" t="s">
        <v>461</v>
      </c>
      <c r="N553" s="606" t="s">
        <v>461</v>
      </c>
      <c r="O553" s="606"/>
    </row>
    <row r="554" spans="12:15" x14ac:dyDescent="0.3">
      <c r="L554" s="606" t="s">
        <v>1053</v>
      </c>
      <c r="M554" s="606" t="s">
        <v>461</v>
      </c>
      <c r="N554" s="606" t="s">
        <v>461</v>
      </c>
      <c r="O554" s="606"/>
    </row>
    <row r="555" spans="12:15" x14ac:dyDescent="0.3">
      <c r="L555" s="606" t="s">
        <v>1054</v>
      </c>
      <c r="M555" s="606" t="s">
        <v>461</v>
      </c>
      <c r="N555" s="606" t="s">
        <v>461</v>
      </c>
      <c r="O555" s="606"/>
    </row>
  </sheetData>
  <sheetProtection algorithmName="SHA-512" hashValue="1nZRu7oqLV6WWAJeCFszXDp84TRUAlk6WM/A7ClWc7Sd+MaplWeL4e87inqYkshHKtzJrUX3GaQYNXdGXEczuQ==" saltValue="NUhB4kSUmAFxc2MZJ4oKHw==" spinCount="100000" sheet="1" objects="1" scenarios="1"/>
  <mergeCells count="6">
    <mergeCell ref="E40:G51"/>
    <mergeCell ref="A4:C4"/>
    <mergeCell ref="E4:F4"/>
    <mergeCell ref="E30:G33"/>
    <mergeCell ref="E35:G37"/>
    <mergeCell ref="E39:G39"/>
  </mergeCells>
  <pageMargins left="0.7" right="0.7" top="0.75" bottom="0.75" header="0.3" footer="0.3"/>
  <pageSetup scale="51"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CC2CA-D998-42A4-801A-834A786678CE}">
  <dimension ref="A1:G91"/>
  <sheetViews>
    <sheetView workbookViewId="0">
      <selection activeCell="H55" sqref="H55"/>
    </sheetView>
  </sheetViews>
  <sheetFormatPr defaultRowHeight="14.4" x14ac:dyDescent="0.3"/>
  <cols>
    <col min="1" max="1" width="14.21875" customWidth="1"/>
    <col min="2" max="2" width="18.6640625" customWidth="1"/>
    <col min="3" max="3" width="19.21875" customWidth="1"/>
    <col min="4" max="4" width="32.88671875" customWidth="1"/>
    <col min="5" max="5" width="16.6640625" customWidth="1"/>
    <col min="6" max="6" width="19.6640625" customWidth="1"/>
    <col min="7" max="7" width="12.109375" customWidth="1"/>
  </cols>
  <sheetData>
    <row r="1" spans="1:7" x14ac:dyDescent="0.3">
      <c r="B1" t="s">
        <v>1430</v>
      </c>
      <c r="C1" t="s">
        <v>1430</v>
      </c>
    </row>
    <row r="2" spans="1:7" x14ac:dyDescent="0.3">
      <c r="B2" t="s">
        <v>1431</v>
      </c>
      <c r="C2" t="s">
        <v>1435</v>
      </c>
    </row>
    <row r="3" spans="1:7" x14ac:dyDescent="0.3">
      <c r="B3" t="s">
        <v>1432</v>
      </c>
      <c r="C3" t="s">
        <v>1434</v>
      </c>
    </row>
    <row r="4" spans="1:7" x14ac:dyDescent="0.3">
      <c r="A4" t="s">
        <v>1090</v>
      </c>
      <c r="B4">
        <v>0.03</v>
      </c>
      <c r="C4">
        <v>0.05</v>
      </c>
      <c r="D4" t="s">
        <v>1456</v>
      </c>
      <c r="E4" t="s">
        <v>1452</v>
      </c>
      <c r="F4" t="s">
        <v>1090</v>
      </c>
      <c r="G4">
        <v>0.08</v>
      </c>
    </row>
    <row r="5" spans="1:7" x14ac:dyDescent="0.3">
      <c r="A5" t="s">
        <v>801</v>
      </c>
      <c r="B5">
        <v>0.03</v>
      </c>
      <c r="C5">
        <v>0.05</v>
      </c>
      <c r="D5" t="s">
        <v>1456</v>
      </c>
      <c r="E5" t="s">
        <v>1452</v>
      </c>
      <c r="F5" t="s">
        <v>801</v>
      </c>
      <c r="G5" s="180">
        <v>0.08</v>
      </c>
    </row>
    <row r="6" spans="1:7" x14ac:dyDescent="0.3">
      <c r="A6" t="s">
        <v>476</v>
      </c>
      <c r="B6">
        <v>0.03</v>
      </c>
      <c r="C6">
        <v>0.05</v>
      </c>
      <c r="D6" t="s">
        <v>1456</v>
      </c>
      <c r="E6" t="s">
        <v>1452</v>
      </c>
      <c r="F6" t="s">
        <v>476</v>
      </c>
      <c r="G6" s="180">
        <v>0.08</v>
      </c>
    </row>
    <row r="7" spans="1:7" x14ac:dyDescent="0.3">
      <c r="A7" t="s">
        <v>1110</v>
      </c>
      <c r="B7">
        <v>0.03</v>
      </c>
      <c r="C7">
        <v>0.05</v>
      </c>
      <c r="D7" t="s">
        <v>1456</v>
      </c>
      <c r="E7" t="s">
        <v>1452</v>
      </c>
      <c r="F7" t="s">
        <v>1110</v>
      </c>
      <c r="G7" s="180">
        <v>0.08</v>
      </c>
    </row>
    <row r="8" spans="1:7" x14ac:dyDescent="0.3">
      <c r="A8" t="s">
        <v>1155</v>
      </c>
      <c r="B8">
        <v>0.03</v>
      </c>
      <c r="C8">
        <v>0.05</v>
      </c>
      <c r="D8" t="s">
        <v>1456</v>
      </c>
      <c r="E8" t="s">
        <v>1452</v>
      </c>
      <c r="F8" t="s">
        <v>1155</v>
      </c>
      <c r="G8" s="180">
        <v>0.08</v>
      </c>
    </row>
    <row r="9" spans="1:7" x14ac:dyDescent="0.3">
      <c r="A9" t="s">
        <v>1187</v>
      </c>
      <c r="B9">
        <v>0.03</v>
      </c>
      <c r="C9">
        <v>0.05</v>
      </c>
      <c r="D9" t="s">
        <v>1456</v>
      </c>
      <c r="E9" t="s">
        <v>1452</v>
      </c>
      <c r="F9" t="s">
        <v>1187</v>
      </c>
      <c r="G9" s="180">
        <v>0.08</v>
      </c>
    </row>
    <row r="10" spans="1:7" x14ac:dyDescent="0.3">
      <c r="A10" t="s">
        <v>812</v>
      </c>
      <c r="B10">
        <v>0.03</v>
      </c>
      <c r="C10">
        <v>0.05</v>
      </c>
      <c r="D10" t="s">
        <v>1456</v>
      </c>
      <c r="E10" t="s">
        <v>1452</v>
      </c>
      <c r="F10" t="s">
        <v>812</v>
      </c>
      <c r="G10" s="180">
        <v>0.08</v>
      </c>
    </row>
    <row r="11" spans="1:7" x14ac:dyDescent="0.3">
      <c r="A11" t="s">
        <v>1200</v>
      </c>
      <c r="B11">
        <v>0.03</v>
      </c>
      <c r="C11">
        <v>0.05</v>
      </c>
      <c r="D11" t="s">
        <v>1456</v>
      </c>
      <c r="E11" t="s">
        <v>1452</v>
      </c>
      <c r="F11" t="s">
        <v>1200</v>
      </c>
      <c r="G11" s="180">
        <v>0.08</v>
      </c>
    </row>
    <row r="12" spans="1:7" x14ac:dyDescent="0.3">
      <c r="A12" t="s">
        <v>504</v>
      </c>
      <c r="B12">
        <v>0.03</v>
      </c>
      <c r="C12">
        <v>0.05</v>
      </c>
      <c r="D12" t="s">
        <v>1456</v>
      </c>
      <c r="E12" t="s">
        <v>1452</v>
      </c>
      <c r="F12" t="s">
        <v>504</v>
      </c>
      <c r="G12" s="180">
        <v>0.08</v>
      </c>
    </row>
    <row r="13" spans="1:7" x14ac:dyDescent="0.3">
      <c r="A13" t="s">
        <v>395</v>
      </c>
      <c r="B13">
        <v>0.03</v>
      </c>
      <c r="C13">
        <v>0.05</v>
      </c>
      <c r="D13" t="s">
        <v>1456</v>
      </c>
      <c r="E13" t="s">
        <v>1452</v>
      </c>
      <c r="F13" t="s">
        <v>395</v>
      </c>
      <c r="G13" s="180">
        <v>0.08</v>
      </c>
    </row>
    <row r="14" spans="1:7" x14ac:dyDescent="0.3">
      <c r="A14" t="s">
        <v>510</v>
      </c>
      <c r="B14">
        <v>0.03</v>
      </c>
      <c r="C14">
        <v>0.05</v>
      </c>
      <c r="D14" t="s">
        <v>1456</v>
      </c>
      <c r="E14" t="s">
        <v>1452</v>
      </c>
      <c r="F14" t="s">
        <v>510</v>
      </c>
      <c r="G14" s="180">
        <v>0.08</v>
      </c>
    </row>
    <row r="15" spans="1:7" x14ac:dyDescent="0.3">
      <c r="A15" t="s">
        <v>819</v>
      </c>
      <c r="B15">
        <v>0.03</v>
      </c>
      <c r="C15">
        <v>0.05</v>
      </c>
      <c r="D15" t="s">
        <v>1456</v>
      </c>
      <c r="E15" t="s">
        <v>1452</v>
      </c>
      <c r="F15" t="s">
        <v>819</v>
      </c>
      <c r="G15" s="180">
        <v>0.08</v>
      </c>
    </row>
    <row r="16" spans="1:7" x14ac:dyDescent="0.3">
      <c r="A16" t="s">
        <v>1239</v>
      </c>
      <c r="B16">
        <v>0.03</v>
      </c>
      <c r="C16">
        <v>0.05</v>
      </c>
      <c r="D16" t="s">
        <v>1456</v>
      </c>
      <c r="E16" t="s">
        <v>1452</v>
      </c>
      <c r="F16" t="s">
        <v>1239</v>
      </c>
      <c r="G16" s="180">
        <v>0.08</v>
      </c>
    </row>
    <row r="17" spans="1:7" x14ac:dyDescent="0.3">
      <c r="A17" t="s">
        <v>514</v>
      </c>
      <c r="B17">
        <v>0.03</v>
      </c>
      <c r="C17">
        <v>0.05</v>
      </c>
      <c r="D17" t="s">
        <v>1456</v>
      </c>
      <c r="E17" t="s">
        <v>1452</v>
      </c>
      <c r="F17" t="s">
        <v>514</v>
      </c>
      <c r="G17" s="180">
        <v>0.08</v>
      </c>
    </row>
    <row r="18" spans="1:7" x14ac:dyDescent="0.3">
      <c r="A18" t="s">
        <v>1259</v>
      </c>
      <c r="B18">
        <v>0.03</v>
      </c>
      <c r="C18">
        <v>0.05</v>
      </c>
      <c r="D18" t="s">
        <v>1456</v>
      </c>
      <c r="E18" t="s">
        <v>1452</v>
      </c>
      <c r="F18" t="s">
        <v>1259</v>
      </c>
      <c r="G18" s="180">
        <v>0.08</v>
      </c>
    </row>
    <row r="19" spans="1:7" x14ac:dyDescent="0.3">
      <c r="A19" t="s">
        <v>1264</v>
      </c>
      <c r="B19">
        <v>0.03</v>
      </c>
      <c r="C19">
        <v>0.05</v>
      </c>
      <c r="D19" t="s">
        <v>1456</v>
      </c>
      <c r="E19" t="s">
        <v>1452</v>
      </c>
      <c r="F19" t="s">
        <v>1264</v>
      </c>
      <c r="G19" s="180">
        <v>0.08</v>
      </c>
    </row>
    <row r="20" spans="1:7" x14ac:dyDescent="0.3">
      <c r="A20" t="s">
        <v>1274</v>
      </c>
      <c r="B20">
        <v>0.03</v>
      </c>
      <c r="C20">
        <v>0.05</v>
      </c>
      <c r="D20" t="s">
        <v>1456</v>
      </c>
      <c r="E20" t="s">
        <v>1452</v>
      </c>
      <c r="F20" t="s">
        <v>1274</v>
      </c>
      <c r="G20" s="180">
        <v>0.08</v>
      </c>
    </row>
    <row r="21" spans="1:7" x14ac:dyDescent="0.3">
      <c r="A21" t="s">
        <v>1290</v>
      </c>
      <c r="B21">
        <v>0.03</v>
      </c>
      <c r="C21">
        <v>0.05</v>
      </c>
      <c r="D21" t="s">
        <v>1456</v>
      </c>
      <c r="E21" t="s">
        <v>1452</v>
      </c>
      <c r="F21" t="s">
        <v>1290</v>
      </c>
      <c r="G21" s="180">
        <v>0.08</v>
      </c>
    </row>
    <row r="22" spans="1:7" x14ac:dyDescent="0.3">
      <c r="A22" t="s">
        <v>438</v>
      </c>
      <c r="B22">
        <v>0.03</v>
      </c>
      <c r="C22">
        <v>0.05</v>
      </c>
      <c r="D22" t="s">
        <v>1456</v>
      </c>
      <c r="E22" t="s">
        <v>1452</v>
      </c>
      <c r="F22" t="s">
        <v>438</v>
      </c>
      <c r="G22" s="180">
        <v>0.08</v>
      </c>
    </row>
    <row r="23" spans="1:7" x14ac:dyDescent="0.3">
      <c r="A23" t="s">
        <v>1334</v>
      </c>
      <c r="B23">
        <v>0.03</v>
      </c>
      <c r="C23">
        <v>0.05</v>
      </c>
      <c r="D23" t="s">
        <v>1456</v>
      </c>
      <c r="E23" t="s">
        <v>1452</v>
      </c>
      <c r="F23" t="s">
        <v>1334</v>
      </c>
      <c r="G23" s="180">
        <v>0.08</v>
      </c>
    </row>
    <row r="24" spans="1:7" x14ac:dyDescent="0.3">
      <c r="A24" t="s">
        <v>528</v>
      </c>
      <c r="B24">
        <v>0.03</v>
      </c>
      <c r="C24">
        <v>0.05</v>
      </c>
      <c r="D24" t="s">
        <v>1456</v>
      </c>
      <c r="E24" t="s">
        <v>1452</v>
      </c>
      <c r="F24" t="s">
        <v>528</v>
      </c>
      <c r="G24" s="180">
        <v>0.08</v>
      </c>
    </row>
    <row r="25" spans="1:7" x14ac:dyDescent="0.3">
      <c r="A25" t="s">
        <v>536</v>
      </c>
      <c r="B25">
        <v>0.03</v>
      </c>
      <c r="C25">
        <v>0.05</v>
      </c>
      <c r="D25" t="s">
        <v>1456</v>
      </c>
      <c r="E25" t="s">
        <v>1452</v>
      </c>
      <c r="F25" t="s">
        <v>536</v>
      </c>
      <c r="G25" s="180">
        <v>0.08</v>
      </c>
    </row>
    <row r="26" spans="1:7" x14ac:dyDescent="0.3">
      <c r="A26" t="s">
        <v>539</v>
      </c>
      <c r="B26">
        <v>0.03</v>
      </c>
      <c r="C26">
        <v>0.05</v>
      </c>
      <c r="D26" t="s">
        <v>1456</v>
      </c>
      <c r="E26" t="s">
        <v>1452</v>
      </c>
      <c r="F26" t="s">
        <v>539</v>
      </c>
      <c r="G26" s="180">
        <v>0.08</v>
      </c>
    </row>
    <row r="27" spans="1:7" x14ac:dyDescent="0.3">
      <c r="A27" t="s">
        <v>1383</v>
      </c>
      <c r="B27">
        <v>0.03</v>
      </c>
      <c r="C27">
        <v>0.05</v>
      </c>
      <c r="D27" t="s">
        <v>1456</v>
      </c>
      <c r="E27" t="s">
        <v>1452</v>
      </c>
      <c r="F27" t="s">
        <v>1383</v>
      </c>
      <c r="G27" s="180">
        <v>0.08</v>
      </c>
    </row>
    <row r="28" spans="1:7" x14ac:dyDescent="0.3">
      <c r="A28" t="s">
        <v>542</v>
      </c>
      <c r="B28">
        <v>0.03</v>
      </c>
      <c r="C28">
        <v>0.05</v>
      </c>
      <c r="D28" t="s">
        <v>1456</v>
      </c>
      <c r="E28" t="s">
        <v>1452</v>
      </c>
      <c r="F28" t="s">
        <v>542</v>
      </c>
      <c r="G28" s="180">
        <v>0.08</v>
      </c>
    </row>
    <row r="29" spans="1:7" x14ac:dyDescent="0.3">
      <c r="A29" t="s">
        <v>1401</v>
      </c>
      <c r="B29">
        <v>0.03</v>
      </c>
      <c r="C29">
        <v>0.05</v>
      </c>
      <c r="D29" t="s">
        <v>1456</v>
      </c>
      <c r="E29" t="s">
        <v>1452</v>
      </c>
      <c r="F29" t="s">
        <v>1401</v>
      </c>
      <c r="G29" s="180">
        <v>0.08</v>
      </c>
    </row>
    <row r="30" spans="1:7" x14ac:dyDescent="0.3">
      <c r="A30" t="s">
        <v>1409</v>
      </c>
      <c r="B30">
        <v>0.03</v>
      </c>
      <c r="C30">
        <v>0.05</v>
      </c>
      <c r="D30" t="s">
        <v>1456</v>
      </c>
      <c r="E30" t="s">
        <v>1452</v>
      </c>
      <c r="F30" t="s">
        <v>1409</v>
      </c>
      <c r="G30" s="180">
        <v>0.08</v>
      </c>
    </row>
    <row r="31" spans="1:7" x14ac:dyDescent="0.3">
      <c r="A31" t="s">
        <v>1412</v>
      </c>
      <c r="B31">
        <v>0.03</v>
      </c>
      <c r="C31">
        <v>0.05</v>
      </c>
      <c r="D31" t="s">
        <v>1456</v>
      </c>
      <c r="E31" t="s">
        <v>1452</v>
      </c>
      <c r="F31" t="s">
        <v>1412</v>
      </c>
      <c r="G31" s="180">
        <v>0.08</v>
      </c>
    </row>
    <row r="32" spans="1:7" x14ac:dyDescent="0.3">
      <c r="A32" t="s">
        <v>1003</v>
      </c>
      <c r="B32">
        <v>0.03</v>
      </c>
      <c r="C32">
        <v>0.05</v>
      </c>
      <c r="D32" t="s">
        <v>1456</v>
      </c>
      <c r="E32" t="s">
        <v>1452</v>
      </c>
      <c r="F32" t="s">
        <v>1003</v>
      </c>
      <c r="G32" s="180">
        <v>0.08</v>
      </c>
    </row>
    <row r="33" spans="1:7" x14ac:dyDescent="0.3">
      <c r="A33" t="s">
        <v>397</v>
      </c>
      <c r="B33">
        <v>0.03</v>
      </c>
      <c r="C33">
        <v>0.05</v>
      </c>
      <c r="D33" t="s">
        <v>1456</v>
      </c>
      <c r="E33" t="s">
        <v>1452</v>
      </c>
      <c r="F33" t="s">
        <v>397</v>
      </c>
      <c r="G33" s="180">
        <v>0.08</v>
      </c>
    </row>
    <row r="34" spans="1:7" x14ac:dyDescent="0.3">
      <c r="A34" t="s">
        <v>1026</v>
      </c>
      <c r="B34">
        <v>0.03</v>
      </c>
      <c r="C34">
        <v>0.05</v>
      </c>
      <c r="D34" t="s">
        <v>1456</v>
      </c>
      <c r="E34" t="s">
        <v>1452</v>
      </c>
      <c r="F34" t="s">
        <v>1026</v>
      </c>
      <c r="G34" s="180">
        <v>0.08</v>
      </c>
    </row>
    <row r="35" spans="1:7" x14ac:dyDescent="0.3">
      <c r="A35" t="s">
        <v>1043</v>
      </c>
      <c r="B35">
        <v>0.03</v>
      </c>
      <c r="C35">
        <v>0.05</v>
      </c>
      <c r="D35" t="s">
        <v>1456</v>
      </c>
      <c r="E35" t="s">
        <v>1452</v>
      </c>
      <c r="F35" s="558" t="s">
        <v>1043</v>
      </c>
      <c r="G35" s="180">
        <v>0.08</v>
      </c>
    </row>
    <row r="36" spans="1:7" x14ac:dyDescent="0.3">
      <c r="A36" t="s">
        <v>1085</v>
      </c>
      <c r="B36" t="s">
        <v>461</v>
      </c>
      <c r="C36">
        <v>0.05</v>
      </c>
      <c r="D36" t="s">
        <v>1451</v>
      </c>
      <c r="F36" t="s">
        <v>1085</v>
      </c>
      <c r="G36">
        <v>7.0000000000000007E-2</v>
      </c>
    </row>
    <row r="37" spans="1:7" x14ac:dyDescent="0.3">
      <c r="A37" t="s">
        <v>1125</v>
      </c>
      <c r="B37">
        <v>0.15</v>
      </c>
      <c r="C37" t="s">
        <v>461</v>
      </c>
      <c r="D37" t="s">
        <v>1451</v>
      </c>
      <c r="F37" t="s">
        <v>1125</v>
      </c>
      <c r="G37" s="180">
        <v>7.0000000000000007E-2</v>
      </c>
    </row>
    <row r="38" spans="1:7" x14ac:dyDescent="0.3">
      <c r="A38" t="s">
        <v>1152</v>
      </c>
      <c r="B38">
        <v>0.05</v>
      </c>
      <c r="C38" t="s">
        <v>461</v>
      </c>
      <c r="D38" t="s">
        <v>1451</v>
      </c>
      <c r="F38" t="s">
        <v>1152</v>
      </c>
      <c r="G38" s="180">
        <v>7.0000000000000007E-2</v>
      </c>
    </row>
    <row r="39" spans="1:7" x14ac:dyDescent="0.3">
      <c r="A39" t="s">
        <v>1168</v>
      </c>
      <c r="B39">
        <v>0.03</v>
      </c>
      <c r="C39" t="s">
        <v>461</v>
      </c>
      <c r="D39" t="s">
        <v>1451</v>
      </c>
      <c r="F39" t="s">
        <v>1168</v>
      </c>
      <c r="G39" s="180">
        <v>7.0000000000000007E-2</v>
      </c>
    </row>
    <row r="40" spans="1:7" x14ac:dyDescent="0.3">
      <c r="A40" t="s">
        <v>1179</v>
      </c>
      <c r="B40">
        <v>0.03</v>
      </c>
      <c r="C40" t="s">
        <v>461</v>
      </c>
      <c r="D40" t="s">
        <v>1451</v>
      </c>
      <c r="F40" t="s">
        <v>1179</v>
      </c>
      <c r="G40" s="180">
        <v>7.0000000000000007E-2</v>
      </c>
    </row>
    <row r="41" spans="1:7" x14ac:dyDescent="0.3">
      <c r="A41" t="s">
        <v>1215</v>
      </c>
      <c r="B41">
        <v>0.03</v>
      </c>
      <c r="C41" t="s">
        <v>461</v>
      </c>
      <c r="D41" t="s">
        <v>1451</v>
      </c>
      <c r="F41" t="s">
        <v>1215</v>
      </c>
      <c r="G41" s="180">
        <v>7.0000000000000007E-2</v>
      </c>
    </row>
    <row r="42" spans="1:7" x14ac:dyDescent="0.3">
      <c r="A42" t="s">
        <v>1221</v>
      </c>
      <c r="B42">
        <v>0.03</v>
      </c>
      <c r="C42" t="s">
        <v>461</v>
      </c>
      <c r="D42" t="s">
        <v>1451</v>
      </c>
      <c r="F42" t="s">
        <v>1221</v>
      </c>
      <c r="G42" s="180">
        <v>7.0000000000000007E-2</v>
      </c>
    </row>
    <row r="43" spans="1:7" x14ac:dyDescent="0.3">
      <c r="A43" t="s">
        <v>396</v>
      </c>
      <c r="B43" t="s">
        <v>461</v>
      </c>
      <c r="C43" t="s">
        <v>461</v>
      </c>
      <c r="D43" t="s">
        <v>1451</v>
      </c>
      <c r="F43" t="s">
        <v>396</v>
      </c>
      <c r="G43" s="180">
        <v>7.0000000000000007E-2</v>
      </c>
    </row>
    <row r="44" spans="1:7" x14ac:dyDescent="0.3">
      <c r="A44" t="s">
        <v>1244</v>
      </c>
      <c r="B44" t="s">
        <v>461</v>
      </c>
      <c r="C44" t="s">
        <v>461</v>
      </c>
      <c r="D44" t="s">
        <v>1451</v>
      </c>
      <c r="F44" t="s">
        <v>1244</v>
      </c>
      <c r="G44" s="180">
        <v>7.0000000000000007E-2</v>
      </c>
    </row>
    <row r="45" spans="1:7" x14ac:dyDescent="0.3">
      <c r="A45" t="s">
        <v>1269</v>
      </c>
      <c r="B45" t="s">
        <v>461</v>
      </c>
      <c r="C45" t="s">
        <v>461</v>
      </c>
      <c r="D45" t="s">
        <v>1451</v>
      </c>
      <c r="F45" t="s">
        <v>1269</v>
      </c>
      <c r="G45" s="180">
        <v>7.0000000000000007E-2</v>
      </c>
    </row>
    <row r="46" spans="1:7" x14ac:dyDescent="0.3">
      <c r="A46" t="s">
        <v>1281</v>
      </c>
      <c r="B46">
        <v>0.03</v>
      </c>
      <c r="C46">
        <v>0.03</v>
      </c>
      <c r="D46" t="s">
        <v>1451</v>
      </c>
      <c r="F46" t="s">
        <v>1281</v>
      </c>
      <c r="G46" s="180">
        <v>7.0000000000000007E-2</v>
      </c>
    </row>
    <row r="47" spans="1:7" x14ac:dyDescent="0.3">
      <c r="A47" t="s">
        <v>1285</v>
      </c>
      <c r="B47" t="s">
        <v>461</v>
      </c>
      <c r="C47" t="s">
        <v>461</v>
      </c>
      <c r="D47" t="s">
        <v>1451</v>
      </c>
      <c r="F47" t="s">
        <v>1285</v>
      </c>
      <c r="G47" s="180">
        <v>7.0000000000000007E-2</v>
      </c>
    </row>
    <row r="48" spans="1:7" x14ac:dyDescent="0.3">
      <c r="A48" t="s">
        <v>1295</v>
      </c>
      <c r="B48">
        <v>0.03</v>
      </c>
      <c r="C48" t="s">
        <v>461</v>
      </c>
      <c r="D48" t="s">
        <v>1451</v>
      </c>
      <c r="F48" t="s">
        <v>1295</v>
      </c>
      <c r="G48" s="180">
        <v>7.0000000000000007E-2</v>
      </c>
    </row>
    <row r="49" spans="1:7" x14ac:dyDescent="0.3">
      <c r="A49" t="s">
        <v>1320</v>
      </c>
      <c r="B49">
        <v>0.01</v>
      </c>
      <c r="C49" t="s">
        <v>461</v>
      </c>
      <c r="D49" t="s">
        <v>1451</v>
      </c>
      <c r="F49" t="s">
        <v>1320</v>
      </c>
      <c r="G49" s="180">
        <v>7.0000000000000007E-2</v>
      </c>
    </row>
    <row r="50" spans="1:7" x14ac:dyDescent="0.3">
      <c r="A50" t="s">
        <v>1324</v>
      </c>
      <c r="B50" t="s">
        <v>461</v>
      </c>
      <c r="C50" t="s">
        <v>461</v>
      </c>
      <c r="D50" t="s">
        <v>1451</v>
      </c>
      <c r="F50" t="s">
        <v>1324</v>
      </c>
      <c r="G50" s="180">
        <v>7.0000000000000007E-2</v>
      </c>
    </row>
    <row r="51" spans="1:7" x14ac:dyDescent="0.3">
      <c r="A51" t="s">
        <v>1337</v>
      </c>
      <c r="B51" t="s">
        <v>461</v>
      </c>
      <c r="C51" t="s">
        <v>461</v>
      </c>
      <c r="D51" t="s">
        <v>1451</v>
      </c>
      <c r="F51" t="s">
        <v>1337</v>
      </c>
      <c r="G51" s="180">
        <v>7.0000000000000007E-2</v>
      </c>
    </row>
    <row r="52" spans="1:7" x14ac:dyDescent="0.3">
      <c r="A52" t="s">
        <v>1362</v>
      </c>
      <c r="B52" t="s">
        <v>461</v>
      </c>
      <c r="C52" t="s">
        <v>461</v>
      </c>
      <c r="D52" t="s">
        <v>1451</v>
      </c>
      <c r="F52" t="s">
        <v>1362</v>
      </c>
      <c r="G52" s="180">
        <v>7.0000000000000007E-2</v>
      </c>
    </row>
    <row r="53" spans="1:7" x14ac:dyDescent="0.3">
      <c r="A53" t="s">
        <v>1406</v>
      </c>
      <c r="B53">
        <v>0.03</v>
      </c>
      <c r="C53" t="s">
        <v>461</v>
      </c>
      <c r="D53" t="s">
        <v>1451</v>
      </c>
      <c r="F53" t="s">
        <v>1406</v>
      </c>
      <c r="G53" s="180">
        <v>7.0000000000000007E-2</v>
      </c>
    </row>
    <row r="54" spans="1:7" x14ac:dyDescent="0.3">
      <c r="A54" t="s">
        <v>989</v>
      </c>
      <c r="B54" t="s">
        <v>461</v>
      </c>
      <c r="C54" t="s">
        <v>461</v>
      </c>
      <c r="D54" t="s">
        <v>1451</v>
      </c>
      <c r="F54" s="558" t="s">
        <v>989</v>
      </c>
      <c r="G54" s="180">
        <v>7.0000000000000007E-2</v>
      </c>
    </row>
    <row r="55" spans="1:7" x14ac:dyDescent="0.3">
      <c r="A55" t="s">
        <v>480</v>
      </c>
      <c r="B55" t="s">
        <v>461</v>
      </c>
      <c r="C55" t="s">
        <v>461</v>
      </c>
      <c r="D55" t="s">
        <v>1547</v>
      </c>
      <c r="F55" t="s">
        <v>480</v>
      </c>
      <c r="G55">
        <v>0.09</v>
      </c>
    </row>
    <row r="56" spans="1:7" x14ac:dyDescent="0.3">
      <c r="A56" t="s">
        <v>1163</v>
      </c>
      <c r="B56" t="s">
        <v>461</v>
      </c>
      <c r="C56" t="s">
        <v>461</v>
      </c>
      <c r="D56" t="s">
        <v>1547</v>
      </c>
      <c r="F56" t="s">
        <v>1163</v>
      </c>
      <c r="G56" s="180">
        <v>0.09</v>
      </c>
    </row>
    <row r="57" spans="1:7" x14ac:dyDescent="0.3">
      <c r="A57" t="s">
        <v>811</v>
      </c>
      <c r="B57" t="s">
        <v>461</v>
      </c>
      <c r="C57" t="s">
        <v>461</v>
      </c>
      <c r="D57" t="s">
        <v>1547</v>
      </c>
      <c r="F57" t="s">
        <v>811</v>
      </c>
      <c r="G57" s="180">
        <v>0.09</v>
      </c>
    </row>
    <row r="58" spans="1:7" x14ac:dyDescent="0.3">
      <c r="A58" t="s">
        <v>497</v>
      </c>
      <c r="B58" t="s">
        <v>461</v>
      </c>
      <c r="C58" t="s">
        <v>461</v>
      </c>
      <c r="D58" t="s">
        <v>1547</v>
      </c>
      <c r="F58" t="s">
        <v>497</v>
      </c>
      <c r="G58" s="180">
        <v>0.09</v>
      </c>
    </row>
    <row r="59" spans="1:7" x14ac:dyDescent="0.3">
      <c r="A59" t="s">
        <v>1201</v>
      </c>
      <c r="B59" t="s">
        <v>461</v>
      </c>
      <c r="C59" t="s">
        <v>461</v>
      </c>
      <c r="D59" t="s">
        <v>1547</v>
      </c>
      <c r="F59" t="s">
        <v>1201</v>
      </c>
      <c r="G59" s="180">
        <v>0.09</v>
      </c>
    </row>
    <row r="60" spans="1:7" x14ac:dyDescent="0.3">
      <c r="A60" t="s">
        <v>1204</v>
      </c>
      <c r="B60" t="s">
        <v>461</v>
      </c>
      <c r="C60" t="s">
        <v>461</v>
      </c>
      <c r="D60" t="s">
        <v>1547</v>
      </c>
      <c r="F60" t="s">
        <v>1204</v>
      </c>
      <c r="G60" s="180">
        <v>0.09</v>
      </c>
    </row>
    <row r="61" spans="1:7" x14ac:dyDescent="0.3">
      <c r="A61" t="s">
        <v>1206</v>
      </c>
      <c r="B61" t="s">
        <v>461</v>
      </c>
      <c r="C61" t="s">
        <v>461</v>
      </c>
      <c r="D61" t="s">
        <v>1547</v>
      </c>
      <c r="F61" t="s">
        <v>1206</v>
      </c>
      <c r="G61" s="180">
        <v>0.09</v>
      </c>
    </row>
    <row r="62" spans="1:7" x14ac:dyDescent="0.3">
      <c r="A62" t="s">
        <v>1236</v>
      </c>
      <c r="B62" t="s">
        <v>461</v>
      </c>
      <c r="C62" t="s">
        <v>461</v>
      </c>
      <c r="D62" t="s">
        <v>1547</v>
      </c>
      <c r="F62" t="s">
        <v>1236</v>
      </c>
      <c r="G62" s="180">
        <v>0.09</v>
      </c>
    </row>
    <row r="63" spans="1:7" x14ac:dyDescent="0.3">
      <c r="A63" t="s">
        <v>1258</v>
      </c>
      <c r="B63" t="s">
        <v>461</v>
      </c>
      <c r="C63" t="s">
        <v>461</v>
      </c>
      <c r="D63" t="s">
        <v>1547</v>
      </c>
      <c r="F63" t="s">
        <v>1258</v>
      </c>
      <c r="G63" s="180">
        <v>0.09</v>
      </c>
    </row>
    <row r="64" spans="1:7" x14ac:dyDescent="0.3">
      <c r="A64" s="566" t="s">
        <v>437</v>
      </c>
      <c r="B64" s="558" t="s">
        <v>461</v>
      </c>
      <c r="C64" s="558" t="s">
        <v>461</v>
      </c>
      <c r="D64" s="558" t="s">
        <v>1547</v>
      </c>
      <c r="E64" s="558"/>
      <c r="F64" s="558" t="s">
        <v>437</v>
      </c>
      <c r="G64" s="180">
        <v>0.09</v>
      </c>
    </row>
    <row r="65" spans="1:7" x14ac:dyDescent="0.3">
      <c r="A65" t="s">
        <v>439</v>
      </c>
      <c r="B65" t="s">
        <v>461</v>
      </c>
      <c r="C65" t="s">
        <v>461</v>
      </c>
      <c r="D65" t="s">
        <v>1547</v>
      </c>
      <c r="F65" t="s">
        <v>439</v>
      </c>
      <c r="G65" s="180">
        <v>0.09</v>
      </c>
    </row>
    <row r="66" spans="1:7" x14ac:dyDescent="0.3">
      <c r="A66" t="s">
        <v>526</v>
      </c>
      <c r="B66" t="s">
        <v>461</v>
      </c>
      <c r="C66" t="s">
        <v>461</v>
      </c>
      <c r="D66" t="s">
        <v>1547</v>
      </c>
      <c r="F66" t="s">
        <v>526</v>
      </c>
      <c r="G66" s="180">
        <v>0.09</v>
      </c>
    </row>
    <row r="67" spans="1:7" x14ac:dyDescent="0.3">
      <c r="A67" t="s">
        <v>1361</v>
      </c>
      <c r="B67" t="s">
        <v>461</v>
      </c>
      <c r="C67" t="s">
        <v>461</v>
      </c>
      <c r="D67" t="s">
        <v>1547</v>
      </c>
      <c r="F67" t="s">
        <v>1361</v>
      </c>
      <c r="G67" s="180">
        <v>0.09</v>
      </c>
    </row>
    <row r="68" spans="1:7" x14ac:dyDescent="0.3">
      <c r="A68" t="s">
        <v>544</v>
      </c>
      <c r="B68" t="s">
        <v>461</v>
      </c>
      <c r="C68" t="s">
        <v>461</v>
      </c>
      <c r="D68" t="s">
        <v>1547</v>
      </c>
      <c r="F68" t="s">
        <v>544</v>
      </c>
      <c r="G68" s="180">
        <v>0.09</v>
      </c>
    </row>
    <row r="69" spans="1:7" s="180" customFormat="1" x14ac:dyDescent="0.3">
      <c r="A69" s="566" t="s">
        <v>987</v>
      </c>
      <c r="B69" t="s">
        <v>461</v>
      </c>
      <c r="C69" t="s">
        <v>461</v>
      </c>
      <c r="D69" s="180" t="s">
        <v>1547</v>
      </c>
      <c r="F69" t="s">
        <v>987</v>
      </c>
      <c r="G69" s="180">
        <v>0.09</v>
      </c>
    </row>
    <row r="70" spans="1:7" x14ac:dyDescent="0.3">
      <c r="A70" t="s">
        <v>1024</v>
      </c>
      <c r="B70" t="s">
        <v>461</v>
      </c>
      <c r="C70" t="s">
        <v>461</v>
      </c>
      <c r="D70" t="s">
        <v>1547</v>
      </c>
      <c r="F70" t="s">
        <v>1024</v>
      </c>
      <c r="G70" s="180">
        <v>0.09</v>
      </c>
    </row>
    <row r="71" spans="1:7" x14ac:dyDescent="0.3">
      <c r="A71" t="s">
        <v>1030</v>
      </c>
      <c r="B71" t="s">
        <v>461</v>
      </c>
      <c r="C71" t="s">
        <v>461</v>
      </c>
      <c r="D71" t="s">
        <v>1547</v>
      </c>
      <c r="F71" t="s">
        <v>1030</v>
      </c>
      <c r="G71" s="180">
        <v>0.09</v>
      </c>
    </row>
    <row r="72" spans="1:7" x14ac:dyDescent="0.3">
      <c r="A72" t="s">
        <v>1045</v>
      </c>
      <c r="B72" t="s">
        <v>461</v>
      </c>
      <c r="C72" t="s">
        <v>461</v>
      </c>
      <c r="D72" t="s">
        <v>1547</v>
      </c>
      <c r="F72" t="s">
        <v>1045</v>
      </c>
      <c r="G72" s="180">
        <v>0.09</v>
      </c>
    </row>
    <row r="73" spans="1:7" x14ac:dyDescent="0.3">
      <c r="A73" t="s">
        <v>1048</v>
      </c>
      <c r="B73" t="s">
        <v>461</v>
      </c>
      <c r="C73" t="s">
        <v>461</v>
      </c>
      <c r="D73" t="s">
        <v>1547</v>
      </c>
      <c r="F73" t="s">
        <v>1048</v>
      </c>
      <c r="G73" s="180">
        <v>0.09</v>
      </c>
    </row>
    <row r="89" spans="6:6" x14ac:dyDescent="0.3">
      <c r="F89" t="s">
        <v>349</v>
      </c>
    </row>
    <row r="90" spans="6:6" x14ac:dyDescent="0.3">
      <c r="F90" t="s">
        <v>349</v>
      </c>
    </row>
    <row r="91" spans="6:6" x14ac:dyDescent="0.3">
      <c r="F91" t="s">
        <v>349</v>
      </c>
    </row>
  </sheetData>
  <sortState xmlns:xlrd2="http://schemas.microsoft.com/office/spreadsheetml/2017/richdata2" ref="F55:F88">
    <sortCondition ref="F55:F88"/>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59C7-D101-4FF8-B13C-F4FADB068718}">
  <sheetPr codeName="Sheet13" filterMode="1"/>
  <dimension ref="A1:M150"/>
  <sheetViews>
    <sheetView topLeftCell="A113" workbookViewId="0">
      <selection activeCell="N145" sqref="N145"/>
    </sheetView>
  </sheetViews>
  <sheetFormatPr defaultRowHeight="14.4" x14ac:dyDescent="0.3"/>
  <cols>
    <col min="1" max="1" width="20.6640625" style="606" customWidth="1"/>
    <col min="2" max="2" width="24.6640625" style="606" customWidth="1"/>
    <col min="3" max="3" width="11.33203125" style="791" customWidth="1"/>
    <col min="4" max="4" width="12.109375" style="607" customWidth="1"/>
    <col min="5" max="5" width="14.33203125" style="607" customWidth="1"/>
    <col min="6" max="6" width="3.44140625" style="606" customWidth="1"/>
    <col min="7" max="7" width="17.33203125" style="606" customWidth="1"/>
    <col min="8" max="8" width="2.109375" style="606" customWidth="1"/>
    <col min="9" max="9" width="7.5546875" style="791" customWidth="1"/>
    <col min="10" max="10" width="12.109375" style="607" customWidth="1"/>
    <col min="11" max="11" width="14.33203125" style="607" customWidth="1"/>
    <col min="12" max="251" width="8.88671875" style="606"/>
    <col min="252" max="252" width="15.88671875" style="606" customWidth="1"/>
    <col min="253" max="253" width="2.109375" style="606" customWidth="1"/>
    <col min="254" max="254" width="7.5546875" style="606" customWidth="1"/>
    <col min="255" max="255" width="12.109375" style="606" customWidth="1"/>
    <col min="256" max="256" width="14.33203125" style="606" customWidth="1"/>
    <col min="257" max="257" width="3.44140625" style="606" customWidth="1"/>
    <col min="258" max="258" width="17.33203125" style="606" customWidth="1"/>
    <col min="259" max="259" width="2.109375" style="606" customWidth="1"/>
    <col min="260" max="260" width="7.5546875" style="606" customWidth="1"/>
    <col min="261" max="261" width="12.109375" style="606" customWidth="1"/>
    <col min="262" max="262" width="14.33203125" style="606" customWidth="1"/>
    <col min="263" max="263" width="42.5546875" style="606" customWidth="1"/>
    <col min="264" max="507" width="8.88671875" style="606"/>
    <col min="508" max="508" width="15.88671875" style="606" customWidth="1"/>
    <col min="509" max="509" width="2.109375" style="606" customWidth="1"/>
    <col min="510" max="510" width="7.5546875" style="606" customWidth="1"/>
    <col min="511" max="511" width="12.109375" style="606" customWidth="1"/>
    <col min="512" max="512" width="14.33203125" style="606" customWidth="1"/>
    <col min="513" max="513" width="3.44140625" style="606" customWidth="1"/>
    <col min="514" max="514" width="17.33203125" style="606" customWidth="1"/>
    <col min="515" max="515" width="2.109375" style="606" customWidth="1"/>
    <col min="516" max="516" width="7.5546875" style="606" customWidth="1"/>
    <col min="517" max="517" width="12.109375" style="606" customWidth="1"/>
    <col min="518" max="518" width="14.33203125" style="606" customWidth="1"/>
    <col min="519" max="519" width="42.5546875" style="606" customWidth="1"/>
    <col min="520" max="763" width="8.88671875" style="606"/>
    <col min="764" max="764" width="15.88671875" style="606" customWidth="1"/>
    <col min="765" max="765" width="2.109375" style="606" customWidth="1"/>
    <col min="766" max="766" width="7.5546875" style="606" customWidth="1"/>
    <col min="767" max="767" width="12.109375" style="606" customWidth="1"/>
    <col min="768" max="768" width="14.33203125" style="606" customWidth="1"/>
    <col min="769" max="769" width="3.44140625" style="606" customWidth="1"/>
    <col min="770" max="770" width="17.33203125" style="606" customWidth="1"/>
    <col min="771" max="771" width="2.109375" style="606" customWidth="1"/>
    <col min="772" max="772" width="7.5546875" style="606" customWidth="1"/>
    <col min="773" max="773" width="12.109375" style="606" customWidth="1"/>
    <col min="774" max="774" width="14.33203125" style="606" customWidth="1"/>
    <col min="775" max="775" width="42.5546875" style="606" customWidth="1"/>
    <col min="776" max="1019" width="8.88671875" style="606"/>
    <col min="1020" max="1020" width="15.88671875" style="606" customWidth="1"/>
    <col min="1021" max="1021" width="2.109375" style="606" customWidth="1"/>
    <col min="1022" max="1022" width="7.5546875" style="606" customWidth="1"/>
    <col min="1023" max="1023" width="12.109375" style="606" customWidth="1"/>
    <col min="1024" max="1024" width="14.33203125" style="606" customWidth="1"/>
    <col min="1025" max="1025" width="3.44140625" style="606" customWidth="1"/>
    <col min="1026" max="1026" width="17.33203125" style="606" customWidth="1"/>
    <col min="1027" max="1027" width="2.109375" style="606" customWidth="1"/>
    <col min="1028" max="1028" width="7.5546875" style="606" customWidth="1"/>
    <col min="1029" max="1029" width="12.109375" style="606" customWidth="1"/>
    <col min="1030" max="1030" width="14.33203125" style="606" customWidth="1"/>
    <col min="1031" max="1031" width="42.5546875" style="606" customWidth="1"/>
    <col min="1032" max="1275" width="8.88671875" style="606"/>
    <col min="1276" max="1276" width="15.88671875" style="606" customWidth="1"/>
    <col min="1277" max="1277" width="2.109375" style="606" customWidth="1"/>
    <col min="1278" max="1278" width="7.5546875" style="606" customWidth="1"/>
    <col min="1279" max="1279" width="12.109375" style="606" customWidth="1"/>
    <col min="1280" max="1280" width="14.33203125" style="606" customWidth="1"/>
    <col min="1281" max="1281" width="3.44140625" style="606" customWidth="1"/>
    <col min="1282" max="1282" width="17.33203125" style="606" customWidth="1"/>
    <col min="1283" max="1283" width="2.109375" style="606" customWidth="1"/>
    <col min="1284" max="1284" width="7.5546875" style="606" customWidth="1"/>
    <col min="1285" max="1285" width="12.109375" style="606" customWidth="1"/>
    <col min="1286" max="1286" width="14.33203125" style="606" customWidth="1"/>
    <col min="1287" max="1287" width="42.5546875" style="606" customWidth="1"/>
    <col min="1288" max="1531" width="8.88671875" style="606"/>
    <col min="1532" max="1532" width="15.88671875" style="606" customWidth="1"/>
    <col min="1533" max="1533" width="2.109375" style="606" customWidth="1"/>
    <col min="1534" max="1534" width="7.5546875" style="606" customWidth="1"/>
    <col min="1535" max="1535" width="12.109375" style="606" customWidth="1"/>
    <col min="1536" max="1536" width="14.33203125" style="606" customWidth="1"/>
    <col min="1537" max="1537" width="3.44140625" style="606" customWidth="1"/>
    <col min="1538" max="1538" width="17.33203125" style="606" customWidth="1"/>
    <col min="1539" max="1539" width="2.109375" style="606" customWidth="1"/>
    <col min="1540" max="1540" width="7.5546875" style="606" customWidth="1"/>
    <col min="1541" max="1541" width="12.109375" style="606" customWidth="1"/>
    <col min="1542" max="1542" width="14.33203125" style="606" customWidth="1"/>
    <col min="1543" max="1543" width="42.5546875" style="606" customWidth="1"/>
    <col min="1544" max="1787" width="8.88671875" style="606"/>
    <col min="1788" max="1788" width="15.88671875" style="606" customWidth="1"/>
    <col min="1789" max="1789" width="2.109375" style="606" customWidth="1"/>
    <col min="1790" max="1790" width="7.5546875" style="606" customWidth="1"/>
    <col min="1791" max="1791" width="12.109375" style="606" customWidth="1"/>
    <col min="1792" max="1792" width="14.33203125" style="606" customWidth="1"/>
    <col min="1793" max="1793" width="3.44140625" style="606" customWidth="1"/>
    <col min="1794" max="1794" width="17.33203125" style="606" customWidth="1"/>
    <col min="1795" max="1795" width="2.109375" style="606" customWidth="1"/>
    <col min="1796" max="1796" width="7.5546875" style="606" customWidth="1"/>
    <col min="1797" max="1797" width="12.109375" style="606" customWidth="1"/>
    <col min="1798" max="1798" width="14.33203125" style="606" customWidth="1"/>
    <col min="1799" max="1799" width="42.5546875" style="606" customWidth="1"/>
    <col min="1800" max="2043" width="8.88671875" style="606"/>
    <col min="2044" max="2044" width="15.88671875" style="606" customWidth="1"/>
    <col min="2045" max="2045" width="2.109375" style="606" customWidth="1"/>
    <col min="2046" max="2046" width="7.5546875" style="606" customWidth="1"/>
    <col min="2047" max="2047" width="12.109375" style="606" customWidth="1"/>
    <col min="2048" max="2048" width="14.33203125" style="606" customWidth="1"/>
    <col min="2049" max="2049" width="3.44140625" style="606" customWidth="1"/>
    <col min="2050" max="2050" width="17.33203125" style="606" customWidth="1"/>
    <col min="2051" max="2051" width="2.109375" style="606" customWidth="1"/>
    <col min="2052" max="2052" width="7.5546875" style="606" customWidth="1"/>
    <col min="2053" max="2053" width="12.109375" style="606" customWidth="1"/>
    <col min="2054" max="2054" width="14.33203125" style="606" customWidth="1"/>
    <col min="2055" max="2055" width="42.5546875" style="606" customWidth="1"/>
    <col min="2056" max="2299" width="8.88671875" style="606"/>
    <col min="2300" max="2300" width="15.88671875" style="606" customWidth="1"/>
    <col min="2301" max="2301" width="2.109375" style="606" customWidth="1"/>
    <col min="2302" max="2302" width="7.5546875" style="606" customWidth="1"/>
    <col min="2303" max="2303" width="12.109375" style="606" customWidth="1"/>
    <col min="2304" max="2304" width="14.33203125" style="606" customWidth="1"/>
    <col min="2305" max="2305" width="3.44140625" style="606" customWidth="1"/>
    <col min="2306" max="2306" width="17.33203125" style="606" customWidth="1"/>
    <col min="2307" max="2307" width="2.109375" style="606" customWidth="1"/>
    <col min="2308" max="2308" width="7.5546875" style="606" customWidth="1"/>
    <col min="2309" max="2309" width="12.109375" style="606" customWidth="1"/>
    <col min="2310" max="2310" width="14.33203125" style="606" customWidth="1"/>
    <col min="2311" max="2311" width="42.5546875" style="606" customWidth="1"/>
    <col min="2312" max="2555" width="8.88671875" style="606"/>
    <col min="2556" max="2556" width="15.88671875" style="606" customWidth="1"/>
    <col min="2557" max="2557" width="2.109375" style="606" customWidth="1"/>
    <col min="2558" max="2558" width="7.5546875" style="606" customWidth="1"/>
    <col min="2559" max="2559" width="12.109375" style="606" customWidth="1"/>
    <col min="2560" max="2560" width="14.33203125" style="606" customWidth="1"/>
    <col min="2561" max="2561" width="3.44140625" style="606" customWidth="1"/>
    <col min="2562" max="2562" width="17.33203125" style="606" customWidth="1"/>
    <col min="2563" max="2563" width="2.109375" style="606" customWidth="1"/>
    <col min="2564" max="2564" width="7.5546875" style="606" customWidth="1"/>
    <col min="2565" max="2565" width="12.109375" style="606" customWidth="1"/>
    <col min="2566" max="2566" width="14.33203125" style="606" customWidth="1"/>
    <col min="2567" max="2567" width="42.5546875" style="606" customWidth="1"/>
    <col min="2568" max="2811" width="8.88671875" style="606"/>
    <col min="2812" max="2812" width="15.88671875" style="606" customWidth="1"/>
    <col min="2813" max="2813" width="2.109375" style="606" customWidth="1"/>
    <col min="2814" max="2814" width="7.5546875" style="606" customWidth="1"/>
    <col min="2815" max="2815" width="12.109375" style="606" customWidth="1"/>
    <col min="2816" max="2816" width="14.33203125" style="606" customWidth="1"/>
    <col min="2817" max="2817" width="3.44140625" style="606" customWidth="1"/>
    <col min="2818" max="2818" width="17.33203125" style="606" customWidth="1"/>
    <col min="2819" max="2819" width="2.109375" style="606" customWidth="1"/>
    <col min="2820" max="2820" width="7.5546875" style="606" customWidth="1"/>
    <col min="2821" max="2821" width="12.109375" style="606" customWidth="1"/>
    <col min="2822" max="2822" width="14.33203125" style="606" customWidth="1"/>
    <col min="2823" max="2823" width="42.5546875" style="606" customWidth="1"/>
    <col min="2824" max="3067" width="8.88671875" style="606"/>
    <col min="3068" max="3068" width="15.88671875" style="606" customWidth="1"/>
    <col min="3069" max="3069" width="2.109375" style="606" customWidth="1"/>
    <col min="3070" max="3070" width="7.5546875" style="606" customWidth="1"/>
    <col min="3071" max="3071" width="12.109375" style="606" customWidth="1"/>
    <col min="3072" max="3072" width="14.33203125" style="606" customWidth="1"/>
    <col min="3073" max="3073" width="3.44140625" style="606" customWidth="1"/>
    <col min="3074" max="3074" width="17.33203125" style="606" customWidth="1"/>
    <col min="3075" max="3075" width="2.109375" style="606" customWidth="1"/>
    <col min="3076" max="3076" width="7.5546875" style="606" customWidth="1"/>
    <col min="3077" max="3077" width="12.109375" style="606" customWidth="1"/>
    <col min="3078" max="3078" width="14.33203125" style="606" customWidth="1"/>
    <col min="3079" max="3079" width="42.5546875" style="606" customWidth="1"/>
    <col min="3080" max="3323" width="8.88671875" style="606"/>
    <col min="3324" max="3324" width="15.88671875" style="606" customWidth="1"/>
    <col min="3325" max="3325" width="2.109375" style="606" customWidth="1"/>
    <col min="3326" max="3326" width="7.5546875" style="606" customWidth="1"/>
    <col min="3327" max="3327" width="12.109375" style="606" customWidth="1"/>
    <col min="3328" max="3328" width="14.33203125" style="606" customWidth="1"/>
    <col min="3329" max="3329" width="3.44140625" style="606" customWidth="1"/>
    <col min="3330" max="3330" width="17.33203125" style="606" customWidth="1"/>
    <col min="3331" max="3331" width="2.109375" style="606" customWidth="1"/>
    <col min="3332" max="3332" width="7.5546875" style="606" customWidth="1"/>
    <col min="3333" max="3333" width="12.109375" style="606" customWidth="1"/>
    <col min="3334" max="3334" width="14.33203125" style="606" customWidth="1"/>
    <col min="3335" max="3335" width="42.5546875" style="606" customWidth="1"/>
    <col min="3336" max="3579" width="8.88671875" style="606"/>
    <col min="3580" max="3580" width="15.88671875" style="606" customWidth="1"/>
    <col min="3581" max="3581" width="2.109375" style="606" customWidth="1"/>
    <col min="3582" max="3582" width="7.5546875" style="606" customWidth="1"/>
    <col min="3583" max="3583" width="12.109375" style="606" customWidth="1"/>
    <col min="3584" max="3584" width="14.33203125" style="606" customWidth="1"/>
    <col min="3585" max="3585" width="3.44140625" style="606" customWidth="1"/>
    <col min="3586" max="3586" width="17.33203125" style="606" customWidth="1"/>
    <col min="3587" max="3587" width="2.109375" style="606" customWidth="1"/>
    <col min="3588" max="3588" width="7.5546875" style="606" customWidth="1"/>
    <col min="3589" max="3589" width="12.109375" style="606" customWidth="1"/>
    <col min="3590" max="3590" width="14.33203125" style="606" customWidth="1"/>
    <col min="3591" max="3591" width="42.5546875" style="606" customWidth="1"/>
    <col min="3592" max="3835" width="8.88671875" style="606"/>
    <col min="3836" max="3836" width="15.88671875" style="606" customWidth="1"/>
    <col min="3837" max="3837" width="2.109375" style="606" customWidth="1"/>
    <col min="3838" max="3838" width="7.5546875" style="606" customWidth="1"/>
    <col min="3839" max="3839" width="12.109375" style="606" customWidth="1"/>
    <col min="3840" max="3840" width="14.33203125" style="606" customWidth="1"/>
    <col min="3841" max="3841" width="3.44140625" style="606" customWidth="1"/>
    <col min="3842" max="3842" width="17.33203125" style="606" customWidth="1"/>
    <col min="3843" max="3843" width="2.109375" style="606" customWidth="1"/>
    <col min="3844" max="3844" width="7.5546875" style="606" customWidth="1"/>
    <col min="3845" max="3845" width="12.109375" style="606" customWidth="1"/>
    <col min="3846" max="3846" width="14.33203125" style="606" customWidth="1"/>
    <col min="3847" max="3847" width="42.5546875" style="606" customWidth="1"/>
    <col min="3848" max="4091" width="8.88671875" style="606"/>
    <col min="4092" max="4092" width="15.88671875" style="606" customWidth="1"/>
    <col min="4093" max="4093" width="2.109375" style="606" customWidth="1"/>
    <col min="4094" max="4094" width="7.5546875" style="606" customWidth="1"/>
    <col min="4095" max="4095" width="12.109375" style="606" customWidth="1"/>
    <col min="4096" max="4096" width="14.33203125" style="606" customWidth="1"/>
    <col min="4097" max="4097" width="3.44140625" style="606" customWidth="1"/>
    <col min="4098" max="4098" width="17.33203125" style="606" customWidth="1"/>
    <col min="4099" max="4099" width="2.109375" style="606" customWidth="1"/>
    <col min="4100" max="4100" width="7.5546875" style="606" customWidth="1"/>
    <col min="4101" max="4101" width="12.109375" style="606" customWidth="1"/>
    <col min="4102" max="4102" width="14.33203125" style="606" customWidth="1"/>
    <col min="4103" max="4103" width="42.5546875" style="606" customWidth="1"/>
    <col min="4104" max="4347" width="8.88671875" style="606"/>
    <col min="4348" max="4348" width="15.88671875" style="606" customWidth="1"/>
    <col min="4349" max="4349" width="2.109375" style="606" customWidth="1"/>
    <col min="4350" max="4350" width="7.5546875" style="606" customWidth="1"/>
    <col min="4351" max="4351" width="12.109375" style="606" customWidth="1"/>
    <col min="4352" max="4352" width="14.33203125" style="606" customWidth="1"/>
    <col min="4353" max="4353" width="3.44140625" style="606" customWidth="1"/>
    <col min="4354" max="4354" width="17.33203125" style="606" customWidth="1"/>
    <col min="4355" max="4355" width="2.109375" style="606" customWidth="1"/>
    <col min="4356" max="4356" width="7.5546875" style="606" customWidth="1"/>
    <col min="4357" max="4357" width="12.109375" style="606" customWidth="1"/>
    <col min="4358" max="4358" width="14.33203125" style="606" customWidth="1"/>
    <col min="4359" max="4359" width="42.5546875" style="606" customWidth="1"/>
    <col min="4360" max="4603" width="8.88671875" style="606"/>
    <col min="4604" max="4604" width="15.88671875" style="606" customWidth="1"/>
    <col min="4605" max="4605" width="2.109375" style="606" customWidth="1"/>
    <col min="4606" max="4606" width="7.5546875" style="606" customWidth="1"/>
    <col min="4607" max="4607" width="12.109375" style="606" customWidth="1"/>
    <col min="4608" max="4608" width="14.33203125" style="606" customWidth="1"/>
    <col min="4609" max="4609" width="3.44140625" style="606" customWidth="1"/>
    <col min="4610" max="4610" width="17.33203125" style="606" customWidth="1"/>
    <col min="4611" max="4611" width="2.109375" style="606" customWidth="1"/>
    <col min="4612" max="4612" width="7.5546875" style="606" customWidth="1"/>
    <col min="4613" max="4613" width="12.109375" style="606" customWidth="1"/>
    <col min="4614" max="4614" width="14.33203125" style="606" customWidth="1"/>
    <col min="4615" max="4615" width="42.5546875" style="606" customWidth="1"/>
    <col min="4616" max="4859" width="8.88671875" style="606"/>
    <col min="4860" max="4860" width="15.88671875" style="606" customWidth="1"/>
    <col min="4861" max="4861" width="2.109375" style="606" customWidth="1"/>
    <col min="4862" max="4862" width="7.5546875" style="606" customWidth="1"/>
    <col min="4863" max="4863" width="12.109375" style="606" customWidth="1"/>
    <col min="4864" max="4864" width="14.33203125" style="606" customWidth="1"/>
    <col min="4865" max="4865" width="3.44140625" style="606" customWidth="1"/>
    <col min="4866" max="4866" width="17.33203125" style="606" customWidth="1"/>
    <col min="4867" max="4867" width="2.109375" style="606" customWidth="1"/>
    <col min="4868" max="4868" width="7.5546875" style="606" customWidth="1"/>
    <col min="4869" max="4869" width="12.109375" style="606" customWidth="1"/>
    <col min="4870" max="4870" width="14.33203125" style="606" customWidth="1"/>
    <col min="4871" max="4871" width="42.5546875" style="606" customWidth="1"/>
    <col min="4872" max="5115" width="8.88671875" style="606"/>
    <col min="5116" max="5116" width="15.88671875" style="606" customWidth="1"/>
    <col min="5117" max="5117" width="2.109375" style="606" customWidth="1"/>
    <col min="5118" max="5118" width="7.5546875" style="606" customWidth="1"/>
    <col min="5119" max="5119" width="12.109375" style="606" customWidth="1"/>
    <col min="5120" max="5120" width="14.33203125" style="606" customWidth="1"/>
    <col min="5121" max="5121" width="3.44140625" style="606" customWidth="1"/>
    <col min="5122" max="5122" width="17.33203125" style="606" customWidth="1"/>
    <col min="5123" max="5123" width="2.109375" style="606" customWidth="1"/>
    <col min="5124" max="5124" width="7.5546875" style="606" customWidth="1"/>
    <col min="5125" max="5125" width="12.109375" style="606" customWidth="1"/>
    <col min="5126" max="5126" width="14.33203125" style="606" customWidth="1"/>
    <col min="5127" max="5127" width="42.5546875" style="606" customWidth="1"/>
    <col min="5128" max="5371" width="8.88671875" style="606"/>
    <col min="5372" max="5372" width="15.88671875" style="606" customWidth="1"/>
    <col min="5373" max="5373" width="2.109375" style="606" customWidth="1"/>
    <col min="5374" max="5374" width="7.5546875" style="606" customWidth="1"/>
    <col min="5375" max="5375" width="12.109375" style="606" customWidth="1"/>
    <col min="5376" max="5376" width="14.33203125" style="606" customWidth="1"/>
    <col min="5377" max="5377" width="3.44140625" style="606" customWidth="1"/>
    <col min="5378" max="5378" width="17.33203125" style="606" customWidth="1"/>
    <col min="5379" max="5379" width="2.109375" style="606" customWidth="1"/>
    <col min="5380" max="5380" width="7.5546875" style="606" customWidth="1"/>
    <col min="5381" max="5381" width="12.109375" style="606" customWidth="1"/>
    <col min="5382" max="5382" width="14.33203125" style="606" customWidth="1"/>
    <col min="5383" max="5383" width="42.5546875" style="606" customWidth="1"/>
    <col min="5384" max="5627" width="8.88671875" style="606"/>
    <col min="5628" max="5628" width="15.88671875" style="606" customWidth="1"/>
    <col min="5629" max="5629" width="2.109375" style="606" customWidth="1"/>
    <col min="5630" max="5630" width="7.5546875" style="606" customWidth="1"/>
    <col min="5631" max="5631" width="12.109375" style="606" customWidth="1"/>
    <col min="5632" max="5632" width="14.33203125" style="606" customWidth="1"/>
    <col min="5633" max="5633" width="3.44140625" style="606" customWidth="1"/>
    <col min="5634" max="5634" width="17.33203125" style="606" customWidth="1"/>
    <col min="5635" max="5635" width="2.109375" style="606" customWidth="1"/>
    <col min="5636" max="5636" width="7.5546875" style="606" customWidth="1"/>
    <col min="5637" max="5637" width="12.109375" style="606" customWidth="1"/>
    <col min="5638" max="5638" width="14.33203125" style="606" customWidth="1"/>
    <col min="5639" max="5639" width="42.5546875" style="606" customWidth="1"/>
    <col min="5640" max="5883" width="8.88671875" style="606"/>
    <col min="5884" max="5884" width="15.88671875" style="606" customWidth="1"/>
    <col min="5885" max="5885" width="2.109375" style="606" customWidth="1"/>
    <col min="5886" max="5886" width="7.5546875" style="606" customWidth="1"/>
    <col min="5887" max="5887" width="12.109375" style="606" customWidth="1"/>
    <col min="5888" max="5888" width="14.33203125" style="606" customWidth="1"/>
    <col min="5889" max="5889" width="3.44140625" style="606" customWidth="1"/>
    <col min="5890" max="5890" width="17.33203125" style="606" customWidth="1"/>
    <col min="5891" max="5891" width="2.109375" style="606" customWidth="1"/>
    <col min="5892" max="5892" width="7.5546875" style="606" customWidth="1"/>
    <col min="5893" max="5893" width="12.109375" style="606" customWidth="1"/>
    <col min="5894" max="5894" width="14.33203125" style="606" customWidth="1"/>
    <col min="5895" max="5895" width="42.5546875" style="606" customWidth="1"/>
    <col min="5896" max="6139" width="8.88671875" style="606"/>
    <col min="6140" max="6140" width="15.88671875" style="606" customWidth="1"/>
    <col min="6141" max="6141" width="2.109375" style="606" customWidth="1"/>
    <col min="6142" max="6142" width="7.5546875" style="606" customWidth="1"/>
    <col min="6143" max="6143" width="12.109375" style="606" customWidth="1"/>
    <col min="6144" max="6144" width="14.33203125" style="606" customWidth="1"/>
    <col min="6145" max="6145" width="3.44140625" style="606" customWidth="1"/>
    <col min="6146" max="6146" width="17.33203125" style="606" customWidth="1"/>
    <col min="6147" max="6147" width="2.109375" style="606" customWidth="1"/>
    <col min="6148" max="6148" width="7.5546875" style="606" customWidth="1"/>
    <col min="6149" max="6149" width="12.109375" style="606" customWidth="1"/>
    <col min="6150" max="6150" width="14.33203125" style="606" customWidth="1"/>
    <col min="6151" max="6151" width="42.5546875" style="606" customWidth="1"/>
    <col min="6152" max="6395" width="8.88671875" style="606"/>
    <col min="6396" max="6396" width="15.88671875" style="606" customWidth="1"/>
    <col min="6397" max="6397" width="2.109375" style="606" customWidth="1"/>
    <col min="6398" max="6398" width="7.5546875" style="606" customWidth="1"/>
    <col min="6399" max="6399" width="12.109375" style="606" customWidth="1"/>
    <col min="6400" max="6400" width="14.33203125" style="606" customWidth="1"/>
    <col min="6401" max="6401" width="3.44140625" style="606" customWidth="1"/>
    <col min="6402" max="6402" width="17.33203125" style="606" customWidth="1"/>
    <col min="6403" max="6403" width="2.109375" style="606" customWidth="1"/>
    <col min="6404" max="6404" width="7.5546875" style="606" customWidth="1"/>
    <col min="6405" max="6405" width="12.109375" style="606" customWidth="1"/>
    <col min="6406" max="6406" width="14.33203125" style="606" customWidth="1"/>
    <col min="6407" max="6407" width="42.5546875" style="606" customWidth="1"/>
    <col min="6408" max="6651" width="8.88671875" style="606"/>
    <col min="6652" max="6652" width="15.88671875" style="606" customWidth="1"/>
    <col min="6653" max="6653" width="2.109375" style="606" customWidth="1"/>
    <col min="6654" max="6654" width="7.5546875" style="606" customWidth="1"/>
    <col min="6655" max="6655" width="12.109375" style="606" customWidth="1"/>
    <col min="6656" max="6656" width="14.33203125" style="606" customWidth="1"/>
    <col min="6657" max="6657" width="3.44140625" style="606" customWidth="1"/>
    <col min="6658" max="6658" width="17.33203125" style="606" customWidth="1"/>
    <col min="6659" max="6659" width="2.109375" style="606" customWidth="1"/>
    <col min="6660" max="6660" width="7.5546875" style="606" customWidth="1"/>
    <col min="6661" max="6661" width="12.109375" style="606" customWidth="1"/>
    <col min="6662" max="6662" width="14.33203125" style="606" customWidth="1"/>
    <col min="6663" max="6663" width="42.5546875" style="606" customWidth="1"/>
    <col min="6664" max="6907" width="8.88671875" style="606"/>
    <col min="6908" max="6908" width="15.88671875" style="606" customWidth="1"/>
    <col min="6909" max="6909" width="2.109375" style="606" customWidth="1"/>
    <col min="6910" max="6910" width="7.5546875" style="606" customWidth="1"/>
    <col min="6911" max="6911" width="12.109375" style="606" customWidth="1"/>
    <col min="6912" max="6912" width="14.33203125" style="606" customWidth="1"/>
    <col min="6913" max="6913" width="3.44140625" style="606" customWidth="1"/>
    <col min="6914" max="6914" width="17.33203125" style="606" customWidth="1"/>
    <col min="6915" max="6915" width="2.109375" style="606" customWidth="1"/>
    <col min="6916" max="6916" width="7.5546875" style="606" customWidth="1"/>
    <col min="6917" max="6917" width="12.109375" style="606" customWidth="1"/>
    <col min="6918" max="6918" width="14.33203125" style="606" customWidth="1"/>
    <col min="6919" max="6919" width="42.5546875" style="606" customWidth="1"/>
    <col min="6920" max="7163" width="8.88671875" style="606"/>
    <col min="7164" max="7164" width="15.88671875" style="606" customWidth="1"/>
    <col min="7165" max="7165" width="2.109375" style="606" customWidth="1"/>
    <col min="7166" max="7166" width="7.5546875" style="606" customWidth="1"/>
    <col min="7167" max="7167" width="12.109375" style="606" customWidth="1"/>
    <col min="7168" max="7168" width="14.33203125" style="606" customWidth="1"/>
    <col min="7169" max="7169" width="3.44140625" style="606" customWidth="1"/>
    <col min="7170" max="7170" width="17.33203125" style="606" customWidth="1"/>
    <col min="7171" max="7171" width="2.109375" style="606" customWidth="1"/>
    <col min="7172" max="7172" width="7.5546875" style="606" customWidth="1"/>
    <col min="7173" max="7173" width="12.109375" style="606" customWidth="1"/>
    <col min="7174" max="7174" width="14.33203125" style="606" customWidth="1"/>
    <col min="7175" max="7175" width="42.5546875" style="606" customWidth="1"/>
    <col min="7176" max="7419" width="8.88671875" style="606"/>
    <col min="7420" max="7420" width="15.88671875" style="606" customWidth="1"/>
    <col min="7421" max="7421" width="2.109375" style="606" customWidth="1"/>
    <col min="7422" max="7422" width="7.5546875" style="606" customWidth="1"/>
    <col min="7423" max="7423" width="12.109375" style="606" customWidth="1"/>
    <col min="7424" max="7424" width="14.33203125" style="606" customWidth="1"/>
    <col min="7425" max="7425" width="3.44140625" style="606" customWidth="1"/>
    <col min="7426" max="7426" width="17.33203125" style="606" customWidth="1"/>
    <col min="7427" max="7427" width="2.109375" style="606" customWidth="1"/>
    <col min="7428" max="7428" width="7.5546875" style="606" customWidth="1"/>
    <col min="7429" max="7429" width="12.109375" style="606" customWidth="1"/>
    <col min="7430" max="7430" width="14.33203125" style="606" customWidth="1"/>
    <col min="7431" max="7431" width="42.5546875" style="606" customWidth="1"/>
    <col min="7432" max="7675" width="8.88671875" style="606"/>
    <col min="7676" max="7676" width="15.88671875" style="606" customWidth="1"/>
    <col min="7677" max="7677" width="2.109375" style="606" customWidth="1"/>
    <col min="7678" max="7678" width="7.5546875" style="606" customWidth="1"/>
    <col min="7679" max="7679" width="12.109375" style="606" customWidth="1"/>
    <col min="7680" max="7680" width="14.33203125" style="606" customWidth="1"/>
    <col min="7681" max="7681" width="3.44140625" style="606" customWidth="1"/>
    <col min="7682" max="7682" width="17.33203125" style="606" customWidth="1"/>
    <col min="7683" max="7683" width="2.109375" style="606" customWidth="1"/>
    <col min="7684" max="7684" width="7.5546875" style="606" customWidth="1"/>
    <col min="7685" max="7685" width="12.109375" style="606" customWidth="1"/>
    <col min="7686" max="7686" width="14.33203125" style="606" customWidth="1"/>
    <col min="7687" max="7687" width="42.5546875" style="606" customWidth="1"/>
    <col min="7688" max="7931" width="8.88671875" style="606"/>
    <col min="7932" max="7932" width="15.88671875" style="606" customWidth="1"/>
    <col min="7933" max="7933" width="2.109375" style="606" customWidth="1"/>
    <col min="7934" max="7934" width="7.5546875" style="606" customWidth="1"/>
    <col min="7935" max="7935" width="12.109375" style="606" customWidth="1"/>
    <col min="7936" max="7936" width="14.33203125" style="606" customWidth="1"/>
    <col min="7937" max="7937" width="3.44140625" style="606" customWidth="1"/>
    <col min="7938" max="7938" width="17.33203125" style="606" customWidth="1"/>
    <col min="7939" max="7939" width="2.109375" style="606" customWidth="1"/>
    <col min="7940" max="7940" width="7.5546875" style="606" customWidth="1"/>
    <col min="7941" max="7941" width="12.109375" style="606" customWidth="1"/>
    <col min="7942" max="7942" width="14.33203125" style="606" customWidth="1"/>
    <col min="7943" max="7943" width="42.5546875" style="606" customWidth="1"/>
    <col min="7944" max="8187" width="8.88671875" style="606"/>
    <col min="8188" max="8188" width="15.88671875" style="606" customWidth="1"/>
    <col min="8189" max="8189" width="2.109375" style="606" customWidth="1"/>
    <col min="8190" max="8190" width="7.5546875" style="606" customWidth="1"/>
    <col min="8191" max="8191" width="12.109375" style="606" customWidth="1"/>
    <col min="8192" max="8192" width="14.33203125" style="606" customWidth="1"/>
    <col min="8193" max="8193" width="3.44140625" style="606" customWidth="1"/>
    <col min="8194" max="8194" width="17.33203125" style="606" customWidth="1"/>
    <col min="8195" max="8195" width="2.109375" style="606" customWidth="1"/>
    <col min="8196" max="8196" width="7.5546875" style="606" customWidth="1"/>
    <col min="8197" max="8197" width="12.109375" style="606" customWidth="1"/>
    <col min="8198" max="8198" width="14.33203125" style="606" customWidth="1"/>
    <col min="8199" max="8199" width="42.5546875" style="606" customWidth="1"/>
    <col min="8200" max="8443" width="8.88671875" style="606"/>
    <col min="8444" max="8444" width="15.88671875" style="606" customWidth="1"/>
    <col min="8445" max="8445" width="2.109375" style="606" customWidth="1"/>
    <col min="8446" max="8446" width="7.5546875" style="606" customWidth="1"/>
    <col min="8447" max="8447" width="12.109375" style="606" customWidth="1"/>
    <col min="8448" max="8448" width="14.33203125" style="606" customWidth="1"/>
    <col min="8449" max="8449" width="3.44140625" style="606" customWidth="1"/>
    <col min="8450" max="8450" width="17.33203125" style="606" customWidth="1"/>
    <col min="8451" max="8451" width="2.109375" style="606" customWidth="1"/>
    <col min="8452" max="8452" width="7.5546875" style="606" customWidth="1"/>
    <col min="8453" max="8453" width="12.109375" style="606" customWidth="1"/>
    <col min="8454" max="8454" width="14.33203125" style="606" customWidth="1"/>
    <col min="8455" max="8455" width="42.5546875" style="606" customWidth="1"/>
    <col min="8456" max="8699" width="8.88671875" style="606"/>
    <col min="8700" max="8700" width="15.88671875" style="606" customWidth="1"/>
    <col min="8701" max="8701" width="2.109375" style="606" customWidth="1"/>
    <col min="8702" max="8702" width="7.5546875" style="606" customWidth="1"/>
    <col min="8703" max="8703" width="12.109375" style="606" customWidth="1"/>
    <col min="8704" max="8704" width="14.33203125" style="606" customWidth="1"/>
    <col min="8705" max="8705" width="3.44140625" style="606" customWidth="1"/>
    <col min="8706" max="8706" width="17.33203125" style="606" customWidth="1"/>
    <col min="8707" max="8707" width="2.109375" style="606" customWidth="1"/>
    <col min="8708" max="8708" width="7.5546875" style="606" customWidth="1"/>
    <col min="8709" max="8709" width="12.109375" style="606" customWidth="1"/>
    <col min="8710" max="8710" width="14.33203125" style="606" customWidth="1"/>
    <col min="8711" max="8711" width="42.5546875" style="606" customWidth="1"/>
    <col min="8712" max="8955" width="8.88671875" style="606"/>
    <col min="8956" max="8956" width="15.88671875" style="606" customWidth="1"/>
    <col min="8957" max="8957" width="2.109375" style="606" customWidth="1"/>
    <col min="8958" max="8958" width="7.5546875" style="606" customWidth="1"/>
    <col min="8959" max="8959" width="12.109375" style="606" customWidth="1"/>
    <col min="8960" max="8960" width="14.33203125" style="606" customWidth="1"/>
    <col min="8961" max="8961" width="3.44140625" style="606" customWidth="1"/>
    <col min="8962" max="8962" width="17.33203125" style="606" customWidth="1"/>
    <col min="8963" max="8963" width="2.109375" style="606" customWidth="1"/>
    <col min="8964" max="8964" width="7.5546875" style="606" customWidth="1"/>
    <col min="8965" max="8965" width="12.109375" style="606" customWidth="1"/>
    <col min="8966" max="8966" width="14.33203125" style="606" customWidth="1"/>
    <col min="8967" max="8967" width="42.5546875" style="606" customWidth="1"/>
    <col min="8968" max="9211" width="8.88671875" style="606"/>
    <col min="9212" max="9212" width="15.88671875" style="606" customWidth="1"/>
    <col min="9213" max="9213" width="2.109375" style="606" customWidth="1"/>
    <col min="9214" max="9214" width="7.5546875" style="606" customWidth="1"/>
    <col min="9215" max="9215" width="12.109375" style="606" customWidth="1"/>
    <col min="9216" max="9216" width="14.33203125" style="606" customWidth="1"/>
    <col min="9217" max="9217" width="3.44140625" style="606" customWidth="1"/>
    <col min="9218" max="9218" width="17.33203125" style="606" customWidth="1"/>
    <col min="9219" max="9219" width="2.109375" style="606" customWidth="1"/>
    <col min="9220" max="9220" width="7.5546875" style="606" customWidth="1"/>
    <col min="9221" max="9221" width="12.109375" style="606" customWidth="1"/>
    <col min="9222" max="9222" width="14.33203125" style="606" customWidth="1"/>
    <col min="9223" max="9223" width="42.5546875" style="606" customWidth="1"/>
    <col min="9224" max="9467" width="8.88671875" style="606"/>
    <col min="9468" max="9468" width="15.88671875" style="606" customWidth="1"/>
    <col min="9469" max="9469" width="2.109375" style="606" customWidth="1"/>
    <col min="9470" max="9470" width="7.5546875" style="606" customWidth="1"/>
    <col min="9471" max="9471" width="12.109375" style="606" customWidth="1"/>
    <col min="9472" max="9472" width="14.33203125" style="606" customWidth="1"/>
    <col min="9473" max="9473" width="3.44140625" style="606" customWidth="1"/>
    <col min="9474" max="9474" width="17.33203125" style="606" customWidth="1"/>
    <col min="9475" max="9475" width="2.109375" style="606" customWidth="1"/>
    <col min="9476" max="9476" width="7.5546875" style="606" customWidth="1"/>
    <col min="9477" max="9477" width="12.109375" style="606" customWidth="1"/>
    <col min="9478" max="9478" width="14.33203125" style="606" customWidth="1"/>
    <col min="9479" max="9479" width="42.5546875" style="606" customWidth="1"/>
    <col min="9480" max="9723" width="8.88671875" style="606"/>
    <col min="9724" max="9724" width="15.88671875" style="606" customWidth="1"/>
    <col min="9725" max="9725" width="2.109375" style="606" customWidth="1"/>
    <col min="9726" max="9726" width="7.5546875" style="606" customWidth="1"/>
    <col min="9727" max="9727" width="12.109375" style="606" customWidth="1"/>
    <col min="9728" max="9728" width="14.33203125" style="606" customWidth="1"/>
    <col min="9729" max="9729" width="3.44140625" style="606" customWidth="1"/>
    <col min="9730" max="9730" width="17.33203125" style="606" customWidth="1"/>
    <col min="9731" max="9731" width="2.109375" style="606" customWidth="1"/>
    <col min="9732" max="9732" width="7.5546875" style="606" customWidth="1"/>
    <col min="9733" max="9733" width="12.109375" style="606" customWidth="1"/>
    <col min="9734" max="9734" width="14.33203125" style="606" customWidth="1"/>
    <col min="9735" max="9735" width="42.5546875" style="606" customWidth="1"/>
    <col min="9736" max="9979" width="8.88671875" style="606"/>
    <col min="9980" max="9980" width="15.88671875" style="606" customWidth="1"/>
    <col min="9981" max="9981" width="2.109375" style="606" customWidth="1"/>
    <col min="9982" max="9982" width="7.5546875" style="606" customWidth="1"/>
    <col min="9983" max="9983" width="12.109375" style="606" customWidth="1"/>
    <col min="9984" max="9984" width="14.33203125" style="606" customWidth="1"/>
    <col min="9985" max="9985" width="3.44140625" style="606" customWidth="1"/>
    <col min="9986" max="9986" width="17.33203125" style="606" customWidth="1"/>
    <col min="9987" max="9987" width="2.109375" style="606" customWidth="1"/>
    <col min="9988" max="9988" width="7.5546875" style="606" customWidth="1"/>
    <col min="9989" max="9989" width="12.109375" style="606" customWidth="1"/>
    <col min="9990" max="9990" width="14.33203125" style="606" customWidth="1"/>
    <col min="9991" max="9991" width="42.5546875" style="606" customWidth="1"/>
    <col min="9992" max="10235" width="8.88671875" style="606"/>
    <col min="10236" max="10236" width="15.88671875" style="606" customWidth="1"/>
    <col min="10237" max="10237" width="2.109375" style="606" customWidth="1"/>
    <col min="10238" max="10238" width="7.5546875" style="606" customWidth="1"/>
    <col min="10239" max="10239" width="12.109375" style="606" customWidth="1"/>
    <col min="10240" max="10240" width="14.33203125" style="606" customWidth="1"/>
    <col min="10241" max="10241" width="3.44140625" style="606" customWidth="1"/>
    <col min="10242" max="10242" width="17.33203125" style="606" customWidth="1"/>
    <col min="10243" max="10243" width="2.109375" style="606" customWidth="1"/>
    <col min="10244" max="10244" width="7.5546875" style="606" customWidth="1"/>
    <col min="10245" max="10245" width="12.109375" style="606" customWidth="1"/>
    <col min="10246" max="10246" width="14.33203125" style="606" customWidth="1"/>
    <col min="10247" max="10247" width="42.5546875" style="606" customWidth="1"/>
    <col min="10248" max="10491" width="8.88671875" style="606"/>
    <col min="10492" max="10492" width="15.88671875" style="606" customWidth="1"/>
    <col min="10493" max="10493" width="2.109375" style="606" customWidth="1"/>
    <col min="10494" max="10494" width="7.5546875" style="606" customWidth="1"/>
    <col min="10495" max="10495" width="12.109375" style="606" customWidth="1"/>
    <col min="10496" max="10496" width="14.33203125" style="606" customWidth="1"/>
    <col min="10497" max="10497" width="3.44140625" style="606" customWidth="1"/>
    <col min="10498" max="10498" width="17.33203125" style="606" customWidth="1"/>
    <col min="10499" max="10499" width="2.109375" style="606" customWidth="1"/>
    <col min="10500" max="10500" width="7.5546875" style="606" customWidth="1"/>
    <col min="10501" max="10501" width="12.109375" style="606" customWidth="1"/>
    <col min="10502" max="10502" width="14.33203125" style="606" customWidth="1"/>
    <col min="10503" max="10503" width="42.5546875" style="606" customWidth="1"/>
    <col min="10504" max="10747" width="8.88671875" style="606"/>
    <col min="10748" max="10748" width="15.88671875" style="606" customWidth="1"/>
    <col min="10749" max="10749" width="2.109375" style="606" customWidth="1"/>
    <col min="10750" max="10750" width="7.5546875" style="606" customWidth="1"/>
    <col min="10751" max="10751" width="12.109375" style="606" customWidth="1"/>
    <col min="10752" max="10752" width="14.33203125" style="606" customWidth="1"/>
    <col min="10753" max="10753" width="3.44140625" style="606" customWidth="1"/>
    <col min="10754" max="10754" width="17.33203125" style="606" customWidth="1"/>
    <col min="10755" max="10755" width="2.109375" style="606" customWidth="1"/>
    <col min="10756" max="10756" width="7.5546875" style="606" customWidth="1"/>
    <col min="10757" max="10757" width="12.109375" style="606" customWidth="1"/>
    <col min="10758" max="10758" width="14.33203125" style="606" customWidth="1"/>
    <col min="10759" max="10759" width="42.5546875" style="606" customWidth="1"/>
    <col min="10760" max="11003" width="8.88671875" style="606"/>
    <col min="11004" max="11004" width="15.88671875" style="606" customWidth="1"/>
    <col min="11005" max="11005" width="2.109375" style="606" customWidth="1"/>
    <col min="11006" max="11006" width="7.5546875" style="606" customWidth="1"/>
    <col min="11007" max="11007" width="12.109375" style="606" customWidth="1"/>
    <col min="11008" max="11008" width="14.33203125" style="606" customWidth="1"/>
    <col min="11009" max="11009" width="3.44140625" style="606" customWidth="1"/>
    <col min="11010" max="11010" width="17.33203125" style="606" customWidth="1"/>
    <col min="11011" max="11011" width="2.109375" style="606" customWidth="1"/>
    <col min="11012" max="11012" width="7.5546875" style="606" customWidth="1"/>
    <col min="11013" max="11013" width="12.109375" style="606" customWidth="1"/>
    <col min="11014" max="11014" width="14.33203125" style="606" customWidth="1"/>
    <col min="11015" max="11015" width="42.5546875" style="606" customWidth="1"/>
    <col min="11016" max="11259" width="8.88671875" style="606"/>
    <col min="11260" max="11260" width="15.88671875" style="606" customWidth="1"/>
    <col min="11261" max="11261" width="2.109375" style="606" customWidth="1"/>
    <col min="11262" max="11262" width="7.5546875" style="606" customWidth="1"/>
    <col min="11263" max="11263" width="12.109375" style="606" customWidth="1"/>
    <col min="11264" max="11264" width="14.33203125" style="606" customWidth="1"/>
    <col min="11265" max="11265" width="3.44140625" style="606" customWidth="1"/>
    <col min="11266" max="11266" width="17.33203125" style="606" customWidth="1"/>
    <col min="11267" max="11267" width="2.109375" style="606" customWidth="1"/>
    <col min="11268" max="11268" width="7.5546875" style="606" customWidth="1"/>
    <col min="11269" max="11269" width="12.109375" style="606" customWidth="1"/>
    <col min="11270" max="11270" width="14.33203125" style="606" customWidth="1"/>
    <col min="11271" max="11271" width="42.5546875" style="606" customWidth="1"/>
    <col min="11272" max="11515" width="8.88671875" style="606"/>
    <col min="11516" max="11516" width="15.88671875" style="606" customWidth="1"/>
    <col min="11517" max="11517" width="2.109375" style="606" customWidth="1"/>
    <col min="11518" max="11518" width="7.5546875" style="606" customWidth="1"/>
    <col min="11519" max="11519" width="12.109375" style="606" customWidth="1"/>
    <col min="11520" max="11520" width="14.33203125" style="606" customWidth="1"/>
    <col min="11521" max="11521" width="3.44140625" style="606" customWidth="1"/>
    <col min="11522" max="11522" width="17.33203125" style="606" customWidth="1"/>
    <col min="11523" max="11523" width="2.109375" style="606" customWidth="1"/>
    <col min="11524" max="11524" width="7.5546875" style="606" customWidth="1"/>
    <col min="11525" max="11525" width="12.109375" style="606" customWidth="1"/>
    <col min="11526" max="11526" width="14.33203125" style="606" customWidth="1"/>
    <col min="11527" max="11527" width="42.5546875" style="606" customWidth="1"/>
    <col min="11528" max="11771" width="8.88671875" style="606"/>
    <col min="11772" max="11772" width="15.88671875" style="606" customWidth="1"/>
    <col min="11773" max="11773" width="2.109375" style="606" customWidth="1"/>
    <col min="11774" max="11774" width="7.5546875" style="606" customWidth="1"/>
    <col min="11775" max="11775" width="12.109375" style="606" customWidth="1"/>
    <col min="11776" max="11776" width="14.33203125" style="606" customWidth="1"/>
    <col min="11777" max="11777" width="3.44140625" style="606" customWidth="1"/>
    <col min="11778" max="11778" width="17.33203125" style="606" customWidth="1"/>
    <col min="11779" max="11779" width="2.109375" style="606" customWidth="1"/>
    <col min="11780" max="11780" width="7.5546875" style="606" customWidth="1"/>
    <col min="11781" max="11781" width="12.109375" style="606" customWidth="1"/>
    <col min="11782" max="11782" width="14.33203125" style="606" customWidth="1"/>
    <col min="11783" max="11783" width="42.5546875" style="606" customWidth="1"/>
    <col min="11784" max="12027" width="8.88671875" style="606"/>
    <col min="12028" max="12028" width="15.88671875" style="606" customWidth="1"/>
    <col min="12029" max="12029" width="2.109375" style="606" customWidth="1"/>
    <col min="12030" max="12030" width="7.5546875" style="606" customWidth="1"/>
    <col min="12031" max="12031" width="12.109375" style="606" customWidth="1"/>
    <col min="12032" max="12032" width="14.33203125" style="606" customWidth="1"/>
    <col min="12033" max="12033" width="3.44140625" style="606" customWidth="1"/>
    <col min="12034" max="12034" width="17.33203125" style="606" customWidth="1"/>
    <col min="12035" max="12035" width="2.109375" style="606" customWidth="1"/>
    <col min="12036" max="12036" width="7.5546875" style="606" customWidth="1"/>
    <col min="12037" max="12037" width="12.109375" style="606" customWidth="1"/>
    <col min="12038" max="12038" width="14.33203125" style="606" customWidth="1"/>
    <col min="12039" max="12039" width="42.5546875" style="606" customWidth="1"/>
    <col min="12040" max="12283" width="8.88671875" style="606"/>
    <col min="12284" max="12284" width="15.88671875" style="606" customWidth="1"/>
    <col min="12285" max="12285" width="2.109375" style="606" customWidth="1"/>
    <col min="12286" max="12286" width="7.5546875" style="606" customWidth="1"/>
    <col min="12287" max="12287" width="12.109375" style="606" customWidth="1"/>
    <col min="12288" max="12288" width="14.33203125" style="606" customWidth="1"/>
    <col min="12289" max="12289" width="3.44140625" style="606" customWidth="1"/>
    <col min="12290" max="12290" width="17.33203125" style="606" customWidth="1"/>
    <col min="12291" max="12291" width="2.109375" style="606" customWidth="1"/>
    <col min="12292" max="12292" width="7.5546875" style="606" customWidth="1"/>
    <col min="12293" max="12293" width="12.109375" style="606" customWidth="1"/>
    <col min="12294" max="12294" width="14.33203125" style="606" customWidth="1"/>
    <col min="12295" max="12295" width="42.5546875" style="606" customWidth="1"/>
    <col min="12296" max="12539" width="8.88671875" style="606"/>
    <col min="12540" max="12540" width="15.88671875" style="606" customWidth="1"/>
    <col min="12541" max="12541" width="2.109375" style="606" customWidth="1"/>
    <col min="12542" max="12542" width="7.5546875" style="606" customWidth="1"/>
    <col min="12543" max="12543" width="12.109375" style="606" customWidth="1"/>
    <col min="12544" max="12544" width="14.33203125" style="606" customWidth="1"/>
    <col min="12545" max="12545" width="3.44140625" style="606" customWidth="1"/>
    <col min="12546" max="12546" width="17.33203125" style="606" customWidth="1"/>
    <col min="12547" max="12547" width="2.109375" style="606" customWidth="1"/>
    <col min="12548" max="12548" width="7.5546875" style="606" customWidth="1"/>
    <col min="12549" max="12549" width="12.109375" style="606" customWidth="1"/>
    <col min="12550" max="12550" width="14.33203125" style="606" customWidth="1"/>
    <col min="12551" max="12551" width="42.5546875" style="606" customWidth="1"/>
    <col min="12552" max="12795" width="8.88671875" style="606"/>
    <col min="12796" max="12796" width="15.88671875" style="606" customWidth="1"/>
    <col min="12797" max="12797" width="2.109375" style="606" customWidth="1"/>
    <col min="12798" max="12798" width="7.5546875" style="606" customWidth="1"/>
    <col min="12799" max="12799" width="12.109375" style="606" customWidth="1"/>
    <col min="12800" max="12800" width="14.33203125" style="606" customWidth="1"/>
    <col min="12801" max="12801" width="3.44140625" style="606" customWidth="1"/>
    <col min="12802" max="12802" width="17.33203125" style="606" customWidth="1"/>
    <col min="12803" max="12803" width="2.109375" style="606" customWidth="1"/>
    <col min="12804" max="12804" width="7.5546875" style="606" customWidth="1"/>
    <col min="12805" max="12805" width="12.109375" style="606" customWidth="1"/>
    <col min="12806" max="12806" width="14.33203125" style="606" customWidth="1"/>
    <col min="12807" max="12807" width="42.5546875" style="606" customWidth="1"/>
    <col min="12808" max="13051" width="8.88671875" style="606"/>
    <col min="13052" max="13052" width="15.88671875" style="606" customWidth="1"/>
    <col min="13053" max="13053" width="2.109375" style="606" customWidth="1"/>
    <col min="13054" max="13054" width="7.5546875" style="606" customWidth="1"/>
    <col min="13055" max="13055" width="12.109375" style="606" customWidth="1"/>
    <col min="13056" max="13056" width="14.33203125" style="606" customWidth="1"/>
    <col min="13057" max="13057" width="3.44140625" style="606" customWidth="1"/>
    <col min="13058" max="13058" width="17.33203125" style="606" customWidth="1"/>
    <col min="13059" max="13059" width="2.109375" style="606" customWidth="1"/>
    <col min="13060" max="13060" width="7.5546875" style="606" customWidth="1"/>
    <col min="13061" max="13061" width="12.109375" style="606" customWidth="1"/>
    <col min="13062" max="13062" width="14.33203125" style="606" customWidth="1"/>
    <col min="13063" max="13063" width="42.5546875" style="606" customWidth="1"/>
    <col min="13064" max="13307" width="8.88671875" style="606"/>
    <col min="13308" max="13308" width="15.88671875" style="606" customWidth="1"/>
    <col min="13309" max="13309" width="2.109375" style="606" customWidth="1"/>
    <col min="13310" max="13310" width="7.5546875" style="606" customWidth="1"/>
    <col min="13311" max="13311" width="12.109375" style="606" customWidth="1"/>
    <col min="13312" max="13312" width="14.33203125" style="606" customWidth="1"/>
    <col min="13313" max="13313" width="3.44140625" style="606" customWidth="1"/>
    <col min="13314" max="13314" width="17.33203125" style="606" customWidth="1"/>
    <col min="13315" max="13315" width="2.109375" style="606" customWidth="1"/>
    <col min="13316" max="13316" width="7.5546875" style="606" customWidth="1"/>
    <col min="13317" max="13317" width="12.109375" style="606" customWidth="1"/>
    <col min="13318" max="13318" width="14.33203125" style="606" customWidth="1"/>
    <col min="13319" max="13319" width="42.5546875" style="606" customWidth="1"/>
    <col min="13320" max="13563" width="8.88671875" style="606"/>
    <col min="13564" max="13564" width="15.88671875" style="606" customWidth="1"/>
    <col min="13565" max="13565" width="2.109375" style="606" customWidth="1"/>
    <col min="13566" max="13566" width="7.5546875" style="606" customWidth="1"/>
    <col min="13567" max="13567" width="12.109375" style="606" customWidth="1"/>
    <col min="13568" max="13568" width="14.33203125" style="606" customWidth="1"/>
    <col min="13569" max="13569" width="3.44140625" style="606" customWidth="1"/>
    <col min="13570" max="13570" width="17.33203125" style="606" customWidth="1"/>
    <col min="13571" max="13571" width="2.109375" style="606" customWidth="1"/>
    <col min="13572" max="13572" width="7.5546875" style="606" customWidth="1"/>
    <col min="13573" max="13573" width="12.109375" style="606" customWidth="1"/>
    <col min="13574" max="13574" width="14.33203125" style="606" customWidth="1"/>
    <col min="13575" max="13575" width="42.5546875" style="606" customWidth="1"/>
    <col min="13576" max="13819" width="8.88671875" style="606"/>
    <col min="13820" max="13820" width="15.88671875" style="606" customWidth="1"/>
    <col min="13821" max="13821" width="2.109375" style="606" customWidth="1"/>
    <col min="13822" max="13822" width="7.5546875" style="606" customWidth="1"/>
    <col min="13823" max="13823" width="12.109375" style="606" customWidth="1"/>
    <col min="13824" max="13824" width="14.33203125" style="606" customWidth="1"/>
    <col min="13825" max="13825" width="3.44140625" style="606" customWidth="1"/>
    <col min="13826" max="13826" width="17.33203125" style="606" customWidth="1"/>
    <col min="13827" max="13827" width="2.109375" style="606" customWidth="1"/>
    <col min="13828" max="13828" width="7.5546875" style="606" customWidth="1"/>
    <col min="13829" max="13829" width="12.109375" style="606" customWidth="1"/>
    <col min="13830" max="13830" width="14.33203125" style="606" customWidth="1"/>
    <col min="13831" max="13831" width="42.5546875" style="606" customWidth="1"/>
    <col min="13832" max="14075" width="8.88671875" style="606"/>
    <col min="14076" max="14076" width="15.88671875" style="606" customWidth="1"/>
    <col min="14077" max="14077" width="2.109375" style="606" customWidth="1"/>
    <col min="14078" max="14078" width="7.5546875" style="606" customWidth="1"/>
    <col min="14079" max="14079" width="12.109375" style="606" customWidth="1"/>
    <col min="14080" max="14080" width="14.33203125" style="606" customWidth="1"/>
    <col min="14081" max="14081" width="3.44140625" style="606" customWidth="1"/>
    <col min="14082" max="14082" width="17.33203125" style="606" customWidth="1"/>
    <col min="14083" max="14083" width="2.109375" style="606" customWidth="1"/>
    <col min="14084" max="14084" width="7.5546875" style="606" customWidth="1"/>
    <col min="14085" max="14085" width="12.109375" style="606" customWidth="1"/>
    <col min="14086" max="14086" width="14.33203125" style="606" customWidth="1"/>
    <col min="14087" max="14087" width="42.5546875" style="606" customWidth="1"/>
    <col min="14088" max="14331" width="8.88671875" style="606"/>
    <col min="14332" max="14332" width="15.88671875" style="606" customWidth="1"/>
    <col min="14333" max="14333" width="2.109375" style="606" customWidth="1"/>
    <col min="14334" max="14334" width="7.5546875" style="606" customWidth="1"/>
    <col min="14335" max="14335" width="12.109375" style="606" customWidth="1"/>
    <col min="14336" max="14336" width="14.33203125" style="606" customWidth="1"/>
    <col min="14337" max="14337" width="3.44140625" style="606" customWidth="1"/>
    <col min="14338" max="14338" width="17.33203125" style="606" customWidth="1"/>
    <col min="14339" max="14339" width="2.109375" style="606" customWidth="1"/>
    <col min="14340" max="14340" width="7.5546875" style="606" customWidth="1"/>
    <col min="14341" max="14341" width="12.109375" style="606" customWidth="1"/>
    <col min="14342" max="14342" width="14.33203125" style="606" customWidth="1"/>
    <col min="14343" max="14343" width="42.5546875" style="606" customWidth="1"/>
    <col min="14344" max="14587" width="8.88671875" style="606"/>
    <col min="14588" max="14588" width="15.88671875" style="606" customWidth="1"/>
    <col min="14589" max="14589" width="2.109375" style="606" customWidth="1"/>
    <col min="14590" max="14590" width="7.5546875" style="606" customWidth="1"/>
    <col min="14591" max="14591" width="12.109375" style="606" customWidth="1"/>
    <col min="14592" max="14592" width="14.33203125" style="606" customWidth="1"/>
    <col min="14593" max="14593" width="3.44140625" style="606" customWidth="1"/>
    <col min="14594" max="14594" width="17.33203125" style="606" customWidth="1"/>
    <col min="14595" max="14595" width="2.109375" style="606" customWidth="1"/>
    <col min="14596" max="14596" width="7.5546875" style="606" customWidth="1"/>
    <col min="14597" max="14597" width="12.109375" style="606" customWidth="1"/>
    <col min="14598" max="14598" width="14.33203125" style="606" customWidth="1"/>
    <col min="14599" max="14599" width="42.5546875" style="606" customWidth="1"/>
    <col min="14600" max="14843" width="8.88671875" style="606"/>
    <col min="14844" max="14844" width="15.88671875" style="606" customWidth="1"/>
    <col min="14845" max="14845" width="2.109375" style="606" customWidth="1"/>
    <col min="14846" max="14846" width="7.5546875" style="606" customWidth="1"/>
    <col min="14847" max="14847" width="12.109375" style="606" customWidth="1"/>
    <col min="14848" max="14848" width="14.33203125" style="606" customWidth="1"/>
    <col min="14849" max="14849" width="3.44140625" style="606" customWidth="1"/>
    <col min="14850" max="14850" width="17.33203125" style="606" customWidth="1"/>
    <col min="14851" max="14851" width="2.109375" style="606" customWidth="1"/>
    <col min="14852" max="14852" width="7.5546875" style="606" customWidth="1"/>
    <col min="14853" max="14853" width="12.109375" style="606" customWidth="1"/>
    <col min="14854" max="14854" width="14.33203125" style="606" customWidth="1"/>
    <col min="14855" max="14855" width="42.5546875" style="606" customWidth="1"/>
    <col min="14856" max="15099" width="8.88671875" style="606"/>
    <col min="15100" max="15100" width="15.88671875" style="606" customWidth="1"/>
    <col min="15101" max="15101" width="2.109375" style="606" customWidth="1"/>
    <col min="15102" max="15102" width="7.5546875" style="606" customWidth="1"/>
    <col min="15103" max="15103" width="12.109375" style="606" customWidth="1"/>
    <col min="15104" max="15104" width="14.33203125" style="606" customWidth="1"/>
    <col min="15105" max="15105" width="3.44140625" style="606" customWidth="1"/>
    <col min="15106" max="15106" width="17.33203125" style="606" customWidth="1"/>
    <col min="15107" max="15107" width="2.109375" style="606" customWidth="1"/>
    <col min="15108" max="15108" width="7.5546875" style="606" customWidth="1"/>
    <col min="15109" max="15109" width="12.109375" style="606" customWidth="1"/>
    <col min="15110" max="15110" width="14.33203125" style="606" customWidth="1"/>
    <col min="15111" max="15111" width="42.5546875" style="606" customWidth="1"/>
    <col min="15112" max="15355" width="8.88671875" style="606"/>
    <col min="15356" max="15356" width="15.88671875" style="606" customWidth="1"/>
    <col min="15357" max="15357" width="2.109375" style="606" customWidth="1"/>
    <col min="15358" max="15358" width="7.5546875" style="606" customWidth="1"/>
    <col min="15359" max="15359" width="12.109375" style="606" customWidth="1"/>
    <col min="15360" max="15360" width="14.33203125" style="606" customWidth="1"/>
    <col min="15361" max="15361" width="3.44140625" style="606" customWidth="1"/>
    <col min="15362" max="15362" width="17.33203125" style="606" customWidth="1"/>
    <col min="15363" max="15363" width="2.109375" style="606" customWidth="1"/>
    <col min="15364" max="15364" width="7.5546875" style="606" customWidth="1"/>
    <col min="15365" max="15365" width="12.109375" style="606" customWidth="1"/>
    <col min="15366" max="15366" width="14.33203125" style="606" customWidth="1"/>
    <col min="15367" max="15367" width="42.5546875" style="606" customWidth="1"/>
    <col min="15368" max="15611" width="8.88671875" style="606"/>
    <col min="15612" max="15612" width="15.88671875" style="606" customWidth="1"/>
    <col min="15613" max="15613" width="2.109375" style="606" customWidth="1"/>
    <col min="15614" max="15614" width="7.5546875" style="606" customWidth="1"/>
    <col min="15615" max="15615" width="12.109375" style="606" customWidth="1"/>
    <col min="15616" max="15616" width="14.33203125" style="606" customWidth="1"/>
    <col min="15617" max="15617" width="3.44140625" style="606" customWidth="1"/>
    <col min="15618" max="15618" width="17.33203125" style="606" customWidth="1"/>
    <col min="15619" max="15619" width="2.109375" style="606" customWidth="1"/>
    <col min="15620" max="15620" width="7.5546875" style="606" customWidth="1"/>
    <col min="15621" max="15621" width="12.109375" style="606" customWidth="1"/>
    <col min="15622" max="15622" width="14.33203125" style="606" customWidth="1"/>
    <col min="15623" max="15623" width="42.5546875" style="606" customWidth="1"/>
    <col min="15624" max="15867" width="8.88671875" style="606"/>
    <col min="15868" max="15868" width="15.88671875" style="606" customWidth="1"/>
    <col min="15869" max="15869" width="2.109375" style="606" customWidth="1"/>
    <col min="15870" max="15870" width="7.5546875" style="606" customWidth="1"/>
    <col min="15871" max="15871" width="12.109375" style="606" customWidth="1"/>
    <col min="15872" max="15872" width="14.33203125" style="606" customWidth="1"/>
    <col min="15873" max="15873" width="3.44140625" style="606" customWidth="1"/>
    <col min="15874" max="15874" width="17.33203125" style="606" customWidth="1"/>
    <col min="15875" max="15875" width="2.109375" style="606" customWidth="1"/>
    <col min="15876" max="15876" width="7.5546875" style="606" customWidth="1"/>
    <col min="15877" max="15877" width="12.109375" style="606" customWidth="1"/>
    <col min="15878" max="15878" width="14.33203125" style="606" customWidth="1"/>
    <col min="15879" max="15879" width="42.5546875" style="606" customWidth="1"/>
    <col min="15880" max="16123" width="8.88671875" style="606"/>
    <col min="16124" max="16124" width="15.88671875" style="606" customWidth="1"/>
    <col min="16125" max="16125" width="2.109375" style="606" customWidth="1"/>
    <col min="16126" max="16126" width="7.5546875" style="606" customWidth="1"/>
    <col min="16127" max="16127" width="12.109375" style="606" customWidth="1"/>
    <col min="16128" max="16128" width="14.33203125" style="606" customWidth="1"/>
    <col min="16129" max="16129" width="3.44140625" style="606" customWidth="1"/>
    <col min="16130" max="16130" width="17.33203125" style="606" customWidth="1"/>
    <col min="16131" max="16131" width="2.109375" style="606" customWidth="1"/>
    <col min="16132" max="16132" width="7.5546875" style="606" customWidth="1"/>
    <col min="16133" max="16133" width="12.109375" style="606" customWidth="1"/>
    <col min="16134" max="16134" width="14.33203125" style="606" customWidth="1"/>
    <col min="16135" max="16135" width="42.5546875" style="606" customWidth="1"/>
    <col min="16136" max="16384" width="8.88671875" style="606"/>
  </cols>
  <sheetData>
    <row r="1" spans="1:13" x14ac:dyDescent="0.3">
      <c r="A1" s="787" t="s">
        <v>1668</v>
      </c>
      <c r="B1" s="787"/>
      <c r="C1" s="787"/>
      <c r="D1" s="787"/>
      <c r="E1" s="787"/>
      <c r="F1" s="787"/>
      <c r="G1" s="787"/>
      <c r="H1" s="787"/>
      <c r="I1" s="787"/>
      <c r="J1" s="1038" t="s">
        <v>1966</v>
      </c>
      <c r="K1" s="1038"/>
      <c r="L1" s="787"/>
      <c r="M1" s="787"/>
    </row>
    <row r="2" spans="1:13" x14ac:dyDescent="0.3">
      <c r="A2" s="787" t="s">
        <v>604</v>
      </c>
      <c r="B2" s="787"/>
      <c r="C2" s="787"/>
      <c r="D2" s="787"/>
      <c r="E2" s="787"/>
      <c r="F2" s="787"/>
      <c r="G2" s="787"/>
      <c r="H2" s="787"/>
      <c r="I2" s="787"/>
      <c r="J2" s="787"/>
      <c r="K2" s="787"/>
      <c r="L2" s="787"/>
      <c r="M2" s="787"/>
    </row>
    <row r="3" spans="1:13" x14ac:dyDescent="0.3">
      <c r="A3" s="787" t="s">
        <v>605</v>
      </c>
      <c r="B3" s="787"/>
      <c r="C3" s="787"/>
      <c r="D3" s="787"/>
      <c r="E3" s="787"/>
      <c r="F3" s="787"/>
      <c r="G3" s="787"/>
      <c r="H3" s="787"/>
      <c r="I3" s="787"/>
      <c r="J3" s="787"/>
      <c r="K3" s="787"/>
      <c r="L3" s="787"/>
    </row>
    <row r="4" spans="1:13" x14ac:dyDescent="0.3">
      <c r="A4" s="787"/>
      <c r="B4" s="787"/>
      <c r="C4" s="788"/>
      <c r="D4" s="789"/>
      <c r="E4" s="789"/>
      <c r="F4" s="787"/>
      <c r="G4" s="180"/>
      <c r="H4" s="180"/>
      <c r="I4" s="180"/>
      <c r="J4" s="180"/>
      <c r="K4" s="180"/>
      <c r="L4" s="180"/>
    </row>
    <row r="5" spans="1:13" x14ac:dyDescent="0.3">
      <c r="A5" s="787"/>
      <c r="B5" s="787"/>
      <c r="C5" s="788"/>
      <c r="D5" s="789" t="s">
        <v>606</v>
      </c>
      <c r="E5" s="789" t="s">
        <v>607</v>
      </c>
      <c r="F5" s="787"/>
      <c r="G5" s="180"/>
      <c r="H5" s="180"/>
      <c r="I5" s="180"/>
      <c r="J5" s="180"/>
      <c r="K5" s="180"/>
      <c r="L5" s="180"/>
      <c r="M5" s="787"/>
    </row>
    <row r="6" spans="1:13" x14ac:dyDescent="0.3">
      <c r="A6" s="787"/>
      <c r="B6" s="787"/>
      <c r="C6" s="788" t="s">
        <v>608</v>
      </c>
      <c r="D6" s="789" t="s">
        <v>609</v>
      </c>
      <c r="E6" s="789" t="s">
        <v>610</v>
      </c>
      <c r="F6" s="787"/>
      <c r="G6" s="180"/>
      <c r="H6" s="180"/>
      <c r="I6" s="180"/>
      <c r="J6" s="180"/>
      <c r="K6" s="180"/>
      <c r="L6" s="180"/>
      <c r="M6" s="787"/>
    </row>
    <row r="7" spans="1:13" x14ac:dyDescent="0.3">
      <c r="A7" s="787" t="s">
        <v>611</v>
      </c>
      <c r="B7" s="787"/>
      <c r="C7" s="788" t="s">
        <v>612</v>
      </c>
      <c r="D7" s="789" t="s">
        <v>613</v>
      </c>
      <c r="E7" s="789" t="s">
        <v>613</v>
      </c>
      <c r="F7" s="787"/>
      <c r="G7" s="180"/>
      <c r="H7" s="180"/>
      <c r="I7" s="180"/>
      <c r="J7" s="180"/>
      <c r="K7" s="180"/>
      <c r="L7" s="180"/>
      <c r="M7" s="787"/>
    </row>
    <row r="8" spans="1:13" hidden="1" x14ac:dyDescent="0.3">
      <c r="A8" s="787" t="s">
        <v>1698</v>
      </c>
      <c r="B8" s="787" t="s">
        <v>1699</v>
      </c>
      <c r="C8" s="790">
        <v>0.66</v>
      </c>
      <c r="D8" s="789">
        <v>2017</v>
      </c>
      <c r="E8" s="789">
        <v>2023</v>
      </c>
      <c r="F8" s="787"/>
      <c r="G8" s="180"/>
      <c r="H8" s="180"/>
      <c r="I8" s="180"/>
      <c r="J8" s="180"/>
      <c r="K8" s="180"/>
      <c r="L8" s="180"/>
    </row>
    <row r="9" spans="1:13" hidden="1" x14ac:dyDescent="0.3">
      <c r="A9" s="787" t="s">
        <v>1700</v>
      </c>
      <c r="B9" s="787" t="s">
        <v>1701</v>
      </c>
      <c r="C9" s="790">
        <v>0.79</v>
      </c>
      <c r="D9" s="789">
        <v>2015</v>
      </c>
      <c r="E9" s="789">
        <v>2023</v>
      </c>
      <c r="F9" s="787"/>
      <c r="G9" s="180"/>
      <c r="H9" s="180"/>
      <c r="I9" s="180"/>
      <c r="J9" s="180"/>
      <c r="K9" s="180"/>
      <c r="L9" s="180"/>
    </row>
    <row r="10" spans="1:13" hidden="1" x14ac:dyDescent="0.3">
      <c r="A10" s="787" t="s">
        <v>1702</v>
      </c>
      <c r="B10" s="787" t="s">
        <v>1703</v>
      </c>
      <c r="C10" s="790">
        <v>0.59699999999999998</v>
      </c>
      <c r="D10" s="789">
        <v>2021</v>
      </c>
      <c r="E10" s="789">
        <v>2027</v>
      </c>
      <c r="F10" s="787"/>
      <c r="G10" s="180"/>
      <c r="H10" s="180"/>
      <c r="I10" s="180"/>
      <c r="J10" s="180"/>
      <c r="K10" s="180"/>
      <c r="L10" s="180"/>
      <c r="M10" s="787"/>
    </row>
    <row r="11" spans="1:13" hidden="1" x14ac:dyDescent="0.3">
      <c r="A11" s="787" t="s">
        <v>1704</v>
      </c>
      <c r="B11" s="787" t="s">
        <v>472</v>
      </c>
      <c r="C11" s="790">
        <v>0.77700000000000002</v>
      </c>
      <c r="D11" s="789">
        <v>2018</v>
      </c>
      <c r="E11" s="789">
        <v>2026</v>
      </c>
      <c r="F11" s="787"/>
      <c r="G11" s="180"/>
      <c r="H11" s="180"/>
      <c r="I11" s="180"/>
      <c r="J11" s="180"/>
      <c r="K11" s="180"/>
      <c r="L11" s="180"/>
      <c r="M11" s="787"/>
    </row>
    <row r="12" spans="1:13" hidden="1" x14ac:dyDescent="0.3">
      <c r="A12" s="787" t="s">
        <v>1705</v>
      </c>
      <c r="B12" s="787" t="s">
        <v>1706</v>
      </c>
      <c r="C12" s="790">
        <v>0.51</v>
      </c>
      <c r="D12" s="789">
        <v>2019</v>
      </c>
      <c r="E12" s="789">
        <v>2023</v>
      </c>
      <c r="F12" s="787"/>
      <c r="G12" s="180"/>
      <c r="H12" s="180"/>
      <c r="I12" s="180"/>
      <c r="J12" s="180"/>
      <c r="K12" s="180"/>
      <c r="L12" s="180"/>
      <c r="M12" s="787"/>
    </row>
    <row r="13" spans="1:13" hidden="1" x14ac:dyDescent="0.3">
      <c r="A13" s="787" t="s">
        <v>1707</v>
      </c>
      <c r="B13" s="787" t="s">
        <v>1708</v>
      </c>
      <c r="C13" s="790">
        <v>0.55000000000000004</v>
      </c>
      <c r="D13" s="789">
        <v>2018</v>
      </c>
      <c r="E13" s="789">
        <v>2022</v>
      </c>
      <c r="F13" s="787"/>
      <c r="G13" s="180"/>
      <c r="H13" s="180"/>
      <c r="I13" s="180"/>
      <c r="J13" s="180"/>
      <c r="K13" s="180"/>
      <c r="L13" s="180"/>
      <c r="M13" s="787"/>
    </row>
    <row r="14" spans="1:13" hidden="1" x14ac:dyDescent="0.3">
      <c r="A14" s="787" t="s">
        <v>1709</v>
      </c>
      <c r="B14" s="787" t="s">
        <v>1710</v>
      </c>
      <c r="C14" s="790">
        <v>0.625</v>
      </c>
      <c r="D14" s="789">
        <v>2018</v>
      </c>
      <c r="E14" s="789">
        <v>2026</v>
      </c>
      <c r="F14" s="787"/>
      <c r="G14" s="180"/>
      <c r="H14" s="180"/>
      <c r="I14" s="180"/>
      <c r="J14" s="180"/>
      <c r="K14" s="180"/>
      <c r="L14" s="180"/>
      <c r="M14" s="787"/>
    </row>
    <row r="15" spans="1:13" hidden="1" x14ac:dyDescent="0.3">
      <c r="A15" s="787" t="s">
        <v>1711</v>
      </c>
      <c r="B15" s="787" t="s">
        <v>478</v>
      </c>
      <c r="C15" s="790">
        <v>0.86499999999999999</v>
      </c>
      <c r="D15" s="789">
        <v>2020</v>
      </c>
      <c r="E15" s="789">
        <v>2028</v>
      </c>
      <c r="F15" s="787"/>
      <c r="G15" s="180"/>
      <c r="H15" s="180"/>
      <c r="I15" s="180"/>
      <c r="J15" s="180"/>
      <c r="K15" s="180"/>
      <c r="L15" s="180"/>
      <c r="M15" s="787"/>
    </row>
    <row r="16" spans="1:13" hidden="1" x14ac:dyDescent="0.3">
      <c r="A16" s="787" t="s">
        <v>1712</v>
      </c>
      <c r="B16" s="787" t="s">
        <v>1713</v>
      </c>
      <c r="C16" s="790">
        <v>0.82</v>
      </c>
      <c r="D16" s="789">
        <v>2015</v>
      </c>
      <c r="E16" s="789">
        <v>2022</v>
      </c>
      <c r="F16" s="787"/>
      <c r="G16" s="180"/>
      <c r="H16" s="180"/>
      <c r="I16" s="180"/>
      <c r="J16" s="180"/>
      <c r="K16" s="180"/>
      <c r="L16" s="180"/>
      <c r="M16" s="787"/>
    </row>
    <row r="17" spans="1:13" hidden="1" x14ac:dyDescent="0.3">
      <c r="A17" s="787" t="s">
        <v>1714</v>
      </c>
      <c r="B17" s="787" t="s">
        <v>1715</v>
      </c>
      <c r="C17" s="790">
        <v>0.48499999999999999</v>
      </c>
      <c r="D17" s="789">
        <v>2019</v>
      </c>
      <c r="E17" s="789">
        <v>2023</v>
      </c>
      <c r="F17" s="787"/>
      <c r="G17" s="180"/>
      <c r="H17" s="180"/>
      <c r="I17" s="180"/>
      <c r="J17" s="180"/>
      <c r="K17" s="180"/>
      <c r="L17" s="180"/>
      <c r="M17" s="787"/>
    </row>
    <row r="18" spans="1:13" x14ac:dyDescent="0.3">
      <c r="A18" s="787" t="s">
        <v>1716</v>
      </c>
      <c r="B18" s="787" t="s">
        <v>1717</v>
      </c>
      <c r="C18" s="790">
        <v>0.48799999999999999</v>
      </c>
      <c r="D18" s="789">
        <v>2021</v>
      </c>
      <c r="E18" s="789">
        <v>2025</v>
      </c>
      <c r="F18" s="787"/>
      <c r="G18" s="180"/>
      <c r="H18" s="180"/>
      <c r="I18" s="180"/>
      <c r="J18" s="180"/>
      <c r="K18" s="180"/>
      <c r="L18" s="180"/>
      <c r="M18" s="787"/>
    </row>
    <row r="19" spans="1:13" hidden="1" x14ac:dyDescent="0.3">
      <c r="A19" s="787" t="s">
        <v>1718</v>
      </c>
      <c r="B19" s="787" t="s">
        <v>1719</v>
      </c>
      <c r="C19" s="790">
        <v>0.69499999999999995</v>
      </c>
      <c r="D19" s="789">
        <v>2019</v>
      </c>
      <c r="E19" s="789">
        <v>2023</v>
      </c>
      <c r="F19" s="787"/>
      <c r="G19" s="180"/>
      <c r="H19" s="180"/>
      <c r="I19" s="180"/>
      <c r="J19" s="180"/>
      <c r="K19" s="180"/>
      <c r="L19" s="180"/>
      <c r="M19" s="787"/>
    </row>
    <row r="20" spans="1:13" hidden="1" x14ac:dyDescent="0.3">
      <c r="A20" s="787" t="s">
        <v>1669</v>
      </c>
      <c r="B20" s="787" t="s">
        <v>1670</v>
      </c>
      <c r="C20" s="790">
        <v>0.74</v>
      </c>
      <c r="D20" s="789">
        <v>2020</v>
      </c>
      <c r="E20" s="789">
        <v>2024</v>
      </c>
      <c r="F20" s="787"/>
      <c r="G20" s="180"/>
      <c r="H20" s="180"/>
      <c r="I20" s="180"/>
      <c r="J20" s="180"/>
      <c r="K20" s="180"/>
      <c r="L20" s="180"/>
      <c r="M20" s="787"/>
    </row>
    <row r="21" spans="1:13" hidden="1" x14ac:dyDescent="0.3">
      <c r="A21" s="787" t="s">
        <v>1720</v>
      </c>
      <c r="B21" s="787" t="s">
        <v>1721</v>
      </c>
      <c r="C21" s="790">
        <v>0.63</v>
      </c>
      <c r="D21" s="789">
        <v>2021</v>
      </c>
      <c r="E21" s="789">
        <v>2029</v>
      </c>
      <c r="F21" s="787"/>
      <c r="G21" s="180"/>
      <c r="H21" s="180"/>
      <c r="I21" s="180"/>
      <c r="J21" s="180"/>
      <c r="K21" s="180"/>
      <c r="L21" s="180"/>
      <c r="M21" s="787"/>
    </row>
    <row r="22" spans="1:13" hidden="1" x14ac:dyDescent="0.3">
      <c r="A22" s="787" t="s">
        <v>1722</v>
      </c>
      <c r="B22" s="787" t="s">
        <v>1723</v>
      </c>
      <c r="C22" s="790">
        <v>0.87</v>
      </c>
      <c r="D22" s="789">
        <v>2015</v>
      </c>
      <c r="E22" s="789">
        <v>2023</v>
      </c>
      <c r="F22" s="787"/>
      <c r="G22" s="180"/>
      <c r="H22" s="180"/>
      <c r="I22" s="180"/>
      <c r="J22" s="180"/>
      <c r="K22" s="180"/>
      <c r="L22" s="180"/>
      <c r="M22" s="787"/>
    </row>
    <row r="23" spans="1:13" hidden="1" x14ac:dyDescent="0.3">
      <c r="A23" s="787" t="s">
        <v>1671</v>
      </c>
      <c r="B23" s="787" t="s">
        <v>1672</v>
      </c>
      <c r="C23" s="790">
        <v>0.33</v>
      </c>
      <c r="D23" s="789">
        <v>2020</v>
      </c>
      <c r="E23" s="789">
        <v>2024</v>
      </c>
      <c r="F23" s="787"/>
      <c r="G23" s="180"/>
      <c r="H23" s="180"/>
      <c r="I23" s="180"/>
      <c r="J23" s="180"/>
      <c r="K23" s="180"/>
      <c r="L23" s="180"/>
      <c r="M23" s="787"/>
    </row>
    <row r="24" spans="1:13" hidden="1" x14ac:dyDescent="0.3">
      <c r="A24" s="787" t="s">
        <v>1724</v>
      </c>
      <c r="B24" s="787" t="s">
        <v>842</v>
      </c>
      <c r="C24" s="790">
        <v>0.73499999999999999</v>
      </c>
      <c r="D24" s="789">
        <v>2016</v>
      </c>
      <c r="E24" s="789">
        <v>2023</v>
      </c>
      <c r="F24" s="787"/>
      <c r="G24" s="180"/>
      <c r="H24" s="180"/>
      <c r="I24" s="180"/>
      <c r="J24" s="180"/>
      <c r="K24" s="180"/>
      <c r="L24" s="180"/>
      <c r="M24" s="787"/>
    </row>
    <row r="25" spans="1:13" hidden="1" x14ac:dyDescent="0.3">
      <c r="A25" s="787" t="s">
        <v>1725</v>
      </c>
      <c r="B25" s="787" t="s">
        <v>1726</v>
      </c>
      <c r="C25" s="790">
        <v>0.57499999999999996</v>
      </c>
      <c r="D25" s="789">
        <v>2019</v>
      </c>
      <c r="E25" s="789">
        <v>2023</v>
      </c>
      <c r="F25" s="787"/>
      <c r="G25" s="180"/>
      <c r="H25" s="180"/>
      <c r="I25" s="180"/>
      <c r="J25" s="180"/>
      <c r="K25" s="180"/>
      <c r="L25" s="180"/>
      <c r="M25" s="787"/>
    </row>
    <row r="26" spans="1:13" x14ac:dyDescent="0.3">
      <c r="A26" s="787" t="s">
        <v>1727</v>
      </c>
      <c r="B26" s="787" t="s">
        <v>1728</v>
      </c>
      <c r="C26" s="790">
        <v>0.66500000000000004</v>
      </c>
      <c r="D26" s="789">
        <v>2021</v>
      </c>
      <c r="E26" s="789">
        <v>2025</v>
      </c>
      <c r="F26" s="787"/>
      <c r="G26" s="180"/>
      <c r="H26" s="180"/>
      <c r="I26" s="180"/>
      <c r="J26" s="180"/>
      <c r="K26" s="180"/>
      <c r="L26" s="180"/>
      <c r="M26" s="787"/>
    </row>
    <row r="27" spans="1:13" hidden="1" x14ac:dyDescent="0.3">
      <c r="A27" s="787" t="s">
        <v>1729</v>
      </c>
      <c r="B27" s="787" t="s">
        <v>843</v>
      </c>
      <c r="C27" s="790">
        <v>0.5</v>
      </c>
      <c r="D27" s="789">
        <v>2020</v>
      </c>
      <c r="E27" s="789">
        <v>2028</v>
      </c>
      <c r="F27" s="787"/>
      <c r="G27" s="180"/>
      <c r="H27" s="180"/>
      <c r="I27" s="180"/>
      <c r="J27" s="180"/>
      <c r="K27" s="180"/>
      <c r="L27" s="180"/>
      <c r="M27" s="787"/>
    </row>
    <row r="28" spans="1:13" hidden="1" x14ac:dyDescent="0.3">
      <c r="A28" s="787" t="s">
        <v>1730</v>
      </c>
      <c r="B28" s="787" t="s">
        <v>1731</v>
      </c>
      <c r="C28" s="790">
        <v>0.755</v>
      </c>
      <c r="D28" s="789">
        <v>2014</v>
      </c>
      <c r="E28" s="789">
        <v>2022</v>
      </c>
      <c r="G28" s="180"/>
      <c r="H28" s="180"/>
      <c r="I28" s="180"/>
      <c r="J28" s="180"/>
      <c r="K28" s="180"/>
      <c r="L28" s="180"/>
      <c r="M28" s="787"/>
    </row>
    <row r="29" spans="1:13" hidden="1" x14ac:dyDescent="0.3">
      <c r="A29" s="787" t="s">
        <v>1732</v>
      </c>
      <c r="B29" s="787" t="s">
        <v>1733</v>
      </c>
      <c r="C29" s="790">
        <v>0.43</v>
      </c>
      <c r="D29" s="789">
        <v>2018</v>
      </c>
      <c r="E29" s="789">
        <v>2026</v>
      </c>
      <c r="G29" s="180"/>
      <c r="H29" s="180"/>
      <c r="I29" s="180"/>
      <c r="J29" s="180"/>
      <c r="K29" s="180"/>
      <c r="L29" s="180"/>
      <c r="M29" s="787"/>
    </row>
    <row r="30" spans="1:13" x14ac:dyDescent="0.3">
      <c r="A30" s="787" t="s">
        <v>1734</v>
      </c>
      <c r="B30" s="787" t="s">
        <v>1735</v>
      </c>
      <c r="C30" s="790">
        <v>0.6875</v>
      </c>
      <c r="D30" s="789">
        <v>2021</v>
      </c>
      <c r="E30" s="789">
        <v>2025</v>
      </c>
      <c r="F30" s="787"/>
      <c r="G30" s="180"/>
      <c r="H30" s="180"/>
      <c r="I30" s="180"/>
      <c r="J30" s="180"/>
      <c r="K30" s="180"/>
      <c r="L30" s="180"/>
      <c r="M30" s="787"/>
    </row>
    <row r="31" spans="1:13" hidden="1" x14ac:dyDescent="0.3">
      <c r="A31" s="787" t="s">
        <v>1736</v>
      </c>
      <c r="B31" s="787" t="s">
        <v>844</v>
      </c>
      <c r="C31" s="790">
        <v>0.80500000000000005</v>
      </c>
      <c r="D31" s="789">
        <v>2021</v>
      </c>
      <c r="E31" s="789">
        <v>2029</v>
      </c>
      <c r="F31" s="787"/>
      <c r="G31" s="180"/>
      <c r="H31" s="180"/>
      <c r="I31" s="180"/>
      <c r="J31" s="180"/>
      <c r="K31" s="180"/>
      <c r="L31" s="180"/>
      <c r="M31" s="787"/>
    </row>
    <row r="32" spans="1:13" hidden="1" x14ac:dyDescent="0.3">
      <c r="A32" s="787" t="s">
        <v>1737</v>
      </c>
      <c r="B32" s="787" t="s">
        <v>1738</v>
      </c>
      <c r="C32" s="790">
        <v>0.56000000000000005</v>
      </c>
      <c r="D32" s="789">
        <v>2016</v>
      </c>
      <c r="E32" s="789">
        <v>2023</v>
      </c>
      <c r="F32" s="787"/>
      <c r="G32" s="180"/>
      <c r="H32" s="180"/>
      <c r="I32" s="180"/>
      <c r="J32" s="180"/>
      <c r="K32" s="180"/>
      <c r="L32" s="180"/>
      <c r="M32" s="787"/>
    </row>
    <row r="33" spans="1:13" x14ac:dyDescent="0.3">
      <c r="A33" s="787" t="s">
        <v>1739</v>
      </c>
      <c r="B33" s="787" t="s">
        <v>1740</v>
      </c>
      <c r="C33" s="790">
        <v>0.79900000000000004</v>
      </c>
      <c r="D33" s="789">
        <v>2017</v>
      </c>
      <c r="E33" s="789">
        <v>2025</v>
      </c>
      <c r="F33" s="787"/>
      <c r="G33" s="180"/>
      <c r="H33" s="180"/>
      <c r="I33" s="180"/>
      <c r="J33" s="180"/>
      <c r="K33" s="180"/>
      <c r="L33" s="180"/>
      <c r="M33" s="787"/>
    </row>
    <row r="34" spans="1:13" hidden="1" x14ac:dyDescent="0.3">
      <c r="A34" s="787" t="s">
        <v>1741</v>
      </c>
      <c r="B34" s="787" t="s">
        <v>1742</v>
      </c>
      <c r="C34" s="790">
        <v>0.46</v>
      </c>
      <c r="D34" s="789">
        <v>2021</v>
      </c>
      <c r="E34" s="789">
        <v>2029</v>
      </c>
      <c r="F34" s="787"/>
      <c r="G34" s="180"/>
      <c r="H34" s="180"/>
      <c r="I34" s="180"/>
      <c r="J34" s="180"/>
      <c r="K34" s="180"/>
      <c r="L34" s="180"/>
      <c r="M34" s="787"/>
    </row>
    <row r="35" spans="1:13" x14ac:dyDescent="0.3">
      <c r="A35" s="787" t="s">
        <v>1743</v>
      </c>
      <c r="B35" s="787" t="s">
        <v>1744</v>
      </c>
      <c r="C35" s="790">
        <v>0.40050000000000002</v>
      </c>
      <c r="D35" s="789">
        <v>2020</v>
      </c>
      <c r="E35" s="789">
        <v>2025</v>
      </c>
      <c r="F35" s="787"/>
      <c r="G35" s="180"/>
      <c r="H35" s="180"/>
      <c r="I35" s="180"/>
      <c r="J35" s="180"/>
      <c r="K35" s="180"/>
      <c r="L35" s="180"/>
      <c r="M35" s="787"/>
    </row>
    <row r="36" spans="1:13" hidden="1" x14ac:dyDescent="0.3">
      <c r="A36" s="787" t="s">
        <v>1745</v>
      </c>
      <c r="B36" s="787" t="s">
        <v>1746</v>
      </c>
      <c r="C36" s="790">
        <v>0.54</v>
      </c>
      <c r="D36" s="789">
        <v>2021</v>
      </c>
      <c r="E36" s="789">
        <v>2027</v>
      </c>
      <c r="F36" s="787"/>
      <c r="G36" s="180"/>
      <c r="H36" s="180"/>
      <c r="I36" s="180"/>
      <c r="J36" s="180"/>
      <c r="K36" s="180"/>
      <c r="L36" s="180"/>
      <c r="M36" s="787"/>
    </row>
    <row r="37" spans="1:13" x14ac:dyDescent="0.3">
      <c r="A37" s="787" t="s">
        <v>1747</v>
      </c>
      <c r="B37" s="787" t="s">
        <v>1748</v>
      </c>
      <c r="C37" s="790">
        <v>0.73299999999999998</v>
      </c>
      <c r="D37" s="789">
        <v>2021</v>
      </c>
      <c r="E37" s="789">
        <v>2025</v>
      </c>
      <c r="F37" s="787"/>
      <c r="G37" s="180"/>
      <c r="H37" s="180"/>
      <c r="I37" s="180"/>
      <c r="J37" s="180"/>
      <c r="K37" s="180"/>
      <c r="L37" s="180"/>
      <c r="M37" s="787"/>
    </row>
    <row r="38" spans="1:13" hidden="1" x14ac:dyDescent="0.3">
      <c r="A38" s="787" t="s">
        <v>1749</v>
      </c>
      <c r="B38" s="787" t="s">
        <v>1750</v>
      </c>
      <c r="C38" s="790">
        <v>0.73499999999999999</v>
      </c>
      <c r="D38" s="789">
        <v>2017</v>
      </c>
      <c r="E38" s="789">
        <v>2022</v>
      </c>
      <c r="F38" s="787"/>
      <c r="G38" s="180"/>
      <c r="H38" s="180"/>
      <c r="I38" s="180"/>
      <c r="J38" s="180"/>
      <c r="K38" s="180"/>
      <c r="L38" s="180"/>
      <c r="M38" s="787"/>
    </row>
    <row r="39" spans="1:13" hidden="1" x14ac:dyDescent="0.3">
      <c r="A39" s="787" t="s">
        <v>1751</v>
      </c>
      <c r="B39" s="787" t="s">
        <v>1752</v>
      </c>
      <c r="C39" s="790">
        <v>0.72219999999999995</v>
      </c>
      <c r="D39" s="789">
        <v>2019</v>
      </c>
      <c r="E39" s="789">
        <v>2026</v>
      </c>
      <c r="F39" s="787"/>
      <c r="G39" s="180"/>
      <c r="H39" s="180"/>
      <c r="I39" s="180"/>
      <c r="J39" s="180"/>
      <c r="K39" s="180"/>
      <c r="L39" s="180"/>
      <c r="M39" s="787"/>
    </row>
    <row r="40" spans="1:13" hidden="1" x14ac:dyDescent="0.3">
      <c r="A40" s="787" t="s">
        <v>1673</v>
      </c>
      <c r="B40" s="787" t="s">
        <v>494</v>
      </c>
      <c r="C40" s="790">
        <v>0.95</v>
      </c>
      <c r="D40" s="789">
        <v>2017</v>
      </c>
      <c r="E40" s="789">
        <v>2024</v>
      </c>
      <c r="F40" s="787"/>
      <c r="G40" s="180"/>
      <c r="H40" s="180"/>
      <c r="I40" s="180"/>
      <c r="J40" s="180"/>
      <c r="K40" s="180"/>
      <c r="L40" s="180"/>
      <c r="M40" s="787"/>
    </row>
    <row r="41" spans="1:13" x14ac:dyDescent="0.3">
      <c r="A41" s="787" t="s">
        <v>1753</v>
      </c>
      <c r="B41" s="787" t="s">
        <v>1754</v>
      </c>
      <c r="C41" s="790">
        <v>0.67779999999999996</v>
      </c>
      <c r="D41" s="789">
        <v>2021</v>
      </c>
      <c r="E41" s="789">
        <v>2025</v>
      </c>
      <c r="F41" s="787"/>
      <c r="G41" s="180"/>
      <c r="H41" s="180"/>
      <c r="I41" s="180"/>
      <c r="J41" s="180"/>
      <c r="K41" s="180"/>
      <c r="L41" s="180"/>
      <c r="M41" s="787"/>
    </row>
    <row r="42" spans="1:13" hidden="1" x14ac:dyDescent="0.3">
      <c r="A42" s="787" t="s">
        <v>1674</v>
      </c>
      <c r="B42" s="787" t="s">
        <v>1675</v>
      </c>
      <c r="C42" s="790">
        <v>0.79500000000000004</v>
      </c>
      <c r="D42" s="789">
        <v>2018</v>
      </c>
      <c r="E42" s="789">
        <v>2024</v>
      </c>
      <c r="F42" s="787"/>
      <c r="G42" s="180"/>
      <c r="H42" s="180"/>
      <c r="I42" s="180"/>
      <c r="J42" s="180"/>
      <c r="K42" s="180"/>
      <c r="L42" s="180"/>
      <c r="M42" s="787"/>
    </row>
    <row r="43" spans="1:13" hidden="1" x14ac:dyDescent="0.3">
      <c r="A43" s="787" t="s">
        <v>1755</v>
      </c>
      <c r="B43" s="787" t="s">
        <v>1756</v>
      </c>
      <c r="C43" s="790">
        <v>0.83</v>
      </c>
      <c r="D43" s="789">
        <v>2019</v>
      </c>
      <c r="E43" s="789">
        <v>2023</v>
      </c>
      <c r="F43" s="787"/>
      <c r="G43" s="180"/>
      <c r="H43" s="180"/>
      <c r="I43" s="180"/>
      <c r="J43" s="180"/>
      <c r="K43" s="180"/>
      <c r="L43" s="180"/>
      <c r="M43" s="787"/>
    </row>
    <row r="44" spans="1:13" x14ac:dyDescent="0.3">
      <c r="A44" s="787" t="s">
        <v>1757</v>
      </c>
      <c r="B44" s="787" t="s">
        <v>1758</v>
      </c>
      <c r="C44" s="790">
        <v>0.79</v>
      </c>
      <c r="D44" s="789">
        <v>2017</v>
      </c>
      <c r="E44" s="789">
        <v>2025</v>
      </c>
      <c r="F44" s="787"/>
      <c r="G44" s="180"/>
      <c r="H44" s="180"/>
      <c r="I44" s="180"/>
      <c r="J44" s="180"/>
      <c r="K44" s="180"/>
      <c r="L44" s="180"/>
      <c r="M44" s="787"/>
    </row>
    <row r="45" spans="1:13" hidden="1" x14ac:dyDescent="0.3">
      <c r="A45" s="787" t="s">
        <v>1759</v>
      </c>
      <c r="B45" s="787" t="s">
        <v>1760</v>
      </c>
      <c r="C45" s="790">
        <v>0.65</v>
      </c>
      <c r="D45" s="789">
        <v>2019</v>
      </c>
      <c r="E45" s="789">
        <v>2023</v>
      </c>
      <c r="F45" s="787"/>
      <c r="G45" s="180"/>
      <c r="H45" s="180"/>
      <c r="I45" s="180"/>
      <c r="J45" s="180"/>
      <c r="K45" s="180"/>
      <c r="L45" s="180"/>
      <c r="M45" s="787"/>
    </row>
    <row r="46" spans="1:13" hidden="1" x14ac:dyDescent="0.3">
      <c r="A46" s="787" t="s">
        <v>1676</v>
      </c>
      <c r="B46" s="787" t="s">
        <v>1677</v>
      </c>
      <c r="C46" s="790">
        <v>0.84</v>
      </c>
      <c r="D46" s="789">
        <v>2018</v>
      </c>
      <c r="E46" s="789">
        <v>2024</v>
      </c>
      <c r="F46" s="787"/>
      <c r="G46" s="180"/>
      <c r="H46" s="180"/>
      <c r="I46" s="180"/>
      <c r="J46" s="180"/>
      <c r="K46" s="180"/>
      <c r="L46" s="180"/>
      <c r="M46" s="787"/>
    </row>
    <row r="47" spans="1:13" hidden="1" x14ac:dyDescent="0.3">
      <c r="A47" s="787" t="s">
        <v>1761</v>
      </c>
      <c r="B47" s="787" t="s">
        <v>1762</v>
      </c>
      <c r="C47" s="790">
        <v>0.78600000000000003</v>
      </c>
      <c r="D47" s="789">
        <v>2021</v>
      </c>
      <c r="E47" s="789">
        <v>2029</v>
      </c>
      <c r="F47" s="787"/>
      <c r="G47" s="180"/>
      <c r="H47" s="180"/>
      <c r="I47" s="180"/>
      <c r="J47" s="180"/>
      <c r="K47" s="180"/>
      <c r="L47" s="180"/>
      <c r="M47" s="787"/>
    </row>
    <row r="48" spans="1:13" hidden="1" x14ac:dyDescent="0.3">
      <c r="A48" s="787" t="s">
        <v>1763</v>
      </c>
      <c r="B48" s="787" t="s">
        <v>1764</v>
      </c>
      <c r="C48" s="790">
        <v>0.73050000000000004</v>
      </c>
      <c r="D48" s="789">
        <v>2017</v>
      </c>
      <c r="E48" s="789">
        <v>2022</v>
      </c>
      <c r="F48" s="787"/>
      <c r="G48" s="180"/>
      <c r="H48" s="180"/>
      <c r="I48" s="180"/>
      <c r="J48" s="180"/>
      <c r="K48" s="180"/>
      <c r="L48" s="180"/>
      <c r="M48" s="787"/>
    </row>
    <row r="49" spans="1:13" hidden="1" x14ac:dyDescent="0.3">
      <c r="A49" s="787" t="s">
        <v>1678</v>
      </c>
      <c r="B49" s="787" t="s">
        <v>1679</v>
      </c>
      <c r="C49" s="790">
        <v>0.76</v>
      </c>
      <c r="D49" s="789">
        <v>2020</v>
      </c>
      <c r="E49" s="789">
        <v>2024</v>
      </c>
      <c r="F49" s="787"/>
      <c r="G49" s="180"/>
      <c r="H49" s="180"/>
      <c r="I49" s="180"/>
      <c r="J49" s="180"/>
      <c r="K49" s="180"/>
      <c r="L49" s="180"/>
      <c r="M49" s="787"/>
    </row>
    <row r="50" spans="1:13" hidden="1" x14ac:dyDescent="0.3">
      <c r="A50" s="787" t="s">
        <v>1765</v>
      </c>
      <c r="B50" s="787" t="s">
        <v>1766</v>
      </c>
      <c r="C50" s="790">
        <v>0.75</v>
      </c>
      <c r="D50" s="789">
        <v>2017</v>
      </c>
      <c r="E50" s="789">
        <v>2022</v>
      </c>
      <c r="F50" s="787"/>
      <c r="G50" s="180"/>
      <c r="H50" s="180"/>
      <c r="I50" s="180"/>
      <c r="J50" s="180"/>
      <c r="K50" s="180"/>
      <c r="L50" s="180"/>
      <c r="M50" s="787"/>
    </row>
    <row r="51" spans="1:13" x14ac:dyDescent="0.3">
      <c r="A51" s="787" t="s">
        <v>1767</v>
      </c>
      <c r="B51" s="787" t="s">
        <v>1768</v>
      </c>
      <c r="C51" s="790">
        <v>0.53500000000000003</v>
      </c>
      <c r="D51" s="789">
        <v>2021</v>
      </c>
      <c r="E51" s="789">
        <v>2025</v>
      </c>
      <c r="F51" s="787"/>
      <c r="G51" s="180"/>
      <c r="H51" s="180"/>
      <c r="I51" s="180"/>
      <c r="J51" s="180"/>
      <c r="K51" s="180"/>
      <c r="L51" s="180"/>
      <c r="M51" s="787"/>
    </row>
    <row r="52" spans="1:13" hidden="1" x14ac:dyDescent="0.3">
      <c r="A52" s="787" t="s">
        <v>1769</v>
      </c>
      <c r="B52" s="787" t="s">
        <v>1770</v>
      </c>
      <c r="C52" s="790">
        <v>0.56100000000000005</v>
      </c>
      <c r="D52" s="789">
        <v>2019</v>
      </c>
      <c r="E52" s="789">
        <v>2023</v>
      </c>
      <c r="F52" s="787"/>
      <c r="G52" s="180"/>
      <c r="H52" s="180"/>
      <c r="I52" s="180"/>
      <c r="J52" s="180"/>
      <c r="K52" s="180"/>
      <c r="L52" s="180"/>
      <c r="M52" s="787"/>
    </row>
    <row r="53" spans="1:13" hidden="1" x14ac:dyDescent="0.3">
      <c r="A53" s="787" t="s">
        <v>1771</v>
      </c>
      <c r="B53" s="787" t="s">
        <v>1772</v>
      </c>
      <c r="C53" s="790">
        <v>0.84</v>
      </c>
      <c r="D53" s="789">
        <v>2019</v>
      </c>
      <c r="E53" s="789">
        <v>2027</v>
      </c>
      <c r="F53" s="787"/>
      <c r="G53" s="180"/>
      <c r="H53" s="180"/>
      <c r="I53" s="180"/>
      <c r="J53" s="180"/>
      <c r="K53" s="180"/>
      <c r="L53" s="180"/>
      <c r="M53" s="787"/>
    </row>
    <row r="54" spans="1:13" hidden="1" x14ac:dyDescent="0.3">
      <c r="A54" s="787" t="s">
        <v>1773</v>
      </c>
      <c r="B54" s="787" t="s">
        <v>1774</v>
      </c>
      <c r="C54" s="790">
        <v>0.75</v>
      </c>
      <c r="D54" s="789">
        <v>2014</v>
      </c>
      <c r="E54" s="789">
        <v>2022</v>
      </c>
      <c r="F54" s="787"/>
      <c r="G54" s="180"/>
      <c r="H54" s="180"/>
      <c r="I54" s="180"/>
      <c r="J54" s="180"/>
      <c r="K54" s="180"/>
      <c r="L54" s="180"/>
      <c r="M54" s="787"/>
    </row>
    <row r="55" spans="1:13" hidden="1" x14ac:dyDescent="0.3">
      <c r="A55" s="787" t="s">
        <v>1775</v>
      </c>
      <c r="B55" s="787" t="s">
        <v>515</v>
      </c>
      <c r="C55" s="790">
        <v>0.79500000000000004</v>
      </c>
      <c r="D55" s="789">
        <v>2017</v>
      </c>
      <c r="E55" s="789">
        <v>2023</v>
      </c>
      <c r="F55" s="787"/>
      <c r="G55" s="180"/>
      <c r="H55" s="180"/>
      <c r="I55" s="180"/>
      <c r="J55" s="180"/>
      <c r="K55" s="180"/>
      <c r="L55" s="180"/>
      <c r="M55" s="787"/>
    </row>
    <row r="56" spans="1:13" hidden="1" x14ac:dyDescent="0.3">
      <c r="A56" s="787" t="s">
        <v>1776</v>
      </c>
      <c r="B56" s="787" t="s">
        <v>1777</v>
      </c>
      <c r="C56" s="790">
        <v>0.53749999999999998</v>
      </c>
      <c r="D56" s="789">
        <v>2019</v>
      </c>
      <c r="E56" s="789">
        <v>2023</v>
      </c>
      <c r="F56" s="787"/>
      <c r="G56" s="180"/>
      <c r="H56" s="180"/>
      <c r="I56" s="180"/>
      <c r="J56" s="180"/>
      <c r="K56" s="180"/>
      <c r="L56" s="180"/>
      <c r="M56" s="787"/>
    </row>
    <row r="57" spans="1:13" x14ac:dyDescent="0.3">
      <c r="A57" s="787" t="s">
        <v>1778</v>
      </c>
      <c r="B57" s="787" t="s">
        <v>1779</v>
      </c>
      <c r="C57" s="790">
        <v>0.36</v>
      </c>
      <c r="D57" s="789">
        <v>2021</v>
      </c>
      <c r="E57" s="789">
        <v>2025</v>
      </c>
      <c r="F57" s="787"/>
      <c r="G57" s="180"/>
      <c r="H57" s="180"/>
      <c r="I57" s="180"/>
      <c r="J57" s="180"/>
      <c r="K57" s="180"/>
      <c r="L57" s="180"/>
      <c r="M57" s="787"/>
    </row>
    <row r="58" spans="1:13" x14ac:dyDescent="0.3">
      <c r="A58" s="787" t="s">
        <v>1780</v>
      </c>
      <c r="B58" s="787" t="s">
        <v>1781</v>
      </c>
      <c r="C58" s="788">
        <v>0.73</v>
      </c>
      <c r="D58" s="789">
        <v>2019</v>
      </c>
      <c r="E58" s="789">
        <v>2025</v>
      </c>
      <c r="F58" s="787"/>
      <c r="G58" s="180"/>
      <c r="H58" s="180"/>
      <c r="I58" s="180"/>
      <c r="J58" s="180"/>
      <c r="K58" s="180"/>
      <c r="L58" s="180"/>
      <c r="M58" s="787"/>
    </row>
    <row r="59" spans="1:13" hidden="1" x14ac:dyDescent="0.3">
      <c r="A59" s="787" t="s">
        <v>1782</v>
      </c>
      <c r="B59" s="787" t="s">
        <v>1783</v>
      </c>
      <c r="C59" s="788">
        <v>0.75</v>
      </c>
      <c r="D59" s="789">
        <v>2014</v>
      </c>
      <c r="E59" s="789">
        <v>2022</v>
      </c>
      <c r="F59" s="787"/>
      <c r="G59" s="180"/>
      <c r="H59" s="180"/>
      <c r="I59" s="180"/>
      <c r="J59" s="180"/>
      <c r="K59" s="180"/>
      <c r="L59" s="180"/>
      <c r="M59" s="787"/>
    </row>
    <row r="60" spans="1:13" hidden="1" x14ac:dyDescent="0.3">
      <c r="A60" s="787" t="s">
        <v>1784</v>
      </c>
      <c r="B60" s="787" t="s">
        <v>1785</v>
      </c>
      <c r="C60" s="788">
        <v>0.76</v>
      </c>
      <c r="D60" s="789">
        <v>2019</v>
      </c>
      <c r="E60" s="789">
        <v>2023</v>
      </c>
      <c r="F60" s="787"/>
      <c r="G60" s="180"/>
      <c r="H60" s="180"/>
      <c r="I60" s="180"/>
      <c r="J60" s="180"/>
      <c r="K60" s="180"/>
      <c r="L60" s="180"/>
      <c r="M60" s="787"/>
    </row>
    <row r="61" spans="1:13" x14ac:dyDescent="0.3">
      <c r="A61" s="787" t="s">
        <v>1786</v>
      </c>
      <c r="B61" s="787" t="s">
        <v>1787</v>
      </c>
      <c r="C61" s="788">
        <v>0.84499999999999997</v>
      </c>
      <c r="D61" s="789">
        <v>2017</v>
      </c>
      <c r="E61" s="789">
        <v>2025</v>
      </c>
      <c r="F61" s="787"/>
      <c r="G61" s="180"/>
      <c r="H61" s="180"/>
      <c r="I61" s="180"/>
      <c r="J61" s="180"/>
      <c r="K61" s="180"/>
      <c r="L61" s="180"/>
      <c r="M61" s="787"/>
    </row>
    <row r="62" spans="1:13" hidden="1" x14ac:dyDescent="0.3">
      <c r="A62" s="787" t="s">
        <v>1788</v>
      </c>
      <c r="B62" s="787" t="s">
        <v>1789</v>
      </c>
      <c r="C62" s="788">
        <v>0.61899999999999999</v>
      </c>
      <c r="D62" s="789">
        <v>2019</v>
      </c>
      <c r="E62" s="789">
        <v>2023</v>
      </c>
      <c r="F62" s="787"/>
      <c r="G62" s="180"/>
      <c r="H62" s="180"/>
      <c r="I62" s="180"/>
      <c r="J62" s="180"/>
      <c r="K62" s="180"/>
      <c r="L62" s="180"/>
      <c r="M62" s="787"/>
    </row>
    <row r="63" spans="1:13" hidden="1" x14ac:dyDescent="0.3">
      <c r="A63" s="787" t="s">
        <v>1790</v>
      </c>
      <c r="B63" s="787" t="s">
        <v>1791</v>
      </c>
      <c r="C63" s="788">
        <v>0.4</v>
      </c>
      <c r="D63" s="789">
        <v>2019</v>
      </c>
      <c r="E63" s="789">
        <v>2023</v>
      </c>
      <c r="F63" s="787"/>
      <c r="G63" s="180"/>
      <c r="H63" s="180"/>
      <c r="I63" s="180"/>
      <c r="J63" s="180"/>
      <c r="K63" s="180"/>
      <c r="L63" s="180"/>
      <c r="M63" s="787"/>
    </row>
    <row r="64" spans="1:13" hidden="1" x14ac:dyDescent="0.3">
      <c r="A64" s="787" t="s">
        <v>1792</v>
      </c>
      <c r="B64" s="787" t="s">
        <v>1793</v>
      </c>
      <c r="C64" s="788">
        <v>0.5</v>
      </c>
      <c r="D64" s="789">
        <v>2020</v>
      </c>
      <c r="E64" s="789">
        <v>2028</v>
      </c>
      <c r="F64" s="787"/>
      <c r="G64" s="180"/>
      <c r="H64" s="180"/>
      <c r="I64" s="180"/>
      <c r="J64" s="180"/>
      <c r="K64" s="180"/>
      <c r="L64" s="180"/>
      <c r="M64" s="787"/>
    </row>
    <row r="65" spans="1:13" x14ac:dyDescent="0.3">
      <c r="A65" s="787" t="s">
        <v>1794</v>
      </c>
      <c r="B65" s="787" t="s">
        <v>845</v>
      </c>
      <c r="C65" s="788">
        <v>0.81</v>
      </c>
      <c r="D65" s="789">
        <v>2017</v>
      </c>
      <c r="E65" s="789">
        <v>2025</v>
      </c>
      <c r="F65" s="787"/>
      <c r="G65" s="180"/>
      <c r="H65" s="180"/>
      <c r="I65" s="180"/>
      <c r="J65" s="180"/>
      <c r="K65" s="180"/>
      <c r="L65" s="180"/>
      <c r="M65" s="787"/>
    </row>
    <row r="66" spans="1:13" hidden="1" x14ac:dyDescent="0.3">
      <c r="A66" s="787" t="s">
        <v>1795</v>
      </c>
      <c r="B66" s="787" t="s">
        <v>1796</v>
      </c>
      <c r="C66" s="788">
        <v>0.57750000000000001</v>
      </c>
      <c r="D66" s="789">
        <v>2019</v>
      </c>
      <c r="E66" s="789">
        <v>2023</v>
      </c>
      <c r="F66" s="787"/>
      <c r="G66" s="180"/>
      <c r="H66" s="180"/>
      <c r="I66" s="180"/>
      <c r="J66" s="180"/>
      <c r="K66" s="180"/>
      <c r="L66" s="180"/>
      <c r="M66" s="787"/>
    </row>
    <row r="67" spans="1:13" hidden="1" x14ac:dyDescent="0.3">
      <c r="A67" s="787" t="s">
        <v>1797</v>
      </c>
      <c r="B67" s="787" t="s">
        <v>1798</v>
      </c>
      <c r="C67" s="788">
        <v>0.6169</v>
      </c>
      <c r="D67" s="789">
        <v>2019</v>
      </c>
      <c r="E67" s="789">
        <v>2023</v>
      </c>
      <c r="F67" s="787"/>
      <c r="G67" s="180"/>
      <c r="H67" s="180"/>
      <c r="I67" s="180"/>
      <c r="J67" s="180"/>
      <c r="K67" s="180"/>
      <c r="L67" s="180"/>
      <c r="M67" s="787"/>
    </row>
    <row r="68" spans="1:13" hidden="1" x14ac:dyDescent="0.3">
      <c r="A68" s="787" t="s">
        <v>1799</v>
      </c>
      <c r="B68" s="787" t="s">
        <v>1800</v>
      </c>
      <c r="C68" s="788">
        <v>0.57999999999999996</v>
      </c>
      <c r="D68" s="789">
        <v>2018</v>
      </c>
      <c r="E68" s="789">
        <v>2022</v>
      </c>
      <c r="F68" s="787"/>
      <c r="G68" s="180"/>
      <c r="H68" s="180"/>
      <c r="I68" s="180"/>
      <c r="J68" s="180"/>
      <c r="K68" s="180"/>
      <c r="L68" s="180"/>
      <c r="M68" s="787"/>
    </row>
    <row r="69" spans="1:13" hidden="1" x14ac:dyDescent="0.3">
      <c r="A69" s="787" t="s">
        <v>1801</v>
      </c>
      <c r="B69" s="787" t="s">
        <v>1802</v>
      </c>
      <c r="C69" s="788">
        <v>0.61499999999999999</v>
      </c>
      <c r="D69" s="789">
        <v>2020</v>
      </c>
      <c r="E69" s="789">
        <v>2028</v>
      </c>
      <c r="F69" s="787"/>
      <c r="G69" s="180"/>
      <c r="H69" s="180"/>
      <c r="I69" s="180"/>
      <c r="J69" s="180"/>
      <c r="K69" s="180"/>
      <c r="L69" s="180"/>
      <c r="M69" s="787"/>
    </row>
    <row r="70" spans="1:13" hidden="1" x14ac:dyDescent="0.3">
      <c r="A70" s="787" t="s">
        <v>1803</v>
      </c>
      <c r="B70" s="787" t="s">
        <v>1804</v>
      </c>
      <c r="C70" s="788">
        <v>0.51</v>
      </c>
      <c r="D70" s="789">
        <v>2019</v>
      </c>
      <c r="E70" s="789">
        <v>2023</v>
      </c>
      <c r="F70" s="787"/>
      <c r="G70" s="180"/>
      <c r="H70" s="180"/>
      <c r="I70" s="180"/>
      <c r="J70" s="180"/>
      <c r="K70" s="180"/>
      <c r="L70" s="180"/>
      <c r="M70" s="787"/>
    </row>
    <row r="71" spans="1:13" hidden="1" x14ac:dyDescent="0.3">
      <c r="A71" s="787" t="s">
        <v>1680</v>
      </c>
      <c r="B71" s="787" t="s">
        <v>1681</v>
      </c>
      <c r="C71" s="788">
        <v>0.67</v>
      </c>
      <c r="D71" s="789">
        <v>2017</v>
      </c>
      <c r="E71" s="789">
        <v>2024</v>
      </c>
      <c r="F71" s="787"/>
      <c r="G71" s="180"/>
      <c r="H71" s="180"/>
      <c r="I71" s="180"/>
      <c r="J71" s="180"/>
      <c r="K71" s="180"/>
      <c r="L71" s="180"/>
      <c r="M71" s="787"/>
    </row>
    <row r="72" spans="1:13" x14ac:dyDescent="0.3">
      <c r="A72" s="787" t="s">
        <v>1805</v>
      </c>
      <c r="B72" s="787" t="s">
        <v>1806</v>
      </c>
      <c r="C72" s="788">
        <v>0.47499999999999998</v>
      </c>
      <c r="D72" s="789">
        <v>2021</v>
      </c>
      <c r="E72" s="789">
        <v>2025</v>
      </c>
      <c r="F72" s="787"/>
      <c r="G72" s="180"/>
      <c r="H72" s="180"/>
      <c r="I72" s="180"/>
      <c r="J72" s="180"/>
      <c r="K72" s="180"/>
      <c r="L72" s="180"/>
      <c r="M72" s="787"/>
    </row>
    <row r="73" spans="1:13" hidden="1" x14ac:dyDescent="0.3">
      <c r="A73" s="606" t="s">
        <v>1807</v>
      </c>
      <c r="B73" s="606" t="s">
        <v>524</v>
      </c>
      <c r="C73" s="791">
        <v>0.90500000000000003</v>
      </c>
      <c r="D73" s="607">
        <v>2015</v>
      </c>
      <c r="E73" s="607">
        <v>2023</v>
      </c>
      <c r="G73" s="180"/>
      <c r="H73" s="180"/>
      <c r="I73" s="180"/>
      <c r="J73" s="180"/>
      <c r="K73" s="180"/>
      <c r="L73" s="180"/>
    </row>
    <row r="74" spans="1:13" hidden="1" x14ac:dyDescent="0.3">
      <c r="A74" s="606" t="s">
        <v>1808</v>
      </c>
      <c r="B74" s="606" t="s">
        <v>1809</v>
      </c>
      <c r="C74" s="791">
        <v>0.70499999999999996</v>
      </c>
      <c r="D74" s="607">
        <v>2018</v>
      </c>
      <c r="E74" s="607">
        <v>2022</v>
      </c>
      <c r="G74" s="180"/>
      <c r="H74" s="180"/>
      <c r="I74" s="180"/>
      <c r="J74" s="180"/>
      <c r="K74" s="180"/>
      <c r="L74" s="180"/>
    </row>
    <row r="75" spans="1:13" x14ac:dyDescent="0.3">
      <c r="A75" s="606" t="s">
        <v>1810</v>
      </c>
      <c r="B75" s="606" t="s">
        <v>1811</v>
      </c>
      <c r="C75" s="791">
        <v>0.81869999999999998</v>
      </c>
      <c r="D75" s="607">
        <v>2021</v>
      </c>
      <c r="E75" s="607">
        <v>2025</v>
      </c>
      <c r="G75" s="180"/>
      <c r="H75" s="180"/>
      <c r="I75" s="180"/>
      <c r="J75" s="180"/>
      <c r="K75" s="180"/>
      <c r="L75" s="180"/>
    </row>
    <row r="76" spans="1:13" hidden="1" x14ac:dyDescent="0.3">
      <c r="A76" s="606" t="s">
        <v>1812</v>
      </c>
      <c r="B76" s="606" t="s">
        <v>1813</v>
      </c>
      <c r="C76" s="791">
        <v>0.625</v>
      </c>
      <c r="D76" s="607">
        <v>2020</v>
      </c>
      <c r="E76" s="607">
        <v>2028</v>
      </c>
      <c r="G76" s="180"/>
      <c r="H76" s="180"/>
      <c r="I76" s="180"/>
      <c r="J76" s="180"/>
      <c r="K76" s="180"/>
      <c r="L76" s="180"/>
    </row>
    <row r="77" spans="1:13" hidden="1" x14ac:dyDescent="0.3">
      <c r="A77" s="606" t="s">
        <v>1814</v>
      </c>
      <c r="B77" s="606" t="s">
        <v>1815</v>
      </c>
      <c r="C77" s="791">
        <v>0.77</v>
      </c>
      <c r="D77" s="607">
        <v>2014</v>
      </c>
      <c r="E77" s="607">
        <v>2022</v>
      </c>
      <c r="G77" s="180"/>
      <c r="H77" s="180"/>
      <c r="I77" s="180"/>
      <c r="J77" s="180"/>
      <c r="K77" s="180"/>
      <c r="L77" s="180"/>
    </row>
    <row r="78" spans="1:13" hidden="1" x14ac:dyDescent="0.3">
      <c r="A78" s="606" t="s">
        <v>1816</v>
      </c>
      <c r="B78" s="606" t="s">
        <v>527</v>
      </c>
      <c r="C78" s="791">
        <v>0.64500000000000002</v>
      </c>
      <c r="D78" s="607">
        <v>2019</v>
      </c>
      <c r="E78" s="607">
        <v>2027</v>
      </c>
      <c r="G78" s="180"/>
      <c r="H78" s="180"/>
      <c r="I78" s="180"/>
      <c r="J78" s="180"/>
      <c r="K78" s="180"/>
      <c r="L78" s="180"/>
    </row>
    <row r="79" spans="1:13" hidden="1" x14ac:dyDescent="0.3">
      <c r="A79" s="606" t="s">
        <v>1682</v>
      </c>
      <c r="B79" s="606" t="s">
        <v>1683</v>
      </c>
      <c r="C79" s="791">
        <v>0.61</v>
      </c>
      <c r="D79" s="607">
        <v>2016</v>
      </c>
      <c r="E79" s="607">
        <v>2024</v>
      </c>
      <c r="G79" s="180"/>
      <c r="H79" s="180"/>
      <c r="I79" s="180"/>
      <c r="J79" s="180"/>
      <c r="K79" s="180"/>
      <c r="L79" s="180"/>
    </row>
    <row r="80" spans="1:13" x14ac:dyDescent="0.3">
      <c r="A80" s="606" t="s">
        <v>1817</v>
      </c>
      <c r="B80" s="606" t="s">
        <v>1818</v>
      </c>
      <c r="C80" s="791">
        <v>0.72</v>
      </c>
      <c r="D80" s="607">
        <v>2021</v>
      </c>
      <c r="E80" s="607">
        <v>2025</v>
      </c>
      <c r="G80" s="180"/>
      <c r="H80" s="180"/>
      <c r="I80" s="180"/>
      <c r="J80" s="180"/>
      <c r="K80" s="180"/>
      <c r="L80" s="180"/>
    </row>
    <row r="81" spans="1:12" hidden="1" x14ac:dyDescent="0.3">
      <c r="A81" s="606" t="s">
        <v>1684</v>
      </c>
      <c r="B81" s="606" t="s">
        <v>1685</v>
      </c>
      <c r="C81" s="791">
        <v>0.68410000000000004</v>
      </c>
      <c r="D81" s="607">
        <v>2020</v>
      </c>
      <c r="E81" s="607">
        <v>2024</v>
      </c>
      <c r="G81" s="180"/>
      <c r="H81" s="180"/>
      <c r="I81" s="180"/>
      <c r="J81" s="180"/>
      <c r="K81" s="180"/>
      <c r="L81" s="180"/>
    </row>
    <row r="82" spans="1:12" x14ac:dyDescent="0.3">
      <c r="A82" s="606" t="s">
        <v>1819</v>
      </c>
      <c r="B82" s="606" t="s">
        <v>1820</v>
      </c>
      <c r="C82" s="791">
        <v>0.51429999999999998</v>
      </c>
      <c r="D82" s="607">
        <v>2021</v>
      </c>
      <c r="E82" s="607">
        <v>2025</v>
      </c>
      <c r="G82" s="180"/>
      <c r="H82" s="180"/>
      <c r="I82" s="180"/>
      <c r="J82" s="180"/>
      <c r="K82" s="180"/>
      <c r="L82" s="180"/>
    </row>
    <row r="83" spans="1:12" hidden="1" x14ac:dyDescent="0.3">
      <c r="A83" s="606" t="s">
        <v>1821</v>
      </c>
      <c r="B83" s="606" t="s">
        <v>1822</v>
      </c>
      <c r="C83" s="791">
        <v>0.63270000000000004</v>
      </c>
      <c r="D83" s="607">
        <v>2019</v>
      </c>
      <c r="E83" s="607">
        <v>2023</v>
      </c>
      <c r="G83" s="180"/>
      <c r="H83" s="180"/>
      <c r="I83" s="180"/>
      <c r="J83" s="180"/>
      <c r="K83" s="180"/>
      <c r="L83" s="180"/>
    </row>
    <row r="84" spans="1:12" hidden="1" x14ac:dyDescent="0.3">
      <c r="A84" s="606" t="s">
        <v>1686</v>
      </c>
      <c r="B84" s="606" t="s">
        <v>1687</v>
      </c>
      <c r="C84" s="791">
        <v>0.83</v>
      </c>
      <c r="D84" s="607">
        <v>2016</v>
      </c>
      <c r="E84" s="607">
        <v>2024</v>
      </c>
      <c r="G84" s="180"/>
      <c r="H84" s="180"/>
      <c r="I84" s="180"/>
      <c r="J84" s="180"/>
      <c r="K84" s="180"/>
      <c r="L84" s="180"/>
    </row>
    <row r="85" spans="1:12" hidden="1" x14ac:dyDescent="0.3">
      <c r="A85" s="606" t="s">
        <v>1688</v>
      </c>
      <c r="B85" s="606" t="s">
        <v>1689</v>
      </c>
      <c r="C85" s="791">
        <v>0.77</v>
      </c>
      <c r="D85" s="607">
        <v>2018</v>
      </c>
      <c r="E85" s="607">
        <v>2024</v>
      </c>
      <c r="G85" s="180"/>
      <c r="H85" s="180"/>
      <c r="I85" s="180"/>
      <c r="J85" s="180"/>
      <c r="K85" s="180"/>
      <c r="L85" s="180"/>
    </row>
    <row r="86" spans="1:12" hidden="1" x14ac:dyDescent="0.3">
      <c r="A86" s="606" t="s">
        <v>1690</v>
      </c>
      <c r="B86" s="606" t="s">
        <v>1691</v>
      </c>
      <c r="C86" s="791">
        <v>0.69499999999999995</v>
      </c>
      <c r="D86" s="607">
        <v>2019</v>
      </c>
      <c r="E86" s="607">
        <v>2024</v>
      </c>
      <c r="G86" s="180"/>
      <c r="H86" s="180"/>
      <c r="I86" s="180"/>
      <c r="J86" s="180"/>
      <c r="K86" s="180"/>
      <c r="L86" s="180"/>
    </row>
    <row r="87" spans="1:12" hidden="1" x14ac:dyDescent="0.3">
      <c r="A87" s="606" t="s">
        <v>1823</v>
      </c>
      <c r="B87" s="606" t="s">
        <v>1824</v>
      </c>
      <c r="C87" s="791">
        <v>0.65749999999999997</v>
      </c>
      <c r="D87" s="607">
        <v>2019</v>
      </c>
      <c r="E87" s="607">
        <v>2023</v>
      </c>
      <c r="G87" s="180"/>
      <c r="H87" s="180"/>
      <c r="I87" s="180"/>
      <c r="J87" s="180"/>
      <c r="K87" s="180"/>
      <c r="L87" s="180"/>
    </row>
    <row r="88" spans="1:12" hidden="1" x14ac:dyDescent="0.3">
      <c r="A88" s="606" t="s">
        <v>1825</v>
      </c>
      <c r="B88" s="606" t="s">
        <v>1826</v>
      </c>
      <c r="C88" s="791">
        <v>0.59699999999999998</v>
      </c>
      <c r="D88" s="607">
        <v>2019</v>
      </c>
      <c r="E88" s="607">
        <v>2023</v>
      </c>
      <c r="G88" s="180"/>
      <c r="H88" s="180"/>
      <c r="I88" s="180"/>
      <c r="J88" s="180"/>
      <c r="K88" s="180"/>
      <c r="L88" s="180"/>
    </row>
    <row r="89" spans="1:12" hidden="1" x14ac:dyDescent="0.3">
      <c r="A89" s="606" t="s">
        <v>1827</v>
      </c>
      <c r="B89" s="606" t="s">
        <v>1828</v>
      </c>
      <c r="C89" s="791">
        <v>0.82499999999999996</v>
      </c>
      <c r="D89" s="607">
        <v>2019</v>
      </c>
      <c r="E89" s="607">
        <v>2027</v>
      </c>
      <c r="G89" s="180"/>
      <c r="H89" s="180"/>
      <c r="I89" s="180"/>
      <c r="J89" s="180"/>
      <c r="K89" s="180"/>
      <c r="L89" s="180"/>
    </row>
    <row r="90" spans="1:12" hidden="1" x14ac:dyDescent="0.3">
      <c r="A90" s="606" t="s">
        <v>1829</v>
      </c>
      <c r="B90" s="606" t="s">
        <v>541</v>
      </c>
      <c r="C90" s="791">
        <v>1</v>
      </c>
      <c r="D90" s="607">
        <v>2019</v>
      </c>
      <c r="E90" s="607">
        <v>2027</v>
      </c>
      <c r="G90" s="180"/>
      <c r="H90" s="180"/>
      <c r="I90" s="180"/>
      <c r="J90" s="180"/>
      <c r="K90" s="180"/>
      <c r="L90" s="180"/>
    </row>
    <row r="91" spans="1:12" x14ac:dyDescent="0.3">
      <c r="A91" s="606" t="s">
        <v>1830</v>
      </c>
      <c r="B91" s="606" t="s">
        <v>1831</v>
      </c>
      <c r="C91" s="791">
        <v>0.61</v>
      </c>
      <c r="D91" s="607">
        <v>2021</v>
      </c>
      <c r="E91" s="607">
        <v>2025</v>
      </c>
      <c r="G91" s="180"/>
      <c r="H91" s="180"/>
      <c r="I91" s="180"/>
      <c r="J91" s="180"/>
      <c r="K91" s="180"/>
      <c r="L91" s="180"/>
    </row>
    <row r="92" spans="1:12" x14ac:dyDescent="0.3">
      <c r="A92" s="606" t="s">
        <v>1832</v>
      </c>
      <c r="B92" s="606" t="s">
        <v>1833</v>
      </c>
      <c r="C92" s="791">
        <v>0.66</v>
      </c>
      <c r="D92" s="607">
        <v>2021</v>
      </c>
      <c r="E92" s="607">
        <v>2025</v>
      </c>
      <c r="G92" s="180"/>
      <c r="H92" s="180"/>
      <c r="I92" s="180"/>
      <c r="J92" s="180"/>
      <c r="K92" s="180"/>
      <c r="L92" s="180"/>
    </row>
    <row r="93" spans="1:12" x14ac:dyDescent="0.3">
      <c r="A93" s="606" t="s">
        <v>1834</v>
      </c>
      <c r="B93" s="606" t="s">
        <v>1835</v>
      </c>
      <c r="C93" s="791">
        <v>0.55200000000000005</v>
      </c>
      <c r="D93" s="607">
        <v>2021</v>
      </c>
      <c r="E93" s="607">
        <v>2025</v>
      </c>
      <c r="G93" s="180"/>
      <c r="H93" s="180"/>
      <c r="I93" s="180"/>
      <c r="J93" s="180"/>
      <c r="K93" s="180"/>
      <c r="L93" s="180"/>
    </row>
    <row r="94" spans="1:12" hidden="1" x14ac:dyDescent="0.3">
      <c r="A94" s="606" t="s">
        <v>1836</v>
      </c>
      <c r="B94" s="606" t="s">
        <v>1837</v>
      </c>
      <c r="C94" s="791">
        <v>0.36</v>
      </c>
      <c r="D94" s="607">
        <v>2021</v>
      </c>
      <c r="E94" s="607">
        <v>2029</v>
      </c>
      <c r="G94" s="180"/>
      <c r="H94" s="180"/>
      <c r="I94" s="180"/>
      <c r="J94" s="180"/>
      <c r="K94" s="180"/>
      <c r="L94" s="180"/>
    </row>
    <row r="95" spans="1:12" x14ac:dyDescent="0.3">
      <c r="A95" s="606" t="s">
        <v>1838</v>
      </c>
      <c r="B95" s="606" t="s">
        <v>1839</v>
      </c>
      <c r="C95" s="791">
        <v>0.60329999999999995</v>
      </c>
      <c r="D95" s="607">
        <v>2021</v>
      </c>
      <c r="E95" s="607">
        <v>2025</v>
      </c>
      <c r="G95" s="180"/>
      <c r="H95" s="180"/>
      <c r="I95" s="180"/>
      <c r="J95" s="180"/>
      <c r="K95" s="180"/>
      <c r="L95" s="180"/>
    </row>
    <row r="96" spans="1:12" x14ac:dyDescent="0.3">
      <c r="A96" s="606" t="s">
        <v>1840</v>
      </c>
      <c r="B96" s="606" t="s">
        <v>550</v>
      </c>
      <c r="C96" s="791">
        <v>0.95</v>
      </c>
      <c r="D96" s="607">
        <v>2017</v>
      </c>
      <c r="E96" s="607">
        <v>2025</v>
      </c>
      <c r="G96" s="180"/>
      <c r="H96" s="180"/>
      <c r="I96" s="180"/>
      <c r="J96" s="180"/>
      <c r="K96" s="180"/>
      <c r="L96" s="180"/>
    </row>
    <row r="97" spans="1:12" x14ac:dyDescent="0.3">
      <c r="A97" s="606" t="s">
        <v>1841</v>
      </c>
      <c r="B97" s="606" t="s">
        <v>1842</v>
      </c>
      <c r="C97" s="791">
        <v>0.58799999999999997</v>
      </c>
      <c r="D97" s="607">
        <v>2021</v>
      </c>
      <c r="E97" s="607">
        <v>2025</v>
      </c>
      <c r="G97" s="180"/>
      <c r="H97" s="180"/>
      <c r="I97" s="180"/>
      <c r="J97" s="180"/>
      <c r="K97" s="180"/>
      <c r="L97" s="180"/>
    </row>
    <row r="98" spans="1:12" hidden="1" x14ac:dyDescent="0.3">
      <c r="A98" s="606" t="s">
        <v>1692</v>
      </c>
      <c r="B98" s="606" t="s">
        <v>1693</v>
      </c>
      <c r="C98" s="791">
        <v>0.89</v>
      </c>
      <c r="D98" s="607">
        <v>2016</v>
      </c>
      <c r="E98" s="607">
        <v>2024</v>
      </c>
    </row>
    <row r="99" spans="1:12" hidden="1" x14ac:dyDescent="0.3">
      <c r="A99" s="606" t="s">
        <v>1694</v>
      </c>
      <c r="B99" s="606" t="s">
        <v>1695</v>
      </c>
      <c r="C99" s="791">
        <v>0.6</v>
      </c>
      <c r="D99" s="607">
        <v>2020</v>
      </c>
      <c r="E99" s="607">
        <v>2024</v>
      </c>
    </row>
    <row r="100" spans="1:12" x14ac:dyDescent="0.3">
      <c r="A100" s="606" t="s">
        <v>1843</v>
      </c>
      <c r="B100" s="606" t="s">
        <v>1844</v>
      </c>
      <c r="C100" s="791">
        <v>0.81</v>
      </c>
      <c r="D100" s="607">
        <v>2017</v>
      </c>
      <c r="E100" s="607">
        <v>2025</v>
      </c>
    </row>
    <row r="101" spans="1:12" hidden="1" x14ac:dyDescent="0.3">
      <c r="A101" s="606" t="s">
        <v>1845</v>
      </c>
      <c r="B101" s="606" t="s">
        <v>1846</v>
      </c>
      <c r="C101" s="791">
        <v>0.85</v>
      </c>
      <c r="D101" s="607">
        <v>2021</v>
      </c>
      <c r="E101" s="607">
        <v>2029</v>
      </c>
    </row>
    <row r="102" spans="1:12" hidden="1" x14ac:dyDescent="0.3">
      <c r="A102" s="606" t="s">
        <v>1847</v>
      </c>
      <c r="B102" s="606" t="s">
        <v>1848</v>
      </c>
      <c r="C102" s="791">
        <v>0.40300000000000002</v>
      </c>
      <c r="D102" s="607">
        <v>2014</v>
      </c>
      <c r="E102" s="607">
        <v>2022</v>
      </c>
    </row>
    <row r="103" spans="1:12" hidden="1" x14ac:dyDescent="0.3">
      <c r="A103" s="606" t="s">
        <v>1849</v>
      </c>
      <c r="B103" s="606" t="s">
        <v>1850</v>
      </c>
      <c r="C103" s="791">
        <v>0.70750000000000002</v>
      </c>
      <c r="D103" s="607">
        <v>2019</v>
      </c>
      <c r="E103" s="607">
        <v>2027</v>
      </c>
    </row>
    <row r="104" spans="1:12" hidden="1" x14ac:dyDescent="0.3">
      <c r="A104" s="606" t="s">
        <v>1851</v>
      </c>
      <c r="B104" s="606" t="s">
        <v>1852</v>
      </c>
      <c r="C104" s="791">
        <v>0.66</v>
      </c>
      <c r="D104" s="607">
        <v>2019</v>
      </c>
      <c r="E104" s="607">
        <v>2023</v>
      </c>
    </row>
    <row r="105" spans="1:12" hidden="1" x14ac:dyDescent="0.3">
      <c r="A105" s="606" t="s">
        <v>1696</v>
      </c>
      <c r="B105" s="606" t="s">
        <v>1697</v>
      </c>
      <c r="C105" s="791">
        <v>0.73</v>
      </c>
      <c r="D105" s="607">
        <v>2016</v>
      </c>
      <c r="E105" s="607">
        <v>2024</v>
      </c>
    </row>
    <row r="106" spans="1:12" hidden="1" x14ac:dyDescent="0.3">
      <c r="A106" s="606" t="s">
        <v>1853</v>
      </c>
      <c r="B106" s="606" t="s">
        <v>1854</v>
      </c>
      <c r="C106" s="791">
        <v>0.66</v>
      </c>
      <c r="D106" s="607">
        <v>2017</v>
      </c>
      <c r="E106" s="607">
        <v>2023</v>
      </c>
    </row>
    <row r="107" spans="1:12" hidden="1" x14ac:dyDescent="0.3">
      <c r="A107" s="606" t="s">
        <v>1855</v>
      </c>
      <c r="B107" s="606" t="s">
        <v>1856</v>
      </c>
      <c r="C107" s="791">
        <v>0.6</v>
      </c>
      <c r="D107" s="607">
        <v>2016</v>
      </c>
      <c r="E107" s="607">
        <v>2024</v>
      </c>
    </row>
    <row r="109" spans="1:12" x14ac:dyDescent="0.3">
      <c r="C109" s="791">
        <f>SUM(C8:C108)</f>
        <v>67.168499999999995</v>
      </c>
    </row>
    <row r="113" spans="1:4" x14ac:dyDescent="0.3">
      <c r="A113" s="606" t="s">
        <v>1963</v>
      </c>
    </row>
    <row r="114" spans="1:4" x14ac:dyDescent="0.3">
      <c r="A114" s="606" t="s">
        <v>1965</v>
      </c>
    </row>
    <row r="115" spans="1:4" x14ac:dyDescent="0.3">
      <c r="A115" s="606" t="s">
        <v>605</v>
      </c>
    </row>
    <row r="117" spans="1:4" x14ac:dyDescent="0.3">
      <c r="C117" s="791" t="s">
        <v>606</v>
      </c>
      <c r="D117" s="607" t="s">
        <v>607</v>
      </c>
    </row>
    <row r="118" spans="1:4" x14ac:dyDescent="0.3">
      <c r="B118" s="606" t="s">
        <v>608</v>
      </c>
      <c r="C118" s="791" t="s">
        <v>609</v>
      </c>
      <c r="D118" s="607" t="s">
        <v>610</v>
      </c>
    </row>
    <row r="119" spans="1:4" x14ac:dyDescent="0.3">
      <c r="A119" s="606" t="s">
        <v>611</v>
      </c>
      <c r="B119" s="606" t="s">
        <v>612</v>
      </c>
      <c r="C119" s="791" t="s">
        <v>1964</v>
      </c>
      <c r="D119" s="607" t="s">
        <v>1964</v>
      </c>
    </row>
    <row r="120" spans="1:4" x14ac:dyDescent="0.3">
      <c r="A120" s="606" t="s">
        <v>1709</v>
      </c>
      <c r="B120" s="606">
        <v>0.625</v>
      </c>
      <c r="C120" s="1037">
        <v>2018</v>
      </c>
      <c r="D120" s="607">
        <v>2025</v>
      </c>
    </row>
    <row r="121" spans="1:4" x14ac:dyDescent="0.3">
      <c r="A121" s="606" t="s">
        <v>1716</v>
      </c>
      <c r="B121" s="606">
        <v>0.51759999999999995</v>
      </c>
      <c r="C121" s="1037">
        <v>2021</v>
      </c>
      <c r="D121" s="607">
        <v>2025</v>
      </c>
    </row>
    <row r="122" spans="1:4" x14ac:dyDescent="0.3">
      <c r="A122" s="606" t="s">
        <v>1720</v>
      </c>
      <c r="B122" s="606">
        <v>0.63</v>
      </c>
      <c r="C122" s="1037">
        <v>2021</v>
      </c>
      <c r="D122" s="607">
        <v>2025</v>
      </c>
    </row>
    <row r="123" spans="1:4" x14ac:dyDescent="0.3">
      <c r="A123" s="606" t="s">
        <v>1671</v>
      </c>
      <c r="B123" s="606">
        <v>0.34</v>
      </c>
      <c r="C123" s="1037">
        <v>2020</v>
      </c>
      <c r="D123" s="607">
        <v>2025</v>
      </c>
    </row>
    <row r="124" spans="1:4" x14ac:dyDescent="0.3">
      <c r="A124" s="606" t="s">
        <v>1727</v>
      </c>
      <c r="B124" s="606">
        <v>0.72499999999999998</v>
      </c>
      <c r="C124" s="1037">
        <v>2021</v>
      </c>
      <c r="D124" s="607">
        <v>2025</v>
      </c>
    </row>
    <row r="125" spans="1:4" x14ac:dyDescent="0.3">
      <c r="A125" s="606" t="s">
        <v>1734</v>
      </c>
      <c r="B125" s="606">
        <v>0.6875</v>
      </c>
      <c r="C125" s="1037">
        <v>2021</v>
      </c>
      <c r="D125" s="607">
        <v>2025</v>
      </c>
    </row>
    <row r="126" spans="1:4" x14ac:dyDescent="0.3">
      <c r="A126" s="606" t="s">
        <v>1739</v>
      </c>
      <c r="B126" s="606">
        <v>0.79900000000000004</v>
      </c>
      <c r="C126" s="1037">
        <v>2017</v>
      </c>
      <c r="D126" s="607">
        <v>2025</v>
      </c>
    </row>
    <row r="127" spans="1:4" x14ac:dyDescent="0.3">
      <c r="A127" s="606" t="s">
        <v>1743</v>
      </c>
      <c r="B127" s="606">
        <v>0.40050000000000002</v>
      </c>
      <c r="C127" s="1037">
        <v>2020</v>
      </c>
      <c r="D127" s="607">
        <v>2025</v>
      </c>
    </row>
    <row r="128" spans="1:4" x14ac:dyDescent="0.3">
      <c r="A128" s="606" t="s">
        <v>1747</v>
      </c>
      <c r="B128" s="606">
        <v>0.73299999999999998</v>
      </c>
      <c r="C128" s="1037">
        <v>2021</v>
      </c>
      <c r="D128" s="607">
        <v>2025</v>
      </c>
    </row>
    <row r="129" spans="1:4" x14ac:dyDescent="0.3">
      <c r="A129" s="606" t="s">
        <v>1749</v>
      </c>
      <c r="B129" s="606">
        <v>0.73499999999999999</v>
      </c>
      <c r="C129" s="1037">
        <v>2017</v>
      </c>
      <c r="D129" s="607">
        <v>2025</v>
      </c>
    </row>
    <row r="130" spans="1:4" x14ac:dyDescent="0.3">
      <c r="A130" s="606" t="s">
        <v>1751</v>
      </c>
      <c r="B130" s="606">
        <v>0.79869999999999997</v>
      </c>
      <c r="C130" s="1037">
        <v>2019</v>
      </c>
      <c r="D130" s="607">
        <v>2025</v>
      </c>
    </row>
    <row r="131" spans="1:4" x14ac:dyDescent="0.3">
      <c r="A131" s="606" t="s">
        <v>1753</v>
      </c>
      <c r="B131" s="606">
        <v>0.67779999999999996</v>
      </c>
      <c r="C131" s="1037">
        <v>2021</v>
      </c>
      <c r="D131" s="607">
        <v>2025</v>
      </c>
    </row>
    <row r="132" spans="1:4" x14ac:dyDescent="0.3">
      <c r="A132" s="606" t="s">
        <v>1757</v>
      </c>
      <c r="B132" s="606">
        <v>0.84</v>
      </c>
      <c r="C132" s="1037">
        <v>2017</v>
      </c>
      <c r="D132" s="607">
        <v>2025</v>
      </c>
    </row>
    <row r="133" spans="1:4" x14ac:dyDescent="0.3">
      <c r="A133" s="606" t="s">
        <v>1767</v>
      </c>
      <c r="B133" s="606">
        <v>0.55000000000000004</v>
      </c>
      <c r="C133" s="1037">
        <v>2021</v>
      </c>
      <c r="D133" s="607">
        <v>2025</v>
      </c>
    </row>
    <row r="134" spans="1:4" x14ac:dyDescent="0.3">
      <c r="A134" s="606" t="s">
        <v>1778</v>
      </c>
      <c r="B134" s="606">
        <v>0.38</v>
      </c>
      <c r="C134" s="1037">
        <v>2021</v>
      </c>
      <c r="D134" s="607">
        <v>2025</v>
      </c>
    </row>
    <row r="135" spans="1:4" x14ac:dyDescent="0.3">
      <c r="A135" s="606" t="s">
        <v>1780</v>
      </c>
      <c r="B135" s="606">
        <v>0.67</v>
      </c>
      <c r="C135" s="1037">
        <v>2019</v>
      </c>
      <c r="D135" s="607">
        <v>2025</v>
      </c>
    </row>
    <row r="136" spans="1:4" x14ac:dyDescent="0.3">
      <c r="A136" s="606" t="s">
        <v>1786</v>
      </c>
      <c r="B136" s="606">
        <v>0.84499999999999997</v>
      </c>
      <c r="C136" s="1037">
        <v>2017</v>
      </c>
      <c r="D136" s="607">
        <v>2025</v>
      </c>
    </row>
    <row r="137" spans="1:4" x14ac:dyDescent="0.3">
      <c r="A137" s="606" t="s">
        <v>1794</v>
      </c>
      <c r="B137" s="606">
        <v>0.81</v>
      </c>
      <c r="C137" s="1037">
        <v>2017</v>
      </c>
      <c r="D137" s="607">
        <v>2025</v>
      </c>
    </row>
    <row r="138" spans="1:4" x14ac:dyDescent="0.3">
      <c r="A138" s="606" t="s">
        <v>1805</v>
      </c>
      <c r="B138" s="606">
        <v>0.45</v>
      </c>
      <c r="C138" s="1037">
        <v>2021</v>
      </c>
      <c r="D138" s="607">
        <v>2025</v>
      </c>
    </row>
    <row r="139" spans="1:4" x14ac:dyDescent="0.3">
      <c r="A139" s="606" t="s">
        <v>1810</v>
      </c>
      <c r="B139" s="606">
        <v>0.8629</v>
      </c>
      <c r="C139" s="1037">
        <v>2021</v>
      </c>
      <c r="D139" s="607">
        <v>2025</v>
      </c>
    </row>
    <row r="140" spans="1:4" x14ac:dyDescent="0.3">
      <c r="A140" s="606" t="s">
        <v>1817</v>
      </c>
      <c r="B140" s="606">
        <v>0.72250000000000003</v>
      </c>
      <c r="C140" s="1037">
        <v>2021</v>
      </c>
      <c r="D140" s="607">
        <v>2025</v>
      </c>
    </row>
    <row r="141" spans="1:4" x14ac:dyDescent="0.3">
      <c r="A141" s="606" t="s">
        <v>1819</v>
      </c>
      <c r="B141" s="606">
        <v>0.5343</v>
      </c>
      <c r="C141" s="1037">
        <v>2021</v>
      </c>
      <c r="D141" s="607">
        <v>2025</v>
      </c>
    </row>
    <row r="142" spans="1:4" x14ac:dyDescent="0.3">
      <c r="A142" s="606" t="s">
        <v>1830</v>
      </c>
      <c r="B142" s="606">
        <v>0.61</v>
      </c>
      <c r="C142" s="1037">
        <v>2021</v>
      </c>
      <c r="D142" s="607">
        <v>2025</v>
      </c>
    </row>
    <row r="143" spans="1:4" x14ac:dyDescent="0.3">
      <c r="A143" s="606" t="s">
        <v>1832</v>
      </c>
      <c r="B143" s="606">
        <v>0.71</v>
      </c>
      <c r="C143" s="1037">
        <v>2021</v>
      </c>
      <c r="D143" s="607">
        <v>2025</v>
      </c>
    </row>
    <row r="144" spans="1:4" x14ac:dyDescent="0.3">
      <c r="A144" s="606" t="s">
        <v>1834</v>
      </c>
      <c r="B144" s="606">
        <v>0.55200000000000005</v>
      </c>
      <c r="C144" s="1037">
        <v>2021</v>
      </c>
      <c r="D144" s="607">
        <v>2025</v>
      </c>
    </row>
    <row r="145" spans="1:4" x14ac:dyDescent="0.3">
      <c r="A145" s="606" t="s">
        <v>1838</v>
      </c>
      <c r="B145" s="606">
        <v>0.60329999999999995</v>
      </c>
      <c r="C145" s="1037">
        <v>2021</v>
      </c>
      <c r="D145" s="607">
        <v>2025</v>
      </c>
    </row>
    <row r="146" spans="1:4" x14ac:dyDescent="0.3">
      <c r="A146" s="606" t="s">
        <v>1840</v>
      </c>
      <c r="B146" s="606">
        <v>0.95</v>
      </c>
      <c r="C146" s="1037">
        <v>2017</v>
      </c>
      <c r="D146" s="607">
        <v>2025</v>
      </c>
    </row>
    <row r="147" spans="1:4" x14ac:dyDescent="0.3">
      <c r="A147" s="606" t="s">
        <v>1841</v>
      </c>
      <c r="B147" s="606">
        <v>0.58799999999999997</v>
      </c>
      <c r="C147" s="1037">
        <v>2021</v>
      </c>
      <c r="D147" s="607">
        <v>2025</v>
      </c>
    </row>
    <row r="148" spans="1:4" x14ac:dyDescent="0.3">
      <c r="A148" s="606" t="s">
        <v>1843</v>
      </c>
      <c r="B148" s="606">
        <v>0.81</v>
      </c>
      <c r="C148" s="1037">
        <v>2017</v>
      </c>
      <c r="D148" s="607">
        <v>2025</v>
      </c>
    </row>
    <row r="149" spans="1:4" x14ac:dyDescent="0.3">
      <c r="A149" s="606" t="s">
        <v>1849</v>
      </c>
      <c r="B149" s="606">
        <v>0.76749999999999996</v>
      </c>
      <c r="C149" s="1037">
        <v>2019</v>
      </c>
      <c r="D149" s="607">
        <v>2025</v>
      </c>
    </row>
    <row r="150" spans="1:4" x14ac:dyDescent="0.3">
      <c r="A150" s="606" t="s">
        <v>1851</v>
      </c>
      <c r="B150" s="606">
        <v>0.66</v>
      </c>
      <c r="C150" s="1037">
        <v>2019</v>
      </c>
      <c r="D150" s="607">
        <v>2025</v>
      </c>
    </row>
  </sheetData>
  <sheetProtection algorithmName="SHA-512" hashValue="fgKPUUAOchgb39nd76BHFh2ziikiOIVsPaiDAxA5RIzx3z/UCX9l2d3ywmrRRqH5uz14xHcxDhRqR1WhR8xQTg==" saltValue="hl2DBt3v3Ta4K0jJLAM0JA==" spinCount="100000" sheet="1" objects="1" scenarios="1"/>
  <autoFilter ref="A7:E107" xr:uid="{C4C859C7-D101-4FF8-B13C-F4FADB068718}">
    <filterColumn colId="4">
      <filters>
        <filter val="2025"/>
      </filters>
    </filterColumn>
  </autoFilter>
  <sortState xmlns:xlrd2="http://schemas.microsoft.com/office/spreadsheetml/2017/richdata2" ref="A7:D106">
    <sortCondition ref="D7:D106"/>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61AA-1F33-41CA-842B-46C9999153DA}">
  <sheetPr codeName="Sheet17"/>
  <dimension ref="A1:BW359"/>
  <sheetViews>
    <sheetView workbookViewId="0">
      <pane xSplit="3" ySplit="2" topLeftCell="AB15" activePane="bottomRight" state="frozen"/>
      <selection activeCell="AB25" sqref="AB25"/>
      <selection pane="topRight" activeCell="AB25" sqref="AB25"/>
      <selection pane="bottomLeft" activeCell="AB25" sqref="AB25"/>
      <selection pane="bottomRight" activeCell="AB25" sqref="AB25"/>
    </sheetView>
  </sheetViews>
  <sheetFormatPr defaultRowHeight="14.4" x14ac:dyDescent="0.3"/>
  <cols>
    <col min="1" max="1" width="21" style="155" customWidth="1"/>
    <col min="2" max="2" width="49.21875" customWidth="1"/>
    <col min="3" max="3" width="26.77734375" customWidth="1"/>
    <col min="4" max="74" width="20.6640625" customWidth="1"/>
  </cols>
  <sheetData>
    <row r="1" spans="1:74" x14ac:dyDescent="0.3">
      <c r="A1" t="s">
        <v>349</v>
      </c>
      <c r="B1" t="s">
        <v>349</v>
      </c>
      <c r="C1" t="s">
        <v>349</v>
      </c>
      <c r="D1" t="s">
        <v>1369</v>
      </c>
      <c r="E1" t="s">
        <v>1370</v>
      </c>
      <c r="F1" t="s">
        <v>534</v>
      </c>
      <c r="G1" t="s">
        <v>1371</v>
      </c>
      <c r="H1" t="s">
        <v>535</v>
      </c>
      <c r="I1" t="s">
        <v>1372</v>
      </c>
      <c r="J1" t="s">
        <v>1373</v>
      </c>
      <c r="K1" t="s">
        <v>1374</v>
      </c>
      <c r="L1" t="s">
        <v>536</v>
      </c>
      <c r="M1" t="s">
        <v>1375</v>
      </c>
      <c r="N1" t="s">
        <v>1376</v>
      </c>
      <c r="O1" t="s">
        <v>1377</v>
      </c>
      <c r="P1" t="s">
        <v>537</v>
      </c>
      <c r="Q1" t="s">
        <v>825</v>
      </c>
      <c r="R1" t="s">
        <v>1378</v>
      </c>
      <c r="S1" t="s">
        <v>1379</v>
      </c>
      <c r="T1" t="s">
        <v>1380</v>
      </c>
      <c r="U1" t="s">
        <v>538</v>
      </c>
      <c r="V1" t="s">
        <v>1381</v>
      </c>
      <c r="W1" t="s">
        <v>539</v>
      </c>
      <c r="X1" t="s">
        <v>391</v>
      </c>
      <c r="Y1" t="s">
        <v>1382</v>
      </c>
      <c r="Z1" t="s">
        <v>1383</v>
      </c>
      <c r="AA1" t="s">
        <v>1384</v>
      </c>
      <c r="AB1" t="s">
        <v>540</v>
      </c>
      <c r="AC1" t="s">
        <v>1385</v>
      </c>
      <c r="AD1" t="s">
        <v>1386</v>
      </c>
      <c r="AE1" t="s">
        <v>826</v>
      </c>
      <c r="AF1" t="s">
        <v>827</v>
      </c>
      <c r="AG1" t="s">
        <v>828</v>
      </c>
      <c r="AH1" t="s">
        <v>829</v>
      </c>
      <c r="AI1" t="s">
        <v>1387</v>
      </c>
      <c r="AJ1" t="s">
        <v>1388</v>
      </c>
      <c r="AK1" t="s">
        <v>830</v>
      </c>
      <c r="AL1" t="s">
        <v>1389</v>
      </c>
      <c r="AM1" t="s">
        <v>1390</v>
      </c>
      <c r="AN1" t="s">
        <v>1391</v>
      </c>
      <c r="AO1" t="s">
        <v>1392</v>
      </c>
      <c r="AP1" t="s">
        <v>1393</v>
      </c>
      <c r="AQ1" t="s">
        <v>1394</v>
      </c>
      <c r="AR1" t="s">
        <v>1395</v>
      </c>
      <c r="AS1" t="s">
        <v>1396</v>
      </c>
      <c r="AT1" t="s">
        <v>1397</v>
      </c>
      <c r="AU1" t="s">
        <v>1398</v>
      </c>
      <c r="AV1" t="s">
        <v>542</v>
      </c>
      <c r="AW1" t="s">
        <v>1399</v>
      </c>
      <c r="AX1" t="s">
        <v>1400</v>
      </c>
      <c r="AY1" t="s">
        <v>543</v>
      </c>
      <c r="AZ1" t="s">
        <v>1401</v>
      </c>
      <c r="BA1" t="s">
        <v>1402</v>
      </c>
      <c r="BB1" t="s">
        <v>1403</v>
      </c>
      <c r="BC1" t="s">
        <v>1404</v>
      </c>
      <c r="BD1" t="s">
        <v>1405</v>
      </c>
      <c r="BE1" t="s">
        <v>544</v>
      </c>
      <c r="BF1" t="s">
        <v>1406</v>
      </c>
      <c r="BG1" t="s">
        <v>831</v>
      </c>
      <c r="BH1" t="s">
        <v>1407</v>
      </c>
      <c r="BI1" t="s">
        <v>1408</v>
      </c>
      <c r="BJ1" t="s">
        <v>1409</v>
      </c>
      <c r="BK1" t="s">
        <v>545</v>
      </c>
      <c r="BL1" t="s">
        <v>1410</v>
      </c>
      <c r="BM1" t="s">
        <v>1411</v>
      </c>
      <c r="BN1" t="s">
        <v>1412</v>
      </c>
      <c r="BO1" t="s">
        <v>1413</v>
      </c>
      <c r="BP1" t="s">
        <v>1414</v>
      </c>
      <c r="BQ1" t="s">
        <v>1415</v>
      </c>
      <c r="BR1" t="s">
        <v>1426</v>
      </c>
      <c r="BS1" t="s">
        <v>1416</v>
      </c>
      <c r="BT1" t="s">
        <v>1417</v>
      </c>
      <c r="BU1" t="s">
        <v>546</v>
      </c>
      <c r="BV1" s="180" t="s">
        <v>1418</v>
      </c>
    </row>
    <row r="2" spans="1:74" x14ac:dyDescent="0.3">
      <c r="A2" t="s">
        <v>877</v>
      </c>
      <c r="B2" t="s">
        <v>41</v>
      </c>
      <c r="C2" t="s">
        <v>13</v>
      </c>
      <c r="D2" s="786">
        <v>50312</v>
      </c>
      <c r="E2" s="786">
        <v>50313</v>
      </c>
      <c r="F2" s="786">
        <v>50314</v>
      </c>
      <c r="G2" s="786">
        <v>50315</v>
      </c>
      <c r="H2" s="786">
        <v>50316</v>
      </c>
      <c r="I2" s="786">
        <v>50481</v>
      </c>
      <c r="J2" s="786">
        <v>50561</v>
      </c>
      <c r="K2" s="786">
        <v>50317</v>
      </c>
      <c r="L2" s="786">
        <v>50318</v>
      </c>
      <c r="M2" s="786">
        <v>50319</v>
      </c>
      <c r="N2" s="786">
        <v>50489</v>
      </c>
      <c r="O2" s="786">
        <v>50320</v>
      </c>
      <c r="P2" s="786">
        <v>50323</v>
      </c>
      <c r="Q2" s="786">
        <v>50321</v>
      </c>
      <c r="R2" s="786">
        <v>50322</v>
      </c>
      <c r="S2" s="786">
        <v>50490</v>
      </c>
      <c r="T2" s="786">
        <v>50324</v>
      </c>
      <c r="U2" s="786">
        <v>50325</v>
      </c>
      <c r="V2" s="786">
        <v>50326</v>
      </c>
      <c r="W2" s="786">
        <v>50327</v>
      </c>
      <c r="X2" s="786">
        <v>50328</v>
      </c>
      <c r="Y2" s="786">
        <v>50329</v>
      </c>
      <c r="Z2" s="786">
        <v>50330</v>
      </c>
      <c r="AA2" s="786">
        <v>50331</v>
      </c>
      <c r="AB2" s="786">
        <v>50332</v>
      </c>
      <c r="AC2" s="786">
        <v>50333</v>
      </c>
      <c r="AD2" s="786">
        <v>50335</v>
      </c>
      <c r="AE2" s="786">
        <v>50334</v>
      </c>
      <c r="AF2" s="786">
        <v>50336</v>
      </c>
      <c r="AG2" s="786">
        <v>50337</v>
      </c>
      <c r="AH2" s="786">
        <v>50338</v>
      </c>
      <c r="AI2" s="786">
        <v>50339</v>
      </c>
      <c r="AJ2" s="786">
        <v>50443</v>
      </c>
      <c r="AK2" s="786">
        <v>50340</v>
      </c>
      <c r="AL2" s="786">
        <v>50456</v>
      </c>
      <c r="AM2" s="786">
        <v>50341</v>
      </c>
      <c r="AN2" s="786">
        <v>50342</v>
      </c>
      <c r="AO2" s="786">
        <v>50344</v>
      </c>
      <c r="AP2" s="786">
        <v>50345</v>
      </c>
      <c r="AQ2" s="786">
        <v>50503</v>
      </c>
      <c r="AR2" s="786">
        <v>50527</v>
      </c>
      <c r="AS2" s="786">
        <v>50346</v>
      </c>
      <c r="AT2" s="786">
        <v>50347</v>
      </c>
      <c r="AU2" s="786">
        <v>50529</v>
      </c>
      <c r="AV2" s="786">
        <v>50348</v>
      </c>
      <c r="AW2" s="786">
        <v>50349</v>
      </c>
      <c r="AX2" s="786">
        <v>50350</v>
      </c>
      <c r="AY2" s="786">
        <v>50541</v>
      </c>
      <c r="AZ2" s="786">
        <v>50351</v>
      </c>
      <c r="BA2" s="786">
        <v>50484</v>
      </c>
      <c r="BB2" s="786">
        <v>50352</v>
      </c>
      <c r="BC2" s="786">
        <v>50353</v>
      </c>
      <c r="BD2" s="786">
        <v>50354</v>
      </c>
      <c r="BE2" s="786">
        <v>50355</v>
      </c>
      <c r="BF2" s="786">
        <v>50356</v>
      </c>
      <c r="BG2" s="786">
        <v>50357</v>
      </c>
      <c r="BH2" s="786">
        <v>50482</v>
      </c>
      <c r="BI2" s="786">
        <v>50358</v>
      </c>
      <c r="BJ2" s="786">
        <v>50359</v>
      </c>
      <c r="BK2" s="786">
        <v>50360</v>
      </c>
      <c r="BL2" s="786">
        <v>50361</v>
      </c>
      <c r="BM2" s="786">
        <v>50362</v>
      </c>
      <c r="BN2" s="786">
        <v>50363</v>
      </c>
      <c r="BO2" s="786">
        <v>50364</v>
      </c>
      <c r="BP2" s="786">
        <v>50365</v>
      </c>
      <c r="BQ2" s="786">
        <v>50366</v>
      </c>
      <c r="BR2" s="786">
        <v>50367</v>
      </c>
      <c r="BS2" s="786">
        <v>50368</v>
      </c>
      <c r="BT2" s="786">
        <v>50369</v>
      </c>
      <c r="BU2" s="786">
        <v>50370</v>
      </c>
      <c r="BV2" s="786">
        <v>50371</v>
      </c>
    </row>
    <row r="3" spans="1:74" x14ac:dyDescent="0.3">
      <c r="A3">
        <v>4</v>
      </c>
      <c r="B3" t="s">
        <v>111</v>
      </c>
      <c r="D3">
        <v>219848</v>
      </c>
      <c r="E3">
        <v>19245306</v>
      </c>
      <c r="H3">
        <v>40497</v>
      </c>
      <c r="I3">
        <v>0</v>
      </c>
      <c r="J3">
        <v>4812</v>
      </c>
      <c r="K3">
        <v>20919</v>
      </c>
      <c r="L3">
        <v>176028</v>
      </c>
      <c r="M3">
        <v>980732</v>
      </c>
      <c r="N3">
        <v>1931</v>
      </c>
      <c r="O3">
        <v>15085</v>
      </c>
      <c r="Q3">
        <v>24640</v>
      </c>
      <c r="R3">
        <v>31600</v>
      </c>
      <c r="S3">
        <v>50919</v>
      </c>
      <c r="T3">
        <v>269274</v>
      </c>
      <c r="X3">
        <v>124810</v>
      </c>
      <c r="Y3">
        <v>29417</v>
      </c>
      <c r="Z3">
        <v>5208803</v>
      </c>
      <c r="AA3">
        <v>661217</v>
      </c>
      <c r="AC3">
        <v>21638</v>
      </c>
      <c r="AD3">
        <v>42881</v>
      </c>
      <c r="AE3">
        <v>92806</v>
      </c>
      <c r="AF3">
        <v>25797</v>
      </c>
      <c r="AG3">
        <v>89127</v>
      </c>
      <c r="AH3">
        <v>291565</v>
      </c>
      <c r="AI3">
        <v>4043</v>
      </c>
      <c r="AJ3">
        <v>142955</v>
      </c>
      <c r="AK3">
        <v>1800</v>
      </c>
      <c r="AL3">
        <v>22004</v>
      </c>
      <c r="AM3">
        <v>682936</v>
      </c>
      <c r="AN3">
        <v>7471</v>
      </c>
      <c r="AO3">
        <v>3589303</v>
      </c>
      <c r="AP3">
        <v>45533</v>
      </c>
      <c r="AQ3">
        <v>1376</v>
      </c>
      <c r="AR3">
        <v>8377</v>
      </c>
      <c r="AS3">
        <v>2578018</v>
      </c>
      <c r="AT3">
        <v>7540</v>
      </c>
      <c r="AU3">
        <v>67832</v>
      </c>
      <c r="AV3">
        <v>37958</v>
      </c>
      <c r="AW3">
        <v>11593</v>
      </c>
      <c r="AY3">
        <v>18626</v>
      </c>
      <c r="AZ3">
        <v>201840</v>
      </c>
      <c r="BA3">
        <v>83615</v>
      </c>
      <c r="BB3">
        <v>837</v>
      </c>
      <c r="BC3">
        <v>15019</v>
      </c>
      <c r="BD3">
        <v>703485</v>
      </c>
      <c r="BE3">
        <v>98863</v>
      </c>
      <c r="BF3">
        <v>502248</v>
      </c>
      <c r="BH3">
        <v>6495</v>
      </c>
      <c r="BI3">
        <v>14116</v>
      </c>
      <c r="BJ3">
        <v>525846</v>
      </c>
      <c r="BK3">
        <v>217950</v>
      </c>
      <c r="BL3">
        <v>1834080</v>
      </c>
      <c r="BM3">
        <v>179123</v>
      </c>
      <c r="BN3">
        <v>623478</v>
      </c>
      <c r="BO3">
        <v>81620</v>
      </c>
      <c r="BQ3">
        <v>225900</v>
      </c>
      <c r="BS3">
        <v>140852</v>
      </c>
      <c r="BT3">
        <v>37470</v>
      </c>
      <c r="BV3" s="180">
        <v>134317</v>
      </c>
    </row>
    <row r="4" spans="1:74" x14ac:dyDescent="0.3">
      <c r="A4">
        <v>5</v>
      </c>
      <c r="B4" t="s">
        <v>112</v>
      </c>
      <c r="D4">
        <v>9496</v>
      </c>
      <c r="E4">
        <v>630510</v>
      </c>
      <c r="H4">
        <v>0</v>
      </c>
      <c r="I4">
        <v>0</v>
      </c>
      <c r="J4">
        <v>0</v>
      </c>
      <c r="K4">
        <v>0</v>
      </c>
      <c r="L4">
        <v>0</v>
      </c>
      <c r="M4">
        <v>18569</v>
      </c>
      <c r="N4">
        <v>0</v>
      </c>
      <c r="O4">
        <v>0</v>
      </c>
      <c r="Q4">
        <v>0</v>
      </c>
      <c r="R4">
        <v>0</v>
      </c>
      <c r="S4">
        <v>0</v>
      </c>
      <c r="T4">
        <v>64291</v>
      </c>
      <c r="X4">
        <v>11343</v>
      </c>
      <c r="Y4">
        <v>0</v>
      </c>
      <c r="Z4">
        <v>88504</v>
      </c>
      <c r="AA4">
        <v>0</v>
      </c>
      <c r="AC4">
        <v>0</v>
      </c>
      <c r="AD4">
        <v>43360</v>
      </c>
      <c r="AE4">
        <v>2857</v>
      </c>
      <c r="AF4">
        <v>0</v>
      </c>
      <c r="AG4">
        <v>0</v>
      </c>
      <c r="AH4">
        <v>0</v>
      </c>
      <c r="AI4">
        <v>0</v>
      </c>
      <c r="AJ4">
        <v>0</v>
      </c>
      <c r="AK4">
        <v>0</v>
      </c>
      <c r="AL4">
        <v>0</v>
      </c>
      <c r="AM4">
        <v>176</v>
      </c>
      <c r="AN4">
        <v>0</v>
      </c>
      <c r="AO4">
        <v>0</v>
      </c>
      <c r="AP4">
        <v>8400</v>
      </c>
      <c r="AQ4">
        <v>0</v>
      </c>
      <c r="AR4">
        <v>90737</v>
      </c>
      <c r="AS4">
        <v>225</v>
      </c>
      <c r="AT4">
        <v>0</v>
      </c>
      <c r="AU4">
        <v>0</v>
      </c>
      <c r="AV4">
        <v>0</v>
      </c>
      <c r="AW4">
        <v>0</v>
      </c>
      <c r="AY4">
        <v>0</v>
      </c>
      <c r="AZ4">
        <v>0</v>
      </c>
      <c r="BA4">
        <v>85</v>
      </c>
      <c r="BB4">
        <v>0</v>
      </c>
      <c r="BC4">
        <v>48</v>
      </c>
      <c r="BD4">
        <v>0</v>
      </c>
      <c r="BE4">
        <v>0</v>
      </c>
      <c r="BF4">
        <v>0</v>
      </c>
      <c r="BH4">
        <v>0</v>
      </c>
      <c r="BI4">
        <v>0</v>
      </c>
      <c r="BJ4">
        <v>0</v>
      </c>
      <c r="BK4">
        <v>0</v>
      </c>
      <c r="BL4">
        <v>0</v>
      </c>
      <c r="BM4">
        <v>7500</v>
      </c>
      <c r="BN4">
        <v>10255</v>
      </c>
      <c r="BO4">
        <v>0</v>
      </c>
      <c r="BQ4">
        <v>0</v>
      </c>
      <c r="BS4">
        <v>0</v>
      </c>
      <c r="BT4">
        <v>0</v>
      </c>
      <c r="BV4" s="180">
        <v>2045</v>
      </c>
    </row>
    <row r="5" spans="1:74" x14ac:dyDescent="0.3">
      <c r="A5">
        <v>6</v>
      </c>
      <c r="B5" t="s">
        <v>251</v>
      </c>
      <c r="D5">
        <v>0</v>
      </c>
      <c r="E5">
        <v>15057499</v>
      </c>
      <c r="H5">
        <v>0</v>
      </c>
      <c r="I5">
        <v>0</v>
      </c>
      <c r="J5">
        <v>0</v>
      </c>
      <c r="K5">
        <v>0</v>
      </c>
      <c r="L5">
        <v>0</v>
      </c>
      <c r="M5">
        <v>1780302</v>
      </c>
      <c r="N5">
        <v>0</v>
      </c>
      <c r="O5">
        <v>0</v>
      </c>
      <c r="Q5">
        <v>0</v>
      </c>
      <c r="R5">
        <v>0</v>
      </c>
      <c r="S5">
        <v>0</v>
      </c>
      <c r="T5">
        <v>0</v>
      </c>
      <c r="X5">
        <v>0</v>
      </c>
      <c r="Y5">
        <v>0</v>
      </c>
      <c r="Z5">
        <v>0</v>
      </c>
      <c r="AA5">
        <v>0</v>
      </c>
      <c r="AC5">
        <v>0</v>
      </c>
      <c r="AD5">
        <v>0</v>
      </c>
      <c r="AE5">
        <v>0</v>
      </c>
      <c r="AF5">
        <v>0</v>
      </c>
      <c r="AG5">
        <v>0</v>
      </c>
      <c r="AH5">
        <v>0</v>
      </c>
      <c r="AI5">
        <v>0</v>
      </c>
      <c r="AJ5">
        <v>0</v>
      </c>
      <c r="AK5">
        <v>0</v>
      </c>
      <c r="AL5">
        <v>0</v>
      </c>
      <c r="AM5">
        <v>0</v>
      </c>
      <c r="AN5">
        <v>0</v>
      </c>
      <c r="AO5">
        <v>0</v>
      </c>
      <c r="AP5">
        <v>0</v>
      </c>
      <c r="AQ5">
        <v>0</v>
      </c>
      <c r="AR5">
        <v>0</v>
      </c>
      <c r="AS5">
        <v>1935910</v>
      </c>
      <c r="AT5">
        <v>0</v>
      </c>
      <c r="AU5">
        <v>0</v>
      </c>
      <c r="AV5">
        <v>0</v>
      </c>
      <c r="AW5">
        <v>0</v>
      </c>
      <c r="AY5">
        <v>0</v>
      </c>
      <c r="AZ5">
        <v>0</v>
      </c>
      <c r="BA5">
        <v>0</v>
      </c>
      <c r="BB5">
        <v>0</v>
      </c>
      <c r="BC5">
        <v>0</v>
      </c>
      <c r="BD5">
        <v>0</v>
      </c>
      <c r="BE5">
        <v>0</v>
      </c>
      <c r="BF5">
        <v>0</v>
      </c>
      <c r="BH5">
        <v>0</v>
      </c>
      <c r="BI5">
        <v>0</v>
      </c>
      <c r="BJ5">
        <v>766393</v>
      </c>
      <c r="BK5">
        <v>0</v>
      </c>
      <c r="BL5">
        <v>0</v>
      </c>
      <c r="BM5">
        <v>1855709</v>
      </c>
      <c r="BN5">
        <v>130466</v>
      </c>
      <c r="BO5">
        <v>0</v>
      </c>
      <c r="BQ5">
        <v>740104</v>
      </c>
      <c r="BS5">
        <v>0</v>
      </c>
      <c r="BT5">
        <v>0</v>
      </c>
      <c r="BV5" s="180">
        <v>0</v>
      </c>
    </row>
    <row r="6" spans="1:74" x14ac:dyDescent="0.3">
      <c r="A6">
        <v>7</v>
      </c>
      <c r="B6" t="s">
        <v>193</v>
      </c>
      <c r="D6">
        <v>0</v>
      </c>
      <c r="E6">
        <v>17288157</v>
      </c>
      <c r="H6">
        <v>0</v>
      </c>
      <c r="I6">
        <v>0</v>
      </c>
      <c r="J6">
        <v>0</v>
      </c>
      <c r="K6">
        <v>37706</v>
      </c>
      <c r="L6">
        <v>0</v>
      </c>
      <c r="M6">
        <v>424743</v>
      </c>
      <c r="N6">
        <v>0</v>
      </c>
      <c r="O6">
        <v>0</v>
      </c>
      <c r="Q6">
        <v>29455</v>
      </c>
      <c r="R6">
        <v>0</v>
      </c>
      <c r="S6">
        <v>0</v>
      </c>
      <c r="T6">
        <v>86187</v>
      </c>
      <c r="X6">
        <v>16043</v>
      </c>
      <c r="Y6">
        <v>1164</v>
      </c>
      <c r="Z6">
        <v>20104763</v>
      </c>
      <c r="AA6">
        <v>0</v>
      </c>
      <c r="AC6">
        <v>0</v>
      </c>
      <c r="AD6">
        <v>0</v>
      </c>
      <c r="AE6">
        <v>0</v>
      </c>
      <c r="AF6">
        <v>3000</v>
      </c>
      <c r="AG6">
        <v>0</v>
      </c>
      <c r="AH6">
        <v>55682</v>
      </c>
      <c r="AI6">
        <v>0</v>
      </c>
      <c r="AJ6">
        <v>0</v>
      </c>
      <c r="AK6">
        <v>0</v>
      </c>
      <c r="AL6">
        <v>0</v>
      </c>
      <c r="AM6">
        <v>0</v>
      </c>
      <c r="AN6">
        <v>0</v>
      </c>
      <c r="AO6">
        <v>855015</v>
      </c>
      <c r="AP6">
        <v>0</v>
      </c>
      <c r="AQ6">
        <v>0</v>
      </c>
      <c r="AR6">
        <v>0</v>
      </c>
      <c r="AS6">
        <v>409413</v>
      </c>
      <c r="AT6">
        <v>0</v>
      </c>
      <c r="AU6">
        <v>0</v>
      </c>
      <c r="AV6">
        <v>0</v>
      </c>
      <c r="AW6">
        <v>0</v>
      </c>
      <c r="AY6">
        <v>3366</v>
      </c>
      <c r="AZ6">
        <v>96032</v>
      </c>
      <c r="BA6">
        <v>5002</v>
      </c>
      <c r="BB6">
        <v>0</v>
      </c>
      <c r="BC6">
        <v>0</v>
      </c>
      <c r="BD6">
        <v>24816</v>
      </c>
      <c r="BE6">
        <v>0</v>
      </c>
      <c r="BF6">
        <v>598682</v>
      </c>
      <c r="BH6">
        <v>0</v>
      </c>
      <c r="BI6">
        <v>0</v>
      </c>
      <c r="BJ6">
        <v>50305</v>
      </c>
      <c r="BK6">
        <v>0</v>
      </c>
      <c r="BL6">
        <v>260202</v>
      </c>
      <c r="BM6">
        <v>44695</v>
      </c>
      <c r="BN6">
        <v>277</v>
      </c>
      <c r="BO6">
        <v>0</v>
      </c>
      <c r="BQ6">
        <v>0</v>
      </c>
      <c r="BS6">
        <v>52482</v>
      </c>
      <c r="BT6">
        <v>0</v>
      </c>
      <c r="BV6" s="180">
        <v>35153</v>
      </c>
    </row>
    <row r="7" spans="1:74" x14ac:dyDescent="0.3">
      <c r="A7">
        <v>9</v>
      </c>
      <c r="B7" t="s">
        <v>195</v>
      </c>
      <c r="D7">
        <v>11034356</v>
      </c>
      <c r="E7">
        <v>470566956</v>
      </c>
      <c r="H7">
        <v>3791503</v>
      </c>
      <c r="I7">
        <v>74740</v>
      </c>
      <c r="J7">
        <v>1911939</v>
      </c>
      <c r="K7">
        <v>9312030</v>
      </c>
      <c r="L7">
        <v>1686703</v>
      </c>
      <c r="M7">
        <v>14034297</v>
      </c>
      <c r="N7">
        <v>967029</v>
      </c>
      <c r="O7">
        <v>1634508</v>
      </c>
      <c r="Q7">
        <v>1085184</v>
      </c>
      <c r="R7">
        <v>2170088</v>
      </c>
      <c r="S7">
        <v>1328966</v>
      </c>
      <c r="T7">
        <v>10196376</v>
      </c>
      <c r="X7">
        <v>7399559</v>
      </c>
      <c r="Y7">
        <v>2599908</v>
      </c>
      <c r="Z7">
        <v>63638447</v>
      </c>
      <c r="AA7">
        <v>12348930</v>
      </c>
      <c r="AC7">
        <v>719281</v>
      </c>
      <c r="AD7">
        <v>1472628</v>
      </c>
      <c r="AE7">
        <v>2830654</v>
      </c>
      <c r="AF7">
        <v>584400</v>
      </c>
      <c r="AG7">
        <v>337627</v>
      </c>
      <c r="AH7">
        <v>2939959</v>
      </c>
      <c r="AI7">
        <v>386791</v>
      </c>
      <c r="AJ7">
        <v>5414619</v>
      </c>
      <c r="AK7">
        <v>658086</v>
      </c>
      <c r="AL7">
        <v>1022698</v>
      </c>
      <c r="AM7">
        <v>2608557</v>
      </c>
      <c r="AN7">
        <v>889942</v>
      </c>
      <c r="AO7">
        <v>35701053</v>
      </c>
      <c r="AP7">
        <v>1985123</v>
      </c>
      <c r="AQ7">
        <v>898662</v>
      </c>
      <c r="AR7">
        <v>1061244</v>
      </c>
      <c r="AS7">
        <v>38257025</v>
      </c>
      <c r="AT7">
        <v>466107</v>
      </c>
      <c r="AU7">
        <v>8102787</v>
      </c>
      <c r="AV7">
        <v>1064428</v>
      </c>
      <c r="AW7">
        <v>543678</v>
      </c>
      <c r="AY7">
        <v>835389</v>
      </c>
      <c r="AZ7">
        <v>7113161</v>
      </c>
      <c r="BA7">
        <v>942440</v>
      </c>
      <c r="BB7">
        <v>242752</v>
      </c>
      <c r="BC7">
        <v>1593409</v>
      </c>
      <c r="BD7">
        <v>9265034</v>
      </c>
      <c r="BE7">
        <v>1774876</v>
      </c>
      <c r="BF7">
        <v>22487200</v>
      </c>
      <c r="BH7">
        <v>598196</v>
      </c>
      <c r="BI7">
        <v>591257</v>
      </c>
      <c r="BJ7">
        <v>19195668</v>
      </c>
      <c r="BK7">
        <v>2001508</v>
      </c>
      <c r="BL7">
        <v>20466787</v>
      </c>
      <c r="BM7">
        <v>13398414</v>
      </c>
      <c r="BN7">
        <v>9765883</v>
      </c>
      <c r="BO7">
        <v>3130472</v>
      </c>
      <c r="BQ7">
        <v>3075963</v>
      </c>
      <c r="BS7">
        <v>2190251</v>
      </c>
      <c r="BT7">
        <v>2031672</v>
      </c>
      <c r="BV7" s="180">
        <v>4666691</v>
      </c>
    </row>
    <row r="8" spans="1:74" x14ac:dyDescent="0.3">
      <c r="A8">
        <v>11</v>
      </c>
      <c r="B8" t="s">
        <v>194</v>
      </c>
      <c r="D8">
        <v>767448</v>
      </c>
      <c r="E8">
        <v>0</v>
      </c>
      <c r="H8">
        <v>220192</v>
      </c>
      <c r="I8">
        <v>280</v>
      </c>
      <c r="J8">
        <v>68213</v>
      </c>
      <c r="K8">
        <v>0</v>
      </c>
      <c r="L8">
        <v>31534</v>
      </c>
      <c r="M8">
        <v>114784</v>
      </c>
      <c r="N8">
        <v>76168</v>
      </c>
      <c r="O8">
        <v>18066</v>
      </c>
      <c r="Q8">
        <v>108573</v>
      </c>
      <c r="R8">
        <v>74974</v>
      </c>
      <c r="S8">
        <v>0</v>
      </c>
      <c r="T8">
        <v>0</v>
      </c>
      <c r="X8">
        <v>342409</v>
      </c>
      <c r="Y8">
        <v>141093</v>
      </c>
      <c r="Z8">
        <v>3452010</v>
      </c>
      <c r="AA8">
        <v>736241</v>
      </c>
      <c r="AC8">
        <v>67500</v>
      </c>
      <c r="AD8">
        <v>856</v>
      </c>
      <c r="AE8">
        <v>0</v>
      </c>
      <c r="AF8">
        <v>177</v>
      </c>
      <c r="AG8">
        <v>0</v>
      </c>
      <c r="AH8">
        <v>33472</v>
      </c>
      <c r="AI8">
        <v>1770</v>
      </c>
      <c r="AJ8">
        <v>247673</v>
      </c>
      <c r="AK8">
        <v>25667</v>
      </c>
      <c r="AL8">
        <v>0</v>
      </c>
      <c r="AM8">
        <v>203489</v>
      </c>
      <c r="AN8">
        <v>109652</v>
      </c>
      <c r="AO8">
        <v>0</v>
      </c>
      <c r="AP8">
        <v>0</v>
      </c>
      <c r="AQ8">
        <v>31508</v>
      </c>
      <c r="AR8">
        <v>84051</v>
      </c>
      <c r="AS8">
        <v>0</v>
      </c>
      <c r="AT8">
        <v>83158</v>
      </c>
      <c r="AU8">
        <v>549306</v>
      </c>
      <c r="AV8">
        <v>185949</v>
      </c>
      <c r="AW8">
        <v>39388</v>
      </c>
      <c r="AY8">
        <v>142735</v>
      </c>
      <c r="AZ8">
        <v>343401</v>
      </c>
      <c r="BA8">
        <v>0</v>
      </c>
      <c r="BB8">
        <v>39601</v>
      </c>
      <c r="BC8">
        <v>51212</v>
      </c>
      <c r="BD8">
        <v>207468</v>
      </c>
      <c r="BE8">
        <v>100636</v>
      </c>
      <c r="BF8">
        <v>839664</v>
      </c>
      <c r="BH8">
        <v>27375</v>
      </c>
      <c r="BI8">
        <v>47464</v>
      </c>
      <c r="BJ8">
        <v>413727</v>
      </c>
      <c r="BK8">
        <v>114194</v>
      </c>
      <c r="BL8">
        <v>0</v>
      </c>
      <c r="BM8">
        <v>131134</v>
      </c>
      <c r="BN8">
        <v>211527</v>
      </c>
      <c r="BO8">
        <v>185056</v>
      </c>
      <c r="BQ8">
        <v>421906</v>
      </c>
      <c r="BS8">
        <v>0</v>
      </c>
      <c r="BT8">
        <v>129359</v>
      </c>
      <c r="BV8" s="180">
        <v>0</v>
      </c>
    </row>
    <row r="9" spans="1:74" x14ac:dyDescent="0.3">
      <c r="A9">
        <v>16</v>
      </c>
      <c r="B9" t="s">
        <v>197</v>
      </c>
      <c r="D9">
        <v>6824446</v>
      </c>
      <c r="E9">
        <v>592748431</v>
      </c>
      <c r="H9">
        <v>3359114</v>
      </c>
      <c r="I9">
        <v>37840</v>
      </c>
      <c r="J9">
        <v>483542</v>
      </c>
      <c r="K9">
        <v>1456096</v>
      </c>
      <c r="L9">
        <v>4218635</v>
      </c>
      <c r="M9">
        <v>20106355</v>
      </c>
      <c r="N9">
        <v>233597</v>
      </c>
      <c r="O9">
        <v>834410</v>
      </c>
      <c r="Q9">
        <v>546636</v>
      </c>
      <c r="R9">
        <v>1942262</v>
      </c>
      <c r="S9">
        <v>2050075</v>
      </c>
      <c r="T9">
        <v>18672260</v>
      </c>
      <c r="X9">
        <v>10119962</v>
      </c>
      <c r="Y9">
        <v>2160752</v>
      </c>
      <c r="Z9">
        <v>75014817</v>
      </c>
      <c r="AA9">
        <v>13539363</v>
      </c>
      <c r="AC9">
        <v>451134</v>
      </c>
      <c r="AD9">
        <v>1409465</v>
      </c>
      <c r="AE9">
        <v>1797153</v>
      </c>
      <c r="AF9">
        <v>610859</v>
      </c>
      <c r="AG9">
        <v>1347679</v>
      </c>
      <c r="AH9">
        <v>11303860</v>
      </c>
      <c r="AI9">
        <v>160529</v>
      </c>
      <c r="AJ9">
        <v>3766979</v>
      </c>
      <c r="AK9">
        <v>210580</v>
      </c>
      <c r="AL9">
        <v>944113</v>
      </c>
      <c r="AM9">
        <v>6065076</v>
      </c>
      <c r="AN9">
        <v>469632</v>
      </c>
      <c r="AO9">
        <v>49960382</v>
      </c>
      <c r="AP9">
        <v>1960783</v>
      </c>
      <c r="AQ9">
        <v>278954</v>
      </c>
      <c r="AR9">
        <v>455720</v>
      </c>
      <c r="AS9">
        <v>41024743</v>
      </c>
      <c r="AT9">
        <v>284027</v>
      </c>
      <c r="AU9">
        <v>3045111</v>
      </c>
      <c r="AV9">
        <v>2380127</v>
      </c>
      <c r="AW9">
        <v>423200</v>
      </c>
      <c r="AY9">
        <v>548151</v>
      </c>
      <c r="AZ9">
        <v>7887606</v>
      </c>
      <c r="BA9">
        <v>2318008</v>
      </c>
      <c r="BB9">
        <v>45746</v>
      </c>
      <c r="BC9">
        <v>466958</v>
      </c>
      <c r="BD9">
        <v>6634839</v>
      </c>
      <c r="BE9">
        <v>1406522</v>
      </c>
      <c r="BF9">
        <v>29444582</v>
      </c>
      <c r="BH9">
        <v>361185</v>
      </c>
      <c r="BI9">
        <v>276572</v>
      </c>
      <c r="BJ9">
        <v>16896259</v>
      </c>
      <c r="BK9">
        <v>1412722</v>
      </c>
      <c r="BL9">
        <v>25378642</v>
      </c>
      <c r="BM9">
        <v>9887310</v>
      </c>
      <c r="BN9">
        <v>12183878</v>
      </c>
      <c r="BO9">
        <v>2108887</v>
      </c>
      <c r="BQ9">
        <v>3970772</v>
      </c>
      <c r="BS9">
        <v>4110716</v>
      </c>
      <c r="BT9">
        <v>1524937</v>
      </c>
      <c r="BV9" s="180">
        <v>3195600</v>
      </c>
    </row>
    <row r="10" spans="1:74" x14ac:dyDescent="0.3">
      <c r="A10">
        <v>17</v>
      </c>
      <c r="B10" t="s">
        <v>200</v>
      </c>
      <c r="D10">
        <v>789761</v>
      </c>
      <c r="E10">
        <v>5228160</v>
      </c>
      <c r="H10">
        <v>584548</v>
      </c>
      <c r="I10">
        <v>0</v>
      </c>
      <c r="J10">
        <v>101250</v>
      </c>
      <c r="K10">
        <v>624125</v>
      </c>
      <c r="L10">
        <v>0</v>
      </c>
      <c r="M10">
        <v>251977</v>
      </c>
      <c r="N10">
        <v>0</v>
      </c>
      <c r="O10">
        <v>0</v>
      </c>
      <c r="Q10">
        <v>0</v>
      </c>
      <c r="R10">
        <v>542742</v>
      </c>
      <c r="S10">
        <v>568587</v>
      </c>
      <c r="T10">
        <v>2281874</v>
      </c>
      <c r="X10">
        <v>1583746</v>
      </c>
      <c r="Y10">
        <v>98329</v>
      </c>
      <c r="Z10">
        <v>13250000</v>
      </c>
      <c r="AA10">
        <v>2719094</v>
      </c>
      <c r="AC10">
        <v>0</v>
      </c>
      <c r="AD10">
        <v>0</v>
      </c>
      <c r="AE10">
        <v>0</v>
      </c>
      <c r="AF10">
        <v>0</v>
      </c>
      <c r="AG10">
        <v>0</v>
      </c>
      <c r="AH10">
        <v>236070</v>
      </c>
      <c r="AI10">
        <v>0</v>
      </c>
      <c r="AJ10">
        <v>0</v>
      </c>
      <c r="AK10">
        <v>0</v>
      </c>
      <c r="AL10">
        <v>0</v>
      </c>
      <c r="AM10">
        <v>671590</v>
      </c>
      <c r="AN10">
        <v>0</v>
      </c>
      <c r="AO10">
        <v>5916611</v>
      </c>
      <c r="AP10">
        <v>19749</v>
      </c>
      <c r="AQ10">
        <v>0</v>
      </c>
      <c r="AR10">
        <v>0</v>
      </c>
      <c r="AS10">
        <v>11224986</v>
      </c>
      <c r="AT10">
        <v>65456</v>
      </c>
      <c r="AU10">
        <v>865891</v>
      </c>
      <c r="AV10">
        <v>61099</v>
      </c>
      <c r="AW10">
        <v>0</v>
      </c>
      <c r="AY10">
        <v>0</v>
      </c>
      <c r="AZ10">
        <v>1330954</v>
      </c>
      <c r="BA10">
        <v>0</v>
      </c>
      <c r="BB10">
        <v>36064</v>
      </c>
      <c r="BC10">
        <v>0</v>
      </c>
      <c r="BD10">
        <v>944183</v>
      </c>
      <c r="BE10">
        <v>430850</v>
      </c>
      <c r="BF10">
        <v>8984015</v>
      </c>
      <c r="BH10">
        <v>117865</v>
      </c>
      <c r="BI10">
        <v>35000</v>
      </c>
      <c r="BJ10">
        <v>482640</v>
      </c>
      <c r="BK10">
        <v>140000</v>
      </c>
      <c r="BL10">
        <v>3922210</v>
      </c>
      <c r="BM10">
        <v>471354</v>
      </c>
      <c r="BN10">
        <v>0</v>
      </c>
      <c r="BO10">
        <v>0</v>
      </c>
      <c r="BQ10">
        <v>586000</v>
      </c>
      <c r="BS10">
        <v>386170</v>
      </c>
      <c r="BT10">
        <v>0</v>
      </c>
      <c r="BV10" s="180">
        <v>0</v>
      </c>
    </row>
    <row r="11" spans="1:74" x14ac:dyDescent="0.3">
      <c r="A11">
        <v>20</v>
      </c>
      <c r="B11" t="s">
        <v>201</v>
      </c>
      <c r="D11">
        <v>357334</v>
      </c>
      <c r="E11">
        <v>88627813</v>
      </c>
      <c r="H11">
        <v>0</v>
      </c>
      <c r="I11">
        <v>0</v>
      </c>
      <c r="J11">
        <v>0</v>
      </c>
      <c r="K11">
        <v>0</v>
      </c>
      <c r="L11">
        <v>320</v>
      </c>
      <c r="M11">
        <v>1250000</v>
      </c>
      <c r="N11">
        <v>0</v>
      </c>
      <c r="O11">
        <v>0</v>
      </c>
      <c r="Q11">
        <v>0</v>
      </c>
      <c r="R11">
        <v>0</v>
      </c>
      <c r="S11">
        <v>555689</v>
      </c>
      <c r="T11">
        <v>0</v>
      </c>
      <c r="X11">
        <v>0</v>
      </c>
      <c r="Y11">
        <v>0</v>
      </c>
      <c r="Z11">
        <v>1205810</v>
      </c>
      <c r="AA11">
        <v>3016427</v>
      </c>
      <c r="AC11">
        <v>0</v>
      </c>
      <c r="AD11">
        <v>0</v>
      </c>
      <c r="AE11">
        <v>0</v>
      </c>
      <c r="AF11">
        <v>98000</v>
      </c>
      <c r="AG11">
        <v>0</v>
      </c>
      <c r="AH11">
        <v>0</v>
      </c>
      <c r="AI11">
        <v>0</v>
      </c>
      <c r="AJ11">
        <v>0</v>
      </c>
      <c r="AK11">
        <v>0</v>
      </c>
      <c r="AL11">
        <v>0</v>
      </c>
      <c r="AM11">
        <v>472303</v>
      </c>
      <c r="AN11">
        <v>0</v>
      </c>
      <c r="AO11">
        <v>3330000</v>
      </c>
      <c r="AP11">
        <v>0</v>
      </c>
      <c r="AQ11">
        <v>0</v>
      </c>
      <c r="AR11">
        <v>0</v>
      </c>
      <c r="AS11">
        <v>6385445</v>
      </c>
      <c r="AT11">
        <v>0</v>
      </c>
      <c r="AU11">
        <v>0</v>
      </c>
      <c r="AV11">
        <v>0</v>
      </c>
      <c r="AW11">
        <v>0</v>
      </c>
      <c r="AY11">
        <v>0</v>
      </c>
      <c r="AZ11">
        <v>415042</v>
      </c>
      <c r="BA11">
        <v>0</v>
      </c>
      <c r="BB11">
        <v>0</v>
      </c>
      <c r="BC11">
        <v>29825</v>
      </c>
      <c r="BD11">
        <v>37300</v>
      </c>
      <c r="BE11">
        <v>0</v>
      </c>
      <c r="BF11">
        <v>3638300</v>
      </c>
      <c r="BH11">
        <v>0</v>
      </c>
      <c r="BI11">
        <v>0</v>
      </c>
      <c r="BJ11">
        <v>10410</v>
      </c>
      <c r="BK11">
        <v>0</v>
      </c>
      <c r="BL11">
        <v>2034935</v>
      </c>
      <c r="BM11">
        <v>0</v>
      </c>
      <c r="BN11">
        <v>0</v>
      </c>
      <c r="BO11">
        <v>260000</v>
      </c>
      <c r="BQ11">
        <v>395938</v>
      </c>
      <c r="BS11">
        <v>0</v>
      </c>
      <c r="BT11">
        <v>15000</v>
      </c>
      <c r="BV11" s="180">
        <v>93910</v>
      </c>
    </row>
    <row r="12" spans="1:74" x14ac:dyDescent="0.3">
      <c r="A12">
        <v>22</v>
      </c>
      <c r="B12" t="s">
        <v>203</v>
      </c>
      <c r="D12">
        <v>0</v>
      </c>
      <c r="E12">
        <v>581489</v>
      </c>
      <c r="H12">
        <v>0</v>
      </c>
      <c r="I12">
        <v>0</v>
      </c>
      <c r="J12">
        <v>0</v>
      </c>
      <c r="K12">
        <v>0</v>
      </c>
      <c r="L12">
        <v>0</v>
      </c>
      <c r="M12">
        <v>0</v>
      </c>
      <c r="N12">
        <v>0</v>
      </c>
      <c r="O12">
        <v>0</v>
      </c>
      <c r="Q12">
        <v>0</v>
      </c>
      <c r="R12">
        <v>0</v>
      </c>
      <c r="S12">
        <v>2357</v>
      </c>
      <c r="T12">
        <v>0</v>
      </c>
      <c r="X12">
        <v>0</v>
      </c>
      <c r="Y12">
        <v>10703</v>
      </c>
      <c r="Z12">
        <v>0</v>
      </c>
      <c r="AA12">
        <v>0</v>
      </c>
      <c r="AC12">
        <v>0</v>
      </c>
      <c r="AD12">
        <v>10943</v>
      </c>
      <c r="AE12">
        <v>0</v>
      </c>
      <c r="AF12">
        <v>0</v>
      </c>
      <c r="AG12">
        <v>0</v>
      </c>
      <c r="AH12">
        <v>0</v>
      </c>
      <c r="AI12">
        <v>121123</v>
      </c>
      <c r="AJ12">
        <v>60531</v>
      </c>
      <c r="AK12">
        <v>0</v>
      </c>
      <c r="AL12">
        <v>0</v>
      </c>
      <c r="AM12">
        <v>52978</v>
      </c>
      <c r="AN12">
        <v>0</v>
      </c>
      <c r="AO12">
        <v>0</v>
      </c>
      <c r="AP12">
        <v>0</v>
      </c>
      <c r="AQ12">
        <v>0</v>
      </c>
      <c r="AR12">
        <v>0</v>
      </c>
      <c r="AS12">
        <v>1018137</v>
      </c>
      <c r="AT12">
        <v>0</v>
      </c>
      <c r="AU12">
        <v>0</v>
      </c>
      <c r="AV12">
        <v>10350</v>
      </c>
      <c r="AW12">
        <v>1131</v>
      </c>
      <c r="AY12">
        <v>0</v>
      </c>
      <c r="AZ12">
        <v>40091</v>
      </c>
      <c r="BA12">
        <v>0</v>
      </c>
      <c r="BB12">
        <v>0</v>
      </c>
      <c r="BC12">
        <v>0</v>
      </c>
      <c r="BD12">
        <v>64255</v>
      </c>
      <c r="BE12">
        <v>0</v>
      </c>
      <c r="BF12">
        <v>18380</v>
      </c>
      <c r="BH12">
        <v>0</v>
      </c>
      <c r="BI12">
        <v>803</v>
      </c>
      <c r="BJ12">
        <v>25696</v>
      </c>
      <c r="BK12">
        <v>0</v>
      </c>
      <c r="BL12">
        <v>79797</v>
      </c>
      <c r="BM12">
        <v>0</v>
      </c>
      <c r="BN12">
        <v>0</v>
      </c>
      <c r="BO12">
        <v>0</v>
      </c>
      <c r="BQ12">
        <v>0</v>
      </c>
      <c r="BS12">
        <v>0</v>
      </c>
      <c r="BT12">
        <v>49338</v>
      </c>
      <c r="BV12" s="180">
        <v>-395861</v>
      </c>
    </row>
    <row r="13" spans="1:74" x14ac:dyDescent="0.3">
      <c r="A13">
        <v>23</v>
      </c>
      <c r="B13" t="s">
        <v>206</v>
      </c>
      <c r="D13">
        <v>998164</v>
      </c>
      <c r="E13">
        <v>41720098</v>
      </c>
      <c r="H13">
        <v>1449946</v>
      </c>
      <c r="I13">
        <v>-1233</v>
      </c>
      <c r="J13">
        <v>341336</v>
      </c>
      <c r="K13">
        <v>1124266</v>
      </c>
      <c r="L13">
        <v>-357142</v>
      </c>
      <c r="M13">
        <v>-812405</v>
      </c>
      <c r="N13">
        <v>57129</v>
      </c>
      <c r="O13">
        <v>340568</v>
      </c>
      <c r="Q13">
        <v>119221</v>
      </c>
      <c r="R13">
        <v>813837</v>
      </c>
      <c r="S13">
        <v>-36871</v>
      </c>
      <c r="T13">
        <v>2668738</v>
      </c>
      <c r="X13">
        <v>837891</v>
      </c>
      <c r="Y13">
        <v>466732</v>
      </c>
      <c r="Z13">
        <v>4491647</v>
      </c>
      <c r="AA13">
        <v>2810221</v>
      </c>
      <c r="AC13">
        <v>134973</v>
      </c>
      <c r="AD13">
        <v>340310</v>
      </c>
      <c r="AE13">
        <v>255725</v>
      </c>
      <c r="AF13">
        <v>21362</v>
      </c>
      <c r="AG13">
        <v>-162948</v>
      </c>
      <c r="AH13">
        <v>133526</v>
      </c>
      <c r="AI13">
        <v>44591</v>
      </c>
      <c r="AJ13">
        <v>1425466</v>
      </c>
      <c r="AK13">
        <v>-8094</v>
      </c>
      <c r="AL13">
        <v>3703</v>
      </c>
      <c r="AM13">
        <v>214426</v>
      </c>
      <c r="AN13">
        <v>92625</v>
      </c>
      <c r="AO13">
        <v>9061070</v>
      </c>
      <c r="AP13">
        <v>377162</v>
      </c>
      <c r="AQ13">
        <v>162203</v>
      </c>
      <c r="AR13">
        <v>244953</v>
      </c>
      <c r="AS13">
        <v>9551029</v>
      </c>
      <c r="AT13">
        <v>-17151</v>
      </c>
      <c r="AU13">
        <v>1073591</v>
      </c>
      <c r="AV13">
        <v>-51450</v>
      </c>
      <c r="AW13">
        <v>26366</v>
      </c>
      <c r="AY13">
        <v>204362</v>
      </c>
      <c r="AZ13">
        <v>873658</v>
      </c>
      <c r="BA13">
        <v>-240519</v>
      </c>
      <c r="BB13">
        <v>22634</v>
      </c>
      <c r="BC13">
        <v>117418</v>
      </c>
      <c r="BD13">
        <v>968623</v>
      </c>
      <c r="BE13">
        <v>289150</v>
      </c>
      <c r="BF13">
        <v>5466255</v>
      </c>
      <c r="BH13">
        <v>272419</v>
      </c>
      <c r="BI13">
        <v>52194</v>
      </c>
      <c r="BJ13">
        <v>3075567</v>
      </c>
      <c r="BK13">
        <v>222986</v>
      </c>
      <c r="BL13">
        <v>5609829</v>
      </c>
      <c r="BM13">
        <v>1826473</v>
      </c>
      <c r="BN13">
        <v>2570485</v>
      </c>
      <c r="BO13">
        <v>-131544</v>
      </c>
      <c r="BQ13">
        <v>43892</v>
      </c>
      <c r="BS13">
        <v>-655875</v>
      </c>
      <c r="BT13">
        <v>238362</v>
      </c>
      <c r="BV13" s="180">
        <v>235247</v>
      </c>
    </row>
    <row r="14" spans="1:74" s="556" customFormat="1" x14ac:dyDescent="0.3">
      <c r="A14">
        <v>44</v>
      </c>
      <c r="B14" t="s">
        <v>878</v>
      </c>
      <c r="C14"/>
      <c r="D14">
        <v>7294753</v>
      </c>
      <c r="E14">
        <v>512512208</v>
      </c>
      <c r="F14"/>
      <c r="G14"/>
      <c r="H14">
        <v>1252849</v>
      </c>
      <c r="I14">
        <v>0</v>
      </c>
      <c r="J14">
        <v>0</v>
      </c>
      <c r="K14">
        <v>0</v>
      </c>
      <c r="L14">
        <v>542909</v>
      </c>
      <c r="M14">
        <v>10086046</v>
      </c>
      <c r="N14">
        <v>0</v>
      </c>
      <c r="O14">
        <v>689512</v>
      </c>
      <c r="P14"/>
      <c r="Q14">
        <v>0</v>
      </c>
      <c r="R14">
        <v>0</v>
      </c>
      <c r="S14">
        <v>1356593</v>
      </c>
      <c r="T14">
        <v>0</v>
      </c>
      <c r="U14"/>
      <c r="V14"/>
      <c r="W14"/>
      <c r="X14">
        <v>5570695</v>
      </c>
      <c r="Y14">
        <v>0</v>
      </c>
      <c r="Z14">
        <v>17585141</v>
      </c>
      <c r="AA14">
        <v>0</v>
      </c>
      <c r="AB14"/>
      <c r="AC14">
        <v>131153</v>
      </c>
      <c r="AD14">
        <v>1233022</v>
      </c>
      <c r="AE14">
        <v>631728</v>
      </c>
      <c r="AF14">
        <v>1046716</v>
      </c>
      <c r="AG14">
        <v>195412</v>
      </c>
      <c r="AH14">
        <v>1144418</v>
      </c>
      <c r="AI14">
        <v>0</v>
      </c>
      <c r="AJ14">
        <v>0</v>
      </c>
      <c r="AK14">
        <v>0</v>
      </c>
      <c r="AL14">
        <v>1115943</v>
      </c>
      <c r="AM14">
        <v>1319118</v>
      </c>
      <c r="AN14">
        <v>272657</v>
      </c>
      <c r="AO14">
        <v>45207323</v>
      </c>
      <c r="AP14">
        <v>515752</v>
      </c>
      <c r="AQ14">
        <v>0</v>
      </c>
      <c r="AR14">
        <v>57952</v>
      </c>
      <c r="AS14">
        <v>32031116</v>
      </c>
      <c r="AT14">
        <v>754985</v>
      </c>
      <c r="AU14">
        <v>5457203</v>
      </c>
      <c r="AV14">
        <v>1202373</v>
      </c>
      <c r="AW14">
        <v>915534</v>
      </c>
      <c r="AX14"/>
      <c r="AY14">
        <v>15683</v>
      </c>
      <c r="AZ14">
        <v>7494342</v>
      </c>
      <c r="BA14">
        <v>272885</v>
      </c>
      <c r="BB14">
        <v>1028459</v>
      </c>
      <c r="BC14">
        <v>657545</v>
      </c>
      <c r="BD14">
        <v>5488359</v>
      </c>
      <c r="BE14">
        <v>948614</v>
      </c>
      <c r="BF14">
        <v>17562840</v>
      </c>
      <c r="BG14"/>
      <c r="BH14">
        <v>0</v>
      </c>
      <c r="BI14">
        <v>958919</v>
      </c>
      <c r="BJ14">
        <v>15930087</v>
      </c>
      <c r="BK14">
        <v>1591402</v>
      </c>
      <c r="BL14">
        <v>17602720</v>
      </c>
      <c r="BM14">
        <v>0</v>
      </c>
      <c r="BN14">
        <v>7689528</v>
      </c>
      <c r="BO14">
        <v>1603004</v>
      </c>
      <c r="BP14"/>
      <c r="BQ14">
        <v>0</v>
      </c>
      <c r="BR14"/>
      <c r="BS14">
        <v>1091883</v>
      </c>
      <c r="BT14">
        <v>568993</v>
      </c>
      <c r="BU14"/>
      <c r="BV14" s="556">
        <v>625414</v>
      </c>
    </row>
    <row r="15" spans="1:74" s="556" customFormat="1" x14ac:dyDescent="0.3">
      <c r="A15">
        <v>45</v>
      </c>
      <c r="B15" t="s">
        <v>879</v>
      </c>
      <c r="C15"/>
      <c r="D15">
        <v>714946</v>
      </c>
      <c r="E15">
        <v>21554467</v>
      </c>
      <c r="F15"/>
      <c r="G15"/>
      <c r="H15">
        <v>17607</v>
      </c>
      <c r="I15">
        <v>0</v>
      </c>
      <c r="J15">
        <v>0</v>
      </c>
      <c r="K15">
        <v>0</v>
      </c>
      <c r="L15">
        <v>171501</v>
      </c>
      <c r="M15">
        <v>1892459</v>
      </c>
      <c r="N15">
        <v>0</v>
      </c>
      <c r="O15">
        <v>42212</v>
      </c>
      <c r="P15"/>
      <c r="Q15">
        <v>0</v>
      </c>
      <c r="R15">
        <v>0</v>
      </c>
      <c r="S15">
        <v>467498</v>
      </c>
      <c r="T15">
        <v>0</v>
      </c>
      <c r="U15"/>
      <c r="V15"/>
      <c r="W15"/>
      <c r="X15">
        <v>394351</v>
      </c>
      <c r="Y15">
        <v>0</v>
      </c>
      <c r="Z15">
        <v>1504398</v>
      </c>
      <c r="AA15">
        <v>0</v>
      </c>
      <c r="AB15"/>
      <c r="AC15">
        <v>111712</v>
      </c>
      <c r="AD15">
        <v>51678</v>
      </c>
      <c r="AE15">
        <v>422599</v>
      </c>
      <c r="AF15">
        <v>54282</v>
      </c>
      <c r="AG15">
        <v>134062</v>
      </c>
      <c r="AH15">
        <v>1264997</v>
      </c>
      <c r="AI15">
        <v>0</v>
      </c>
      <c r="AJ15">
        <v>0</v>
      </c>
      <c r="AK15">
        <v>0</v>
      </c>
      <c r="AL15">
        <v>111729</v>
      </c>
      <c r="AM15">
        <v>164951</v>
      </c>
      <c r="AN15">
        <v>5344</v>
      </c>
      <c r="AO15">
        <v>7421267</v>
      </c>
      <c r="AP15">
        <v>160310</v>
      </c>
      <c r="AQ15">
        <v>0</v>
      </c>
      <c r="AR15">
        <v>17480</v>
      </c>
      <c r="AS15">
        <v>12980138</v>
      </c>
      <c r="AT15">
        <v>66979</v>
      </c>
      <c r="AU15">
        <v>103119</v>
      </c>
      <c r="AV15">
        <v>103175</v>
      </c>
      <c r="AW15">
        <v>53413</v>
      </c>
      <c r="AX15"/>
      <c r="AY15">
        <v>0</v>
      </c>
      <c r="AZ15">
        <v>801368</v>
      </c>
      <c r="BA15">
        <v>40923</v>
      </c>
      <c r="BB15">
        <v>11461</v>
      </c>
      <c r="BC15">
        <v>5761</v>
      </c>
      <c r="BD15">
        <v>94812</v>
      </c>
      <c r="BE15">
        <v>237288</v>
      </c>
      <c r="BF15">
        <v>3029228</v>
      </c>
      <c r="BG15"/>
      <c r="BH15">
        <v>0</v>
      </c>
      <c r="BI15">
        <v>23519</v>
      </c>
      <c r="BJ15">
        <v>1563867</v>
      </c>
      <c r="BK15">
        <v>96518</v>
      </c>
      <c r="BL15">
        <v>746694</v>
      </c>
      <c r="BM15">
        <v>0</v>
      </c>
      <c r="BN15">
        <v>425127</v>
      </c>
      <c r="BO15">
        <v>216322</v>
      </c>
      <c r="BP15"/>
      <c r="BQ15">
        <v>0</v>
      </c>
      <c r="BR15"/>
      <c r="BS15">
        <v>533289</v>
      </c>
      <c r="BT15">
        <v>49882</v>
      </c>
      <c r="BU15"/>
      <c r="BV15" s="556">
        <v>210458</v>
      </c>
    </row>
    <row r="16" spans="1:74" s="556" customFormat="1" x14ac:dyDescent="0.3">
      <c r="A16">
        <v>47</v>
      </c>
      <c r="B16" t="s">
        <v>880</v>
      </c>
      <c r="C16"/>
      <c r="D16">
        <v>0</v>
      </c>
      <c r="E16">
        <v>0</v>
      </c>
      <c r="F16"/>
      <c r="G16"/>
      <c r="H16">
        <v>0</v>
      </c>
      <c r="I16">
        <v>0</v>
      </c>
      <c r="J16">
        <v>0</v>
      </c>
      <c r="K16">
        <v>0</v>
      </c>
      <c r="L16">
        <v>1420198</v>
      </c>
      <c r="M16">
        <v>0</v>
      </c>
      <c r="N16">
        <v>0</v>
      </c>
      <c r="O16">
        <v>0</v>
      </c>
      <c r="P16"/>
      <c r="Q16">
        <v>0</v>
      </c>
      <c r="R16">
        <v>0</v>
      </c>
      <c r="S16">
        <v>0</v>
      </c>
      <c r="T16">
        <v>0</v>
      </c>
      <c r="U16"/>
      <c r="V16"/>
      <c r="W16"/>
      <c r="X16">
        <v>0</v>
      </c>
      <c r="Y16">
        <v>0</v>
      </c>
      <c r="Z16">
        <v>42183331</v>
      </c>
      <c r="AA16">
        <v>0</v>
      </c>
      <c r="AB16"/>
      <c r="AC16">
        <v>0</v>
      </c>
      <c r="AD16">
        <v>0</v>
      </c>
      <c r="AE16">
        <v>0</v>
      </c>
      <c r="AF16">
        <v>0</v>
      </c>
      <c r="AG16">
        <v>0</v>
      </c>
      <c r="AH16">
        <v>0</v>
      </c>
      <c r="AI16">
        <v>0</v>
      </c>
      <c r="AJ16">
        <v>0</v>
      </c>
      <c r="AK16">
        <v>0</v>
      </c>
      <c r="AL16">
        <v>0</v>
      </c>
      <c r="AM16">
        <v>0</v>
      </c>
      <c r="AN16">
        <v>0</v>
      </c>
      <c r="AO16">
        <v>0</v>
      </c>
      <c r="AP16">
        <v>0</v>
      </c>
      <c r="AQ16">
        <v>0</v>
      </c>
      <c r="AR16">
        <v>0</v>
      </c>
      <c r="AS16">
        <v>0</v>
      </c>
      <c r="AT16">
        <v>0</v>
      </c>
      <c r="AU16">
        <v>0</v>
      </c>
      <c r="AV16">
        <v>2883056</v>
      </c>
      <c r="AW16">
        <v>0</v>
      </c>
      <c r="AX16"/>
      <c r="AY16">
        <v>0</v>
      </c>
      <c r="AZ16">
        <v>4402366</v>
      </c>
      <c r="BA16">
        <v>0</v>
      </c>
      <c r="BB16">
        <v>0</v>
      </c>
      <c r="BC16">
        <v>0</v>
      </c>
      <c r="BD16">
        <v>0</v>
      </c>
      <c r="BE16">
        <v>2877400</v>
      </c>
      <c r="BF16">
        <v>13256677</v>
      </c>
      <c r="BG16"/>
      <c r="BH16">
        <v>0</v>
      </c>
      <c r="BI16">
        <v>0</v>
      </c>
      <c r="BJ16">
        <v>15537120</v>
      </c>
      <c r="BK16">
        <v>0</v>
      </c>
      <c r="BL16">
        <v>0</v>
      </c>
      <c r="BM16">
        <v>0</v>
      </c>
      <c r="BN16">
        <v>7066751</v>
      </c>
      <c r="BO16">
        <v>0</v>
      </c>
      <c r="BP16"/>
      <c r="BQ16">
        <v>0</v>
      </c>
      <c r="BR16"/>
      <c r="BS16">
        <v>0</v>
      </c>
      <c r="BT16">
        <v>0</v>
      </c>
      <c r="BU16"/>
      <c r="BV16" s="556">
        <v>0</v>
      </c>
    </row>
    <row r="17" spans="1:74" s="556" customFormat="1" x14ac:dyDescent="0.3">
      <c r="A17">
        <v>48</v>
      </c>
      <c r="B17" t="s">
        <v>115</v>
      </c>
      <c r="C17"/>
      <c r="D17">
        <v>0</v>
      </c>
      <c r="E17">
        <v>0</v>
      </c>
      <c r="F17"/>
      <c r="G17"/>
      <c r="H17">
        <v>0</v>
      </c>
      <c r="I17">
        <v>0</v>
      </c>
      <c r="J17">
        <v>0</v>
      </c>
      <c r="K17">
        <v>0</v>
      </c>
      <c r="L17">
        <v>436626</v>
      </c>
      <c r="M17">
        <v>0</v>
      </c>
      <c r="N17">
        <v>0</v>
      </c>
      <c r="O17">
        <v>0</v>
      </c>
      <c r="P17"/>
      <c r="Q17">
        <v>0</v>
      </c>
      <c r="R17">
        <v>0</v>
      </c>
      <c r="S17">
        <v>0</v>
      </c>
      <c r="T17">
        <v>0</v>
      </c>
      <c r="U17"/>
      <c r="V17"/>
      <c r="W17"/>
      <c r="X17">
        <v>0</v>
      </c>
      <c r="Y17">
        <v>0</v>
      </c>
      <c r="Z17">
        <v>7189254</v>
      </c>
      <c r="AA17">
        <v>0</v>
      </c>
      <c r="AB17"/>
      <c r="AC17">
        <v>0</v>
      </c>
      <c r="AD17">
        <v>0</v>
      </c>
      <c r="AE17">
        <v>0</v>
      </c>
      <c r="AF17">
        <v>0</v>
      </c>
      <c r="AG17">
        <v>0</v>
      </c>
      <c r="AH17">
        <v>0</v>
      </c>
      <c r="AI17">
        <v>0</v>
      </c>
      <c r="AJ17">
        <v>0</v>
      </c>
      <c r="AK17">
        <v>0</v>
      </c>
      <c r="AL17">
        <v>0</v>
      </c>
      <c r="AM17">
        <v>0</v>
      </c>
      <c r="AN17">
        <v>0</v>
      </c>
      <c r="AO17">
        <v>0</v>
      </c>
      <c r="AP17">
        <v>0</v>
      </c>
      <c r="AQ17">
        <v>0</v>
      </c>
      <c r="AR17">
        <v>0</v>
      </c>
      <c r="AS17">
        <v>0</v>
      </c>
      <c r="AT17">
        <v>0</v>
      </c>
      <c r="AU17">
        <v>0</v>
      </c>
      <c r="AV17">
        <v>305347</v>
      </c>
      <c r="AW17">
        <v>0</v>
      </c>
      <c r="AX17"/>
      <c r="AY17">
        <v>0</v>
      </c>
      <c r="AZ17">
        <v>793071</v>
      </c>
      <c r="BA17">
        <v>0</v>
      </c>
      <c r="BB17">
        <v>0</v>
      </c>
      <c r="BC17">
        <v>0</v>
      </c>
      <c r="BD17">
        <v>0</v>
      </c>
      <c r="BE17">
        <v>139416</v>
      </c>
      <c r="BF17">
        <v>1912918</v>
      </c>
      <c r="BG17"/>
      <c r="BH17">
        <v>0</v>
      </c>
      <c r="BI17">
        <v>0</v>
      </c>
      <c r="BJ17">
        <v>2303979</v>
      </c>
      <c r="BK17">
        <v>0</v>
      </c>
      <c r="BL17">
        <v>0</v>
      </c>
      <c r="BM17">
        <v>0</v>
      </c>
      <c r="BN17">
        <v>907614</v>
      </c>
      <c r="BO17">
        <v>0</v>
      </c>
      <c r="BP17"/>
      <c r="BQ17">
        <v>0</v>
      </c>
      <c r="BR17"/>
      <c r="BS17">
        <v>0</v>
      </c>
      <c r="BT17">
        <v>0</v>
      </c>
      <c r="BU17"/>
      <c r="BV17" s="556">
        <v>0</v>
      </c>
    </row>
    <row r="18" spans="1:74" x14ac:dyDescent="0.3">
      <c r="A18">
        <v>49</v>
      </c>
      <c r="B18" t="s">
        <v>219</v>
      </c>
      <c r="D18">
        <v>872096</v>
      </c>
      <c r="E18">
        <v>59271717</v>
      </c>
      <c r="H18">
        <v>145847</v>
      </c>
      <c r="I18">
        <v>0</v>
      </c>
      <c r="J18">
        <v>0</v>
      </c>
      <c r="K18">
        <v>0</v>
      </c>
      <c r="L18">
        <v>429921</v>
      </c>
      <c r="M18">
        <v>1971419</v>
      </c>
      <c r="N18">
        <v>0</v>
      </c>
      <c r="O18">
        <v>191269</v>
      </c>
      <c r="Q18">
        <v>0</v>
      </c>
      <c r="R18">
        <v>0</v>
      </c>
      <c r="S18">
        <v>137770</v>
      </c>
      <c r="T18">
        <v>0</v>
      </c>
      <c r="X18">
        <v>1106139</v>
      </c>
      <c r="Y18">
        <v>0</v>
      </c>
      <c r="Z18">
        <v>3403439</v>
      </c>
      <c r="AA18">
        <v>0</v>
      </c>
      <c r="AC18">
        <v>122663</v>
      </c>
      <c r="AD18">
        <v>365405</v>
      </c>
      <c r="AE18">
        <v>178616</v>
      </c>
      <c r="AF18">
        <v>269114</v>
      </c>
      <c r="AG18">
        <v>140019</v>
      </c>
      <c r="AH18">
        <v>867497</v>
      </c>
      <c r="AI18">
        <v>0</v>
      </c>
      <c r="AJ18">
        <v>0</v>
      </c>
      <c r="AK18">
        <v>0</v>
      </c>
      <c r="AL18">
        <v>144380</v>
      </c>
      <c r="AM18">
        <v>374118</v>
      </c>
      <c r="AN18">
        <v>102113</v>
      </c>
      <c r="AO18">
        <v>5083335</v>
      </c>
      <c r="AP18">
        <v>153795</v>
      </c>
      <c r="AQ18">
        <v>0</v>
      </c>
      <c r="AR18">
        <v>25788</v>
      </c>
      <c r="AS18">
        <v>6881434</v>
      </c>
      <c r="AT18">
        <v>188132</v>
      </c>
      <c r="AU18">
        <v>243217</v>
      </c>
      <c r="AV18">
        <v>535806</v>
      </c>
      <c r="AW18">
        <v>168392</v>
      </c>
      <c r="AY18">
        <v>0</v>
      </c>
      <c r="AZ18">
        <v>690835</v>
      </c>
      <c r="BA18">
        <v>85125</v>
      </c>
      <c r="BB18">
        <v>113198</v>
      </c>
      <c r="BC18">
        <v>45461</v>
      </c>
      <c r="BD18">
        <v>506814</v>
      </c>
      <c r="BE18">
        <v>300468</v>
      </c>
      <c r="BF18">
        <v>3726649</v>
      </c>
      <c r="BH18">
        <v>0</v>
      </c>
      <c r="BI18">
        <v>50910</v>
      </c>
      <c r="BJ18">
        <v>982839</v>
      </c>
      <c r="BK18">
        <v>338354</v>
      </c>
      <c r="BL18">
        <v>2036063</v>
      </c>
      <c r="BM18">
        <v>0</v>
      </c>
      <c r="BN18">
        <v>619573</v>
      </c>
      <c r="BO18">
        <v>250279</v>
      </c>
      <c r="BQ18">
        <v>0</v>
      </c>
      <c r="BS18">
        <v>769285</v>
      </c>
      <c r="BT18">
        <v>144444</v>
      </c>
      <c r="BV18" s="180">
        <v>659354</v>
      </c>
    </row>
    <row r="19" spans="1:74" x14ac:dyDescent="0.3">
      <c r="A19">
        <v>50</v>
      </c>
      <c r="B19" t="s">
        <v>92</v>
      </c>
      <c r="D19">
        <v>345432</v>
      </c>
      <c r="E19">
        <v>117456513</v>
      </c>
      <c r="H19">
        <v>752285</v>
      </c>
      <c r="I19">
        <v>0</v>
      </c>
      <c r="J19">
        <v>0</v>
      </c>
      <c r="K19">
        <v>0</v>
      </c>
      <c r="L19">
        <v>1503073</v>
      </c>
      <c r="M19">
        <v>1600104</v>
      </c>
      <c r="N19">
        <v>0</v>
      </c>
      <c r="O19">
        <v>-67425</v>
      </c>
      <c r="Q19">
        <v>0</v>
      </c>
      <c r="R19">
        <v>0</v>
      </c>
      <c r="S19">
        <v>-278532</v>
      </c>
      <c r="T19">
        <v>0</v>
      </c>
      <c r="X19">
        <v>495032</v>
      </c>
      <c r="Y19">
        <v>0</v>
      </c>
      <c r="Z19">
        <v>-3089623</v>
      </c>
      <c r="AA19">
        <v>0</v>
      </c>
      <c r="AC19">
        <v>286727</v>
      </c>
      <c r="AD19">
        <v>-77921</v>
      </c>
      <c r="AE19">
        <v>730002</v>
      </c>
      <c r="AF19">
        <v>529712</v>
      </c>
      <c r="AG19">
        <v>-19615</v>
      </c>
      <c r="AH19">
        <v>-1585839</v>
      </c>
      <c r="AI19">
        <v>0</v>
      </c>
      <c r="AJ19">
        <v>0</v>
      </c>
      <c r="AK19">
        <v>0</v>
      </c>
      <c r="AL19">
        <v>-36201</v>
      </c>
      <c r="AM19">
        <v>31445</v>
      </c>
      <c r="AN19">
        <v>-237150</v>
      </c>
      <c r="AO19">
        <v>7177281</v>
      </c>
      <c r="AP19">
        <v>-284218</v>
      </c>
      <c r="AQ19">
        <v>0</v>
      </c>
      <c r="AR19">
        <v>-41742</v>
      </c>
      <c r="AS19">
        <v>37551706</v>
      </c>
      <c r="AT19">
        <v>13877</v>
      </c>
      <c r="AU19">
        <v>389883</v>
      </c>
      <c r="AV19">
        <v>-131350</v>
      </c>
      <c r="AW19">
        <v>1604284</v>
      </c>
      <c r="AY19">
        <v>0</v>
      </c>
      <c r="AZ19">
        <v>1862627</v>
      </c>
      <c r="BA19">
        <v>-6667</v>
      </c>
      <c r="BB19">
        <v>141686</v>
      </c>
      <c r="BC19">
        <v>0</v>
      </c>
      <c r="BD19">
        <v>-4231838</v>
      </c>
      <c r="BE19">
        <v>213914</v>
      </c>
      <c r="BF19">
        <v>6705090</v>
      </c>
      <c r="BH19">
        <v>0</v>
      </c>
      <c r="BI19">
        <v>19147</v>
      </c>
      <c r="BJ19">
        <v>3895185</v>
      </c>
      <c r="BK19">
        <v>116289</v>
      </c>
      <c r="BL19">
        <v>4983302</v>
      </c>
      <c r="BM19">
        <v>0</v>
      </c>
      <c r="BN19">
        <v>3095670</v>
      </c>
      <c r="BO19">
        <v>-7132</v>
      </c>
      <c r="BQ19">
        <v>0</v>
      </c>
      <c r="BS19">
        <v>-6293</v>
      </c>
      <c r="BT19">
        <v>204136</v>
      </c>
      <c r="BV19" s="180">
        <v>114652</v>
      </c>
    </row>
    <row r="20" spans="1:74" x14ac:dyDescent="0.3">
      <c r="A20">
        <v>51</v>
      </c>
      <c r="B20" t="s">
        <v>237</v>
      </c>
      <c r="D20">
        <v>1168960</v>
      </c>
      <c r="E20">
        <v>165585263</v>
      </c>
      <c r="H20">
        <v>83940</v>
      </c>
      <c r="I20">
        <v>0</v>
      </c>
      <c r="J20">
        <v>0</v>
      </c>
      <c r="K20">
        <v>0</v>
      </c>
      <c r="L20">
        <v>-73826</v>
      </c>
      <c r="M20">
        <v>2925772</v>
      </c>
      <c r="N20">
        <v>0</v>
      </c>
      <c r="O20">
        <v>70332</v>
      </c>
      <c r="Q20">
        <v>0</v>
      </c>
      <c r="R20">
        <v>0</v>
      </c>
      <c r="S20">
        <v>571870</v>
      </c>
      <c r="T20">
        <v>0</v>
      </c>
      <c r="X20">
        <v>1099613</v>
      </c>
      <c r="Y20">
        <v>0</v>
      </c>
      <c r="Z20">
        <v>-445807</v>
      </c>
      <c r="AA20">
        <v>0</v>
      </c>
      <c r="AC20">
        <v>53520</v>
      </c>
      <c r="AD20">
        <v>152732</v>
      </c>
      <c r="AE20">
        <v>-45911</v>
      </c>
      <c r="AF20">
        <v>352427</v>
      </c>
      <c r="AG20">
        <v>-61662</v>
      </c>
      <c r="AH20">
        <v>-805222</v>
      </c>
      <c r="AI20">
        <v>0</v>
      </c>
      <c r="AJ20">
        <v>0</v>
      </c>
      <c r="AK20">
        <v>0</v>
      </c>
      <c r="AL20">
        <v>165720</v>
      </c>
      <c r="AM20">
        <v>377942</v>
      </c>
      <c r="AN20">
        <v>-124341</v>
      </c>
      <c r="AO20">
        <v>9042494</v>
      </c>
      <c r="AP20">
        <v>-22334</v>
      </c>
      <c r="AQ20">
        <v>0</v>
      </c>
      <c r="AR20">
        <v>-15220</v>
      </c>
      <c r="AS20">
        <v>10790961</v>
      </c>
      <c r="AT20">
        <v>96479</v>
      </c>
      <c r="AU20">
        <v>312677</v>
      </c>
      <c r="AV20">
        <v>442168</v>
      </c>
      <c r="AW20">
        <v>208767</v>
      </c>
      <c r="AY20">
        <v>0</v>
      </c>
      <c r="AZ20">
        <v>1835547</v>
      </c>
      <c r="BA20">
        <v>83206</v>
      </c>
      <c r="BB20">
        <v>274327</v>
      </c>
      <c r="BC20">
        <v>0</v>
      </c>
      <c r="BD20">
        <v>1070949</v>
      </c>
      <c r="BE20">
        <v>280463</v>
      </c>
      <c r="BF20">
        <v>5109888</v>
      </c>
      <c r="BH20">
        <v>0</v>
      </c>
      <c r="BI20">
        <v>74929</v>
      </c>
      <c r="BJ20">
        <v>4334412</v>
      </c>
      <c r="BK20">
        <v>300126</v>
      </c>
      <c r="BL20">
        <v>3003704</v>
      </c>
      <c r="BM20">
        <v>0</v>
      </c>
      <c r="BN20">
        <v>2579730</v>
      </c>
      <c r="BO20">
        <v>-93901</v>
      </c>
      <c r="BQ20">
        <v>0</v>
      </c>
      <c r="BS20">
        <v>564049</v>
      </c>
      <c r="BT20">
        <v>-7726</v>
      </c>
      <c r="BV20" s="180">
        <v>246318</v>
      </c>
    </row>
    <row r="21" spans="1:74" x14ac:dyDescent="0.3">
      <c r="A21">
        <v>52</v>
      </c>
      <c r="B21" t="s">
        <v>230</v>
      </c>
      <c r="D21">
        <v>0</v>
      </c>
      <c r="E21">
        <v>0</v>
      </c>
      <c r="H21">
        <v>0</v>
      </c>
      <c r="I21">
        <v>0</v>
      </c>
      <c r="J21">
        <v>0</v>
      </c>
      <c r="K21">
        <v>0</v>
      </c>
      <c r="L21">
        <v>101820</v>
      </c>
      <c r="M21">
        <v>0</v>
      </c>
      <c r="N21">
        <v>0</v>
      </c>
      <c r="O21">
        <v>0</v>
      </c>
      <c r="Q21">
        <v>0</v>
      </c>
      <c r="R21">
        <v>0</v>
      </c>
      <c r="S21">
        <v>0</v>
      </c>
      <c r="T21">
        <v>0</v>
      </c>
      <c r="X21">
        <v>0</v>
      </c>
      <c r="Y21">
        <v>0</v>
      </c>
      <c r="Z21">
        <v>2310109</v>
      </c>
      <c r="AA21">
        <v>0</v>
      </c>
      <c r="AC21">
        <v>0</v>
      </c>
      <c r="AD21">
        <v>0</v>
      </c>
      <c r="AE21">
        <v>0</v>
      </c>
      <c r="AF21">
        <v>0</v>
      </c>
      <c r="AG21">
        <v>0</v>
      </c>
      <c r="AH21">
        <v>0</v>
      </c>
      <c r="AI21">
        <v>0</v>
      </c>
      <c r="AJ21">
        <v>0</v>
      </c>
      <c r="AK21">
        <v>0</v>
      </c>
      <c r="AL21">
        <v>0</v>
      </c>
      <c r="AM21">
        <v>0</v>
      </c>
      <c r="AN21">
        <v>0</v>
      </c>
      <c r="AO21">
        <v>0</v>
      </c>
      <c r="AP21">
        <v>0</v>
      </c>
      <c r="AQ21">
        <v>0</v>
      </c>
      <c r="AR21">
        <v>0</v>
      </c>
      <c r="AS21">
        <v>0</v>
      </c>
      <c r="AT21">
        <v>0</v>
      </c>
      <c r="AU21">
        <v>0</v>
      </c>
      <c r="AV21">
        <v>20181</v>
      </c>
      <c r="AW21">
        <v>0</v>
      </c>
      <c r="AY21">
        <v>0</v>
      </c>
      <c r="AZ21">
        <v>133957</v>
      </c>
      <c r="BA21">
        <v>0</v>
      </c>
      <c r="BB21">
        <v>0</v>
      </c>
      <c r="BC21">
        <v>0</v>
      </c>
      <c r="BD21">
        <v>0</v>
      </c>
      <c r="BE21">
        <v>123496</v>
      </c>
      <c r="BF21">
        <v>805640</v>
      </c>
      <c r="BH21">
        <v>0</v>
      </c>
      <c r="BI21">
        <v>0</v>
      </c>
      <c r="BJ21">
        <v>792249</v>
      </c>
      <c r="BK21">
        <v>0</v>
      </c>
      <c r="BL21">
        <v>0</v>
      </c>
      <c r="BM21">
        <v>0</v>
      </c>
      <c r="BN21">
        <v>424934</v>
      </c>
      <c r="BO21">
        <v>0</v>
      </c>
      <c r="BQ21">
        <v>0</v>
      </c>
      <c r="BS21">
        <v>0</v>
      </c>
      <c r="BT21">
        <v>0</v>
      </c>
      <c r="BV21" s="180">
        <v>0</v>
      </c>
    </row>
    <row r="22" spans="1:74" x14ac:dyDescent="0.3">
      <c r="A22">
        <v>53</v>
      </c>
      <c r="B22" t="s">
        <v>93</v>
      </c>
      <c r="D22">
        <v>0</v>
      </c>
      <c r="E22">
        <v>0</v>
      </c>
      <c r="H22">
        <v>0</v>
      </c>
      <c r="I22">
        <v>0</v>
      </c>
      <c r="J22">
        <v>0</v>
      </c>
      <c r="K22">
        <v>0</v>
      </c>
      <c r="L22">
        <v>232567</v>
      </c>
      <c r="M22">
        <v>0</v>
      </c>
      <c r="N22">
        <v>0</v>
      </c>
      <c r="O22">
        <v>0</v>
      </c>
      <c r="Q22">
        <v>0</v>
      </c>
      <c r="R22">
        <v>0</v>
      </c>
      <c r="S22">
        <v>0</v>
      </c>
      <c r="T22">
        <v>0</v>
      </c>
      <c r="X22">
        <v>0</v>
      </c>
      <c r="Y22">
        <v>0</v>
      </c>
      <c r="Z22">
        <v>-5773746</v>
      </c>
      <c r="AA22">
        <v>0</v>
      </c>
      <c r="AC22">
        <v>0</v>
      </c>
      <c r="AD22">
        <v>0</v>
      </c>
      <c r="AE22">
        <v>0</v>
      </c>
      <c r="AF22">
        <v>0</v>
      </c>
      <c r="AG22">
        <v>0</v>
      </c>
      <c r="AH22">
        <v>0</v>
      </c>
      <c r="AI22">
        <v>0</v>
      </c>
      <c r="AJ22">
        <v>0</v>
      </c>
      <c r="AK22">
        <v>0</v>
      </c>
      <c r="AL22">
        <v>0</v>
      </c>
      <c r="AM22">
        <v>0</v>
      </c>
      <c r="AN22">
        <v>0</v>
      </c>
      <c r="AO22">
        <v>0</v>
      </c>
      <c r="AP22">
        <v>0</v>
      </c>
      <c r="AQ22">
        <v>0</v>
      </c>
      <c r="AR22">
        <v>0</v>
      </c>
      <c r="AS22">
        <v>0</v>
      </c>
      <c r="AT22">
        <v>0</v>
      </c>
      <c r="AU22">
        <v>0</v>
      </c>
      <c r="AV22">
        <v>484537</v>
      </c>
      <c r="AW22">
        <v>0</v>
      </c>
      <c r="AY22">
        <v>0</v>
      </c>
      <c r="AZ22">
        <v>488874</v>
      </c>
      <c r="BA22">
        <v>0</v>
      </c>
      <c r="BB22">
        <v>0</v>
      </c>
      <c r="BC22">
        <v>0</v>
      </c>
      <c r="BD22">
        <v>0</v>
      </c>
      <c r="BE22">
        <v>170548</v>
      </c>
      <c r="BF22">
        <v>2940848</v>
      </c>
      <c r="BH22">
        <v>0</v>
      </c>
      <c r="BI22">
        <v>0</v>
      </c>
      <c r="BJ22">
        <v>444425</v>
      </c>
      <c r="BK22">
        <v>0</v>
      </c>
      <c r="BL22">
        <v>0</v>
      </c>
      <c r="BM22">
        <v>0</v>
      </c>
      <c r="BN22">
        <v>-379136</v>
      </c>
      <c r="BO22">
        <v>0</v>
      </c>
      <c r="BQ22">
        <v>0</v>
      </c>
      <c r="BS22">
        <v>0</v>
      </c>
      <c r="BT22">
        <v>0</v>
      </c>
      <c r="BV22" s="180">
        <v>0</v>
      </c>
    </row>
    <row r="23" spans="1:74" x14ac:dyDescent="0.3">
      <c r="A23">
        <v>55</v>
      </c>
      <c r="B23" t="s">
        <v>240</v>
      </c>
      <c r="D23">
        <v>0</v>
      </c>
      <c r="E23">
        <v>0</v>
      </c>
      <c r="H23">
        <v>0</v>
      </c>
      <c r="I23">
        <v>0</v>
      </c>
      <c r="J23">
        <v>0</v>
      </c>
      <c r="K23">
        <v>0</v>
      </c>
      <c r="L23">
        <v>380994</v>
      </c>
      <c r="M23">
        <v>0</v>
      </c>
      <c r="N23">
        <v>0</v>
      </c>
      <c r="O23">
        <v>0</v>
      </c>
      <c r="Q23">
        <v>0</v>
      </c>
      <c r="R23">
        <v>0</v>
      </c>
      <c r="S23">
        <v>0</v>
      </c>
      <c r="T23">
        <v>0</v>
      </c>
      <c r="X23">
        <v>0</v>
      </c>
      <c r="Y23">
        <v>0</v>
      </c>
      <c r="Z23">
        <v>-2361112</v>
      </c>
      <c r="AA23">
        <v>0</v>
      </c>
      <c r="AC23">
        <v>0</v>
      </c>
      <c r="AD23">
        <v>0</v>
      </c>
      <c r="AE23">
        <v>0</v>
      </c>
      <c r="AF23">
        <v>0</v>
      </c>
      <c r="AG23">
        <v>0</v>
      </c>
      <c r="AH23">
        <v>0</v>
      </c>
      <c r="AI23">
        <v>0</v>
      </c>
      <c r="AJ23">
        <v>0</v>
      </c>
      <c r="AK23">
        <v>0</v>
      </c>
      <c r="AL23">
        <v>0</v>
      </c>
      <c r="AM23">
        <v>0</v>
      </c>
      <c r="AN23">
        <v>0</v>
      </c>
      <c r="AO23">
        <v>0</v>
      </c>
      <c r="AP23">
        <v>0</v>
      </c>
      <c r="AQ23">
        <v>0</v>
      </c>
      <c r="AR23">
        <v>0</v>
      </c>
      <c r="AS23">
        <v>0</v>
      </c>
      <c r="AT23">
        <v>0</v>
      </c>
      <c r="AU23">
        <v>0</v>
      </c>
      <c r="AV23">
        <v>605736</v>
      </c>
      <c r="AW23">
        <v>0</v>
      </c>
      <c r="AY23">
        <v>0</v>
      </c>
      <c r="AZ23">
        <v>840990</v>
      </c>
      <c r="BA23">
        <v>0</v>
      </c>
      <c r="BB23">
        <v>0</v>
      </c>
      <c r="BC23">
        <v>0</v>
      </c>
      <c r="BD23">
        <v>0</v>
      </c>
      <c r="BE23">
        <v>301752</v>
      </c>
      <c r="BF23">
        <v>5209990</v>
      </c>
      <c r="BH23">
        <v>0</v>
      </c>
      <c r="BI23">
        <v>0</v>
      </c>
      <c r="BJ23">
        <v>1026853</v>
      </c>
      <c r="BK23">
        <v>0</v>
      </c>
      <c r="BL23">
        <v>0</v>
      </c>
      <c r="BM23">
        <v>0</v>
      </c>
      <c r="BN23">
        <v>270130</v>
      </c>
      <c r="BO23">
        <v>0</v>
      </c>
      <c r="BQ23">
        <v>0</v>
      </c>
      <c r="BS23">
        <v>0</v>
      </c>
      <c r="BT23">
        <v>0</v>
      </c>
      <c r="BV23" s="180">
        <v>0</v>
      </c>
    </row>
    <row r="24" spans="1:74" x14ac:dyDescent="0.3">
      <c r="A24">
        <v>61</v>
      </c>
      <c r="B24" t="s">
        <v>254</v>
      </c>
      <c r="D24">
        <v>97.81</v>
      </c>
      <c r="E24">
        <v>99.84</v>
      </c>
      <c r="H24">
        <v>97.85</v>
      </c>
      <c r="I24">
        <v>95.46</v>
      </c>
      <c r="J24">
        <v>98.03</v>
      </c>
      <c r="K24">
        <v>0</v>
      </c>
      <c r="L24">
        <v>94.14</v>
      </c>
      <c r="M24">
        <v>98.83</v>
      </c>
      <c r="N24">
        <v>92.04</v>
      </c>
      <c r="O24">
        <v>96.5</v>
      </c>
      <c r="Q24">
        <v>99.34</v>
      </c>
      <c r="R24">
        <v>99.29</v>
      </c>
      <c r="S24">
        <v>99.46</v>
      </c>
      <c r="T24">
        <v>99.16</v>
      </c>
      <c r="X24">
        <v>98.49</v>
      </c>
      <c r="Y24">
        <v>97.19</v>
      </c>
      <c r="Z24">
        <v>97.73</v>
      </c>
      <c r="AA24">
        <v>99.87</v>
      </c>
      <c r="AC24">
        <v>94.89</v>
      </c>
      <c r="AD24">
        <v>96.94</v>
      </c>
      <c r="AE24">
        <v>96.76</v>
      </c>
      <c r="AF24">
        <v>99.54</v>
      </c>
      <c r="AG24">
        <v>93.23</v>
      </c>
      <c r="AH24">
        <v>99.21</v>
      </c>
      <c r="AI24">
        <v>93.75</v>
      </c>
      <c r="AJ24">
        <v>99.34</v>
      </c>
      <c r="AK24">
        <v>98.89</v>
      </c>
      <c r="AL24">
        <v>99.27</v>
      </c>
      <c r="AM24">
        <v>99.29</v>
      </c>
      <c r="AN24">
        <v>99.49</v>
      </c>
      <c r="AO24">
        <v>98.64</v>
      </c>
      <c r="AP24">
        <v>98.99</v>
      </c>
      <c r="AQ24">
        <v>97.2</v>
      </c>
      <c r="AR24">
        <v>95.59</v>
      </c>
      <c r="AS24">
        <v>99.18</v>
      </c>
      <c r="AT24">
        <v>98.43</v>
      </c>
      <c r="AU24">
        <v>97.14</v>
      </c>
      <c r="AV24">
        <v>95.87</v>
      </c>
      <c r="AW24">
        <v>89.22</v>
      </c>
      <c r="AY24">
        <v>96.54</v>
      </c>
      <c r="AZ24">
        <v>99.88</v>
      </c>
      <c r="BA24">
        <v>99.61</v>
      </c>
      <c r="BB24">
        <v>95.06</v>
      </c>
      <c r="BC24">
        <v>99.02</v>
      </c>
      <c r="BD24">
        <v>99.46</v>
      </c>
      <c r="BE24">
        <v>97.53</v>
      </c>
      <c r="BF24">
        <v>97.74</v>
      </c>
      <c r="BH24">
        <v>99.07</v>
      </c>
      <c r="BI24">
        <v>99.61</v>
      </c>
      <c r="BJ24">
        <v>99.93</v>
      </c>
      <c r="BK24">
        <v>99</v>
      </c>
      <c r="BL24">
        <v>99.86</v>
      </c>
      <c r="BM24">
        <v>99.94</v>
      </c>
      <c r="BN24">
        <v>99.4</v>
      </c>
      <c r="BO24">
        <v>98.37</v>
      </c>
      <c r="BQ24">
        <v>97.96</v>
      </c>
      <c r="BS24">
        <v>97.13</v>
      </c>
      <c r="BT24">
        <v>96.88</v>
      </c>
      <c r="BV24" s="180">
        <v>98.06</v>
      </c>
    </row>
    <row r="25" spans="1:74" x14ac:dyDescent="0.3">
      <c r="A25">
        <v>80</v>
      </c>
      <c r="B25" t="s">
        <v>209</v>
      </c>
      <c r="D25">
        <v>6834236</v>
      </c>
      <c r="E25">
        <v>462700366</v>
      </c>
      <c r="H25">
        <v>2351</v>
      </c>
      <c r="I25">
        <v>0</v>
      </c>
      <c r="J25">
        <v>0</v>
      </c>
      <c r="K25">
        <v>0</v>
      </c>
      <c r="L25">
        <v>163141</v>
      </c>
      <c r="M25">
        <v>8292145</v>
      </c>
      <c r="N25">
        <v>0</v>
      </c>
      <c r="O25">
        <v>662136</v>
      </c>
      <c r="Q25">
        <v>0</v>
      </c>
      <c r="R25">
        <v>0</v>
      </c>
      <c r="S25">
        <v>1129582</v>
      </c>
      <c r="T25">
        <v>0</v>
      </c>
      <c r="X25">
        <v>4569415</v>
      </c>
      <c r="Y25">
        <v>0</v>
      </c>
      <c r="Z25">
        <v>13453205</v>
      </c>
      <c r="AA25">
        <v>0</v>
      </c>
      <c r="AC25">
        <v>98843</v>
      </c>
      <c r="AD25">
        <v>854104</v>
      </c>
      <c r="AE25">
        <v>545550</v>
      </c>
      <c r="AF25">
        <v>956613</v>
      </c>
      <c r="AG25">
        <v>34871</v>
      </c>
      <c r="AH25">
        <v>0</v>
      </c>
      <c r="AI25">
        <v>0</v>
      </c>
      <c r="AJ25">
        <v>0</v>
      </c>
      <c r="AK25">
        <v>0</v>
      </c>
      <c r="AL25">
        <v>1035600</v>
      </c>
      <c r="AM25">
        <v>1072783</v>
      </c>
      <c r="AN25">
        <v>230771</v>
      </c>
      <c r="AO25">
        <v>43583563</v>
      </c>
      <c r="AP25">
        <v>378284</v>
      </c>
      <c r="AQ25">
        <v>0</v>
      </c>
      <c r="AR25">
        <v>54581</v>
      </c>
      <c r="AS25">
        <v>22136561</v>
      </c>
      <c r="AT25">
        <v>737940</v>
      </c>
      <c r="AU25">
        <v>5210066</v>
      </c>
      <c r="AV25">
        <v>984185</v>
      </c>
      <c r="AW25">
        <v>835581</v>
      </c>
      <c r="AY25">
        <v>15683</v>
      </c>
      <c r="AZ25">
        <v>6049083</v>
      </c>
      <c r="BA25">
        <v>249436</v>
      </c>
      <c r="BB25">
        <v>992014</v>
      </c>
      <c r="BC25">
        <v>649301</v>
      </c>
      <c r="BD25">
        <v>4698326</v>
      </c>
      <c r="BE25">
        <v>629388</v>
      </c>
      <c r="BF25">
        <v>13709959</v>
      </c>
      <c r="BH25">
        <v>0</v>
      </c>
      <c r="BI25">
        <v>956386</v>
      </c>
      <c r="BJ25">
        <v>14336289</v>
      </c>
      <c r="BK25">
        <v>1206002</v>
      </c>
      <c r="BL25">
        <v>17381082</v>
      </c>
      <c r="BM25">
        <v>0</v>
      </c>
      <c r="BN25">
        <v>7145840</v>
      </c>
      <c r="BO25">
        <v>1183639</v>
      </c>
      <c r="BQ25">
        <v>0</v>
      </c>
      <c r="BS25">
        <v>990398</v>
      </c>
      <c r="BT25">
        <v>416346</v>
      </c>
      <c r="BV25" s="180">
        <v>401856</v>
      </c>
    </row>
    <row r="26" spans="1:74" x14ac:dyDescent="0.3">
      <c r="A26">
        <v>81</v>
      </c>
      <c r="B26" t="s">
        <v>210</v>
      </c>
      <c r="D26">
        <v>439744</v>
      </c>
      <c r="E26">
        <v>27154361</v>
      </c>
      <c r="H26">
        <v>1250498</v>
      </c>
      <c r="I26">
        <v>0</v>
      </c>
      <c r="J26">
        <v>0</v>
      </c>
      <c r="K26">
        <v>0</v>
      </c>
      <c r="L26">
        <v>236111</v>
      </c>
      <c r="M26">
        <v>1532053</v>
      </c>
      <c r="N26">
        <v>0</v>
      </c>
      <c r="O26">
        <v>27376</v>
      </c>
      <c r="Q26">
        <v>0</v>
      </c>
      <c r="R26">
        <v>0</v>
      </c>
      <c r="S26">
        <v>227011</v>
      </c>
      <c r="T26">
        <v>0</v>
      </c>
      <c r="X26">
        <v>789149</v>
      </c>
      <c r="Y26">
        <v>0</v>
      </c>
      <c r="Z26">
        <v>3374295</v>
      </c>
      <c r="AA26">
        <v>0</v>
      </c>
      <c r="AC26">
        <v>32310</v>
      </c>
      <c r="AD26">
        <v>78918</v>
      </c>
      <c r="AE26">
        <v>58164</v>
      </c>
      <c r="AF26">
        <v>80103</v>
      </c>
      <c r="AG26">
        <v>105963</v>
      </c>
      <c r="AH26">
        <v>1144418</v>
      </c>
      <c r="AI26">
        <v>0</v>
      </c>
      <c r="AJ26">
        <v>0</v>
      </c>
      <c r="AK26">
        <v>0</v>
      </c>
      <c r="AL26">
        <v>80343</v>
      </c>
      <c r="AM26">
        <v>246335</v>
      </c>
      <c r="AN26">
        <v>25768</v>
      </c>
      <c r="AO26">
        <v>4190059</v>
      </c>
      <c r="AP26">
        <v>127714</v>
      </c>
      <c r="AQ26">
        <v>0</v>
      </c>
      <c r="AR26">
        <v>3371</v>
      </c>
      <c r="AS26">
        <v>6621163</v>
      </c>
      <c r="AT26">
        <v>17045</v>
      </c>
      <c r="AU26">
        <v>136623</v>
      </c>
      <c r="AV26">
        <v>158478</v>
      </c>
      <c r="AW26">
        <v>79953</v>
      </c>
      <c r="AY26">
        <v>0</v>
      </c>
      <c r="AZ26">
        <v>1562255</v>
      </c>
      <c r="BA26">
        <v>23449</v>
      </c>
      <c r="BB26">
        <v>36445</v>
      </c>
      <c r="BC26">
        <v>8244</v>
      </c>
      <c r="BD26">
        <v>473335</v>
      </c>
      <c r="BE26">
        <v>288513</v>
      </c>
      <c r="BF26">
        <v>1872866</v>
      </c>
      <c r="BH26">
        <v>0</v>
      </c>
      <c r="BI26">
        <v>2533</v>
      </c>
      <c r="BJ26">
        <v>1275438</v>
      </c>
      <c r="BK26">
        <v>193805</v>
      </c>
      <c r="BL26">
        <v>1733766</v>
      </c>
      <c r="BM26">
        <v>0</v>
      </c>
      <c r="BN26">
        <v>543688</v>
      </c>
      <c r="BO26">
        <v>119370</v>
      </c>
      <c r="BQ26">
        <v>0</v>
      </c>
      <c r="BS26">
        <v>97241</v>
      </c>
      <c r="BT26">
        <v>152647</v>
      </c>
      <c r="BV26" s="180">
        <v>223558</v>
      </c>
    </row>
    <row r="27" spans="1:74" s="558" customFormat="1" x14ac:dyDescent="0.3">
      <c r="A27">
        <v>82</v>
      </c>
      <c r="B27" t="s">
        <v>307</v>
      </c>
      <c r="C27"/>
      <c r="D27">
        <v>6491754</v>
      </c>
      <c r="E27">
        <v>898015125</v>
      </c>
      <c r="F27"/>
      <c r="G27"/>
      <c r="H27">
        <v>0</v>
      </c>
      <c r="I27">
        <v>0</v>
      </c>
      <c r="J27">
        <v>0</v>
      </c>
      <c r="K27">
        <v>0</v>
      </c>
      <c r="L27">
        <v>3953293</v>
      </c>
      <c r="M27">
        <v>16133521</v>
      </c>
      <c r="N27">
        <v>0</v>
      </c>
      <c r="O27">
        <v>152560</v>
      </c>
      <c r="P27"/>
      <c r="Q27">
        <v>0</v>
      </c>
      <c r="R27">
        <v>0</v>
      </c>
      <c r="S27">
        <v>977855</v>
      </c>
      <c r="T27">
        <v>0</v>
      </c>
      <c r="U27"/>
      <c r="V27"/>
      <c r="W27"/>
      <c r="X27">
        <v>0</v>
      </c>
      <c r="Y27">
        <v>0</v>
      </c>
      <c r="Z27">
        <v>5218439</v>
      </c>
      <c r="AA27">
        <v>0</v>
      </c>
      <c r="AB27"/>
      <c r="AC27">
        <v>783534</v>
      </c>
      <c r="AD27">
        <v>114707</v>
      </c>
      <c r="AE27">
        <v>0</v>
      </c>
      <c r="AF27">
        <v>50000</v>
      </c>
      <c r="AG27">
        <v>570300</v>
      </c>
      <c r="AH27">
        <v>24855748</v>
      </c>
      <c r="AI27">
        <v>0</v>
      </c>
      <c r="AJ27">
        <v>0</v>
      </c>
      <c r="AK27">
        <v>0</v>
      </c>
      <c r="AL27">
        <v>1346556</v>
      </c>
      <c r="AM27">
        <v>1546906</v>
      </c>
      <c r="AN27">
        <v>0</v>
      </c>
      <c r="AO27">
        <v>43145127</v>
      </c>
      <c r="AP27">
        <v>2087855</v>
      </c>
      <c r="AQ27">
        <v>0</v>
      </c>
      <c r="AR27">
        <v>0</v>
      </c>
      <c r="AS27">
        <v>50813218</v>
      </c>
      <c r="AT27">
        <v>1358194</v>
      </c>
      <c r="AU27">
        <v>0</v>
      </c>
      <c r="AV27">
        <v>140000</v>
      </c>
      <c r="AW27">
        <v>85750</v>
      </c>
      <c r="AX27"/>
      <c r="AY27">
        <v>0</v>
      </c>
      <c r="AZ27">
        <v>2300927</v>
      </c>
      <c r="BA27">
        <v>112500</v>
      </c>
      <c r="BB27">
        <v>0</v>
      </c>
      <c r="BC27">
        <v>0</v>
      </c>
      <c r="BD27">
        <v>9275</v>
      </c>
      <c r="BE27">
        <v>2555462</v>
      </c>
      <c r="BF27">
        <v>54330304</v>
      </c>
      <c r="BG27"/>
      <c r="BH27">
        <v>0</v>
      </c>
      <c r="BI27">
        <v>0</v>
      </c>
      <c r="BJ27">
        <v>11804265</v>
      </c>
      <c r="BK27">
        <v>744117</v>
      </c>
      <c r="BL27">
        <v>357500</v>
      </c>
      <c r="BM27">
        <v>0</v>
      </c>
      <c r="BN27">
        <v>581753</v>
      </c>
      <c r="BO27">
        <v>3234320</v>
      </c>
      <c r="BP27"/>
      <c r="BQ27">
        <v>0</v>
      </c>
      <c r="BR27"/>
      <c r="BS27">
        <v>6598277</v>
      </c>
      <c r="BT27">
        <v>670410</v>
      </c>
      <c r="BU27"/>
      <c r="BV27" s="558">
        <v>850473</v>
      </c>
    </row>
    <row r="28" spans="1:74" s="558" customFormat="1" x14ac:dyDescent="0.3">
      <c r="A28">
        <v>83</v>
      </c>
      <c r="B28" t="s">
        <v>94</v>
      </c>
      <c r="C28"/>
      <c r="D28">
        <v>15111567</v>
      </c>
      <c r="E28">
        <v>1616924544</v>
      </c>
      <c r="F28"/>
      <c r="G28"/>
      <c r="H28">
        <v>6637407</v>
      </c>
      <c r="I28">
        <v>0</v>
      </c>
      <c r="J28">
        <v>0</v>
      </c>
      <c r="K28">
        <v>0</v>
      </c>
      <c r="L28">
        <v>16361121</v>
      </c>
      <c r="M28">
        <v>46803900</v>
      </c>
      <c r="N28">
        <v>133712</v>
      </c>
      <c r="O28">
        <v>5170736</v>
      </c>
      <c r="P28"/>
      <c r="Q28">
        <v>0</v>
      </c>
      <c r="R28">
        <v>0</v>
      </c>
      <c r="S28">
        <v>2198827</v>
      </c>
      <c r="T28">
        <v>0</v>
      </c>
      <c r="U28"/>
      <c r="V28"/>
      <c r="W28"/>
      <c r="X28">
        <v>16410933</v>
      </c>
      <c r="Y28">
        <v>0</v>
      </c>
      <c r="Z28">
        <v>83957271</v>
      </c>
      <c r="AA28">
        <v>0</v>
      </c>
      <c r="AB28"/>
      <c r="AC28">
        <v>5767176</v>
      </c>
      <c r="AD28">
        <v>7818582</v>
      </c>
      <c r="AE28">
        <v>3561008</v>
      </c>
      <c r="AF28">
        <v>5547124</v>
      </c>
      <c r="AG28">
        <v>3051370</v>
      </c>
      <c r="AH28">
        <v>17058747</v>
      </c>
      <c r="AI28">
        <v>0</v>
      </c>
      <c r="AJ28">
        <v>0</v>
      </c>
      <c r="AK28">
        <v>0</v>
      </c>
      <c r="AL28">
        <v>2757545</v>
      </c>
      <c r="AM28">
        <v>7932307</v>
      </c>
      <c r="AN28">
        <v>1309554</v>
      </c>
      <c r="AO28">
        <v>138599923</v>
      </c>
      <c r="AP28">
        <v>3241697</v>
      </c>
      <c r="AQ28">
        <v>0</v>
      </c>
      <c r="AR28">
        <v>1037890</v>
      </c>
      <c r="AS28">
        <v>167999992</v>
      </c>
      <c r="AT28">
        <v>4975122</v>
      </c>
      <c r="AU28">
        <v>10648191</v>
      </c>
      <c r="AV28">
        <v>6613572</v>
      </c>
      <c r="AW28">
        <v>8912780</v>
      </c>
      <c r="AX28"/>
      <c r="AY28">
        <v>15683</v>
      </c>
      <c r="AZ28">
        <v>14367669</v>
      </c>
      <c r="BA28">
        <v>2362025</v>
      </c>
      <c r="BB28">
        <v>3343700</v>
      </c>
      <c r="BC28">
        <v>1323115</v>
      </c>
      <c r="BD28">
        <v>13991992</v>
      </c>
      <c r="BE28">
        <v>6798524</v>
      </c>
      <c r="BF28">
        <v>86307239</v>
      </c>
      <c r="BG28"/>
      <c r="BH28">
        <v>0</v>
      </c>
      <c r="BI28">
        <v>2373603</v>
      </c>
      <c r="BJ28">
        <v>31998244</v>
      </c>
      <c r="BK28">
        <v>6319506</v>
      </c>
      <c r="BL28">
        <v>64591992</v>
      </c>
      <c r="BM28">
        <v>0</v>
      </c>
      <c r="BN28">
        <v>25140753</v>
      </c>
      <c r="BO28">
        <v>14203041</v>
      </c>
      <c r="BP28"/>
      <c r="BQ28">
        <v>0</v>
      </c>
      <c r="BR28"/>
      <c r="BS28">
        <v>8640983</v>
      </c>
      <c r="BT28">
        <v>3288363</v>
      </c>
      <c r="BU28"/>
      <c r="BV28" s="558">
        <v>14043065</v>
      </c>
    </row>
    <row r="29" spans="1:74" s="558" customFormat="1" x14ac:dyDescent="0.3">
      <c r="A29">
        <v>84</v>
      </c>
      <c r="B29" t="s">
        <v>218</v>
      </c>
      <c r="C29"/>
      <c r="D29">
        <v>3055293</v>
      </c>
      <c r="E29">
        <v>294722436</v>
      </c>
      <c r="F29"/>
      <c r="G29"/>
      <c r="H29">
        <v>1695152</v>
      </c>
      <c r="I29">
        <v>0</v>
      </c>
      <c r="J29">
        <v>0</v>
      </c>
      <c r="K29">
        <v>0</v>
      </c>
      <c r="L29">
        <v>1464004</v>
      </c>
      <c r="M29">
        <v>9992328</v>
      </c>
      <c r="N29">
        <v>0</v>
      </c>
      <c r="O29">
        <v>316397</v>
      </c>
      <c r="P29"/>
      <c r="Q29">
        <v>0</v>
      </c>
      <c r="R29">
        <v>0</v>
      </c>
      <c r="S29">
        <v>1236572</v>
      </c>
      <c r="T29">
        <v>0</v>
      </c>
      <c r="U29"/>
      <c r="V29"/>
      <c r="W29"/>
      <c r="X29">
        <v>7400761</v>
      </c>
      <c r="Y29">
        <v>0</v>
      </c>
      <c r="Z29">
        <v>26240502</v>
      </c>
      <c r="AA29">
        <v>0</v>
      </c>
      <c r="AB29"/>
      <c r="AC29">
        <v>210151</v>
      </c>
      <c r="AD29">
        <v>934777</v>
      </c>
      <c r="AE29">
        <v>645482</v>
      </c>
      <c r="AF29">
        <v>804544</v>
      </c>
      <c r="AG29">
        <v>461803</v>
      </c>
      <c r="AH29">
        <v>5838000</v>
      </c>
      <c r="AI29">
        <v>0</v>
      </c>
      <c r="AJ29">
        <v>0</v>
      </c>
      <c r="AK29">
        <v>0</v>
      </c>
      <c r="AL29">
        <v>775025</v>
      </c>
      <c r="AM29">
        <v>1320130</v>
      </c>
      <c r="AN29">
        <v>492801</v>
      </c>
      <c r="AO29">
        <v>31663544</v>
      </c>
      <c r="AP29">
        <v>935033</v>
      </c>
      <c r="AQ29">
        <v>0</v>
      </c>
      <c r="AR29">
        <v>46960</v>
      </c>
      <c r="AS29">
        <v>27201102</v>
      </c>
      <c r="AT29">
        <v>282911</v>
      </c>
      <c r="AU29">
        <v>1096632</v>
      </c>
      <c r="AV29">
        <v>1658150</v>
      </c>
      <c r="AW29">
        <v>750825</v>
      </c>
      <c r="AX29"/>
      <c r="AY29">
        <v>0</v>
      </c>
      <c r="AZ29">
        <v>5615669</v>
      </c>
      <c r="BA29">
        <v>305416</v>
      </c>
      <c r="BB29">
        <v>621383</v>
      </c>
      <c r="BC29">
        <v>98483</v>
      </c>
      <c r="BD29">
        <v>4068314</v>
      </c>
      <c r="BE29">
        <v>1713854</v>
      </c>
      <c r="BF29">
        <v>12879402</v>
      </c>
      <c r="BG29"/>
      <c r="BH29">
        <v>0</v>
      </c>
      <c r="BI29">
        <v>182002</v>
      </c>
      <c r="BJ29">
        <v>10571725</v>
      </c>
      <c r="BK29">
        <v>1304989</v>
      </c>
      <c r="BL29">
        <v>10685587</v>
      </c>
      <c r="BM29">
        <v>0</v>
      </c>
      <c r="BN29">
        <v>6608070</v>
      </c>
      <c r="BO29">
        <v>1517570</v>
      </c>
      <c r="BP29"/>
      <c r="BQ29">
        <v>0</v>
      </c>
      <c r="BR29"/>
      <c r="BS29">
        <v>1630423</v>
      </c>
      <c r="BT29">
        <v>1022314</v>
      </c>
      <c r="BU29"/>
      <c r="BV29" s="558">
        <v>2864872</v>
      </c>
    </row>
    <row r="30" spans="1:74" s="558" customFormat="1" ht="13.95" customHeight="1" x14ac:dyDescent="0.3">
      <c r="A30">
        <v>85</v>
      </c>
      <c r="B30" t="s">
        <v>220</v>
      </c>
      <c r="C30"/>
      <c r="D30">
        <v>2823087</v>
      </c>
      <c r="E30">
        <v>186748498</v>
      </c>
      <c r="F30"/>
      <c r="G30"/>
      <c r="H30">
        <v>1822153</v>
      </c>
      <c r="I30">
        <v>0</v>
      </c>
      <c r="J30">
        <v>0</v>
      </c>
      <c r="K30">
        <v>0</v>
      </c>
      <c r="L30">
        <v>1896385</v>
      </c>
      <c r="M30">
        <v>9945834</v>
      </c>
      <c r="N30">
        <v>0</v>
      </c>
      <c r="O30">
        <v>454755</v>
      </c>
      <c r="P30"/>
      <c r="Q30">
        <v>0</v>
      </c>
      <c r="R30">
        <v>0</v>
      </c>
      <c r="S30">
        <v>1034682</v>
      </c>
      <c r="T30">
        <v>0</v>
      </c>
      <c r="U30"/>
      <c r="V30"/>
      <c r="W30"/>
      <c r="X30">
        <v>7505936</v>
      </c>
      <c r="Y30">
        <v>0</v>
      </c>
      <c r="Z30">
        <v>29688890</v>
      </c>
      <c r="AA30">
        <v>0</v>
      </c>
      <c r="AB30"/>
      <c r="AC30">
        <v>289411</v>
      </c>
      <c r="AD30">
        <v>1041932</v>
      </c>
      <c r="AE30">
        <v>638900</v>
      </c>
      <c r="AF30">
        <v>699704</v>
      </c>
      <c r="AG30">
        <v>660235</v>
      </c>
      <c r="AH30">
        <v>6950278</v>
      </c>
      <c r="AI30">
        <v>0</v>
      </c>
      <c r="AJ30">
        <v>0</v>
      </c>
      <c r="AK30">
        <v>0</v>
      </c>
      <c r="AL30">
        <v>766097</v>
      </c>
      <c r="AM30">
        <v>1322478</v>
      </c>
      <c r="AN30">
        <v>730238</v>
      </c>
      <c r="AO30">
        <v>25718166</v>
      </c>
      <c r="AP30">
        <v>1168034</v>
      </c>
      <c r="AQ30">
        <v>0</v>
      </c>
      <c r="AR30">
        <v>91070</v>
      </c>
      <c r="AS30">
        <v>26515033</v>
      </c>
      <c r="AT30">
        <v>378219</v>
      </c>
      <c r="AU30">
        <v>1042446</v>
      </c>
      <c r="AV30">
        <v>1782128</v>
      </c>
      <c r="AW30">
        <v>711588</v>
      </c>
      <c r="AX30"/>
      <c r="AY30">
        <v>0</v>
      </c>
      <c r="AZ30">
        <v>4667390</v>
      </c>
      <c r="BA30">
        <v>310724</v>
      </c>
      <c r="BB30">
        <v>480898</v>
      </c>
      <c r="BC30">
        <v>88741</v>
      </c>
      <c r="BD30">
        <v>3467856</v>
      </c>
      <c r="BE30">
        <v>1757170</v>
      </c>
      <c r="BF30">
        <v>11213922</v>
      </c>
      <c r="BG30"/>
      <c r="BH30">
        <v>0</v>
      </c>
      <c r="BI30">
        <v>164977</v>
      </c>
      <c r="BJ30">
        <v>7169992</v>
      </c>
      <c r="BK30">
        <v>1352417</v>
      </c>
      <c r="BL30">
        <v>9673227</v>
      </c>
      <c r="BM30">
        <v>0</v>
      </c>
      <c r="BN30">
        <v>4123384</v>
      </c>
      <c r="BO30">
        <v>1849394</v>
      </c>
      <c r="BP30"/>
      <c r="BQ30">
        <v>0</v>
      </c>
      <c r="BR30"/>
      <c r="BS30">
        <v>1903142</v>
      </c>
      <c r="BT30">
        <v>1152359</v>
      </c>
      <c r="BU30"/>
      <c r="BV30" s="558">
        <v>3121513</v>
      </c>
    </row>
    <row r="31" spans="1:74" x14ac:dyDescent="0.3">
      <c r="A31">
        <v>88</v>
      </c>
      <c r="B31" t="s">
        <v>217</v>
      </c>
      <c r="D31">
        <v>2950515</v>
      </c>
      <c r="E31">
        <v>287418737</v>
      </c>
      <c r="H31">
        <v>1615385</v>
      </c>
      <c r="I31">
        <v>0</v>
      </c>
      <c r="J31">
        <v>0</v>
      </c>
      <c r="K31">
        <v>0</v>
      </c>
      <c r="L31">
        <v>1460854</v>
      </c>
      <c r="M31">
        <v>9793765</v>
      </c>
      <c r="N31">
        <v>0</v>
      </c>
      <c r="O31">
        <v>307997</v>
      </c>
      <c r="Q31">
        <v>0</v>
      </c>
      <c r="R31">
        <v>0</v>
      </c>
      <c r="S31">
        <v>1207078</v>
      </c>
      <c r="T31">
        <v>0</v>
      </c>
      <c r="X31">
        <v>7277587</v>
      </c>
      <c r="Y31">
        <v>0</v>
      </c>
      <c r="Z31">
        <v>24897903</v>
      </c>
      <c r="AA31">
        <v>0</v>
      </c>
      <c r="AC31">
        <v>203796</v>
      </c>
      <c r="AD31">
        <v>921417</v>
      </c>
      <c r="AE31">
        <v>607627</v>
      </c>
      <c r="AF31">
        <v>756547</v>
      </c>
      <c r="AG31">
        <v>461803</v>
      </c>
      <c r="AH31">
        <v>5481274</v>
      </c>
      <c r="AI31">
        <v>0</v>
      </c>
      <c r="AJ31">
        <v>0</v>
      </c>
      <c r="AK31">
        <v>0</v>
      </c>
      <c r="AL31">
        <v>729716</v>
      </c>
      <c r="AM31">
        <v>1320130</v>
      </c>
      <c r="AN31">
        <v>389772</v>
      </c>
      <c r="AO31">
        <v>29152769</v>
      </c>
      <c r="AP31">
        <v>872477</v>
      </c>
      <c r="AQ31">
        <v>0</v>
      </c>
      <c r="AR31">
        <v>46960</v>
      </c>
      <c r="AS31">
        <v>25177006</v>
      </c>
      <c r="AT31">
        <v>274722</v>
      </c>
      <c r="AU31">
        <v>1066365</v>
      </c>
      <c r="AV31">
        <v>1637501</v>
      </c>
      <c r="AW31">
        <v>743845</v>
      </c>
      <c r="AY31">
        <v>0</v>
      </c>
      <c r="AZ31">
        <v>5145766</v>
      </c>
      <c r="BA31">
        <v>297131</v>
      </c>
      <c r="BB31">
        <v>621194</v>
      </c>
      <c r="BC31">
        <v>98483</v>
      </c>
      <c r="BD31">
        <v>2854326</v>
      </c>
      <c r="BE31">
        <v>1713854</v>
      </c>
      <c r="BF31">
        <v>12316405</v>
      </c>
      <c r="BH31">
        <v>0</v>
      </c>
      <c r="BI31">
        <v>175354</v>
      </c>
      <c r="BJ31">
        <v>10348719</v>
      </c>
      <c r="BK31">
        <v>1302804</v>
      </c>
      <c r="BL31">
        <v>10685587</v>
      </c>
      <c r="BM31">
        <v>0</v>
      </c>
      <c r="BN31">
        <v>6591000</v>
      </c>
      <c r="BO31">
        <v>1377214</v>
      </c>
      <c r="BQ31">
        <v>0</v>
      </c>
      <c r="BS31">
        <v>1580997</v>
      </c>
      <c r="BT31">
        <v>775992</v>
      </c>
      <c r="BV31" s="180">
        <v>2774841</v>
      </c>
    </row>
    <row r="32" spans="1:74" x14ac:dyDescent="0.3">
      <c r="A32">
        <v>89</v>
      </c>
      <c r="B32" t="s">
        <v>221</v>
      </c>
      <c r="D32">
        <v>187210</v>
      </c>
      <c r="E32">
        <v>26847932</v>
      </c>
      <c r="H32">
        <v>0</v>
      </c>
      <c r="I32">
        <v>0</v>
      </c>
      <c r="J32">
        <v>0</v>
      </c>
      <c r="K32">
        <v>0</v>
      </c>
      <c r="L32">
        <v>99952</v>
      </c>
      <c r="M32">
        <v>259070</v>
      </c>
      <c r="N32">
        <v>0</v>
      </c>
      <c r="O32">
        <v>807</v>
      </c>
      <c r="Q32">
        <v>0</v>
      </c>
      <c r="R32">
        <v>0</v>
      </c>
      <c r="S32">
        <v>30693</v>
      </c>
      <c r="T32">
        <v>0</v>
      </c>
      <c r="X32">
        <v>0</v>
      </c>
      <c r="Y32">
        <v>0</v>
      </c>
      <c r="Z32">
        <v>96098</v>
      </c>
      <c r="AA32">
        <v>0</v>
      </c>
      <c r="AC32">
        <v>0</v>
      </c>
      <c r="AD32">
        <v>0</v>
      </c>
      <c r="AE32">
        <v>0</v>
      </c>
      <c r="AF32">
        <v>0</v>
      </c>
      <c r="AG32">
        <v>27229</v>
      </c>
      <c r="AH32">
        <v>382470</v>
      </c>
      <c r="AI32">
        <v>0</v>
      </c>
      <c r="AJ32">
        <v>0</v>
      </c>
      <c r="AK32">
        <v>0</v>
      </c>
      <c r="AL32">
        <v>59436</v>
      </c>
      <c r="AM32">
        <v>37585</v>
      </c>
      <c r="AN32">
        <v>0</v>
      </c>
      <c r="AO32">
        <v>1538077</v>
      </c>
      <c r="AP32">
        <v>51217</v>
      </c>
      <c r="AQ32">
        <v>0</v>
      </c>
      <c r="AR32">
        <v>0</v>
      </c>
      <c r="AS32">
        <v>1814879</v>
      </c>
      <c r="AT32">
        <v>0</v>
      </c>
      <c r="AU32">
        <v>6005</v>
      </c>
      <c r="AV32">
        <v>7372</v>
      </c>
      <c r="AW32">
        <v>6547</v>
      </c>
      <c r="AY32">
        <v>0</v>
      </c>
      <c r="AZ32">
        <v>58465</v>
      </c>
      <c r="BA32">
        <v>1359</v>
      </c>
      <c r="BB32">
        <v>0</v>
      </c>
      <c r="BC32">
        <v>0</v>
      </c>
      <c r="BD32">
        <v>157</v>
      </c>
      <c r="BE32">
        <v>61659</v>
      </c>
      <c r="BF32">
        <v>724400</v>
      </c>
      <c r="BH32">
        <v>0</v>
      </c>
      <c r="BI32">
        <v>0</v>
      </c>
      <c r="BJ32">
        <v>90944</v>
      </c>
      <c r="BK32">
        <v>280</v>
      </c>
      <c r="BL32">
        <v>8926</v>
      </c>
      <c r="BM32">
        <v>0</v>
      </c>
      <c r="BN32">
        <v>127644</v>
      </c>
      <c r="BO32">
        <v>40548</v>
      </c>
      <c r="BQ32">
        <v>0</v>
      </c>
      <c r="BS32">
        <v>5141</v>
      </c>
      <c r="BT32">
        <v>11547</v>
      </c>
      <c r="BV32" s="180">
        <v>7272</v>
      </c>
    </row>
    <row r="33" spans="1:74" x14ac:dyDescent="0.3">
      <c r="A33">
        <v>90</v>
      </c>
      <c r="B33" t="s">
        <v>214</v>
      </c>
      <c r="D33">
        <v>0</v>
      </c>
      <c r="E33">
        <v>0</v>
      </c>
      <c r="H33">
        <v>0</v>
      </c>
      <c r="I33">
        <v>0</v>
      </c>
      <c r="J33">
        <v>0</v>
      </c>
      <c r="K33">
        <v>0</v>
      </c>
      <c r="L33">
        <v>610601</v>
      </c>
      <c r="M33">
        <v>0</v>
      </c>
      <c r="N33">
        <v>0</v>
      </c>
      <c r="O33">
        <v>0</v>
      </c>
      <c r="Q33">
        <v>0</v>
      </c>
      <c r="R33">
        <v>0</v>
      </c>
      <c r="S33">
        <v>0</v>
      </c>
      <c r="T33">
        <v>0</v>
      </c>
      <c r="X33">
        <v>0</v>
      </c>
      <c r="Y33">
        <v>0</v>
      </c>
      <c r="Z33">
        <v>30843641</v>
      </c>
      <c r="AA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2321156</v>
      </c>
      <c r="AW33">
        <v>0</v>
      </c>
      <c r="AY33">
        <v>0</v>
      </c>
      <c r="AZ33">
        <v>3241678</v>
      </c>
      <c r="BA33">
        <v>0</v>
      </c>
      <c r="BB33">
        <v>0</v>
      </c>
      <c r="BC33">
        <v>0</v>
      </c>
      <c r="BD33">
        <v>0</v>
      </c>
      <c r="BE33">
        <v>2452051</v>
      </c>
      <c r="BF33">
        <v>10428233</v>
      </c>
      <c r="BH33">
        <v>0</v>
      </c>
      <c r="BI33">
        <v>0</v>
      </c>
      <c r="BJ33">
        <v>11186266</v>
      </c>
      <c r="BK33">
        <v>0</v>
      </c>
      <c r="BL33">
        <v>0</v>
      </c>
      <c r="BM33">
        <v>0</v>
      </c>
      <c r="BN33">
        <v>6250697</v>
      </c>
      <c r="BO33">
        <v>0</v>
      </c>
      <c r="BQ33">
        <v>0</v>
      </c>
      <c r="BS33">
        <v>0</v>
      </c>
      <c r="BT33">
        <v>0</v>
      </c>
      <c r="BV33" s="180">
        <v>0</v>
      </c>
    </row>
    <row r="34" spans="1:74" x14ac:dyDescent="0.3">
      <c r="A34">
        <v>91</v>
      </c>
      <c r="B34" t="s">
        <v>215</v>
      </c>
      <c r="D34">
        <v>0</v>
      </c>
      <c r="E34">
        <v>0</v>
      </c>
      <c r="H34">
        <v>0</v>
      </c>
      <c r="I34">
        <v>0</v>
      </c>
      <c r="J34">
        <v>0</v>
      </c>
      <c r="K34">
        <v>0</v>
      </c>
      <c r="L34">
        <v>523650</v>
      </c>
      <c r="M34">
        <v>0</v>
      </c>
      <c r="N34">
        <v>0</v>
      </c>
      <c r="O34">
        <v>0</v>
      </c>
      <c r="Q34">
        <v>0</v>
      </c>
      <c r="R34">
        <v>0</v>
      </c>
      <c r="S34">
        <v>0</v>
      </c>
      <c r="T34">
        <v>0</v>
      </c>
      <c r="X34">
        <v>0</v>
      </c>
      <c r="Y34">
        <v>0</v>
      </c>
      <c r="Z34">
        <v>8429590</v>
      </c>
      <c r="AA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208595</v>
      </c>
      <c r="AW34">
        <v>0</v>
      </c>
      <c r="AY34">
        <v>0</v>
      </c>
      <c r="AZ34">
        <v>829909</v>
      </c>
      <c r="BA34">
        <v>0</v>
      </c>
      <c r="BB34">
        <v>0</v>
      </c>
      <c r="BC34">
        <v>0</v>
      </c>
      <c r="BD34">
        <v>0</v>
      </c>
      <c r="BE34">
        <v>395373</v>
      </c>
      <c r="BF34">
        <v>2714444</v>
      </c>
      <c r="BH34">
        <v>0</v>
      </c>
      <c r="BI34">
        <v>0</v>
      </c>
      <c r="BJ34">
        <v>1612946</v>
      </c>
      <c r="BK34">
        <v>0</v>
      </c>
      <c r="BL34">
        <v>0</v>
      </c>
      <c r="BM34">
        <v>0</v>
      </c>
      <c r="BN34">
        <v>395184</v>
      </c>
      <c r="BO34">
        <v>0</v>
      </c>
      <c r="BQ34">
        <v>0</v>
      </c>
      <c r="BS34">
        <v>0</v>
      </c>
      <c r="BT34">
        <v>0</v>
      </c>
      <c r="BV34" s="180">
        <v>0</v>
      </c>
    </row>
    <row r="35" spans="1:74" x14ac:dyDescent="0.3">
      <c r="A35">
        <v>93</v>
      </c>
      <c r="B35" t="s">
        <v>228</v>
      </c>
      <c r="D35">
        <v>0</v>
      </c>
      <c r="E35">
        <v>0</v>
      </c>
      <c r="H35">
        <v>0</v>
      </c>
      <c r="I35">
        <v>0</v>
      </c>
      <c r="J35">
        <v>0</v>
      </c>
      <c r="K35">
        <v>0</v>
      </c>
      <c r="L35">
        <v>4930226</v>
      </c>
      <c r="M35">
        <v>0</v>
      </c>
      <c r="N35">
        <v>0</v>
      </c>
      <c r="O35">
        <v>0</v>
      </c>
      <c r="Q35">
        <v>0</v>
      </c>
      <c r="R35">
        <v>0</v>
      </c>
      <c r="S35">
        <v>0</v>
      </c>
      <c r="T35">
        <v>0</v>
      </c>
      <c r="X35">
        <v>0</v>
      </c>
      <c r="Y35">
        <v>0</v>
      </c>
      <c r="Z35">
        <v>73367681</v>
      </c>
      <c r="AA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3467315</v>
      </c>
      <c r="AW35">
        <v>0</v>
      </c>
      <c r="AY35">
        <v>0</v>
      </c>
      <c r="AZ35">
        <v>7449761</v>
      </c>
      <c r="BA35">
        <v>0</v>
      </c>
      <c r="BB35">
        <v>0</v>
      </c>
      <c r="BC35">
        <v>0</v>
      </c>
      <c r="BD35">
        <v>0</v>
      </c>
      <c r="BE35">
        <v>3010473</v>
      </c>
      <c r="BF35">
        <v>21960518</v>
      </c>
      <c r="BH35">
        <v>0</v>
      </c>
      <c r="BI35">
        <v>0</v>
      </c>
      <c r="BJ35">
        <v>15454971</v>
      </c>
      <c r="BK35">
        <v>0</v>
      </c>
      <c r="BL35">
        <v>0</v>
      </c>
      <c r="BM35">
        <v>0</v>
      </c>
      <c r="BN35">
        <v>7568622</v>
      </c>
      <c r="BO35">
        <v>0</v>
      </c>
      <c r="BQ35">
        <v>0</v>
      </c>
      <c r="BS35">
        <v>0</v>
      </c>
      <c r="BT35">
        <v>0</v>
      </c>
      <c r="BV35" s="180">
        <v>0</v>
      </c>
    </row>
    <row r="36" spans="1:74" x14ac:dyDescent="0.3">
      <c r="A36">
        <v>94</v>
      </c>
      <c r="B36" t="s">
        <v>231</v>
      </c>
      <c r="D36">
        <v>0</v>
      </c>
      <c r="E36">
        <v>0</v>
      </c>
      <c r="H36">
        <v>0</v>
      </c>
      <c r="I36">
        <v>0</v>
      </c>
      <c r="J36">
        <v>0</v>
      </c>
      <c r="K36">
        <v>0</v>
      </c>
      <c r="L36">
        <v>4646312</v>
      </c>
      <c r="M36">
        <v>0</v>
      </c>
      <c r="N36">
        <v>0</v>
      </c>
      <c r="O36">
        <v>0</v>
      </c>
      <c r="Q36">
        <v>0</v>
      </c>
      <c r="R36">
        <v>0</v>
      </c>
      <c r="S36">
        <v>0</v>
      </c>
      <c r="T36">
        <v>0</v>
      </c>
      <c r="X36">
        <v>0</v>
      </c>
      <c r="Y36">
        <v>0</v>
      </c>
      <c r="Z36">
        <v>77807962</v>
      </c>
      <c r="AA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2927669</v>
      </c>
      <c r="AW36">
        <v>0</v>
      </c>
      <c r="AY36">
        <v>0</v>
      </c>
      <c r="AZ36">
        <v>6706058</v>
      </c>
      <c r="BA36">
        <v>0</v>
      </c>
      <c r="BB36">
        <v>0</v>
      </c>
      <c r="BC36">
        <v>0</v>
      </c>
      <c r="BD36">
        <v>0</v>
      </c>
      <c r="BE36">
        <v>2759891</v>
      </c>
      <c r="BF36">
        <v>17769713</v>
      </c>
      <c r="BH36">
        <v>0</v>
      </c>
      <c r="BI36">
        <v>0</v>
      </c>
      <c r="BJ36">
        <v>15121606</v>
      </c>
      <c r="BK36">
        <v>0</v>
      </c>
      <c r="BL36">
        <v>0</v>
      </c>
      <c r="BM36">
        <v>0</v>
      </c>
      <c r="BN36">
        <v>8007857</v>
      </c>
      <c r="BO36">
        <v>0</v>
      </c>
      <c r="BQ36">
        <v>0</v>
      </c>
      <c r="BS36">
        <v>0</v>
      </c>
      <c r="BT36">
        <v>0</v>
      </c>
      <c r="BV36" s="180">
        <v>0</v>
      </c>
    </row>
    <row r="37" spans="1:74" x14ac:dyDescent="0.3">
      <c r="A37">
        <v>97</v>
      </c>
      <c r="B37" t="s">
        <v>227</v>
      </c>
      <c r="D37">
        <v>0</v>
      </c>
      <c r="E37">
        <v>0</v>
      </c>
      <c r="H37">
        <v>0</v>
      </c>
      <c r="I37">
        <v>0</v>
      </c>
      <c r="J37">
        <v>0</v>
      </c>
      <c r="K37">
        <v>0</v>
      </c>
      <c r="L37">
        <v>4918352</v>
      </c>
      <c r="M37">
        <v>0</v>
      </c>
      <c r="N37">
        <v>0</v>
      </c>
      <c r="O37">
        <v>0</v>
      </c>
      <c r="Q37">
        <v>0</v>
      </c>
      <c r="R37">
        <v>0</v>
      </c>
      <c r="S37">
        <v>0</v>
      </c>
      <c r="T37">
        <v>0</v>
      </c>
      <c r="X37">
        <v>0</v>
      </c>
      <c r="Y37">
        <v>0</v>
      </c>
      <c r="Z37">
        <v>72871475</v>
      </c>
      <c r="AA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3455499</v>
      </c>
      <c r="AW37">
        <v>0</v>
      </c>
      <c r="AY37">
        <v>0</v>
      </c>
      <c r="AZ37">
        <v>7413510</v>
      </c>
      <c r="BA37">
        <v>0</v>
      </c>
      <c r="BB37">
        <v>0</v>
      </c>
      <c r="BC37">
        <v>0</v>
      </c>
      <c r="BD37">
        <v>0</v>
      </c>
      <c r="BE37">
        <v>3010473</v>
      </c>
      <c r="BF37">
        <v>21516139</v>
      </c>
      <c r="BH37">
        <v>0</v>
      </c>
      <c r="BI37">
        <v>0</v>
      </c>
      <c r="BJ37">
        <v>15164957</v>
      </c>
      <c r="BK37">
        <v>0</v>
      </c>
      <c r="BL37">
        <v>0</v>
      </c>
      <c r="BM37">
        <v>0</v>
      </c>
      <c r="BN37">
        <v>7465285</v>
      </c>
      <c r="BO37">
        <v>0</v>
      </c>
      <c r="BQ37">
        <v>0</v>
      </c>
      <c r="BS37">
        <v>0</v>
      </c>
      <c r="BT37">
        <v>0</v>
      </c>
      <c r="BV37" s="180">
        <v>0</v>
      </c>
    </row>
    <row r="38" spans="1:74" x14ac:dyDescent="0.3">
      <c r="A38">
        <v>98</v>
      </c>
      <c r="B38" t="s">
        <v>232</v>
      </c>
      <c r="D38">
        <v>0</v>
      </c>
      <c r="E38">
        <v>0</v>
      </c>
      <c r="H38">
        <v>0</v>
      </c>
      <c r="I38">
        <v>0</v>
      </c>
      <c r="J38">
        <v>0</v>
      </c>
      <c r="K38">
        <v>0</v>
      </c>
      <c r="L38">
        <v>64831</v>
      </c>
      <c r="M38">
        <v>0</v>
      </c>
      <c r="N38">
        <v>0</v>
      </c>
      <c r="O38">
        <v>0</v>
      </c>
      <c r="Q38">
        <v>0</v>
      </c>
      <c r="R38">
        <v>0</v>
      </c>
      <c r="S38">
        <v>0</v>
      </c>
      <c r="T38">
        <v>0</v>
      </c>
      <c r="X38">
        <v>0</v>
      </c>
      <c r="Y38">
        <v>0</v>
      </c>
      <c r="Z38">
        <v>79908</v>
      </c>
      <c r="AA38">
        <v>0</v>
      </c>
      <c r="AC38">
        <v>0</v>
      </c>
      <c r="AD38">
        <v>0</v>
      </c>
      <c r="AE38">
        <v>0</v>
      </c>
      <c r="AF38">
        <v>0</v>
      </c>
      <c r="AG38">
        <v>0</v>
      </c>
      <c r="AH38">
        <v>0</v>
      </c>
      <c r="AI38">
        <v>0</v>
      </c>
      <c r="AJ38">
        <v>0</v>
      </c>
      <c r="AK38">
        <v>0</v>
      </c>
      <c r="AL38">
        <v>0</v>
      </c>
      <c r="AM38">
        <v>0</v>
      </c>
      <c r="AN38">
        <v>0</v>
      </c>
      <c r="AO38">
        <v>0</v>
      </c>
      <c r="AP38">
        <v>0</v>
      </c>
      <c r="AQ38">
        <v>0</v>
      </c>
      <c r="AR38">
        <v>0</v>
      </c>
      <c r="AS38">
        <v>0</v>
      </c>
      <c r="AT38">
        <v>0</v>
      </c>
      <c r="AU38">
        <v>0</v>
      </c>
      <c r="AV38">
        <v>0</v>
      </c>
      <c r="AW38">
        <v>0</v>
      </c>
      <c r="AY38">
        <v>0</v>
      </c>
      <c r="AZ38">
        <v>861</v>
      </c>
      <c r="BA38">
        <v>0</v>
      </c>
      <c r="BB38">
        <v>0</v>
      </c>
      <c r="BC38">
        <v>0</v>
      </c>
      <c r="BD38">
        <v>0</v>
      </c>
      <c r="BE38">
        <v>5505</v>
      </c>
      <c r="BF38">
        <v>46105</v>
      </c>
      <c r="BH38">
        <v>0</v>
      </c>
      <c r="BI38">
        <v>0</v>
      </c>
      <c r="BJ38">
        <v>46296</v>
      </c>
      <c r="BK38">
        <v>0</v>
      </c>
      <c r="BL38">
        <v>0</v>
      </c>
      <c r="BM38">
        <v>0</v>
      </c>
      <c r="BN38">
        <v>0</v>
      </c>
      <c r="BO38">
        <v>0</v>
      </c>
      <c r="BQ38">
        <v>0</v>
      </c>
      <c r="BS38">
        <v>0</v>
      </c>
      <c r="BT38">
        <v>0</v>
      </c>
      <c r="BV38" s="180">
        <v>0</v>
      </c>
    </row>
    <row r="39" spans="1:74" x14ac:dyDescent="0.3">
      <c r="A39">
        <v>99</v>
      </c>
      <c r="B39" t="s">
        <v>229</v>
      </c>
      <c r="D39">
        <v>0</v>
      </c>
      <c r="E39">
        <v>0</v>
      </c>
      <c r="H39">
        <v>0</v>
      </c>
      <c r="I39">
        <v>0</v>
      </c>
      <c r="J39">
        <v>0</v>
      </c>
      <c r="K39">
        <v>0</v>
      </c>
      <c r="L39">
        <v>3074005</v>
      </c>
      <c r="M39">
        <v>0</v>
      </c>
      <c r="N39">
        <v>0</v>
      </c>
      <c r="O39">
        <v>0</v>
      </c>
      <c r="Q39">
        <v>0</v>
      </c>
      <c r="R39">
        <v>0</v>
      </c>
      <c r="S39">
        <v>0</v>
      </c>
      <c r="T39">
        <v>0</v>
      </c>
      <c r="X39">
        <v>0</v>
      </c>
      <c r="Y39">
        <v>0</v>
      </c>
      <c r="Z39">
        <v>51099920</v>
      </c>
      <c r="AA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2237097</v>
      </c>
      <c r="AW39">
        <v>0</v>
      </c>
      <c r="AY39">
        <v>0</v>
      </c>
      <c r="AZ39">
        <v>5513224</v>
      </c>
      <c r="BA39">
        <v>0</v>
      </c>
      <c r="BB39">
        <v>0</v>
      </c>
      <c r="BC39">
        <v>0</v>
      </c>
      <c r="BD39">
        <v>0</v>
      </c>
      <c r="BE39">
        <v>2636395</v>
      </c>
      <c r="BF39">
        <v>12425314</v>
      </c>
      <c r="BH39">
        <v>0</v>
      </c>
      <c r="BI39">
        <v>0</v>
      </c>
      <c r="BJ39">
        <v>11732959</v>
      </c>
      <c r="BK39">
        <v>0</v>
      </c>
      <c r="BL39">
        <v>0</v>
      </c>
      <c r="BM39">
        <v>0</v>
      </c>
      <c r="BN39">
        <v>5198455</v>
      </c>
      <c r="BO39">
        <v>0</v>
      </c>
      <c r="BQ39">
        <v>0</v>
      </c>
      <c r="BS39">
        <v>0</v>
      </c>
      <c r="BT39">
        <v>0</v>
      </c>
      <c r="BV39" s="180">
        <v>0</v>
      </c>
    </row>
    <row r="40" spans="1:74" x14ac:dyDescent="0.3">
      <c r="A40">
        <v>100</v>
      </c>
      <c r="B40" t="s">
        <v>242</v>
      </c>
      <c r="D40">
        <v>0</v>
      </c>
      <c r="E40">
        <v>0</v>
      </c>
      <c r="H40">
        <v>0</v>
      </c>
      <c r="I40">
        <v>0</v>
      </c>
      <c r="J40">
        <v>0</v>
      </c>
      <c r="K40">
        <v>0</v>
      </c>
      <c r="L40">
        <v>78112</v>
      </c>
      <c r="M40">
        <v>0</v>
      </c>
      <c r="N40">
        <v>0</v>
      </c>
      <c r="O40">
        <v>0</v>
      </c>
      <c r="Q40">
        <v>0</v>
      </c>
      <c r="R40">
        <v>0</v>
      </c>
      <c r="S40">
        <v>0</v>
      </c>
      <c r="T40">
        <v>0</v>
      </c>
      <c r="X40">
        <v>0</v>
      </c>
      <c r="Y40">
        <v>0</v>
      </c>
      <c r="Z40">
        <v>1409621</v>
      </c>
      <c r="AA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Y40">
        <v>0</v>
      </c>
      <c r="AZ40">
        <v>28533</v>
      </c>
      <c r="BA40">
        <v>0</v>
      </c>
      <c r="BB40">
        <v>0</v>
      </c>
      <c r="BC40">
        <v>0</v>
      </c>
      <c r="BD40">
        <v>0</v>
      </c>
      <c r="BE40">
        <v>17236</v>
      </c>
      <c r="BF40">
        <v>418345</v>
      </c>
      <c r="BH40">
        <v>0</v>
      </c>
      <c r="BI40">
        <v>0</v>
      </c>
      <c r="BJ40">
        <v>288894</v>
      </c>
      <c r="BK40">
        <v>0</v>
      </c>
      <c r="BL40">
        <v>0</v>
      </c>
      <c r="BM40">
        <v>0</v>
      </c>
      <c r="BN40">
        <v>6629</v>
      </c>
      <c r="BO40">
        <v>0</v>
      </c>
      <c r="BQ40">
        <v>0</v>
      </c>
      <c r="BS40">
        <v>0</v>
      </c>
      <c r="BT40">
        <v>0</v>
      </c>
      <c r="BV40" s="180">
        <v>0</v>
      </c>
    </row>
    <row r="41" spans="1:74" x14ac:dyDescent="0.3">
      <c r="A41">
        <v>101</v>
      </c>
      <c r="B41" t="s">
        <v>241</v>
      </c>
      <c r="D41">
        <v>0</v>
      </c>
      <c r="E41">
        <v>0</v>
      </c>
      <c r="H41">
        <v>0</v>
      </c>
      <c r="I41">
        <v>0</v>
      </c>
      <c r="J41">
        <v>0</v>
      </c>
      <c r="K41">
        <v>0</v>
      </c>
      <c r="L41">
        <v>0</v>
      </c>
      <c r="M41">
        <v>0</v>
      </c>
      <c r="N41">
        <v>0</v>
      </c>
      <c r="O41">
        <v>0</v>
      </c>
      <c r="Q41">
        <v>0</v>
      </c>
      <c r="R41">
        <v>0</v>
      </c>
      <c r="S41">
        <v>0</v>
      </c>
      <c r="T41">
        <v>0</v>
      </c>
      <c r="X41">
        <v>0</v>
      </c>
      <c r="Y41">
        <v>0</v>
      </c>
      <c r="Z41">
        <v>2227572</v>
      </c>
      <c r="AA41">
        <v>0</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Y41">
        <v>0</v>
      </c>
      <c r="AZ41">
        <v>0</v>
      </c>
      <c r="BA41">
        <v>0</v>
      </c>
      <c r="BB41">
        <v>0</v>
      </c>
      <c r="BC41">
        <v>0</v>
      </c>
      <c r="BD41">
        <v>0</v>
      </c>
      <c r="BE41">
        <v>0</v>
      </c>
      <c r="BF41">
        <v>1197744</v>
      </c>
      <c r="BH41">
        <v>0</v>
      </c>
      <c r="BI41">
        <v>0</v>
      </c>
      <c r="BJ41">
        <v>827803</v>
      </c>
      <c r="BK41">
        <v>0</v>
      </c>
      <c r="BL41">
        <v>0</v>
      </c>
      <c r="BM41">
        <v>0</v>
      </c>
      <c r="BN41">
        <v>1221610</v>
      </c>
      <c r="BO41">
        <v>0</v>
      </c>
      <c r="BQ41">
        <v>0</v>
      </c>
      <c r="BS41">
        <v>0</v>
      </c>
      <c r="BT41">
        <v>0</v>
      </c>
      <c r="BV41" s="180">
        <v>0</v>
      </c>
    </row>
    <row r="42" spans="1:74" x14ac:dyDescent="0.3">
      <c r="A42">
        <v>102</v>
      </c>
      <c r="B42" t="s">
        <v>255</v>
      </c>
      <c r="D42">
        <v>97.61</v>
      </c>
      <c r="E42">
        <v>99.82</v>
      </c>
      <c r="H42">
        <v>97.48</v>
      </c>
      <c r="I42">
        <v>94.9</v>
      </c>
      <c r="J42">
        <v>97.67</v>
      </c>
      <c r="K42">
        <v>0</v>
      </c>
      <c r="L42">
        <v>93.36</v>
      </c>
      <c r="M42">
        <v>98.71</v>
      </c>
      <c r="N42">
        <v>90.4</v>
      </c>
      <c r="O42">
        <v>96.04</v>
      </c>
      <c r="Q42">
        <v>99.25</v>
      </c>
      <c r="R42">
        <v>99.21</v>
      </c>
      <c r="S42">
        <v>99.38</v>
      </c>
      <c r="T42">
        <v>99.04</v>
      </c>
      <c r="X42">
        <v>98.31</v>
      </c>
      <c r="Y42">
        <v>96.84</v>
      </c>
      <c r="Z42">
        <v>97.45</v>
      </c>
      <c r="AA42">
        <v>99.86</v>
      </c>
      <c r="AC42">
        <v>94.01</v>
      </c>
      <c r="AD42">
        <v>96.26</v>
      </c>
      <c r="AE42">
        <v>96.46</v>
      </c>
      <c r="AF42">
        <v>99.48</v>
      </c>
      <c r="AG42">
        <v>92.36</v>
      </c>
      <c r="AH42">
        <v>99.09</v>
      </c>
      <c r="AI42">
        <v>92.74</v>
      </c>
      <c r="AJ42">
        <v>99.28</v>
      </c>
      <c r="AK42">
        <v>98.8</v>
      </c>
      <c r="AL42">
        <v>99.19</v>
      </c>
      <c r="AM42">
        <v>99.22</v>
      </c>
      <c r="AN42">
        <v>99.39</v>
      </c>
      <c r="AO42">
        <v>98.46</v>
      </c>
      <c r="AP42">
        <v>98.94</v>
      </c>
      <c r="AQ42">
        <v>96.58</v>
      </c>
      <c r="AR42">
        <v>94.73</v>
      </c>
      <c r="AS42">
        <v>99.25</v>
      </c>
      <c r="AT42">
        <v>98.21</v>
      </c>
      <c r="AU42">
        <v>96.62</v>
      </c>
      <c r="AV42">
        <v>95.29</v>
      </c>
      <c r="AW42">
        <v>87.12</v>
      </c>
      <c r="AY42">
        <v>96.18</v>
      </c>
      <c r="AZ42">
        <v>99.87</v>
      </c>
      <c r="BA42">
        <v>99.6</v>
      </c>
      <c r="BB42">
        <v>94.45</v>
      </c>
      <c r="BC42">
        <v>98.96</v>
      </c>
      <c r="BD42">
        <v>99.4</v>
      </c>
      <c r="BE42">
        <v>97.07</v>
      </c>
      <c r="BF42">
        <v>97.58</v>
      </c>
      <c r="BH42">
        <v>98.87</v>
      </c>
      <c r="BI42">
        <v>99.54</v>
      </c>
      <c r="BJ42">
        <v>99.92</v>
      </c>
      <c r="BK42">
        <v>98.8</v>
      </c>
      <c r="BL42">
        <v>99.84</v>
      </c>
      <c r="BM42">
        <v>99.94</v>
      </c>
      <c r="BN42">
        <v>99.37</v>
      </c>
      <c r="BO42">
        <v>98.19</v>
      </c>
      <c r="BQ42">
        <v>97.76</v>
      </c>
      <c r="BS42">
        <v>96.82</v>
      </c>
      <c r="BT42">
        <v>96.46</v>
      </c>
      <c r="BV42" s="180">
        <v>97.91</v>
      </c>
    </row>
    <row r="43" spans="1:74" x14ac:dyDescent="0.3">
      <c r="A43">
        <v>103</v>
      </c>
      <c r="B43" t="s">
        <v>256</v>
      </c>
      <c r="D43">
        <v>100</v>
      </c>
      <c r="E43">
        <v>100</v>
      </c>
      <c r="H43">
        <v>100</v>
      </c>
      <c r="I43">
        <v>100</v>
      </c>
      <c r="J43">
        <v>100</v>
      </c>
      <c r="K43">
        <v>0</v>
      </c>
      <c r="L43">
        <v>100</v>
      </c>
      <c r="M43">
        <v>100</v>
      </c>
      <c r="N43">
        <v>100</v>
      </c>
      <c r="O43">
        <v>100</v>
      </c>
      <c r="Q43">
        <v>100</v>
      </c>
      <c r="R43">
        <v>100</v>
      </c>
      <c r="S43">
        <v>100</v>
      </c>
      <c r="T43">
        <v>100</v>
      </c>
      <c r="X43">
        <v>100</v>
      </c>
      <c r="Y43">
        <v>100</v>
      </c>
      <c r="Z43">
        <v>99.93</v>
      </c>
      <c r="AA43">
        <v>100</v>
      </c>
      <c r="AC43">
        <v>100</v>
      </c>
      <c r="AD43">
        <v>100</v>
      </c>
      <c r="AE43">
        <v>99.49</v>
      </c>
      <c r="AF43">
        <v>100</v>
      </c>
      <c r="AG43">
        <v>100</v>
      </c>
      <c r="AH43">
        <v>100</v>
      </c>
      <c r="AI43">
        <v>100</v>
      </c>
      <c r="AJ43">
        <v>100</v>
      </c>
      <c r="AK43">
        <v>100</v>
      </c>
      <c r="AL43">
        <v>100</v>
      </c>
      <c r="AM43">
        <v>100</v>
      </c>
      <c r="AN43">
        <v>100</v>
      </c>
      <c r="AO43">
        <v>100</v>
      </c>
      <c r="AP43">
        <v>100</v>
      </c>
      <c r="AQ43">
        <v>100</v>
      </c>
      <c r="AR43">
        <v>100</v>
      </c>
      <c r="AS43">
        <v>98.59</v>
      </c>
      <c r="AT43">
        <v>100</v>
      </c>
      <c r="AU43">
        <v>100</v>
      </c>
      <c r="AV43">
        <v>100</v>
      </c>
      <c r="AW43">
        <v>100</v>
      </c>
      <c r="AY43">
        <v>100</v>
      </c>
      <c r="AZ43">
        <v>100</v>
      </c>
      <c r="BA43">
        <v>100</v>
      </c>
      <c r="BB43">
        <v>100</v>
      </c>
      <c r="BC43">
        <v>100</v>
      </c>
      <c r="BD43">
        <v>100</v>
      </c>
      <c r="BE43">
        <v>100</v>
      </c>
      <c r="BF43">
        <v>100</v>
      </c>
      <c r="BH43">
        <v>100</v>
      </c>
      <c r="BI43">
        <v>100</v>
      </c>
      <c r="BJ43">
        <v>100</v>
      </c>
      <c r="BK43">
        <v>100</v>
      </c>
      <c r="BL43">
        <v>100</v>
      </c>
      <c r="BM43">
        <v>100</v>
      </c>
      <c r="BN43">
        <v>99.88</v>
      </c>
      <c r="BO43">
        <v>100</v>
      </c>
      <c r="BQ43">
        <v>100</v>
      </c>
      <c r="BS43">
        <v>100</v>
      </c>
      <c r="BT43">
        <v>100</v>
      </c>
      <c r="BV43" s="180">
        <v>100</v>
      </c>
    </row>
    <row r="44" spans="1:74" x14ac:dyDescent="0.3">
      <c r="A44">
        <v>171</v>
      </c>
      <c r="B44" t="s">
        <v>208</v>
      </c>
      <c r="D44">
        <v>468405</v>
      </c>
      <c r="E44">
        <v>59544719</v>
      </c>
      <c r="H44">
        <v>56895</v>
      </c>
      <c r="I44">
        <v>0</v>
      </c>
      <c r="J44">
        <v>0</v>
      </c>
      <c r="K44">
        <v>0</v>
      </c>
      <c r="L44">
        <v>187358</v>
      </c>
      <c r="M44">
        <v>612916</v>
      </c>
      <c r="N44">
        <v>0</v>
      </c>
      <c r="O44">
        <v>17567</v>
      </c>
      <c r="Q44">
        <v>0</v>
      </c>
      <c r="R44">
        <v>29926</v>
      </c>
      <c r="S44">
        <v>0</v>
      </c>
      <c r="T44">
        <v>1404800</v>
      </c>
      <c r="X44">
        <v>428055</v>
      </c>
      <c r="Y44">
        <v>58567</v>
      </c>
      <c r="Z44">
        <v>6983097</v>
      </c>
      <c r="AA44">
        <v>727778</v>
      </c>
      <c r="AC44">
        <v>0</v>
      </c>
      <c r="AD44">
        <v>5039</v>
      </c>
      <c r="AE44">
        <v>33030</v>
      </c>
      <c r="AF44">
        <v>15553</v>
      </c>
      <c r="AG44">
        <v>8301</v>
      </c>
      <c r="AH44">
        <v>596491</v>
      </c>
      <c r="AI44">
        <v>0</v>
      </c>
      <c r="AJ44">
        <v>101938</v>
      </c>
      <c r="AK44">
        <v>0</v>
      </c>
      <c r="AL44">
        <v>53114</v>
      </c>
      <c r="AM44">
        <v>252320</v>
      </c>
      <c r="AN44">
        <v>0</v>
      </c>
      <c r="AO44">
        <v>1299377</v>
      </c>
      <c r="AP44">
        <v>34821</v>
      </c>
      <c r="AQ44">
        <v>0</v>
      </c>
      <c r="AR44">
        <v>20652</v>
      </c>
      <c r="AS44">
        <v>1752686</v>
      </c>
      <c r="AT44">
        <v>12304</v>
      </c>
      <c r="AU44">
        <v>0</v>
      </c>
      <c r="AV44">
        <v>0</v>
      </c>
      <c r="AW44">
        <v>26969</v>
      </c>
      <c r="AY44">
        <v>0</v>
      </c>
      <c r="AZ44">
        <v>274017</v>
      </c>
      <c r="BA44">
        <v>133512</v>
      </c>
      <c r="BB44">
        <v>0</v>
      </c>
      <c r="BC44">
        <v>0</v>
      </c>
      <c r="BD44">
        <v>834143</v>
      </c>
      <c r="BE44">
        <v>93972</v>
      </c>
      <c r="BF44">
        <v>2969588</v>
      </c>
      <c r="BH44">
        <v>0</v>
      </c>
      <c r="BI44">
        <v>0</v>
      </c>
      <c r="BJ44">
        <v>449297</v>
      </c>
      <c r="BK44">
        <v>0</v>
      </c>
      <c r="BL44">
        <v>1541117</v>
      </c>
      <c r="BM44">
        <v>1202939</v>
      </c>
      <c r="BN44">
        <v>0</v>
      </c>
      <c r="BO44">
        <v>0</v>
      </c>
      <c r="BQ44">
        <v>161531</v>
      </c>
      <c r="BS44">
        <v>148687</v>
      </c>
      <c r="BT44">
        <v>76092</v>
      </c>
      <c r="BV44" s="180">
        <v>71934</v>
      </c>
    </row>
    <row r="45" spans="1:74" x14ac:dyDescent="0.3">
      <c r="A45">
        <v>191</v>
      </c>
      <c r="B45" t="s">
        <v>224</v>
      </c>
      <c r="D45">
        <v>35</v>
      </c>
      <c r="E45">
        <v>29329338</v>
      </c>
      <c r="H45">
        <v>879286</v>
      </c>
      <c r="I45">
        <v>0</v>
      </c>
      <c r="J45">
        <v>0</v>
      </c>
      <c r="K45">
        <v>0</v>
      </c>
      <c r="L45">
        <v>2028364</v>
      </c>
      <c r="M45">
        <v>131900</v>
      </c>
      <c r="N45">
        <v>0</v>
      </c>
      <c r="O45">
        <v>0</v>
      </c>
      <c r="Q45">
        <v>0</v>
      </c>
      <c r="R45">
        <v>0</v>
      </c>
      <c r="S45">
        <v>538452</v>
      </c>
      <c r="T45">
        <v>0</v>
      </c>
      <c r="X45">
        <v>0</v>
      </c>
      <c r="Y45">
        <v>0</v>
      </c>
      <c r="Z45">
        <v>0</v>
      </c>
      <c r="AA45">
        <v>0</v>
      </c>
      <c r="AC45">
        <v>280098</v>
      </c>
      <c r="AD45">
        <v>0</v>
      </c>
      <c r="AE45">
        <v>649146</v>
      </c>
      <c r="AF45">
        <v>326372</v>
      </c>
      <c r="AG45">
        <v>204554</v>
      </c>
      <c r="AH45">
        <v>0</v>
      </c>
      <c r="AI45">
        <v>0</v>
      </c>
      <c r="AJ45">
        <v>0</v>
      </c>
      <c r="AK45">
        <v>0</v>
      </c>
      <c r="AL45">
        <v>0</v>
      </c>
      <c r="AM45">
        <v>0</v>
      </c>
      <c r="AN45">
        <v>0</v>
      </c>
      <c r="AO45">
        <v>1383929</v>
      </c>
      <c r="AP45">
        <v>0</v>
      </c>
      <c r="AQ45">
        <v>0</v>
      </c>
      <c r="AR45">
        <v>0</v>
      </c>
      <c r="AS45">
        <v>36778789</v>
      </c>
      <c r="AT45">
        <v>99863</v>
      </c>
      <c r="AU45">
        <v>0</v>
      </c>
      <c r="AV45">
        <v>0</v>
      </c>
      <c r="AW45">
        <v>1552125</v>
      </c>
      <c r="AY45">
        <v>0</v>
      </c>
      <c r="AZ45">
        <v>861083</v>
      </c>
      <c r="BA45">
        <v>0</v>
      </c>
      <c r="BB45">
        <v>0</v>
      </c>
      <c r="BC45">
        <v>0</v>
      </c>
      <c r="BD45">
        <v>766315</v>
      </c>
      <c r="BE45">
        <v>21500</v>
      </c>
      <c r="BF45">
        <v>1116725</v>
      </c>
      <c r="BH45">
        <v>0</v>
      </c>
      <c r="BI45">
        <v>0</v>
      </c>
      <c r="BJ45">
        <v>500000</v>
      </c>
      <c r="BK45">
        <v>11304</v>
      </c>
      <c r="BL45">
        <v>1132422</v>
      </c>
      <c r="BM45">
        <v>0</v>
      </c>
      <c r="BN45">
        <v>678669</v>
      </c>
      <c r="BO45">
        <v>361619</v>
      </c>
      <c r="BQ45">
        <v>0</v>
      </c>
      <c r="BS45">
        <v>0</v>
      </c>
      <c r="BT45">
        <v>0</v>
      </c>
      <c r="BV45" s="180">
        <v>6975</v>
      </c>
    </row>
    <row r="46" spans="1:74" x14ac:dyDescent="0.3">
      <c r="A46">
        <v>192</v>
      </c>
      <c r="B46" t="s">
        <v>235</v>
      </c>
      <c r="D46">
        <v>0</v>
      </c>
      <c r="E46">
        <v>0</v>
      </c>
      <c r="H46">
        <v>0</v>
      </c>
      <c r="I46">
        <v>0</v>
      </c>
      <c r="J46">
        <v>0</v>
      </c>
      <c r="K46">
        <v>0</v>
      </c>
      <c r="L46">
        <v>0</v>
      </c>
      <c r="M46">
        <v>0</v>
      </c>
      <c r="N46">
        <v>0</v>
      </c>
      <c r="O46">
        <v>0</v>
      </c>
      <c r="Q46">
        <v>0</v>
      </c>
      <c r="R46">
        <v>0</v>
      </c>
      <c r="S46">
        <v>0</v>
      </c>
      <c r="T46">
        <v>0</v>
      </c>
      <c r="X46">
        <v>0</v>
      </c>
      <c r="Y46">
        <v>0</v>
      </c>
      <c r="Z46">
        <v>0</v>
      </c>
      <c r="AA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Y46">
        <v>0</v>
      </c>
      <c r="AZ46">
        <v>0</v>
      </c>
      <c r="BA46">
        <v>0</v>
      </c>
      <c r="BB46">
        <v>0</v>
      </c>
      <c r="BC46">
        <v>0</v>
      </c>
      <c r="BD46">
        <v>0</v>
      </c>
      <c r="BE46">
        <v>0</v>
      </c>
      <c r="BF46">
        <v>0</v>
      </c>
      <c r="BH46">
        <v>0</v>
      </c>
      <c r="BI46">
        <v>0</v>
      </c>
      <c r="BJ46">
        <v>0</v>
      </c>
      <c r="BK46">
        <v>0</v>
      </c>
      <c r="BL46">
        <v>0</v>
      </c>
      <c r="BM46">
        <v>0</v>
      </c>
      <c r="BN46">
        <v>0</v>
      </c>
      <c r="BO46">
        <v>0</v>
      </c>
      <c r="BQ46">
        <v>0</v>
      </c>
      <c r="BS46">
        <v>0</v>
      </c>
      <c r="BT46">
        <v>0</v>
      </c>
      <c r="BV46" s="180">
        <v>0</v>
      </c>
    </row>
    <row r="47" spans="1:74" x14ac:dyDescent="0.3">
      <c r="A47">
        <v>252</v>
      </c>
      <c r="B47" t="s">
        <v>95</v>
      </c>
      <c r="D47">
        <v>4954050</v>
      </c>
      <c r="E47">
        <v>837522247</v>
      </c>
      <c r="H47">
        <v>3145128</v>
      </c>
      <c r="I47">
        <v>7058</v>
      </c>
      <c r="J47">
        <v>1211436</v>
      </c>
      <c r="K47">
        <v>4032675</v>
      </c>
      <c r="L47">
        <v>2970554</v>
      </c>
      <c r="M47">
        <v>24750486</v>
      </c>
      <c r="N47">
        <v>178545</v>
      </c>
      <c r="O47">
        <v>504243</v>
      </c>
      <c r="Q47">
        <v>763287</v>
      </c>
      <c r="R47">
        <v>1210275</v>
      </c>
      <c r="S47">
        <v>5403510</v>
      </c>
      <c r="T47">
        <v>11902157</v>
      </c>
      <c r="X47">
        <v>20708757</v>
      </c>
      <c r="Y47">
        <v>2017915</v>
      </c>
      <c r="Z47">
        <v>84333700</v>
      </c>
      <c r="AA47">
        <v>52289979</v>
      </c>
      <c r="AC47">
        <v>748223</v>
      </c>
      <c r="AD47">
        <v>957034</v>
      </c>
      <c r="AE47">
        <v>1064401</v>
      </c>
      <c r="AF47">
        <v>653442</v>
      </c>
      <c r="AG47">
        <v>635212</v>
      </c>
      <c r="AH47">
        <v>4577492</v>
      </c>
      <c r="AI47">
        <v>205382</v>
      </c>
      <c r="AJ47">
        <v>4090666</v>
      </c>
      <c r="AK47">
        <v>92516</v>
      </c>
      <c r="AL47">
        <v>1283941</v>
      </c>
      <c r="AM47">
        <v>5113357</v>
      </c>
      <c r="AN47">
        <v>533727</v>
      </c>
      <c r="AO47">
        <v>54703918</v>
      </c>
      <c r="AP47">
        <v>1532848</v>
      </c>
      <c r="AQ47">
        <v>29826</v>
      </c>
      <c r="AR47">
        <v>218291</v>
      </c>
      <c r="AS47">
        <v>53121751</v>
      </c>
      <c r="AT47">
        <v>586941</v>
      </c>
      <c r="AU47">
        <v>3940152</v>
      </c>
      <c r="AV47">
        <v>2843460</v>
      </c>
      <c r="AW47">
        <v>702419</v>
      </c>
      <c r="AY47">
        <v>271993</v>
      </c>
      <c r="AZ47">
        <v>8190235</v>
      </c>
      <c r="BA47">
        <v>2526271</v>
      </c>
      <c r="BB47">
        <v>10753</v>
      </c>
      <c r="BC47">
        <v>0</v>
      </c>
      <c r="BD47">
        <v>16135017</v>
      </c>
      <c r="BE47">
        <v>325646</v>
      </c>
      <c r="BF47">
        <v>60394574</v>
      </c>
      <c r="BH47">
        <v>110669</v>
      </c>
      <c r="BI47">
        <v>270364</v>
      </c>
      <c r="BJ47">
        <v>28777424</v>
      </c>
      <c r="BK47">
        <v>1516556</v>
      </c>
      <c r="BL47">
        <v>42040136</v>
      </c>
      <c r="BM47">
        <v>16801531</v>
      </c>
      <c r="BN47">
        <v>12344814</v>
      </c>
      <c r="BO47">
        <v>2117698</v>
      </c>
      <c r="BQ47">
        <v>5639130</v>
      </c>
      <c r="BS47">
        <v>4556538</v>
      </c>
      <c r="BT47">
        <v>1185035</v>
      </c>
      <c r="BV47" s="180">
        <v>3885001</v>
      </c>
    </row>
    <row r="48" spans="1:74" x14ac:dyDescent="0.3">
      <c r="A48">
        <v>253</v>
      </c>
      <c r="B48" t="s">
        <v>96</v>
      </c>
      <c r="D48">
        <v>1903384</v>
      </c>
      <c r="E48">
        <v>456559625</v>
      </c>
      <c r="H48">
        <v>492423</v>
      </c>
      <c r="I48">
        <v>280</v>
      </c>
      <c r="J48">
        <v>147381</v>
      </c>
      <c r="K48">
        <v>225891</v>
      </c>
      <c r="L48">
        <v>393836</v>
      </c>
      <c r="M48">
        <v>5317626</v>
      </c>
      <c r="N48">
        <v>76168</v>
      </c>
      <c r="O48">
        <v>110774</v>
      </c>
      <c r="Q48">
        <v>157319</v>
      </c>
      <c r="R48">
        <v>353590</v>
      </c>
      <c r="S48">
        <v>174010</v>
      </c>
      <c r="T48">
        <v>1140296</v>
      </c>
      <c r="X48">
        <v>5133584</v>
      </c>
      <c r="Y48">
        <v>494392</v>
      </c>
      <c r="Z48">
        <v>19645472</v>
      </c>
      <c r="AA48">
        <v>1901508</v>
      </c>
      <c r="AC48">
        <v>78721</v>
      </c>
      <c r="AD48">
        <v>533921</v>
      </c>
      <c r="AE48">
        <v>967141</v>
      </c>
      <c r="AF48">
        <v>38520</v>
      </c>
      <c r="AG48">
        <v>279957</v>
      </c>
      <c r="AH48">
        <v>1603996</v>
      </c>
      <c r="AI48">
        <v>81930</v>
      </c>
      <c r="AJ48">
        <v>536840</v>
      </c>
      <c r="AK48">
        <v>34127</v>
      </c>
      <c r="AL48">
        <v>81375</v>
      </c>
      <c r="AM48">
        <v>1865608</v>
      </c>
      <c r="AN48">
        <v>190635</v>
      </c>
      <c r="AO48">
        <v>7123509</v>
      </c>
      <c r="AP48">
        <v>372254</v>
      </c>
      <c r="AQ48">
        <v>54074</v>
      </c>
      <c r="AR48">
        <v>134149</v>
      </c>
      <c r="AS48">
        <v>21656360</v>
      </c>
      <c r="AT48">
        <v>110760</v>
      </c>
      <c r="AU48">
        <v>921162</v>
      </c>
      <c r="AV48">
        <v>717782</v>
      </c>
      <c r="AW48">
        <v>73128</v>
      </c>
      <c r="AY48">
        <v>175080</v>
      </c>
      <c r="AZ48">
        <v>1780948</v>
      </c>
      <c r="BA48">
        <v>141974</v>
      </c>
      <c r="BB48">
        <v>46873</v>
      </c>
      <c r="BC48">
        <v>0</v>
      </c>
      <c r="BD48">
        <v>1086643</v>
      </c>
      <c r="BE48">
        <v>411403</v>
      </c>
      <c r="BF48">
        <v>7950511</v>
      </c>
      <c r="BH48">
        <v>62348</v>
      </c>
      <c r="BI48">
        <v>83769</v>
      </c>
      <c r="BJ48">
        <v>4426344</v>
      </c>
      <c r="BK48">
        <v>260291</v>
      </c>
      <c r="BL48">
        <v>2735025</v>
      </c>
      <c r="BM48">
        <v>5263065</v>
      </c>
      <c r="BN48">
        <v>1545094</v>
      </c>
      <c r="BO48">
        <v>813977</v>
      </c>
      <c r="BQ48">
        <v>1799187</v>
      </c>
      <c r="BS48">
        <v>1104461</v>
      </c>
      <c r="BT48">
        <v>564699</v>
      </c>
      <c r="BV48" s="180">
        <v>114465</v>
      </c>
    </row>
    <row r="49" spans="1:74" x14ac:dyDescent="0.3">
      <c r="A49">
        <v>254</v>
      </c>
      <c r="B49" t="s">
        <v>97</v>
      </c>
      <c r="D49">
        <v>5608599</v>
      </c>
      <c r="E49">
        <v>128029551</v>
      </c>
      <c r="H49">
        <v>2683219</v>
      </c>
      <c r="I49">
        <v>74613</v>
      </c>
      <c r="J49">
        <v>1770817</v>
      </c>
      <c r="K49">
        <v>9024639</v>
      </c>
      <c r="L49">
        <v>-1424288</v>
      </c>
      <c r="M49">
        <v>962946</v>
      </c>
      <c r="N49">
        <v>894635</v>
      </c>
      <c r="O49">
        <v>1478549</v>
      </c>
      <c r="Q49">
        <v>928006</v>
      </c>
      <c r="R49">
        <v>1683227</v>
      </c>
      <c r="S49">
        <v>1949465</v>
      </c>
      <c r="T49">
        <v>-1845274</v>
      </c>
      <c r="X49">
        <v>-1423992</v>
      </c>
      <c r="Y49">
        <v>1895679</v>
      </c>
      <c r="Z49">
        <v>17668446</v>
      </c>
      <c r="AA49">
        <v>22207590</v>
      </c>
      <c r="AC49">
        <v>699402</v>
      </c>
      <c r="AD49">
        <v>310806</v>
      </c>
      <c r="AE49">
        <v>2344912</v>
      </c>
      <c r="AF49">
        <v>543664</v>
      </c>
      <c r="AG49">
        <v>-691537</v>
      </c>
      <c r="AH49">
        <v>-2181946</v>
      </c>
      <c r="AI49">
        <v>448534</v>
      </c>
      <c r="AJ49">
        <v>3438618</v>
      </c>
      <c r="AK49">
        <v>629817</v>
      </c>
      <c r="AL49">
        <v>858660</v>
      </c>
      <c r="AM49">
        <v>222229</v>
      </c>
      <c r="AN49">
        <v>708101</v>
      </c>
      <c r="AO49">
        <v>20805245</v>
      </c>
      <c r="AP49">
        <v>1540900</v>
      </c>
      <c r="AQ49">
        <v>846967</v>
      </c>
      <c r="AR49">
        <v>928795</v>
      </c>
      <c r="AS49">
        <v>-22256406</v>
      </c>
      <c r="AT49">
        <v>376288</v>
      </c>
      <c r="AU49">
        <v>7472381</v>
      </c>
      <c r="AV49">
        <v>527813</v>
      </c>
      <c r="AW49">
        <v>560726</v>
      </c>
      <c r="AY49">
        <v>677992</v>
      </c>
      <c r="AZ49">
        <v>-1119626</v>
      </c>
      <c r="BA49">
        <v>487964</v>
      </c>
      <c r="BB49">
        <v>198071</v>
      </c>
      <c r="BC49">
        <v>0</v>
      </c>
      <c r="BD49">
        <v>6666923</v>
      </c>
      <c r="BE49">
        <v>1163117</v>
      </c>
      <c r="BF49">
        <v>-1810650</v>
      </c>
      <c r="BH49">
        <v>541533</v>
      </c>
      <c r="BI49">
        <v>508868</v>
      </c>
      <c r="BJ49">
        <v>-127324</v>
      </c>
      <c r="BK49">
        <v>1586233</v>
      </c>
      <c r="BL49">
        <v>15347038</v>
      </c>
      <c r="BM49">
        <v>5397085</v>
      </c>
      <c r="BN49">
        <v>1777863</v>
      </c>
      <c r="BO49">
        <v>2339036</v>
      </c>
      <c r="BQ49">
        <v>1585380</v>
      </c>
      <c r="BS49">
        <v>-369587</v>
      </c>
      <c r="BT49">
        <v>1124898</v>
      </c>
      <c r="BV49" s="180">
        <v>3930582</v>
      </c>
    </row>
    <row r="50" spans="1:74" x14ac:dyDescent="0.3">
      <c r="A50">
        <v>255</v>
      </c>
      <c r="B50" t="s">
        <v>188</v>
      </c>
      <c r="D50">
        <v>1400344</v>
      </c>
      <c r="E50">
        <v>154396546</v>
      </c>
      <c r="H50">
        <v>2416699</v>
      </c>
      <c r="I50">
        <v>-2127</v>
      </c>
      <c r="J50">
        <v>320726</v>
      </c>
      <c r="K50">
        <v>957942</v>
      </c>
      <c r="L50">
        <v>-539325</v>
      </c>
      <c r="M50">
        <v>2943562</v>
      </c>
      <c r="N50">
        <v>171168</v>
      </c>
      <c r="O50">
        <v>252822</v>
      </c>
      <c r="Q50">
        <v>139238</v>
      </c>
      <c r="R50">
        <v>918173</v>
      </c>
      <c r="S50">
        <v>1603806</v>
      </c>
      <c r="T50">
        <v>4007564</v>
      </c>
      <c r="X50">
        <v>471463</v>
      </c>
      <c r="Y50">
        <v>487378</v>
      </c>
      <c r="Z50">
        <v>7052664</v>
      </c>
      <c r="AA50">
        <v>18838743</v>
      </c>
      <c r="AC50">
        <v>100113</v>
      </c>
      <c r="AD50">
        <v>169842</v>
      </c>
      <c r="AE50">
        <v>721860</v>
      </c>
      <c r="AF50">
        <v>80154</v>
      </c>
      <c r="AG50">
        <v>-220756</v>
      </c>
      <c r="AH50">
        <v>22618</v>
      </c>
      <c r="AI50">
        <v>33341</v>
      </c>
      <c r="AJ50">
        <v>1481418</v>
      </c>
      <c r="AK50">
        <v>-10009</v>
      </c>
      <c r="AL50">
        <v>127641</v>
      </c>
      <c r="AM50">
        <v>670141</v>
      </c>
      <c r="AN50">
        <v>92218</v>
      </c>
      <c r="AO50">
        <v>10675512</v>
      </c>
      <c r="AP50">
        <v>505194</v>
      </c>
      <c r="AQ50">
        <v>150800</v>
      </c>
      <c r="AR50">
        <v>243063</v>
      </c>
      <c r="AS50">
        <v>32504137</v>
      </c>
      <c r="AT50">
        <v>33988</v>
      </c>
      <c r="AU50">
        <v>1586916</v>
      </c>
      <c r="AV50">
        <v>414651</v>
      </c>
      <c r="AW50">
        <v>364382</v>
      </c>
      <c r="AY50">
        <v>232206</v>
      </c>
      <c r="AZ50">
        <v>1936887</v>
      </c>
      <c r="BA50">
        <v>251778</v>
      </c>
      <c r="BB50">
        <v>22286</v>
      </c>
      <c r="BC50">
        <v>104658</v>
      </c>
      <c r="BD50">
        <v>1348809</v>
      </c>
      <c r="BE50">
        <v>281267</v>
      </c>
      <c r="BF50">
        <v>7314335</v>
      </c>
      <c r="BH50">
        <v>231105</v>
      </c>
      <c r="BI50">
        <v>46534</v>
      </c>
      <c r="BJ50">
        <v>4456013</v>
      </c>
      <c r="BK50">
        <v>219081</v>
      </c>
      <c r="BL50">
        <v>9015782</v>
      </c>
      <c r="BM50">
        <v>8176878</v>
      </c>
      <c r="BN50">
        <v>1238410</v>
      </c>
      <c r="BO50">
        <v>358108</v>
      </c>
      <c r="BQ50">
        <v>1029644</v>
      </c>
      <c r="BS50">
        <v>718367</v>
      </c>
      <c r="BT50">
        <v>241176</v>
      </c>
      <c r="BV50" s="180">
        <v>581620</v>
      </c>
    </row>
    <row r="51" spans="1:74" x14ac:dyDescent="0.3">
      <c r="A51">
        <v>327</v>
      </c>
      <c r="B51" t="s">
        <v>881</v>
      </c>
      <c r="D51">
        <v>147075</v>
      </c>
      <c r="E51">
        <v>48113391</v>
      </c>
      <c r="H51">
        <v>170615</v>
      </c>
      <c r="I51">
        <v>0</v>
      </c>
      <c r="J51">
        <v>0</v>
      </c>
      <c r="K51">
        <v>0</v>
      </c>
      <c r="L51">
        <v>120034</v>
      </c>
      <c r="M51">
        <v>1291926</v>
      </c>
      <c r="N51">
        <v>0</v>
      </c>
      <c r="O51">
        <v>0</v>
      </c>
      <c r="Q51">
        <v>0</v>
      </c>
      <c r="R51">
        <v>0</v>
      </c>
      <c r="S51">
        <v>183357</v>
      </c>
      <c r="T51">
        <v>0</v>
      </c>
      <c r="X51">
        <v>566447</v>
      </c>
      <c r="Y51">
        <v>0</v>
      </c>
      <c r="Z51">
        <v>1955212</v>
      </c>
      <c r="AA51">
        <v>0</v>
      </c>
      <c r="AC51">
        <v>43900</v>
      </c>
      <c r="AD51">
        <v>73285</v>
      </c>
      <c r="AE51">
        <v>51151</v>
      </c>
      <c r="AF51">
        <v>43823</v>
      </c>
      <c r="AG51">
        <v>10300</v>
      </c>
      <c r="AH51">
        <v>860226</v>
      </c>
      <c r="AI51">
        <v>0</v>
      </c>
      <c r="AJ51">
        <v>0</v>
      </c>
      <c r="AK51">
        <v>0</v>
      </c>
      <c r="AL51">
        <v>1699</v>
      </c>
      <c r="AM51">
        <v>18750</v>
      </c>
      <c r="AN51">
        <v>25256</v>
      </c>
      <c r="AO51">
        <v>2278119</v>
      </c>
      <c r="AP51">
        <v>0</v>
      </c>
      <c r="AQ51">
        <v>0</v>
      </c>
      <c r="AR51">
        <v>0</v>
      </c>
      <c r="AS51">
        <v>2774715</v>
      </c>
      <c r="AT51">
        <v>31576</v>
      </c>
      <c r="AU51">
        <v>5436</v>
      </c>
      <c r="AV51">
        <v>10500</v>
      </c>
      <c r="AW51">
        <v>295698</v>
      </c>
      <c r="AY51">
        <v>0</v>
      </c>
      <c r="AZ51">
        <v>182438</v>
      </c>
      <c r="BA51">
        <v>7224</v>
      </c>
      <c r="BB51">
        <v>0</v>
      </c>
      <c r="BC51">
        <v>50</v>
      </c>
      <c r="BD51">
        <v>131269</v>
      </c>
      <c r="BE51">
        <v>55000</v>
      </c>
      <c r="BF51">
        <v>440622</v>
      </c>
      <c r="BH51">
        <v>0</v>
      </c>
      <c r="BI51">
        <v>55734</v>
      </c>
      <c r="BJ51">
        <v>10000</v>
      </c>
      <c r="BK51">
        <v>31794</v>
      </c>
      <c r="BL51">
        <v>4161598</v>
      </c>
      <c r="BM51">
        <v>0</v>
      </c>
      <c r="BN51">
        <v>2827985</v>
      </c>
      <c r="BO51">
        <v>218471</v>
      </c>
      <c r="BQ51">
        <v>0</v>
      </c>
      <c r="BS51">
        <v>38920</v>
      </c>
      <c r="BT51">
        <v>0</v>
      </c>
      <c r="BV51" s="180">
        <v>48845</v>
      </c>
    </row>
    <row r="52" spans="1:74" x14ac:dyDescent="0.3">
      <c r="A52">
        <v>328</v>
      </c>
      <c r="B52" t="s">
        <v>304</v>
      </c>
      <c r="D52">
        <v>6236854</v>
      </c>
      <c r="E52">
        <v>549278268</v>
      </c>
      <c r="H52">
        <v>1032956</v>
      </c>
      <c r="I52">
        <v>0</v>
      </c>
      <c r="J52">
        <v>0</v>
      </c>
      <c r="K52">
        <v>0</v>
      </c>
      <c r="L52">
        <v>13736416</v>
      </c>
      <c r="M52">
        <v>3676421</v>
      </c>
      <c r="N52">
        <v>133712</v>
      </c>
      <c r="O52">
        <v>0</v>
      </c>
      <c r="Q52">
        <v>0</v>
      </c>
      <c r="R52">
        <v>0</v>
      </c>
      <c r="S52">
        <v>994954</v>
      </c>
      <c r="T52">
        <v>0</v>
      </c>
      <c r="X52">
        <v>501393</v>
      </c>
      <c r="Y52">
        <v>0</v>
      </c>
      <c r="Z52">
        <v>100599</v>
      </c>
      <c r="AA52">
        <v>0</v>
      </c>
      <c r="AC52">
        <v>4380276</v>
      </c>
      <c r="AD52">
        <v>0</v>
      </c>
      <c r="AE52">
        <v>934928</v>
      </c>
      <c r="AF52">
        <v>0</v>
      </c>
      <c r="AG52">
        <v>265766</v>
      </c>
      <c r="AH52">
        <v>20902543</v>
      </c>
      <c r="AI52">
        <v>0</v>
      </c>
      <c r="AJ52">
        <v>0</v>
      </c>
      <c r="AK52">
        <v>0</v>
      </c>
      <c r="AL52">
        <v>0</v>
      </c>
      <c r="AM52">
        <v>0</v>
      </c>
      <c r="AN52">
        <v>0</v>
      </c>
      <c r="AO52">
        <v>1432371</v>
      </c>
      <c r="AP52">
        <v>0</v>
      </c>
      <c r="AQ52">
        <v>0</v>
      </c>
      <c r="AR52">
        <v>0</v>
      </c>
      <c r="AS52">
        <v>32662526</v>
      </c>
      <c r="AT52">
        <v>180130</v>
      </c>
      <c r="AU52">
        <v>0</v>
      </c>
      <c r="AV52">
        <v>0</v>
      </c>
      <c r="AW52">
        <v>1798441</v>
      </c>
      <c r="AY52">
        <v>0</v>
      </c>
      <c r="AZ52">
        <v>1277683</v>
      </c>
      <c r="BA52">
        <v>0</v>
      </c>
      <c r="BB52">
        <v>0</v>
      </c>
      <c r="BC52">
        <v>0</v>
      </c>
      <c r="BD52">
        <v>915229</v>
      </c>
      <c r="BE52">
        <v>0</v>
      </c>
      <c r="BF52">
        <v>2833034</v>
      </c>
      <c r="BH52">
        <v>0</v>
      </c>
      <c r="BI52">
        <v>0</v>
      </c>
      <c r="BJ52">
        <v>2392058</v>
      </c>
      <c r="BK52">
        <v>15923</v>
      </c>
      <c r="BL52">
        <v>5093143</v>
      </c>
      <c r="BM52">
        <v>0</v>
      </c>
      <c r="BN52">
        <v>129390</v>
      </c>
      <c r="BO52">
        <v>932779</v>
      </c>
      <c r="BQ52">
        <v>0</v>
      </c>
      <c r="BS52">
        <v>223057</v>
      </c>
      <c r="BT52">
        <v>21218</v>
      </c>
      <c r="BV52" s="180">
        <v>64350</v>
      </c>
    </row>
    <row r="53" spans="1:74" x14ac:dyDescent="0.3">
      <c r="A53">
        <v>331</v>
      </c>
      <c r="B53" t="s">
        <v>238</v>
      </c>
      <c r="D53">
        <v>599931</v>
      </c>
      <c r="E53">
        <v>36030622</v>
      </c>
      <c r="H53">
        <v>0</v>
      </c>
      <c r="I53">
        <v>0</v>
      </c>
      <c r="J53">
        <v>0</v>
      </c>
      <c r="K53">
        <v>0</v>
      </c>
      <c r="L53">
        <v>122196</v>
      </c>
      <c r="M53">
        <v>1334627</v>
      </c>
      <c r="N53">
        <v>0</v>
      </c>
      <c r="O53">
        <v>19728</v>
      </c>
      <c r="Q53">
        <v>0</v>
      </c>
      <c r="R53">
        <v>0</v>
      </c>
      <c r="S53">
        <v>250714</v>
      </c>
      <c r="T53">
        <v>0</v>
      </c>
      <c r="X53">
        <v>0</v>
      </c>
      <c r="Y53">
        <v>0</v>
      </c>
      <c r="Z53">
        <v>1179890</v>
      </c>
      <c r="AA53">
        <v>0</v>
      </c>
      <c r="AC53">
        <v>48971</v>
      </c>
      <c r="AD53">
        <v>12745</v>
      </c>
      <c r="AE53">
        <v>0</v>
      </c>
      <c r="AF53">
        <v>50000</v>
      </c>
      <c r="AG53">
        <v>28800</v>
      </c>
      <c r="AH53">
        <v>925355</v>
      </c>
      <c r="AI53">
        <v>0</v>
      </c>
      <c r="AJ53">
        <v>0</v>
      </c>
      <c r="AK53">
        <v>0</v>
      </c>
      <c r="AL53">
        <v>54954</v>
      </c>
      <c r="AM53">
        <v>141683</v>
      </c>
      <c r="AN53">
        <v>0</v>
      </c>
      <c r="AO53">
        <v>3324627</v>
      </c>
      <c r="AP53">
        <v>57496</v>
      </c>
      <c r="AQ53">
        <v>0</v>
      </c>
      <c r="AR53">
        <v>0</v>
      </c>
      <c r="AS53">
        <v>2758895</v>
      </c>
      <c r="AT53">
        <v>60327</v>
      </c>
      <c r="AU53">
        <v>91679</v>
      </c>
      <c r="AV53">
        <v>43000</v>
      </c>
      <c r="AW53">
        <v>19000</v>
      </c>
      <c r="AY53">
        <v>0</v>
      </c>
      <c r="AZ53">
        <v>139815</v>
      </c>
      <c r="BA53">
        <v>30112</v>
      </c>
      <c r="BB53">
        <v>0</v>
      </c>
      <c r="BC53">
        <v>0</v>
      </c>
      <c r="BD53">
        <v>1415</v>
      </c>
      <c r="BE53">
        <v>112974</v>
      </c>
      <c r="BF53">
        <v>4712268</v>
      </c>
      <c r="BH53">
        <v>0</v>
      </c>
      <c r="BI53">
        <v>0</v>
      </c>
      <c r="BJ53">
        <v>873086</v>
      </c>
      <c r="BK53">
        <v>57284</v>
      </c>
      <c r="BL53">
        <v>201081</v>
      </c>
      <c r="BM53">
        <v>0</v>
      </c>
      <c r="BN53">
        <v>139282</v>
      </c>
      <c r="BO53">
        <v>85789</v>
      </c>
      <c r="BQ53">
        <v>0</v>
      </c>
      <c r="BS53">
        <v>539929</v>
      </c>
      <c r="BT53">
        <v>23741</v>
      </c>
      <c r="BV53" s="180">
        <v>64843</v>
      </c>
    </row>
    <row r="54" spans="1:74" x14ac:dyDescent="0.3">
      <c r="A54">
        <v>332</v>
      </c>
      <c r="B54" t="s">
        <v>239</v>
      </c>
      <c r="D54">
        <v>954012</v>
      </c>
      <c r="E54">
        <v>210342939</v>
      </c>
      <c r="H54">
        <v>26876</v>
      </c>
      <c r="I54">
        <v>0</v>
      </c>
      <c r="J54">
        <v>0</v>
      </c>
      <c r="K54">
        <v>0</v>
      </c>
      <c r="L54">
        <v>1818251</v>
      </c>
      <c r="M54">
        <v>1790096</v>
      </c>
      <c r="N54">
        <v>0</v>
      </c>
      <c r="O54">
        <v>0</v>
      </c>
      <c r="Q54">
        <v>0</v>
      </c>
      <c r="R54">
        <v>0</v>
      </c>
      <c r="S54">
        <v>801539</v>
      </c>
      <c r="T54">
        <v>0</v>
      </c>
      <c r="X54">
        <v>904073</v>
      </c>
      <c r="Y54">
        <v>0</v>
      </c>
      <c r="Z54">
        <v>1138984</v>
      </c>
      <c r="AA54">
        <v>0</v>
      </c>
      <c r="AC54">
        <v>388472</v>
      </c>
      <c r="AD54">
        <v>0</v>
      </c>
      <c r="AE54">
        <v>733797</v>
      </c>
      <c r="AF54">
        <v>165510</v>
      </c>
      <c r="AG54">
        <v>0</v>
      </c>
      <c r="AH54">
        <v>660632</v>
      </c>
      <c r="AI54">
        <v>0</v>
      </c>
      <c r="AJ54">
        <v>0</v>
      </c>
      <c r="AK54">
        <v>0</v>
      </c>
      <c r="AL54">
        <v>0</v>
      </c>
      <c r="AM54">
        <v>154154</v>
      </c>
      <c r="AN54">
        <v>0</v>
      </c>
      <c r="AO54">
        <v>4842816</v>
      </c>
      <c r="AP54">
        <v>136567</v>
      </c>
      <c r="AQ54">
        <v>0</v>
      </c>
      <c r="AR54">
        <v>0</v>
      </c>
      <c r="AS54">
        <v>29110856</v>
      </c>
      <c r="AT54">
        <v>6124</v>
      </c>
      <c r="AU54">
        <v>158690</v>
      </c>
      <c r="AV54">
        <v>0</v>
      </c>
      <c r="AW54">
        <v>1710199</v>
      </c>
      <c r="AY54">
        <v>0</v>
      </c>
      <c r="AZ54">
        <v>2009435</v>
      </c>
      <c r="BA54">
        <v>105768</v>
      </c>
      <c r="BB54">
        <v>0</v>
      </c>
      <c r="BC54">
        <v>0</v>
      </c>
      <c r="BD54">
        <v>1685919</v>
      </c>
      <c r="BE54">
        <v>85083</v>
      </c>
      <c r="BF54">
        <v>3012285</v>
      </c>
      <c r="BH54">
        <v>0</v>
      </c>
      <c r="BI54">
        <v>0</v>
      </c>
      <c r="BJ54">
        <v>5591155</v>
      </c>
      <c r="BK54">
        <v>15923</v>
      </c>
      <c r="BL54">
        <v>4454553</v>
      </c>
      <c r="BM54">
        <v>0</v>
      </c>
      <c r="BN54">
        <v>216066</v>
      </c>
      <c r="BO54">
        <v>840380</v>
      </c>
      <c r="BQ54">
        <v>0</v>
      </c>
      <c r="BS54">
        <v>127702</v>
      </c>
      <c r="BT54">
        <v>366953</v>
      </c>
      <c r="BV54" s="180">
        <v>352444</v>
      </c>
    </row>
    <row r="55" spans="1:74" x14ac:dyDescent="0.3">
      <c r="A55">
        <v>333</v>
      </c>
      <c r="B55" t="s">
        <v>176</v>
      </c>
      <c r="D55">
        <v>9705451</v>
      </c>
      <c r="E55">
        <v>754771805</v>
      </c>
      <c r="H55">
        <v>3339577</v>
      </c>
      <c r="I55">
        <v>71960</v>
      </c>
      <c r="J55">
        <v>1769371</v>
      </c>
      <c r="K55">
        <v>9069352</v>
      </c>
      <c r="L55">
        <v>1476065</v>
      </c>
      <c r="M55">
        <v>16068574</v>
      </c>
      <c r="N55">
        <v>892792</v>
      </c>
      <c r="O55">
        <v>1539918</v>
      </c>
      <c r="Q55">
        <v>923050</v>
      </c>
      <c r="R55">
        <v>2022258</v>
      </c>
      <c r="S55">
        <v>1165473</v>
      </c>
      <c r="T55">
        <v>9179693</v>
      </c>
      <c r="X55">
        <v>8697163</v>
      </c>
      <c r="Y55">
        <v>2279706</v>
      </c>
      <c r="Z55">
        <v>40499060</v>
      </c>
      <c r="AA55">
        <v>24853316</v>
      </c>
      <c r="AC55">
        <v>662198</v>
      </c>
      <c r="AD55">
        <v>989144</v>
      </c>
      <c r="AE55">
        <v>2439430</v>
      </c>
      <c r="AF55">
        <v>568677</v>
      </c>
      <c r="AG55">
        <v>262912</v>
      </c>
      <c r="AH55">
        <v>1686364</v>
      </c>
      <c r="AI55">
        <v>447454</v>
      </c>
      <c r="AJ55">
        <v>5152580</v>
      </c>
      <c r="AK55">
        <v>625759</v>
      </c>
      <c r="AL55">
        <v>1283795</v>
      </c>
      <c r="AM55">
        <v>1813106</v>
      </c>
      <c r="AN55">
        <v>742022</v>
      </c>
      <c r="AO55">
        <v>40412813</v>
      </c>
      <c r="AP55">
        <v>1532082</v>
      </c>
      <c r="AQ55">
        <v>845964</v>
      </c>
      <c r="AR55">
        <v>935472</v>
      </c>
      <c r="AS55">
        <v>43120498</v>
      </c>
      <c r="AT55">
        <v>362887</v>
      </c>
      <c r="AU55">
        <v>7623457</v>
      </c>
      <c r="AV55">
        <v>898976</v>
      </c>
      <c r="AW55">
        <v>476743</v>
      </c>
      <c r="AY55">
        <v>610567</v>
      </c>
      <c r="AZ55">
        <v>5445724</v>
      </c>
      <c r="BA55">
        <v>879164</v>
      </c>
      <c r="BB55">
        <v>196716</v>
      </c>
      <c r="BC55">
        <v>1545091</v>
      </c>
      <c r="BD55">
        <v>8623853</v>
      </c>
      <c r="BE55">
        <v>1462336</v>
      </c>
      <c r="BF55">
        <v>21873314</v>
      </c>
      <c r="BH55">
        <v>542543</v>
      </c>
      <c r="BI55">
        <v>521604</v>
      </c>
      <c r="BJ55">
        <v>16400801</v>
      </c>
      <c r="BK55">
        <v>2224898</v>
      </c>
      <c r="BL55">
        <v>21355069</v>
      </c>
      <c r="BM55">
        <v>10295741</v>
      </c>
      <c r="BN55">
        <v>13918666</v>
      </c>
      <c r="BO55">
        <v>2852035</v>
      </c>
      <c r="BQ55">
        <v>2913144</v>
      </c>
      <c r="BS55">
        <v>2855861</v>
      </c>
      <c r="BT55">
        <v>1504543</v>
      </c>
      <c r="BV55" s="180">
        <v>4429550</v>
      </c>
    </row>
    <row r="56" spans="1:74" x14ac:dyDescent="0.3">
      <c r="A56">
        <v>334</v>
      </c>
      <c r="B56" t="s">
        <v>261</v>
      </c>
      <c r="D56">
        <v>11890810</v>
      </c>
      <c r="E56">
        <v>2025128249</v>
      </c>
      <c r="H56">
        <v>5396503</v>
      </c>
      <c r="I56">
        <v>15918</v>
      </c>
      <c r="J56">
        <v>552517</v>
      </c>
      <c r="K56">
        <v>5775761</v>
      </c>
      <c r="L56">
        <v>7967804</v>
      </c>
      <c r="M56">
        <v>84350495</v>
      </c>
      <c r="N56">
        <v>236358</v>
      </c>
      <c r="O56">
        <v>1303811</v>
      </c>
      <c r="Q56">
        <v>1110692</v>
      </c>
      <c r="R56">
        <v>1677504</v>
      </c>
      <c r="S56">
        <v>6391281</v>
      </c>
      <c r="T56">
        <v>37218178</v>
      </c>
      <c r="X56">
        <v>38580351</v>
      </c>
      <c r="Y56">
        <v>4666143</v>
      </c>
      <c r="Z56">
        <v>233116546</v>
      </c>
      <c r="AA56">
        <v>53821599</v>
      </c>
      <c r="AC56">
        <v>1344846</v>
      </c>
      <c r="AD56">
        <v>3995814</v>
      </c>
      <c r="AE56">
        <v>3074824</v>
      </c>
      <c r="AF56">
        <v>986339</v>
      </c>
      <c r="AG56">
        <v>2327556</v>
      </c>
      <c r="AH56">
        <v>20815552</v>
      </c>
      <c r="AI56">
        <v>249091</v>
      </c>
      <c r="AJ56">
        <v>9428011</v>
      </c>
      <c r="AK56">
        <v>128131</v>
      </c>
      <c r="AL56">
        <v>3027295</v>
      </c>
      <c r="AM56">
        <v>14393172</v>
      </c>
      <c r="AN56">
        <v>988377</v>
      </c>
      <c r="AO56">
        <v>118608116</v>
      </c>
      <c r="AP56">
        <v>3402503</v>
      </c>
      <c r="AQ56">
        <v>406781</v>
      </c>
      <c r="AR56">
        <v>476209</v>
      </c>
      <c r="AS56">
        <v>107569585</v>
      </c>
      <c r="AT56">
        <v>837839</v>
      </c>
      <c r="AU56">
        <v>6707183</v>
      </c>
      <c r="AV56">
        <v>7241883</v>
      </c>
      <c r="AW56">
        <v>879245</v>
      </c>
      <c r="AY56">
        <v>37451</v>
      </c>
      <c r="AZ56">
        <v>18003817</v>
      </c>
      <c r="BA56">
        <v>5463730</v>
      </c>
      <c r="BB56">
        <v>197781</v>
      </c>
      <c r="BC56">
        <v>329655</v>
      </c>
      <c r="BD56">
        <v>15869775</v>
      </c>
      <c r="BE56">
        <v>1623546</v>
      </c>
      <c r="BF56">
        <v>94599035</v>
      </c>
      <c r="BH56">
        <v>467224</v>
      </c>
      <c r="BI56">
        <v>355097</v>
      </c>
      <c r="BJ56">
        <v>86443920</v>
      </c>
      <c r="BK56">
        <v>2416515</v>
      </c>
      <c r="BL56">
        <v>61981743</v>
      </c>
      <c r="BM56">
        <v>29399810</v>
      </c>
      <c r="BN56">
        <v>21710623</v>
      </c>
      <c r="BO56">
        <v>3021714</v>
      </c>
      <c r="BQ56">
        <v>11738131</v>
      </c>
      <c r="BS56">
        <v>8344306</v>
      </c>
      <c r="BT56">
        <v>2941755</v>
      </c>
      <c r="BV56" s="180">
        <v>6015785</v>
      </c>
    </row>
    <row r="57" spans="1:74" x14ac:dyDescent="0.3">
      <c r="A57">
        <v>335</v>
      </c>
      <c r="B57" t="s">
        <v>109</v>
      </c>
      <c r="D57">
        <v>0</v>
      </c>
      <c r="E57">
        <v>0</v>
      </c>
      <c r="H57">
        <v>0</v>
      </c>
      <c r="I57">
        <v>0</v>
      </c>
      <c r="J57">
        <v>0</v>
      </c>
      <c r="K57">
        <v>0</v>
      </c>
      <c r="L57">
        <v>0</v>
      </c>
      <c r="M57">
        <v>2452661</v>
      </c>
      <c r="N57">
        <v>0</v>
      </c>
      <c r="O57">
        <v>0</v>
      </c>
      <c r="Q57">
        <v>0</v>
      </c>
      <c r="R57">
        <v>0</v>
      </c>
      <c r="S57">
        <v>0</v>
      </c>
      <c r="T57">
        <v>0</v>
      </c>
      <c r="X57">
        <v>0</v>
      </c>
      <c r="Y57">
        <v>0</v>
      </c>
      <c r="Z57">
        <v>440238</v>
      </c>
      <c r="AA57">
        <v>0</v>
      </c>
      <c r="AC57">
        <v>0</v>
      </c>
      <c r="AD57">
        <v>417925</v>
      </c>
      <c r="AE57">
        <v>0</v>
      </c>
      <c r="AF57">
        <v>0</v>
      </c>
      <c r="AG57">
        <v>0</v>
      </c>
      <c r="AH57">
        <v>0</v>
      </c>
      <c r="AI57">
        <v>0</v>
      </c>
      <c r="AJ57">
        <v>2803</v>
      </c>
      <c r="AK57">
        <v>0</v>
      </c>
      <c r="AL57">
        <v>0</v>
      </c>
      <c r="AM57">
        <v>0</v>
      </c>
      <c r="AN57">
        <v>0</v>
      </c>
      <c r="AO57">
        <v>0</v>
      </c>
      <c r="AP57">
        <v>0</v>
      </c>
      <c r="AQ57">
        <v>0</v>
      </c>
      <c r="AR57">
        <v>0</v>
      </c>
      <c r="AS57">
        <v>0</v>
      </c>
      <c r="AT57">
        <v>0</v>
      </c>
      <c r="AU57">
        <v>0</v>
      </c>
      <c r="AV57">
        <v>0</v>
      </c>
      <c r="AW57">
        <v>0</v>
      </c>
      <c r="AY57">
        <v>0</v>
      </c>
      <c r="AZ57">
        <v>0</v>
      </c>
      <c r="BA57">
        <v>0</v>
      </c>
      <c r="BB57">
        <v>0</v>
      </c>
      <c r="BC57">
        <v>0</v>
      </c>
      <c r="BD57">
        <v>1175360</v>
      </c>
      <c r="BE57">
        <v>0</v>
      </c>
      <c r="BF57">
        <v>2419669</v>
      </c>
      <c r="BH57">
        <v>0</v>
      </c>
      <c r="BI57">
        <v>56147</v>
      </c>
      <c r="BJ57">
        <v>3473784</v>
      </c>
      <c r="BK57">
        <v>0</v>
      </c>
      <c r="BL57">
        <v>82081</v>
      </c>
      <c r="BM57">
        <v>0</v>
      </c>
      <c r="BN57">
        <v>6221442</v>
      </c>
      <c r="BO57">
        <v>549116</v>
      </c>
      <c r="BQ57">
        <v>0</v>
      </c>
      <c r="BS57">
        <v>886227</v>
      </c>
      <c r="BT57">
        <v>0</v>
      </c>
      <c r="BV57" s="180">
        <v>0</v>
      </c>
    </row>
    <row r="58" spans="1:74" x14ac:dyDescent="0.3">
      <c r="A58">
        <v>336</v>
      </c>
      <c r="B58" t="s">
        <v>882</v>
      </c>
      <c r="D58">
        <v>612749</v>
      </c>
      <c r="E58">
        <v>170443579</v>
      </c>
      <c r="H58">
        <v>94093</v>
      </c>
      <c r="I58">
        <v>0</v>
      </c>
      <c r="J58">
        <v>4812</v>
      </c>
      <c r="K58">
        <v>20919</v>
      </c>
      <c r="L58">
        <v>421928</v>
      </c>
      <c r="M58">
        <v>4251922</v>
      </c>
      <c r="N58">
        <v>1931</v>
      </c>
      <c r="O58">
        <v>33455</v>
      </c>
      <c r="Q58">
        <v>24640</v>
      </c>
      <c r="R58">
        <v>33431</v>
      </c>
      <c r="S58">
        <v>50919</v>
      </c>
      <c r="T58">
        <v>1891374</v>
      </c>
      <c r="X58">
        <v>407371</v>
      </c>
      <c r="Y58">
        <v>76910</v>
      </c>
      <c r="Z58">
        <v>12243642</v>
      </c>
      <c r="AA58">
        <v>1556613</v>
      </c>
      <c r="AC58">
        <v>21841</v>
      </c>
      <c r="AD58">
        <v>474922</v>
      </c>
      <c r="AE58">
        <v>31295</v>
      </c>
      <c r="AF58">
        <v>36809</v>
      </c>
      <c r="AG58">
        <v>105784</v>
      </c>
      <c r="AH58">
        <v>1131504</v>
      </c>
      <c r="AI58">
        <v>4043</v>
      </c>
      <c r="AJ58">
        <v>242381</v>
      </c>
      <c r="AK58">
        <v>1800</v>
      </c>
      <c r="AL58">
        <v>360679</v>
      </c>
      <c r="AM58">
        <v>2105070</v>
      </c>
      <c r="AN58">
        <v>7471</v>
      </c>
      <c r="AO58">
        <v>5516097</v>
      </c>
      <c r="AP58">
        <v>69971</v>
      </c>
      <c r="AQ58">
        <v>1376</v>
      </c>
      <c r="AR58">
        <v>17744</v>
      </c>
      <c r="AS58">
        <v>5961392</v>
      </c>
      <c r="AT58">
        <v>7540</v>
      </c>
      <c r="AU58">
        <v>67832</v>
      </c>
      <c r="AV58">
        <v>37958</v>
      </c>
      <c r="AW58">
        <v>23318</v>
      </c>
      <c r="AY58">
        <v>18626</v>
      </c>
      <c r="AZ58">
        <v>383233</v>
      </c>
      <c r="BA58">
        <v>196115</v>
      </c>
      <c r="BB58">
        <v>837</v>
      </c>
      <c r="BC58">
        <v>0</v>
      </c>
      <c r="BD58">
        <v>2088027</v>
      </c>
      <c r="BE58">
        <v>176124</v>
      </c>
      <c r="BF58">
        <v>7197592</v>
      </c>
      <c r="BH58">
        <v>6495</v>
      </c>
      <c r="BI58">
        <v>70263</v>
      </c>
      <c r="BJ58">
        <v>1024285</v>
      </c>
      <c r="BK58">
        <v>219913</v>
      </c>
      <c r="BL58">
        <v>2339149</v>
      </c>
      <c r="BM58">
        <v>1288231</v>
      </c>
      <c r="BN58">
        <v>7466930</v>
      </c>
      <c r="BO58">
        <v>630736</v>
      </c>
      <c r="BQ58">
        <v>417164</v>
      </c>
      <c r="BS58">
        <v>281413</v>
      </c>
      <c r="BT58">
        <v>71544</v>
      </c>
      <c r="BV58">
        <v>155848</v>
      </c>
    </row>
    <row r="59" spans="1:74" x14ac:dyDescent="0.3">
      <c r="A59">
        <v>337</v>
      </c>
      <c r="B59" t="s">
        <v>245</v>
      </c>
      <c r="D59">
        <v>791037</v>
      </c>
      <c r="E59">
        <v>633236026</v>
      </c>
      <c r="H59">
        <v>102002</v>
      </c>
      <c r="I59">
        <v>0</v>
      </c>
      <c r="J59">
        <v>0</v>
      </c>
      <c r="K59">
        <v>0</v>
      </c>
      <c r="L59">
        <v>1355287</v>
      </c>
      <c r="M59">
        <v>6567257</v>
      </c>
      <c r="N59">
        <v>0</v>
      </c>
      <c r="O59">
        <v>65327</v>
      </c>
      <c r="Q59">
        <v>0</v>
      </c>
      <c r="R59">
        <v>49418</v>
      </c>
      <c r="S59">
        <v>0</v>
      </c>
      <c r="T59">
        <v>0</v>
      </c>
      <c r="X59">
        <v>5675192</v>
      </c>
      <c r="Y59">
        <v>821418</v>
      </c>
      <c r="Z59">
        <v>51053310</v>
      </c>
      <c r="AA59">
        <v>7600000</v>
      </c>
      <c r="AC59">
        <v>0</v>
      </c>
      <c r="AD59">
        <v>6183</v>
      </c>
      <c r="AE59">
        <v>244625</v>
      </c>
      <c r="AF59">
        <v>175750</v>
      </c>
      <c r="AG59">
        <v>58770</v>
      </c>
      <c r="AH59">
        <v>2765185</v>
      </c>
      <c r="AI59">
        <v>0</v>
      </c>
      <c r="AJ59">
        <v>309365</v>
      </c>
      <c r="AK59">
        <v>0</v>
      </c>
      <c r="AL59">
        <v>797777</v>
      </c>
      <c r="AM59">
        <v>1863799</v>
      </c>
      <c r="AN59">
        <v>0</v>
      </c>
      <c r="AO59">
        <v>12225428</v>
      </c>
      <c r="AP59">
        <v>278995</v>
      </c>
      <c r="AQ59">
        <v>0</v>
      </c>
      <c r="AR59">
        <v>265524</v>
      </c>
      <c r="AS59">
        <v>23011195</v>
      </c>
      <c r="AT59">
        <v>0</v>
      </c>
      <c r="AU59">
        <v>0</v>
      </c>
      <c r="AV59">
        <v>0</v>
      </c>
      <c r="AW59">
        <v>346465</v>
      </c>
      <c r="AY59">
        <v>0</v>
      </c>
      <c r="AZ59">
        <v>1504761</v>
      </c>
      <c r="BA59">
        <v>703125</v>
      </c>
      <c r="BB59">
        <v>0</v>
      </c>
      <c r="BC59">
        <v>0</v>
      </c>
      <c r="BD59">
        <v>1648316</v>
      </c>
      <c r="BE59">
        <v>305279</v>
      </c>
      <c r="BF59">
        <v>19263922</v>
      </c>
      <c r="BH59">
        <v>0</v>
      </c>
      <c r="BI59">
        <v>0</v>
      </c>
      <c r="BJ59">
        <v>4548432</v>
      </c>
      <c r="BK59">
        <v>0</v>
      </c>
      <c r="BL59">
        <v>5285286</v>
      </c>
      <c r="BM59">
        <v>4436433</v>
      </c>
      <c r="BN59">
        <v>2483278</v>
      </c>
      <c r="BO59">
        <v>0</v>
      </c>
      <c r="BQ59">
        <v>2808048</v>
      </c>
      <c r="BS59">
        <v>626614</v>
      </c>
      <c r="BT59">
        <v>510767</v>
      </c>
      <c r="BV59">
        <v>32444</v>
      </c>
    </row>
    <row r="60" spans="1:74" x14ac:dyDescent="0.3">
      <c r="A60">
        <v>338</v>
      </c>
      <c r="B60" t="s">
        <v>108</v>
      </c>
      <c r="D60">
        <v>6525745</v>
      </c>
      <c r="E60">
        <v>1209536862</v>
      </c>
      <c r="H60">
        <v>3886086</v>
      </c>
      <c r="I60">
        <v>0</v>
      </c>
      <c r="J60">
        <v>4812</v>
      </c>
      <c r="K60">
        <v>82419</v>
      </c>
      <c r="L60">
        <v>7669279</v>
      </c>
      <c r="M60">
        <v>27002530</v>
      </c>
      <c r="N60">
        <v>1931</v>
      </c>
      <c r="O60">
        <v>228990</v>
      </c>
      <c r="Q60">
        <v>693953</v>
      </c>
      <c r="R60">
        <v>739036</v>
      </c>
      <c r="S60">
        <v>1004738</v>
      </c>
      <c r="T60">
        <v>26330902</v>
      </c>
      <c r="X60">
        <v>16120201</v>
      </c>
      <c r="Y60">
        <v>1700463</v>
      </c>
      <c r="Z60">
        <v>141648267</v>
      </c>
      <c r="AA60">
        <v>15688759</v>
      </c>
      <c r="AC60">
        <v>89487</v>
      </c>
      <c r="AD60">
        <v>1431267</v>
      </c>
      <c r="AE60">
        <v>374039</v>
      </c>
      <c r="AF60">
        <v>205210</v>
      </c>
      <c r="AG60">
        <v>1396202</v>
      </c>
      <c r="AH60">
        <v>13118465</v>
      </c>
      <c r="AI60">
        <v>4043</v>
      </c>
      <c r="AJ60">
        <v>2962439</v>
      </c>
      <c r="AK60">
        <v>133422</v>
      </c>
      <c r="AL60">
        <v>1321364</v>
      </c>
      <c r="AM60">
        <v>5989775</v>
      </c>
      <c r="AN60">
        <v>77544</v>
      </c>
      <c r="AO60">
        <v>45433925</v>
      </c>
      <c r="AP60">
        <v>653189</v>
      </c>
      <c r="AQ60">
        <v>1376</v>
      </c>
      <c r="AR60">
        <v>367551</v>
      </c>
      <c r="AS60">
        <v>89858446</v>
      </c>
      <c r="AT60">
        <v>7540</v>
      </c>
      <c r="AU60">
        <v>730414</v>
      </c>
      <c r="AV60">
        <v>871561</v>
      </c>
      <c r="AW60">
        <v>568971</v>
      </c>
      <c r="AY60">
        <v>18626</v>
      </c>
      <c r="AZ60">
        <v>10357761</v>
      </c>
      <c r="BA60">
        <v>1803610</v>
      </c>
      <c r="BB60">
        <v>837</v>
      </c>
      <c r="BC60">
        <v>0</v>
      </c>
      <c r="BD60">
        <v>6680685</v>
      </c>
      <c r="BE60">
        <v>1147713</v>
      </c>
      <c r="BF60">
        <v>56463382</v>
      </c>
      <c r="BH60">
        <v>160181</v>
      </c>
      <c r="BI60">
        <v>70263</v>
      </c>
      <c r="BJ60">
        <v>29269614</v>
      </c>
      <c r="BK60">
        <v>982225</v>
      </c>
      <c r="BL60">
        <v>19843668</v>
      </c>
      <c r="BM60">
        <v>9121350</v>
      </c>
      <c r="BN60">
        <v>18076592</v>
      </c>
      <c r="BO60">
        <v>962094</v>
      </c>
      <c r="BQ60">
        <v>4311451</v>
      </c>
      <c r="BS60">
        <v>4929466</v>
      </c>
      <c r="BT60">
        <v>1199082</v>
      </c>
      <c r="BV60">
        <v>1725549</v>
      </c>
    </row>
    <row r="61" spans="1:74" x14ac:dyDescent="0.3">
      <c r="A61">
        <v>339</v>
      </c>
      <c r="B61" t="s">
        <v>181</v>
      </c>
      <c r="D61">
        <v>719708</v>
      </c>
      <c r="E61">
        <v>55268951</v>
      </c>
      <c r="H61">
        <v>371210</v>
      </c>
      <c r="I61">
        <v>0</v>
      </c>
      <c r="J61">
        <v>1005</v>
      </c>
      <c r="K61">
        <v>45173</v>
      </c>
      <c r="L61">
        <v>454710</v>
      </c>
      <c r="M61">
        <v>1163459</v>
      </c>
      <c r="N61">
        <v>0</v>
      </c>
      <c r="O61">
        <v>34149</v>
      </c>
      <c r="Q61">
        <v>30506</v>
      </c>
      <c r="R61">
        <v>284739</v>
      </c>
      <c r="S61">
        <v>55437</v>
      </c>
      <c r="T61">
        <v>2602472</v>
      </c>
      <c r="X61">
        <v>1207975</v>
      </c>
      <c r="Y61">
        <v>15481</v>
      </c>
      <c r="Z61">
        <v>13774390</v>
      </c>
      <c r="AA61">
        <v>3840389</v>
      </c>
      <c r="AC61">
        <v>142936</v>
      </c>
      <c r="AD61">
        <v>55017</v>
      </c>
      <c r="AE61">
        <v>110055</v>
      </c>
      <c r="AF61">
        <v>176299</v>
      </c>
      <c r="AG61">
        <v>172768</v>
      </c>
      <c r="AH61">
        <v>944084</v>
      </c>
      <c r="AI61">
        <v>14295</v>
      </c>
      <c r="AJ61">
        <v>316740</v>
      </c>
      <c r="AK61">
        <v>21832</v>
      </c>
      <c r="AL61">
        <v>9149</v>
      </c>
      <c r="AM61">
        <v>331917</v>
      </c>
      <c r="AN61">
        <v>108598</v>
      </c>
      <c r="AO61">
        <v>5293997</v>
      </c>
      <c r="AP61">
        <v>144212</v>
      </c>
      <c r="AQ61">
        <v>0</v>
      </c>
      <c r="AR61">
        <v>90</v>
      </c>
      <c r="AS61">
        <v>5217380</v>
      </c>
      <c r="AT61">
        <v>40609</v>
      </c>
      <c r="AU61">
        <v>286317</v>
      </c>
      <c r="AV61">
        <v>242705</v>
      </c>
      <c r="AW61">
        <v>0</v>
      </c>
      <c r="AY61">
        <v>0</v>
      </c>
      <c r="AZ61">
        <v>1200945</v>
      </c>
      <c r="BA61">
        <v>22742</v>
      </c>
      <c r="BB61">
        <v>0</v>
      </c>
      <c r="BC61">
        <v>22000</v>
      </c>
      <c r="BD61">
        <v>1157365</v>
      </c>
      <c r="BE61">
        <v>325092</v>
      </c>
      <c r="BF61">
        <v>4057062</v>
      </c>
      <c r="BH61">
        <v>31645</v>
      </c>
      <c r="BI61">
        <v>49249</v>
      </c>
      <c r="BJ61">
        <v>2783617</v>
      </c>
      <c r="BK61">
        <v>246330</v>
      </c>
      <c r="BL61">
        <v>3403080</v>
      </c>
      <c r="BM61">
        <v>249450</v>
      </c>
      <c r="BN61">
        <v>3566242</v>
      </c>
      <c r="BO61">
        <v>163893</v>
      </c>
      <c r="BQ61">
        <v>161330</v>
      </c>
      <c r="BS61">
        <v>353825</v>
      </c>
      <c r="BT61">
        <v>207870</v>
      </c>
      <c r="BV61" s="180">
        <v>47521</v>
      </c>
    </row>
    <row r="62" spans="1:74" x14ac:dyDescent="0.3">
      <c r="A62">
        <v>341</v>
      </c>
      <c r="B62" t="s">
        <v>883</v>
      </c>
      <c r="D62">
        <v>5845524</v>
      </c>
      <c r="E62">
        <v>549956910</v>
      </c>
      <c r="H62">
        <v>2879539</v>
      </c>
      <c r="I62">
        <v>35087</v>
      </c>
      <c r="J62">
        <v>461070</v>
      </c>
      <c r="K62">
        <v>1410923</v>
      </c>
      <c r="L62">
        <v>3531711</v>
      </c>
      <c r="M62">
        <v>19624589</v>
      </c>
      <c r="N62">
        <v>165743</v>
      </c>
      <c r="O62">
        <v>710399</v>
      </c>
      <c r="Q62">
        <v>483159</v>
      </c>
      <c r="R62">
        <v>1576569</v>
      </c>
      <c r="S62">
        <v>1683630</v>
      </c>
      <c r="T62">
        <v>14963488</v>
      </c>
      <c r="X62">
        <v>7553280</v>
      </c>
      <c r="Y62">
        <v>2056100</v>
      </c>
      <c r="Z62">
        <v>57800087</v>
      </c>
      <c r="AA62">
        <v>11877436</v>
      </c>
      <c r="AC62">
        <v>298340</v>
      </c>
      <c r="AD62">
        <v>1304748</v>
      </c>
      <c r="AE62">
        <v>1396153</v>
      </c>
      <c r="AF62">
        <v>267849</v>
      </c>
      <c r="AG62">
        <v>874620</v>
      </c>
      <c r="AH62">
        <v>9047876</v>
      </c>
      <c r="AI62">
        <v>138856</v>
      </c>
      <c r="AJ62">
        <v>2634436</v>
      </c>
      <c r="AK62">
        <v>177549</v>
      </c>
      <c r="AL62">
        <v>900794</v>
      </c>
      <c r="AM62">
        <v>4732341</v>
      </c>
      <c r="AN62">
        <v>340987</v>
      </c>
      <c r="AO62">
        <v>46940082</v>
      </c>
      <c r="AP62">
        <v>1457927</v>
      </c>
      <c r="AQ62">
        <v>171163</v>
      </c>
      <c r="AR62">
        <v>248588</v>
      </c>
      <c r="AS62">
        <v>35335608</v>
      </c>
      <c r="AT62">
        <v>232773</v>
      </c>
      <c r="AU62">
        <v>2607059</v>
      </c>
      <c r="AV62">
        <v>1392464</v>
      </c>
      <c r="AW62">
        <v>384384</v>
      </c>
      <c r="AY62">
        <v>297253</v>
      </c>
      <c r="AZ62">
        <v>6417215</v>
      </c>
      <c r="BA62">
        <v>2167818</v>
      </c>
      <c r="BB62">
        <v>41960</v>
      </c>
      <c r="BC62">
        <v>408245</v>
      </c>
      <c r="BD62">
        <v>5271985</v>
      </c>
      <c r="BE62">
        <v>986791</v>
      </c>
      <c r="BF62">
        <v>25184128</v>
      </c>
      <c r="BH62">
        <v>292612</v>
      </c>
      <c r="BI62">
        <v>218715</v>
      </c>
      <c r="BJ62">
        <v>13985592</v>
      </c>
      <c r="BK62">
        <v>1058580</v>
      </c>
      <c r="BL62">
        <v>21671239</v>
      </c>
      <c r="BM62">
        <v>9471509</v>
      </c>
      <c r="BN62">
        <v>8415669</v>
      </c>
      <c r="BO62">
        <v>1873904</v>
      </c>
      <c r="BQ62">
        <v>3536591</v>
      </c>
      <c r="BS62">
        <v>2993889</v>
      </c>
      <c r="BT62">
        <v>1291783</v>
      </c>
      <c r="BV62" s="180">
        <v>3038059</v>
      </c>
    </row>
    <row r="63" spans="1:74" x14ac:dyDescent="0.3">
      <c r="A63">
        <v>343</v>
      </c>
      <c r="B63" t="s">
        <v>246</v>
      </c>
      <c r="D63">
        <v>452999</v>
      </c>
      <c r="E63">
        <v>98002620</v>
      </c>
      <c r="H63">
        <v>56895</v>
      </c>
      <c r="I63">
        <v>0</v>
      </c>
      <c r="J63">
        <v>0</v>
      </c>
      <c r="K63">
        <v>0</v>
      </c>
      <c r="L63">
        <v>161370</v>
      </c>
      <c r="M63">
        <v>444215</v>
      </c>
      <c r="N63">
        <v>0</v>
      </c>
      <c r="O63">
        <v>15169</v>
      </c>
      <c r="Q63">
        <v>0</v>
      </c>
      <c r="R63">
        <v>27131</v>
      </c>
      <c r="S63">
        <v>0</v>
      </c>
      <c r="T63">
        <v>0</v>
      </c>
      <c r="X63">
        <v>245624</v>
      </c>
      <c r="Y63">
        <v>43295</v>
      </c>
      <c r="Z63">
        <v>5582482</v>
      </c>
      <c r="AA63">
        <v>652534</v>
      </c>
      <c r="AC63">
        <v>0</v>
      </c>
      <c r="AD63">
        <v>4780</v>
      </c>
      <c r="AE63">
        <v>23243</v>
      </c>
      <c r="AF63">
        <v>10724</v>
      </c>
      <c r="AG63">
        <v>7720</v>
      </c>
      <c r="AH63">
        <v>517848</v>
      </c>
      <c r="AI63">
        <v>0</v>
      </c>
      <c r="AJ63">
        <v>90994</v>
      </c>
      <c r="AK63">
        <v>0</v>
      </c>
      <c r="AL63">
        <v>17445</v>
      </c>
      <c r="AM63">
        <v>218148</v>
      </c>
      <c r="AN63">
        <v>0</v>
      </c>
      <c r="AO63">
        <v>1085360</v>
      </c>
      <c r="AP63">
        <v>24437</v>
      </c>
      <c r="AQ63">
        <v>0</v>
      </c>
      <c r="AR63">
        <v>8985</v>
      </c>
      <c r="AS63">
        <v>1480270</v>
      </c>
      <c r="AT63">
        <v>12124</v>
      </c>
      <c r="AU63">
        <v>0</v>
      </c>
      <c r="AV63">
        <v>0</v>
      </c>
      <c r="AW63">
        <v>11755</v>
      </c>
      <c r="AY63">
        <v>0</v>
      </c>
      <c r="AZ63">
        <v>216277</v>
      </c>
      <c r="BA63">
        <v>112500</v>
      </c>
      <c r="BB63">
        <v>0</v>
      </c>
      <c r="BC63">
        <v>0</v>
      </c>
      <c r="BD63">
        <v>781352</v>
      </c>
      <c r="BE63">
        <v>81605</v>
      </c>
      <c r="BF63">
        <v>2529399</v>
      </c>
      <c r="BH63">
        <v>0</v>
      </c>
      <c r="BI63">
        <v>0</v>
      </c>
      <c r="BJ63">
        <v>298272</v>
      </c>
      <c r="BK63">
        <v>0</v>
      </c>
      <c r="BL63">
        <v>1409986</v>
      </c>
      <c r="BM63">
        <v>1109108</v>
      </c>
      <c r="BN63">
        <v>674455</v>
      </c>
      <c r="BO63">
        <v>0</v>
      </c>
      <c r="BQ63">
        <v>100158</v>
      </c>
      <c r="BS63">
        <v>134035</v>
      </c>
      <c r="BT63">
        <v>52836</v>
      </c>
      <c r="BV63" s="180">
        <v>71144</v>
      </c>
    </row>
    <row r="64" spans="1:74" x14ac:dyDescent="0.3">
      <c r="A64">
        <v>344</v>
      </c>
      <c r="B64" t="s">
        <v>179</v>
      </c>
      <c r="D64">
        <v>15406</v>
      </c>
      <c r="E64">
        <v>17435073</v>
      </c>
      <c r="H64">
        <v>593</v>
      </c>
      <c r="I64">
        <v>0</v>
      </c>
      <c r="J64">
        <v>0</v>
      </c>
      <c r="K64">
        <v>0</v>
      </c>
      <c r="L64">
        <v>25988</v>
      </c>
      <c r="M64">
        <v>0</v>
      </c>
      <c r="N64">
        <v>0</v>
      </c>
      <c r="O64">
        <v>2399</v>
      </c>
      <c r="Q64">
        <v>0</v>
      </c>
      <c r="R64">
        <v>2795</v>
      </c>
      <c r="S64">
        <v>0</v>
      </c>
      <c r="T64">
        <v>76428</v>
      </c>
      <c r="X64">
        <v>151720</v>
      </c>
      <c r="Y64">
        <v>24746</v>
      </c>
      <c r="Z64">
        <v>1573162</v>
      </c>
      <c r="AA64">
        <v>75244</v>
      </c>
      <c r="AC64">
        <v>0</v>
      </c>
      <c r="AD64">
        <v>259</v>
      </c>
      <c r="AE64">
        <v>9787</v>
      </c>
      <c r="AF64">
        <v>4829</v>
      </c>
      <c r="AG64">
        <v>581</v>
      </c>
      <c r="AH64">
        <v>78643</v>
      </c>
      <c r="AI64">
        <v>0</v>
      </c>
      <c r="AJ64">
        <v>10994</v>
      </c>
      <c r="AK64">
        <v>0</v>
      </c>
      <c r="AL64">
        <v>35670</v>
      </c>
      <c r="AM64">
        <v>34172</v>
      </c>
      <c r="AN64">
        <v>0</v>
      </c>
      <c r="AO64">
        <v>200829</v>
      </c>
      <c r="AP64">
        <v>10383</v>
      </c>
      <c r="AQ64">
        <v>0</v>
      </c>
      <c r="AR64">
        <v>11667</v>
      </c>
      <c r="AS64">
        <v>352944</v>
      </c>
      <c r="AT64">
        <v>180</v>
      </c>
      <c r="AU64">
        <v>0</v>
      </c>
      <c r="AV64">
        <v>0</v>
      </c>
      <c r="AW64">
        <v>15234</v>
      </c>
      <c r="AY64">
        <v>0</v>
      </c>
      <c r="AZ64">
        <v>52458</v>
      </c>
      <c r="BA64">
        <v>21012</v>
      </c>
      <c r="BB64">
        <v>0</v>
      </c>
      <c r="BC64">
        <v>0</v>
      </c>
      <c r="BD64">
        <v>65644</v>
      </c>
      <c r="BE64">
        <v>12367</v>
      </c>
      <c r="BF64">
        <v>487439</v>
      </c>
      <c r="BH64">
        <v>0</v>
      </c>
      <c r="BI64">
        <v>0</v>
      </c>
      <c r="BJ64">
        <v>146597</v>
      </c>
      <c r="BK64">
        <v>0</v>
      </c>
      <c r="BL64">
        <v>116490</v>
      </c>
      <c r="BM64">
        <v>93831</v>
      </c>
      <c r="BN64">
        <v>58226</v>
      </c>
      <c r="BO64">
        <v>0</v>
      </c>
      <c r="BQ64">
        <v>61373</v>
      </c>
      <c r="BS64">
        <v>6593</v>
      </c>
      <c r="BT64">
        <v>23041</v>
      </c>
      <c r="BV64" s="180">
        <v>790</v>
      </c>
    </row>
    <row r="65" spans="1:74" x14ac:dyDescent="0.3">
      <c r="A65">
        <v>349</v>
      </c>
      <c r="B65" t="s">
        <v>114</v>
      </c>
      <c r="D65">
        <v>7679104</v>
      </c>
      <c r="E65">
        <v>1007167125</v>
      </c>
      <c r="H65">
        <v>395983</v>
      </c>
      <c r="I65">
        <v>0</v>
      </c>
      <c r="J65">
        <v>0</v>
      </c>
      <c r="K65">
        <v>0</v>
      </c>
      <c r="L65">
        <v>4740002</v>
      </c>
      <c r="M65">
        <v>19493211</v>
      </c>
      <c r="N65">
        <v>0</v>
      </c>
      <c r="O65">
        <v>247433</v>
      </c>
      <c r="Q65">
        <v>0</v>
      </c>
      <c r="R65">
        <v>0</v>
      </c>
      <c r="S65">
        <v>1441479</v>
      </c>
      <c r="T65">
        <v>0</v>
      </c>
      <c r="X65">
        <v>2542985</v>
      </c>
      <c r="Y65">
        <v>0</v>
      </c>
      <c r="Z65">
        <v>15726103</v>
      </c>
      <c r="AA65">
        <v>0</v>
      </c>
      <c r="AC65">
        <v>910834</v>
      </c>
      <c r="AD65">
        <v>729616</v>
      </c>
      <c r="AE65">
        <v>1356093</v>
      </c>
      <c r="AF65">
        <v>148678</v>
      </c>
      <c r="AG65">
        <v>937682</v>
      </c>
      <c r="AH65">
        <v>26359764</v>
      </c>
      <c r="AI65">
        <v>0</v>
      </c>
      <c r="AJ65">
        <v>0</v>
      </c>
      <c r="AK65">
        <v>0</v>
      </c>
      <c r="AL65">
        <v>1436872</v>
      </c>
      <c r="AM65">
        <v>1619941</v>
      </c>
      <c r="AN65">
        <v>104879</v>
      </c>
      <c r="AO65">
        <v>53483176</v>
      </c>
      <c r="AP65">
        <v>2318557</v>
      </c>
      <c r="AQ65">
        <v>0</v>
      </c>
      <c r="AR65">
        <v>17480</v>
      </c>
      <c r="AS65">
        <v>84236341</v>
      </c>
      <c r="AT65">
        <v>1510156</v>
      </c>
      <c r="AU65">
        <v>466207</v>
      </c>
      <c r="AV65">
        <v>372142</v>
      </c>
      <c r="AW65">
        <v>185420</v>
      </c>
      <c r="AY65">
        <v>0</v>
      </c>
      <c r="AZ65">
        <v>4763166</v>
      </c>
      <c r="BA65">
        <v>104921</v>
      </c>
      <c r="BB65">
        <v>13586</v>
      </c>
      <c r="BC65">
        <v>7394</v>
      </c>
      <c r="BD65">
        <v>905509</v>
      </c>
      <c r="BE65">
        <v>2952298</v>
      </c>
      <c r="BF65">
        <v>61164214</v>
      </c>
      <c r="BH65">
        <v>0</v>
      </c>
      <c r="BI65">
        <v>51975</v>
      </c>
      <c r="BJ65">
        <v>15741021</v>
      </c>
      <c r="BK65">
        <v>1213085</v>
      </c>
      <c r="BL65">
        <v>1963557</v>
      </c>
      <c r="BM65">
        <v>0</v>
      </c>
      <c r="BN65">
        <v>2187362</v>
      </c>
      <c r="BO65">
        <v>3540749</v>
      </c>
      <c r="BQ65">
        <v>0</v>
      </c>
      <c r="BS65">
        <v>7469511</v>
      </c>
      <c r="BT65">
        <v>776259</v>
      </c>
      <c r="BV65" s="180">
        <v>996925</v>
      </c>
    </row>
    <row r="66" spans="1:74" x14ac:dyDescent="0.3">
      <c r="A66">
        <v>350</v>
      </c>
      <c r="B66" t="s">
        <v>884</v>
      </c>
      <c r="D66">
        <v>220634</v>
      </c>
      <c r="E66">
        <v>9482983</v>
      </c>
      <c r="H66">
        <v>0</v>
      </c>
      <c r="I66">
        <v>0</v>
      </c>
      <c r="J66">
        <v>0</v>
      </c>
      <c r="K66">
        <v>0</v>
      </c>
      <c r="L66">
        <v>2710</v>
      </c>
      <c r="M66">
        <v>1680780</v>
      </c>
      <c r="N66">
        <v>0</v>
      </c>
      <c r="O66">
        <v>17435</v>
      </c>
      <c r="Q66">
        <v>0</v>
      </c>
      <c r="R66">
        <v>0</v>
      </c>
      <c r="S66">
        <v>43577</v>
      </c>
      <c r="T66">
        <v>0</v>
      </c>
      <c r="X66">
        <v>108307</v>
      </c>
      <c r="Y66">
        <v>0</v>
      </c>
      <c r="Z66">
        <v>454863</v>
      </c>
      <c r="AA66">
        <v>0</v>
      </c>
      <c r="AC66">
        <v>85889</v>
      </c>
      <c r="AD66">
        <v>29234</v>
      </c>
      <c r="AE66">
        <v>74274</v>
      </c>
      <c r="AF66">
        <v>500</v>
      </c>
      <c r="AG66">
        <v>1492</v>
      </c>
      <c r="AH66">
        <v>93276</v>
      </c>
      <c r="AI66">
        <v>0</v>
      </c>
      <c r="AJ66">
        <v>0</v>
      </c>
      <c r="AK66">
        <v>0</v>
      </c>
      <c r="AL66">
        <v>200</v>
      </c>
      <c r="AM66">
        <v>71378</v>
      </c>
      <c r="AN66">
        <v>287</v>
      </c>
      <c r="AO66">
        <v>1386051</v>
      </c>
      <c r="AP66">
        <v>0</v>
      </c>
      <c r="AQ66">
        <v>0</v>
      </c>
      <c r="AR66">
        <v>2368</v>
      </c>
      <c r="AS66">
        <v>1331318</v>
      </c>
      <c r="AT66">
        <v>6698</v>
      </c>
      <c r="AU66">
        <v>68901</v>
      </c>
      <c r="AV66">
        <v>0</v>
      </c>
      <c r="AW66">
        <v>19469</v>
      </c>
      <c r="AY66">
        <v>0</v>
      </c>
      <c r="AZ66">
        <v>111730</v>
      </c>
      <c r="BA66">
        <v>0</v>
      </c>
      <c r="BB66">
        <v>4451</v>
      </c>
      <c r="BC66">
        <v>0</v>
      </c>
      <c r="BD66">
        <v>105672</v>
      </c>
      <c r="BE66">
        <v>6701</v>
      </c>
      <c r="BF66">
        <v>164760</v>
      </c>
      <c r="BH66">
        <v>0</v>
      </c>
      <c r="BI66">
        <v>2122</v>
      </c>
      <c r="BJ66">
        <v>202036</v>
      </c>
      <c r="BK66">
        <v>51758</v>
      </c>
      <c r="BL66">
        <v>2104424</v>
      </c>
      <c r="BM66">
        <v>0</v>
      </c>
      <c r="BN66">
        <v>59959</v>
      </c>
      <c r="BO66">
        <v>3621</v>
      </c>
      <c r="BQ66">
        <v>0</v>
      </c>
      <c r="BS66">
        <v>177596</v>
      </c>
      <c r="BT66">
        <v>330728</v>
      </c>
      <c r="BV66" s="180">
        <v>7734</v>
      </c>
    </row>
    <row r="67" spans="1:74" x14ac:dyDescent="0.3">
      <c r="A67">
        <v>351</v>
      </c>
      <c r="B67" t="s">
        <v>223</v>
      </c>
      <c r="D67">
        <v>190692</v>
      </c>
      <c r="E67">
        <v>29279746</v>
      </c>
      <c r="H67">
        <v>0</v>
      </c>
      <c r="I67">
        <v>0</v>
      </c>
      <c r="J67">
        <v>0</v>
      </c>
      <c r="K67">
        <v>0</v>
      </c>
      <c r="L67">
        <v>99952</v>
      </c>
      <c r="M67">
        <v>259070</v>
      </c>
      <c r="N67">
        <v>0</v>
      </c>
      <c r="O67">
        <v>807</v>
      </c>
      <c r="Q67">
        <v>0</v>
      </c>
      <c r="R67">
        <v>0</v>
      </c>
      <c r="S67">
        <v>30693</v>
      </c>
      <c r="T67">
        <v>0</v>
      </c>
      <c r="X67">
        <v>0</v>
      </c>
      <c r="Y67">
        <v>0</v>
      </c>
      <c r="Z67">
        <v>96098</v>
      </c>
      <c r="AA67">
        <v>0</v>
      </c>
      <c r="AC67">
        <v>0</v>
      </c>
      <c r="AD67">
        <v>0</v>
      </c>
      <c r="AE67">
        <v>0</v>
      </c>
      <c r="AF67">
        <v>0</v>
      </c>
      <c r="AG67">
        <v>27229</v>
      </c>
      <c r="AH67">
        <v>566837</v>
      </c>
      <c r="AI67">
        <v>0</v>
      </c>
      <c r="AJ67">
        <v>0</v>
      </c>
      <c r="AK67">
        <v>0</v>
      </c>
      <c r="AL67">
        <v>59436</v>
      </c>
      <c r="AM67">
        <v>37585</v>
      </c>
      <c r="AN67">
        <v>0</v>
      </c>
      <c r="AO67">
        <v>1538077</v>
      </c>
      <c r="AP67">
        <v>51217</v>
      </c>
      <c r="AQ67">
        <v>0</v>
      </c>
      <c r="AR67">
        <v>0</v>
      </c>
      <c r="AS67">
        <v>1894070</v>
      </c>
      <c r="AT67">
        <v>0</v>
      </c>
      <c r="AU67">
        <v>6005</v>
      </c>
      <c r="AV67">
        <v>7372</v>
      </c>
      <c r="AW67">
        <v>6547</v>
      </c>
      <c r="AY67">
        <v>0</v>
      </c>
      <c r="AZ67">
        <v>58465</v>
      </c>
      <c r="BA67">
        <v>1359</v>
      </c>
      <c r="BB67">
        <v>0</v>
      </c>
      <c r="BC67">
        <v>0</v>
      </c>
      <c r="BD67">
        <v>5991257</v>
      </c>
      <c r="BE67">
        <v>61659</v>
      </c>
      <c r="BF67">
        <v>730461</v>
      </c>
      <c r="BH67">
        <v>0</v>
      </c>
      <c r="BI67">
        <v>0</v>
      </c>
      <c r="BJ67">
        <v>90944</v>
      </c>
      <c r="BK67">
        <v>280</v>
      </c>
      <c r="BL67">
        <v>8926</v>
      </c>
      <c r="BM67">
        <v>0</v>
      </c>
      <c r="BN67">
        <v>127644</v>
      </c>
      <c r="BO67">
        <v>40548</v>
      </c>
      <c r="BQ67">
        <v>0</v>
      </c>
      <c r="BS67">
        <v>0</v>
      </c>
      <c r="BT67">
        <v>11547</v>
      </c>
      <c r="BV67" s="180">
        <v>7522</v>
      </c>
    </row>
    <row r="68" spans="1:74" x14ac:dyDescent="0.3">
      <c r="A68">
        <v>352</v>
      </c>
      <c r="B68" t="s">
        <v>225</v>
      </c>
      <c r="D68">
        <v>83249</v>
      </c>
      <c r="E68">
        <v>0</v>
      </c>
      <c r="H68">
        <v>0</v>
      </c>
      <c r="I68">
        <v>0</v>
      </c>
      <c r="J68">
        <v>0</v>
      </c>
      <c r="K68">
        <v>0</v>
      </c>
      <c r="L68">
        <v>4332</v>
      </c>
      <c r="M68">
        <v>0</v>
      </c>
      <c r="N68">
        <v>0</v>
      </c>
      <c r="O68">
        <v>54305</v>
      </c>
      <c r="Q68">
        <v>0</v>
      </c>
      <c r="R68">
        <v>0</v>
      </c>
      <c r="S68">
        <v>0</v>
      </c>
      <c r="T68">
        <v>0</v>
      </c>
      <c r="X68">
        <v>491900</v>
      </c>
      <c r="Y68">
        <v>0</v>
      </c>
      <c r="Z68">
        <v>0</v>
      </c>
      <c r="AA68">
        <v>0</v>
      </c>
      <c r="AC68">
        <v>0</v>
      </c>
      <c r="AD68">
        <v>0</v>
      </c>
      <c r="AE68">
        <v>0</v>
      </c>
      <c r="AF68">
        <v>98000</v>
      </c>
      <c r="AG68">
        <v>0</v>
      </c>
      <c r="AH68">
        <v>0</v>
      </c>
      <c r="AI68">
        <v>0</v>
      </c>
      <c r="AJ68">
        <v>0</v>
      </c>
      <c r="AK68">
        <v>0</v>
      </c>
      <c r="AL68">
        <v>14107</v>
      </c>
      <c r="AM68">
        <v>0</v>
      </c>
      <c r="AN68">
        <v>0</v>
      </c>
      <c r="AO68">
        <v>0</v>
      </c>
      <c r="AP68">
        <v>0</v>
      </c>
      <c r="AQ68">
        <v>0</v>
      </c>
      <c r="AR68">
        <v>0</v>
      </c>
      <c r="AS68">
        <v>649600</v>
      </c>
      <c r="AT68">
        <v>2624</v>
      </c>
      <c r="AU68">
        <v>272801</v>
      </c>
      <c r="AV68">
        <v>0</v>
      </c>
      <c r="AW68">
        <v>0</v>
      </c>
      <c r="AY68">
        <v>0</v>
      </c>
      <c r="AZ68">
        <v>0</v>
      </c>
      <c r="BA68">
        <v>0</v>
      </c>
      <c r="BB68">
        <v>0</v>
      </c>
      <c r="BC68">
        <v>29825</v>
      </c>
      <c r="BD68">
        <v>286974</v>
      </c>
      <c r="BE68">
        <v>290688</v>
      </c>
      <c r="BF68">
        <v>4498586</v>
      </c>
      <c r="BH68">
        <v>0</v>
      </c>
      <c r="BI68">
        <v>0</v>
      </c>
      <c r="BJ68">
        <v>0</v>
      </c>
      <c r="BK68">
        <v>100935</v>
      </c>
      <c r="BL68">
        <v>753522</v>
      </c>
      <c r="BM68">
        <v>0</v>
      </c>
      <c r="BN68">
        <v>0</v>
      </c>
      <c r="BO68">
        <v>0</v>
      </c>
      <c r="BQ68">
        <v>0</v>
      </c>
      <c r="BS68">
        <v>88830</v>
      </c>
      <c r="BT68">
        <v>15000</v>
      </c>
      <c r="BV68" s="180">
        <v>364106</v>
      </c>
    </row>
    <row r="69" spans="1:74" x14ac:dyDescent="0.3">
      <c r="A69">
        <v>353</v>
      </c>
      <c r="B69" t="s">
        <v>226</v>
      </c>
      <c r="D69">
        <v>0</v>
      </c>
      <c r="E69">
        <v>50000</v>
      </c>
      <c r="H69">
        <v>0</v>
      </c>
      <c r="I69">
        <v>0</v>
      </c>
      <c r="J69">
        <v>0</v>
      </c>
      <c r="K69">
        <v>0</v>
      </c>
      <c r="L69">
        <v>0</v>
      </c>
      <c r="M69">
        <v>0</v>
      </c>
      <c r="N69">
        <v>0</v>
      </c>
      <c r="O69">
        <v>0</v>
      </c>
      <c r="Q69">
        <v>0</v>
      </c>
      <c r="R69">
        <v>0</v>
      </c>
      <c r="S69">
        <v>1031758</v>
      </c>
      <c r="T69">
        <v>0</v>
      </c>
      <c r="X69">
        <v>0</v>
      </c>
      <c r="Y69">
        <v>0</v>
      </c>
      <c r="Z69">
        <v>0</v>
      </c>
      <c r="AA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Y69">
        <v>0</v>
      </c>
      <c r="AZ69">
        <v>0</v>
      </c>
      <c r="BA69">
        <v>0</v>
      </c>
      <c r="BB69">
        <v>3250</v>
      </c>
      <c r="BC69">
        <v>0</v>
      </c>
      <c r="BD69">
        <v>0</v>
      </c>
      <c r="BE69">
        <v>0</v>
      </c>
      <c r="BF69">
        <v>10000</v>
      </c>
      <c r="BH69">
        <v>0</v>
      </c>
      <c r="BI69">
        <v>0</v>
      </c>
      <c r="BJ69">
        <v>117640</v>
      </c>
      <c r="BK69">
        <v>0</v>
      </c>
      <c r="BL69">
        <v>10500</v>
      </c>
      <c r="BM69">
        <v>0</v>
      </c>
      <c r="BN69">
        <v>0</v>
      </c>
      <c r="BO69">
        <v>0</v>
      </c>
      <c r="BQ69">
        <v>0</v>
      </c>
      <c r="BS69">
        <v>0</v>
      </c>
      <c r="BT69">
        <v>0</v>
      </c>
      <c r="BV69" s="180">
        <v>0</v>
      </c>
    </row>
    <row r="70" spans="1:74" x14ac:dyDescent="0.3">
      <c r="A70">
        <v>356</v>
      </c>
      <c r="B70" t="s">
        <v>305</v>
      </c>
      <c r="D70">
        <v>0</v>
      </c>
      <c r="E70">
        <v>0</v>
      </c>
      <c r="H70">
        <v>0</v>
      </c>
      <c r="I70">
        <v>0</v>
      </c>
      <c r="J70">
        <v>0</v>
      </c>
      <c r="K70">
        <v>0</v>
      </c>
      <c r="L70">
        <v>3967260</v>
      </c>
      <c r="M70">
        <v>0</v>
      </c>
      <c r="N70">
        <v>0</v>
      </c>
      <c r="O70">
        <v>0</v>
      </c>
      <c r="Q70">
        <v>0</v>
      </c>
      <c r="R70">
        <v>0</v>
      </c>
      <c r="S70">
        <v>0</v>
      </c>
      <c r="T70">
        <v>0</v>
      </c>
      <c r="X70">
        <v>0</v>
      </c>
      <c r="Y70">
        <v>0</v>
      </c>
      <c r="Z70">
        <v>94192004</v>
      </c>
      <c r="AA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1952627</v>
      </c>
      <c r="AW70">
        <v>0</v>
      </c>
      <c r="AY70">
        <v>0</v>
      </c>
      <c r="AZ70">
        <v>8322157</v>
      </c>
      <c r="BA70">
        <v>0</v>
      </c>
      <c r="BB70">
        <v>0</v>
      </c>
      <c r="BC70">
        <v>0</v>
      </c>
      <c r="BD70">
        <v>0</v>
      </c>
      <c r="BE70">
        <v>3265685</v>
      </c>
      <c r="BF70">
        <v>36003641</v>
      </c>
      <c r="BH70">
        <v>0</v>
      </c>
      <c r="BI70">
        <v>0</v>
      </c>
      <c r="BJ70">
        <v>19410759</v>
      </c>
      <c r="BK70">
        <v>0</v>
      </c>
      <c r="BL70">
        <v>0</v>
      </c>
      <c r="BM70">
        <v>0</v>
      </c>
      <c r="BN70">
        <v>18102788</v>
      </c>
      <c r="BO70">
        <v>0</v>
      </c>
      <c r="BQ70">
        <v>0</v>
      </c>
      <c r="BS70">
        <v>0</v>
      </c>
      <c r="BT70">
        <v>0</v>
      </c>
      <c r="BV70" s="180">
        <v>0</v>
      </c>
    </row>
    <row r="71" spans="1:74" x14ac:dyDescent="0.3">
      <c r="A71">
        <v>357</v>
      </c>
      <c r="B71" t="s">
        <v>306</v>
      </c>
      <c r="D71">
        <v>0</v>
      </c>
      <c r="E71">
        <v>0</v>
      </c>
      <c r="H71">
        <v>0</v>
      </c>
      <c r="I71">
        <v>0</v>
      </c>
      <c r="J71">
        <v>0</v>
      </c>
      <c r="K71">
        <v>0</v>
      </c>
      <c r="L71">
        <v>3270348</v>
      </c>
      <c r="M71">
        <v>0</v>
      </c>
      <c r="N71">
        <v>0</v>
      </c>
      <c r="O71">
        <v>0</v>
      </c>
      <c r="Q71">
        <v>0</v>
      </c>
      <c r="R71">
        <v>0</v>
      </c>
      <c r="S71">
        <v>0</v>
      </c>
      <c r="T71">
        <v>0</v>
      </c>
      <c r="X71">
        <v>0</v>
      </c>
      <c r="Y71">
        <v>0</v>
      </c>
      <c r="Z71">
        <v>42107230</v>
      </c>
      <c r="AA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1712269</v>
      </c>
      <c r="AW71">
        <v>0</v>
      </c>
      <c r="AY71">
        <v>0</v>
      </c>
      <c r="AZ71">
        <v>7259901</v>
      </c>
      <c r="BA71">
        <v>0</v>
      </c>
      <c r="BB71">
        <v>0</v>
      </c>
      <c r="BC71">
        <v>0</v>
      </c>
      <c r="BD71">
        <v>0</v>
      </c>
      <c r="BE71">
        <v>2801027</v>
      </c>
      <c r="BF71">
        <v>16287959</v>
      </c>
      <c r="BH71">
        <v>0</v>
      </c>
      <c r="BI71">
        <v>0</v>
      </c>
      <c r="BJ71">
        <v>11294186</v>
      </c>
      <c r="BK71">
        <v>0</v>
      </c>
      <c r="BL71">
        <v>0</v>
      </c>
      <c r="BM71">
        <v>0</v>
      </c>
      <c r="BN71">
        <v>6123218</v>
      </c>
      <c r="BO71">
        <v>0</v>
      </c>
      <c r="BQ71">
        <v>0</v>
      </c>
      <c r="BS71">
        <v>0</v>
      </c>
      <c r="BT71">
        <v>0</v>
      </c>
      <c r="BV71" s="180">
        <v>0</v>
      </c>
    </row>
    <row r="72" spans="1:74" x14ac:dyDescent="0.3">
      <c r="A72">
        <v>359</v>
      </c>
      <c r="B72" t="s">
        <v>247</v>
      </c>
      <c r="D72">
        <v>0</v>
      </c>
      <c r="E72">
        <v>0</v>
      </c>
      <c r="H72">
        <v>0</v>
      </c>
      <c r="I72">
        <v>0</v>
      </c>
      <c r="J72">
        <v>0</v>
      </c>
      <c r="K72">
        <v>0</v>
      </c>
      <c r="L72">
        <v>322260</v>
      </c>
      <c r="M72">
        <v>0</v>
      </c>
      <c r="N72">
        <v>0</v>
      </c>
      <c r="O72">
        <v>0</v>
      </c>
      <c r="Q72">
        <v>0</v>
      </c>
      <c r="R72">
        <v>0</v>
      </c>
      <c r="S72">
        <v>0</v>
      </c>
      <c r="T72">
        <v>0</v>
      </c>
      <c r="X72">
        <v>0</v>
      </c>
      <c r="Y72">
        <v>0</v>
      </c>
      <c r="Z72">
        <v>5002493</v>
      </c>
      <c r="AA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Y72">
        <v>0</v>
      </c>
      <c r="AZ72">
        <v>23078</v>
      </c>
      <c r="BA72">
        <v>0</v>
      </c>
      <c r="BB72">
        <v>0</v>
      </c>
      <c r="BC72">
        <v>0</v>
      </c>
      <c r="BD72">
        <v>0</v>
      </c>
      <c r="BE72">
        <v>134850</v>
      </c>
      <c r="BF72">
        <v>2205599</v>
      </c>
      <c r="BH72">
        <v>0</v>
      </c>
      <c r="BI72">
        <v>0</v>
      </c>
      <c r="BJ72">
        <v>1573434</v>
      </c>
      <c r="BK72">
        <v>0</v>
      </c>
      <c r="BL72">
        <v>0</v>
      </c>
      <c r="BM72">
        <v>0</v>
      </c>
      <c r="BN72">
        <v>14457</v>
      </c>
      <c r="BO72">
        <v>0</v>
      </c>
      <c r="BQ72">
        <v>0</v>
      </c>
      <c r="BS72">
        <v>0</v>
      </c>
      <c r="BT72">
        <v>0</v>
      </c>
      <c r="BV72" s="180">
        <v>0</v>
      </c>
    </row>
    <row r="73" spans="1:74" x14ac:dyDescent="0.3">
      <c r="A73">
        <v>360</v>
      </c>
      <c r="B73" t="s">
        <v>117</v>
      </c>
      <c r="D73">
        <v>0</v>
      </c>
      <c r="E73">
        <v>0</v>
      </c>
      <c r="H73">
        <v>0</v>
      </c>
      <c r="I73">
        <v>0</v>
      </c>
      <c r="J73">
        <v>0</v>
      </c>
      <c r="K73">
        <v>0</v>
      </c>
      <c r="L73">
        <v>1408377</v>
      </c>
      <c r="M73">
        <v>0</v>
      </c>
      <c r="N73">
        <v>0</v>
      </c>
      <c r="O73">
        <v>0</v>
      </c>
      <c r="Q73">
        <v>0</v>
      </c>
      <c r="R73">
        <v>0</v>
      </c>
      <c r="S73">
        <v>0</v>
      </c>
      <c r="T73">
        <v>0</v>
      </c>
      <c r="X73">
        <v>0</v>
      </c>
      <c r="Y73">
        <v>0</v>
      </c>
      <c r="Z73">
        <v>22123069</v>
      </c>
      <c r="AA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521975</v>
      </c>
      <c r="AW73">
        <v>0</v>
      </c>
      <c r="AY73">
        <v>0</v>
      </c>
      <c r="AZ73">
        <v>2745580</v>
      </c>
      <c r="BA73">
        <v>0</v>
      </c>
      <c r="BB73">
        <v>0</v>
      </c>
      <c r="BC73">
        <v>0</v>
      </c>
      <c r="BD73">
        <v>0</v>
      </c>
      <c r="BE73">
        <v>661741</v>
      </c>
      <c r="BF73">
        <v>6025922</v>
      </c>
      <c r="BH73">
        <v>0</v>
      </c>
      <c r="BI73">
        <v>0</v>
      </c>
      <c r="BJ73">
        <v>5974029</v>
      </c>
      <c r="BK73">
        <v>0</v>
      </c>
      <c r="BL73">
        <v>0</v>
      </c>
      <c r="BM73">
        <v>0</v>
      </c>
      <c r="BN73">
        <v>1644070</v>
      </c>
      <c r="BO73">
        <v>0</v>
      </c>
      <c r="BQ73">
        <v>0</v>
      </c>
      <c r="BS73">
        <v>0</v>
      </c>
      <c r="BT73">
        <v>0</v>
      </c>
      <c r="BV73" s="180">
        <v>0</v>
      </c>
    </row>
    <row r="74" spans="1:74" x14ac:dyDescent="0.3">
      <c r="A74">
        <v>361</v>
      </c>
      <c r="B74" t="s">
        <v>98</v>
      </c>
      <c r="D74">
        <v>0</v>
      </c>
      <c r="E74">
        <v>0</v>
      </c>
      <c r="H74">
        <v>0</v>
      </c>
      <c r="I74">
        <v>0</v>
      </c>
      <c r="J74">
        <v>0</v>
      </c>
      <c r="K74">
        <v>0</v>
      </c>
      <c r="L74">
        <v>1054318</v>
      </c>
      <c r="M74">
        <v>0</v>
      </c>
      <c r="N74">
        <v>0</v>
      </c>
      <c r="O74">
        <v>0</v>
      </c>
      <c r="Q74">
        <v>0</v>
      </c>
      <c r="R74">
        <v>0</v>
      </c>
      <c r="S74">
        <v>0</v>
      </c>
      <c r="T74">
        <v>0</v>
      </c>
      <c r="X74">
        <v>0</v>
      </c>
      <c r="Y74">
        <v>0</v>
      </c>
      <c r="Z74">
        <v>31730216</v>
      </c>
      <c r="AA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2576941</v>
      </c>
      <c r="AW74">
        <v>0</v>
      </c>
      <c r="AY74">
        <v>0</v>
      </c>
      <c r="AZ74">
        <v>2086277</v>
      </c>
      <c r="BA74">
        <v>0</v>
      </c>
      <c r="BB74">
        <v>0</v>
      </c>
      <c r="BC74">
        <v>0</v>
      </c>
      <c r="BD74">
        <v>0</v>
      </c>
      <c r="BE74">
        <v>2661170</v>
      </c>
      <c r="BF74">
        <v>13375341</v>
      </c>
      <c r="BH74">
        <v>0</v>
      </c>
      <c r="BI74">
        <v>0</v>
      </c>
      <c r="BJ74">
        <v>11871874</v>
      </c>
      <c r="BK74">
        <v>0</v>
      </c>
      <c r="BL74">
        <v>0</v>
      </c>
      <c r="BM74">
        <v>0</v>
      </c>
      <c r="BN74">
        <v>5764272</v>
      </c>
      <c r="BO74">
        <v>0</v>
      </c>
      <c r="BQ74">
        <v>0</v>
      </c>
      <c r="BS74">
        <v>0</v>
      </c>
      <c r="BT74">
        <v>0</v>
      </c>
      <c r="BV74" s="180">
        <v>0</v>
      </c>
    </row>
    <row r="75" spans="1:74" x14ac:dyDescent="0.3">
      <c r="A75">
        <v>362</v>
      </c>
      <c r="B75" t="s">
        <v>99</v>
      </c>
      <c r="D75">
        <v>0</v>
      </c>
      <c r="E75">
        <v>0</v>
      </c>
      <c r="H75">
        <v>0</v>
      </c>
      <c r="I75">
        <v>0</v>
      </c>
      <c r="J75">
        <v>0</v>
      </c>
      <c r="K75">
        <v>0</v>
      </c>
      <c r="L75">
        <v>1512563</v>
      </c>
      <c r="M75">
        <v>0</v>
      </c>
      <c r="N75">
        <v>0</v>
      </c>
      <c r="O75">
        <v>0</v>
      </c>
      <c r="Q75">
        <v>0</v>
      </c>
      <c r="R75">
        <v>0</v>
      </c>
      <c r="S75">
        <v>0</v>
      </c>
      <c r="T75">
        <v>0</v>
      </c>
      <c r="X75">
        <v>0</v>
      </c>
      <c r="Y75">
        <v>0</v>
      </c>
      <c r="Z75">
        <v>82919378</v>
      </c>
      <c r="AA75">
        <v>0</v>
      </c>
      <c r="AC75">
        <v>0</v>
      </c>
      <c r="AD75">
        <v>0</v>
      </c>
      <c r="AE75">
        <v>0</v>
      </c>
      <c r="AF75">
        <v>0</v>
      </c>
      <c r="AG75">
        <v>0</v>
      </c>
      <c r="AH75">
        <v>0</v>
      </c>
      <c r="AI75">
        <v>0</v>
      </c>
      <c r="AJ75">
        <v>0</v>
      </c>
      <c r="AK75">
        <v>0</v>
      </c>
      <c r="AL75">
        <v>0</v>
      </c>
      <c r="AM75">
        <v>0</v>
      </c>
      <c r="AN75">
        <v>0</v>
      </c>
      <c r="AO75">
        <v>0</v>
      </c>
      <c r="AP75">
        <v>0</v>
      </c>
      <c r="AQ75">
        <v>0</v>
      </c>
      <c r="AR75">
        <v>0</v>
      </c>
      <c r="AS75">
        <v>0</v>
      </c>
      <c r="AT75">
        <v>0</v>
      </c>
      <c r="AU75">
        <v>0</v>
      </c>
      <c r="AV75">
        <v>2828842</v>
      </c>
      <c r="AW75">
        <v>0</v>
      </c>
      <c r="AY75">
        <v>0</v>
      </c>
      <c r="AZ75">
        <v>3961443</v>
      </c>
      <c r="BA75">
        <v>0</v>
      </c>
      <c r="BB75">
        <v>0</v>
      </c>
      <c r="BC75">
        <v>0</v>
      </c>
      <c r="BD75">
        <v>0</v>
      </c>
      <c r="BE75">
        <v>3037187</v>
      </c>
      <c r="BF75">
        <v>37040551</v>
      </c>
      <c r="BH75">
        <v>0</v>
      </c>
      <c r="BI75">
        <v>0</v>
      </c>
      <c r="BJ75">
        <v>20374567</v>
      </c>
      <c r="BK75">
        <v>0</v>
      </c>
      <c r="BL75">
        <v>0</v>
      </c>
      <c r="BM75">
        <v>0</v>
      </c>
      <c r="BN75">
        <v>17743788</v>
      </c>
      <c r="BO75">
        <v>0</v>
      </c>
      <c r="BQ75">
        <v>0</v>
      </c>
      <c r="BS75">
        <v>0</v>
      </c>
      <c r="BT75">
        <v>0</v>
      </c>
      <c r="BV75" s="180">
        <v>0</v>
      </c>
    </row>
    <row r="76" spans="1:74" x14ac:dyDescent="0.3">
      <c r="A76">
        <v>363</v>
      </c>
      <c r="B76" t="s">
        <v>233</v>
      </c>
      <c r="D76">
        <v>0</v>
      </c>
      <c r="E76">
        <v>0</v>
      </c>
      <c r="H76">
        <v>0</v>
      </c>
      <c r="I76">
        <v>0</v>
      </c>
      <c r="J76">
        <v>0</v>
      </c>
      <c r="K76">
        <v>0</v>
      </c>
      <c r="L76">
        <v>13484</v>
      </c>
      <c r="M76">
        <v>0</v>
      </c>
      <c r="N76">
        <v>0</v>
      </c>
      <c r="O76">
        <v>0</v>
      </c>
      <c r="Q76">
        <v>0</v>
      </c>
      <c r="R76">
        <v>0</v>
      </c>
      <c r="S76">
        <v>0</v>
      </c>
      <c r="T76">
        <v>0</v>
      </c>
      <c r="X76">
        <v>0</v>
      </c>
      <c r="Y76">
        <v>0</v>
      </c>
      <c r="Z76">
        <v>1346443</v>
      </c>
      <c r="AA76">
        <v>0</v>
      </c>
      <c r="AC76">
        <v>0</v>
      </c>
      <c r="AD76">
        <v>0</v>
      </c>
      <c r="AE76">
        <v>0</v>
      </c>
      <c r="AF76">
        <v>0</v>
      </c>
      <c r="AG76">
        <v>0</v>
      </c>
      <c r="AH76">
        <v>0</v>
      </c>
      <c r="AI76">
        <v>0</v>
      </c>
      <c r="AJ76">
        <v>0</v>
      </c>
      <c r="AK76">
        <v>0</v>
      </c>
      <c r="AL76">
        <v>0</v>
      </c>
      <c r="AM76">
        <v>0</v>
      </c>
      <c r="AN76">
        <v>0</v>
      </c>
      <c r="AO76">
        <v>0</v>
      </c>
      <c r="AP76">
        <v>0</v>
      </c>
      <c r="AQ76">
        <v>0</v>
      </c>
      <c r="AR76">
        <v>0</v>
      </c>
      <c r="AS76">
        <v>0</v>
      </c>
      <c r="AT76">
        <v>0</v>
      </c>
      <c r="AU76">
        <v>0</v>
      </c>
      <c r="AV76">
        <v>5990</v>
      </c>
      <c r="AW76">
        <v>0</v>
      </c>
      <c r="AY76">
        <v>0</v>
      </c>
      <c r="AZ76">
        <v>52466</v>
      </c>
      <c r="BA76">
        <v>0</v>
      </c>
      <c r="BB76">
        <v>0</v>
      </c>
      <c r="BC76">
        <v>0</v>
      </c>
      <c r="BD76">
        <v>0</v>
      </c>
      <c r="BE76">
        <v>5471</v>
      </c>
      <c r="BF76">
        <v>92586</v>
      </c>
      <c r="BH76">
        <v>0</v>
      </c>
      <c r="BI76">
        <v>0</v>
      </c>
      <c r="BJ76">
        <v>157356</v>
      </c>
      <c r="BK76">
        <v>0</v>
      </c>
      <c r="BL76">
        <v>0</v>
      </c>
      <c r="BM76">
        <v>0</v>
      </c>
      <c r="BN76">
        <v>60099</v>
      </c>
      <c r="BO76">
        <v>0</v>
      </c>
      <c r="BQ76">
        <v>0</v>
      </c>
      <c r="BS76">
        <v>0</v>
      </c>
      <c r="BT76">
        <v>0</v>
      </c>
      <c r="BV76" s="180">
        <v>0</v>
      </c>
    </row>
    <row r="77" spans="1:74" x14ac:dyDescent="0.3">
      <c r="A77">
        <v>364</v>
      </c>
      <c r="B77" t="s">
        <v>234</v>
      </c>
      <c r="D77">
        <v>0</v>
      </c>
      <c r="E77">
        <v>0</v>
      </c>
      <c r="H77">
        <v>0</v>
      </c>
      <c r="I77">
        <v>0</v>
      </c>
      <c r="J77">
        <v>0</v>
      </c>
      <c r="K77">
        <v>0</v>
      </c>
      <c r="L77">
        <v>64831</v>
      </c>
      <c r="M77">
        <v>0</v>
      </c>
      <c r="N77">
        <v>0</v>
      </c>
      <c r="O77">
        <v>0</v>
      </c>
      <c r="Q77">
        <v>0</v>
      </c>
      <c r="R77">
        <v>0</v>
      </c>
      <c r="S77">
        <v>0</v>
      </c>
      <c r="T77">
        <v>0</v>
      </c>
      <c r="X77">
        <v>0</v>
      </c>
      <c r="Y77">
        <v>0</v>
      </c>
      <c r="Z77">
        <v>79908</v>
      </c>
      <c r="AA77">
        <v>0</v>
      </c>
      <c r="AC77">
        <v>0</v>
      </c>
      <c r="AD77">
        <v>0</v>
      </c>
      <c r="AE77">
        <v>0</v>
      </c>
      <c r="AF77">
        <v>0</v>
      </c>
      <c r="AG77">
        <v>0</v>
      </c>
      <c r="AH77">
        <v>0</v>
      </c>
      <c r="AI77">
        <v>0</v>
      </c>
      <c r="AJ77">
        <v>0</v>
      </c>
      <c r="AK77">
        <v>0</v>
      </c>
      <c r="AL77">
        <v>0</v>
      </c>
      <c r="AM77">
        <v>0</v>
      </c>
      <c r="AN77">
        <v>0</v>
      </c>
      <c r="AO77">
        <v>0</v>
      </c>
      <c r="AP77">
        <v>0</v>
      </c>
      <c r="AQ77">
        <v>0</v>
      </c>
      <c r="AR77">
        <v>0</v>
      </c>
      <c r="AS77">
        <v>0</v>
      </c>
      <c r="AT77">
        <v>0</v>
      </c>
      <c r="AU77">
        <v>0</v>
      </c>
      <c r="AV77">
        <v>0</v>
      </c>
      <c r="AW77">
        <v>0</v>
      </c>
      <c r="AY77">
        <v>0</v>
      </c>
      <c r="AZ77">
        <v>112295</v>
      </c>
      <c r="BA77">
        <v>0</v>
      </c>
      <c r="BB77">
        <v>0</v>
      </c>
      <c r="BC77">
        <v>0</v>
      </c>
      <c r="BD77">
        <v>0</v>
      </c>
      <c r="BE77">
        <v>5505</v>
      </c>
      <c r="BF77">
        <v>46105</v>
      </c>
      <c r="BH77">
        <v>0</v>
      </c>
      <c r="BI77">
        <v>0</v>
      </c>
      <c r="BJ77">
        <v>46296</v>
      </c>
      <c r="BK77">
        <v>0</v>
      </c>
      <c r="BL77">
        <v>0</v>
      </c>
      <c r="BM77">
        <v>0</v>
      </c>
      <c r="BN77">
        <v>0</v>
      </c>
      <c r="BO77">
        <v>0</v>
      </c>
      <c r="BQ77">
        <v>0</v>
      </c>
      <c r="BS77">
        <v>0</v>
      </c>
      <c r="BT77">
        <v>0</v>
      </c>
      <c r="BV77" s="180">
        <v>0</v>
      </c>
    </row>
    <row r="78" spans="1:74" x14ac:dyDescent="0.3">
      <c r="A78">
        <v>365</v>
      </c>
      <c r="B78" t="s">
        <v>236</v>
      </c>
      <c r="D78">
        <v>0</v>
      </c>
      <c r="E78">
        <v>0</v>
      </c>
      <c r="H78">
        <v>0</v>
      </c>
      <c r="I78">
        <v>0</v>
      </c>
      <c r="J78">
        <v>0</v>
      </c>
      <c r="K78">
        <v>0</v>
      </c>
      <c r="L78">
        <v>0</v>
      </c>
      <c r="M78">
        <v>0</v>
      </c>
      <c r="N78">
        <v>0</v>
      </c>
      <c r="O78">
        <v>0</v>
      </c>
      <c r="Q78">
        <v>0</v>
      </c>
      <c r="R78">
        <v>0</v>
      </c>
      <c r="S78">
        <v>0</v>
      </c>
      <c r="T78">
        <v>0</v>
      </c>
      <c r="X78">
        <v>0</v>
      </c>
      <c r="Y78">
        <v>0</v>
      </c>
      <c r="Z78">
        <v>0</v>
      </c>
      <c r="AA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Y78">
        <v>0</v>
      </c>
      <c r="AZ78">
        <v>0</v>
      </c>
      <c r="BA78">
        <v>0</v>
      </c>
      <c r="BB78">
        <v>0</v>
      </c>
      <c r="BC78">
        <v>0</v>
      </c>
      <c r="BD78">
        <v>0</v>
      </c>
      <c r="BE78">
        <v>0</v>
      </c>
      <c r="BF78">
        <v>0</v>
      </c>
      <c r="BH78">
        <v>0</v>
      </c>
      <c r="BI78">
        <v>0</v>
      </c>
      <c r="BJ78">
        <v>0</v>
      </c>
      <c r="BK78">
        <v>0</v>
      </c>
      <c r="BL78">
        <v>0</v>
      </c>
      <c r="BM78">
        <v>0</v>
      </c>
      <c r="BN78">
        <v>0</v>
      </c>
      <c r="BO78">
        <v>0</v>
      </c>
      <c r="BQ78">
        <v>0</v>
      </c>
      <c r="BS78">
        <v>0</v>
      </c>
      <c r="BT78">
        <v>0</v>
      </c>
      <c r="BV78" s="180">
        <v>0</v>
      </c>
    </row>
    <row r="79" spans="1:74" x14ac:dyDescent="0.3">
      <c r="A79">
        <v>366</v>
      </c>
      <c r="B79" t="s">
        <v>885</v>
      </c>
      <c r="D79">
        <v>0</v>
      </c>
      <c r="E79">
        <v>0</v>
      </c>
      <c r="H79">
        <v>0</v>
      </c>
      <c r="I79">
        <v>0</v>
      </c>
      <c r="J79">
        <v>0</v>
      </c>
      <c r="K79">
        <v>0</v>
      </c>
      <c r="L79">
        <v>0</v>
      </c>
      <c r="M79">
        <v>0</v>
      </c>
      <c r="N79">
        <v>0</v>
      </c>
      <c r="O79">
        <v>0</v>
      </c>
      <c r="Q79">
        <v>0</v>
      </c>
      <c r="R79">
        <v>0</v>
      </c>
      <c r="S79">
        <v>0</v>
      </c>
      <c r="T79">
        <v>0</v>
      </c>
      <c r="X79">
        <v>0</v>
      </c>
      <c r="Y79">
        <v>0</v>
      </c>
      <c r="Z79">
        <v>2600000</v>
      </c>
      <c r="AA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61099</v>
      </c>
      <c r="AW79">
        <v>0</v>
      </c>
      <c r="AY79">
        <v>0</v>
      </c>
      <c r="AZ79">
        <v>195000</v>
      </c>
      <c r="BA79">
        <v>0</v>
      </c>
      <c r="BB79">
        <v>0</v>
      </c>
      <c r="BC79">
        <v>0</v>
      </c>
      <c r="BD79">
        <v>0</v>
      </c>
      <c r="BE79">
        <v>80000</v>
      </c>
      <c r="BF79">
        <v>1296438</v>
      </c>
      <c r="BH79">
        <v>0</v>
      </c>
      <c r="BI79">
        <v>0</v>
      </c>
      <c r="BJ79">
        <v>0</v>
      </c>
      <c r="BK79">
        <v>0</v>
      </c>
      <c r="BL79">
        <v>0</v>
      </c>
      <c r="BM79">
        <v>0</v>
      </c>
      <c r="BN79">
        <v>0</v>
      </c>
      <c r="BO79">
        <v>0</v>
      </c>
      <c r="BQ79">
        <v>0</v>
      </c>
      <c r="BS79">
        <v>0</v>
      </c>
      <c r="BT79">
        <v>0</v>
      </c>
      <c r="BV79" s="180">
        <v>0</v>
      </c>
    </row>
    <row r="80" spans="1:74" x14ac:dyDescent="0.3">
      <c r="A80">
        <v>368</v>
      </c>
      <c r="B80" t="s">
        <v>191</v>
      </c>
      <c r="D80">
        <v>0</v>
      </c>
      <c r="E80">
        <v>56362</v>
      </c>
      <c r="H80">
        <v>0</v>
      </c>
      <c r="I80">
        <v>0</v>
      </c>
      <c r="J80">
        <v>0</v>
      </c>
      <c r="K80">
        <v>0</v>
      </c>
      <c r="L80">
        <v>0</v>
      </c>
      <c r="M80">
        <v>0</v>
      </c>
      <c r="N80">
        <v>0</v>
      </c>
      <c r="O80">
        <v>0</v>
      </c>
      <c r="Q80">
        <v>0</v>
      </c>
      <c r="R80">
        <v>0</v>
      </c>
      <c r="S80">
        <v>0</v>
      </c>
      <c r="T80">
        <v>0</v>
      </c>
      <c r="X80">
        <v>0</v>
      </c>
      <c r="Y80">
        <v>0</v>
      </c>
      <c r="Z80">
        <v>259701</v>
      </c>
      <c r="AA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Y80">
        <v>0</v>
      </c>
      <c r="AZ80">
        <v>0</v>
      </c>
      <c r="BA80">
        <v>0</v>
      </c>
      <c r="BB80">
        <v>0</v>
      </c>
      <c r="BC80">
        <v>0</v>
      </c>
      <c r="BD80">
        <v>0</v>
      </c>
      <c r="BE80">
        <v>0</v>
      </c>
      <c r="BF80">
        <v>0</v>
      </c>
      <c r="BH80">
        <v>0</v>
      </c>
      <c r="BI80">
        <v>0</v>
      </c>
      <c r="BJ80">
        <v>0</v>
      </c>
      <c r="BK80">
        <v>0</v>
      </c>
      <c r="BL80">
        <v>771700</v>
      </c>
      <c r="BM80">
        <v>0</v>
      </c>
      <c r="BN80">
        <v>2003</v>
      </c>
      <c r="BO80">
        <v>0</v>
      </c>
      <c r="BQ80">
        <v>0</v>
      </c>
      <c r="BS80">
        <v>0</v>
      </c>
      <c r="BT80">
        <v>0</v>
      </c>
      <c r="BV80" s="180">
        <v>0</v>
      </c>
    </row>
    <row r="81" spans="1:74" s="558" customFormat="1" x14ac:dyDescent="0.3">
      <c r="A81">
        <v>369</v>
      </c>
      <c r="B81" t="s">
        <v>196</v>
      </c>
      <c r="C81"/>
      <c r="D81">
        <v>2688067</v>
      </c>
      <c r="E81">
        <v>21887352</v>
      </c>
      <c r="F81"/>
      <c r="G81"/>
      <c r="H81">
        <v>1083984</v>
      </c>
      <c r="I81">
        <v>35996</v>
      </c>
      <c r="J81">
        <v>349917</v>
      </c>
      <c r="K81">
        <v>1286800</v>
      </c>
      <c r="L81">
        <v>1833342</v>
      </c>
      <c r="M81">
        <v>2814246</v>
      </c>
      <c r="N81">
        <v>182614</v>
      </c>
      <c r="O81">
        <v>133133</v>
      </c>
      <c r="P81"/>
      <c r="Q81">
        <v>295529</v>
      </c>
      <c r="R81">
        <v>771457</v>
      </c>
      <c r="S81">
        <v>1084956</v>
      </c>
      <c r="T81">
        <v>5778207</v>
      </c>
      <c r="U81"/>
      <c r="V81"/>
      <c r="W81"/>
      <c r="X81">
        <v>435827</v>
      </c>
      <c r="Y81">
        <v>1083654</v>
      </c>
      <c r="Z81">
        <v>27218105</v>
      </c>
      <c r="AA81">
        <v>1193500</v>
      </c>
      <c r="AB81"/>
      <c r="AC81">
        <v>134465</v>
      </c>
      <c r="AD81">
        <v>725294</v>
      </c>
      <c r="AE81">
        <v>946933</v>
      </c>
      <c r="AF81">
        <v>249821</v>
      </c>
      <c r="AG81">
        <v>306654</v>
      </c>
      <c r="AH81">
        <v>1789346</v>
      </c>
      <c r="AI81">
        <v>82350</v>
      </c>
      <c r="AJ81">
        <v>1789640</v>
      </c>
      <c r="AK81">
        <v>99474</v>
      </c>
      <c r="AL81">
        <v>257071</v>
      </c>
      <c r="AM81">
        <v>2647180</v>
      </c>
      <c r="AN81">
        <v>20676</v>
      </c>
      <c r="AO81">
        <v>18942803</v>
      </c>
      <c r="AP81">
        <v>734945</v>
      </c>
      <c r="AQ81">
        <v>228726</v>
      </c>
      <c r="AR81">
        <v>380544</v>
      </c>
      <c r="AS81">
        <v>4793779</v>
      </c>
      <c r="AT81">
        <v>94096</v>
      </c>
      <c r="AU81">
        <v>332207</v>
      </c>
      <c r="AV81">
        <v>1310466</v>
      </c>
      <c r="AW81">
        <v>250693</v>
      </c>
      <c r="AX81"/>
      <c r="AY81">
        <v>280472</v>
      </c>
      <c r="AZ81">
        <v>1074292</v>
      </c>
      <c r="BA81">
        <v>660865</v>
      </c>
      <c r="BB81">
        <v>20159</v>
      </c>
      <c r="BC81">
        <v>55265</v>
      </c>
      <c r="BD81">
        <v>1329059</v>
      </c>
      <c r="BE81">
        <v>596969</v>
      </c>
      <c r="BF81">
        <v>3418296</v>
      </c>
      <c r="BG81"/>
      <c r="BH81">
        <v>184760</v>
      </c>
      <c r="BI81">
        <v>84804</v>
      </c>
      <c r="BJ81">
        <v>5514319</v>
      </c>
      <c r="BK81">
        <v>601617</v>
      </c>
      <c r="BL81">
        <v>8092869</v>
      </c>
      <c r="BM81">
        <v>713926</v>
      </c>
      <c r="BN81">
        <v>4962142</v>
      </c>
      <c r="BO81">
        <v>1207024</v>
      </c>
      <c r="BP81"/>
      <c r="BQ81">
        <v>1636597</v>
      </c>
      <c r="BR81"/>
      <c r="BS81">
        <v>1020034</v>
      </c>
      <c r="BT81">
        <v>661699</v>
      </c>
      <c r="BU81"/>
      <c r="BV81" s="558">
        <v>1408798</v>
      </c>
    </row>
    <row r="82" spans="1:74" s="558" customFormat="1" x14ac:dyDescent="0.3">
      <c r="A82">
        <v>370</v>
      </c>
      <c r="B82" t="s">
        <v>198</v>
      </c>
      <c r="C82"/>
      <c r="D82">
        <v>468405</v>
      </c>
      <c r="E82">
        <v>59544719</v>
      </c>
      <c r="F82"/>
      <c r="G82"/>
      <c r="H82">
        <v>56895</v>
      </c>
      <c r="I82">
        <v>0</v>
      </c>
      <c r="J82">
        <v>0</v>
      </c>
      <c r="K82">
        <v>0</v>
      </c>
      <c r="L82">
        <v>187718</v>
      </c>
      <c r="M82">
        <v>612916</v>
      </c>
      <c r="N82">
        <v>0</v>
      </c>
      <c r="O82">
        <v>17567</v>
      </c>
      <c r="P82"/>
      <c r="Q82">
        <v>0</v>
      </c>
      <c r="R82">
        <v>29926</v>
      </c>
      <c r="S82">
        <v>0</v>
      </c>
      <c r="T82">
        <v>1404800</v>
      </c>
      <c r="U82"/>
      <c r="V82"/>
      <c r="W82"/>
      <c r="X82">
        <v>428055</v>
      </c>
      <c r="Y82">
        <v>58567</v>
      </c>
      <c r="Z82">
        <v>6756128</v>
      </c>
      <c r="AA82">
        <v>484011</v>
      </c>
      <c r="AB82"/>
      <c r="AC82">
        <v>0</v>
      </c>
      <c r="AD82">
        <v>5039</v>
      </c>
      <c r="AE82">
        <v>33030</v>
      </c>
      <c r="AF82">
        <v>15553</v>
      </c>
      <c r="AG82">
        <v>8301</v>
      </c>
      <c r="AH82">
        <v>596491</v>
      </c>
      <c r="AI82">
        <v>0</v>
      </c>
      <c r="AJ82">
        <v>101938</v>
      </c>
      <c r="AK82">
        <v>0</v>
      </c>
      <c r="AL82">
        <v>53114</v>
      </c>
      <c r="AM82">
        <v>252320</v>
      </c>
      <c r="AN82">
        <v>0</v>
      </c>
      <c r="AO82">
        <v>1284982</v>
      </c>
      <c r="AP82">
        <v>34821</v>
      </c>
      <c r="AQ82">
        <v>0</v>
      </c>
      <c r="AR82">
        <v>20652</v>
      </c>
      <c r="AS82">
        <v>1486507</v>
      </c>
      <c r="AT82">
        <v>12304</v>
      </c>
      <c r="AU82">
        <v>0</v>
      </c>
      <c r="AV82">
        <v>0</v>
      </c>
      <c r="AW82">
        <v>26969</v>
      </c>
      <c r="AX82"/>
      <c r="AY82">
        <v>0</v>
      </c>
      <c r="AZ82">
        <v>274017</v>
      </c>
      <c r="BA82">
        <v>133512</v>
      </c>
      <c r="BB82">
        <v>0</v>
      </c>
      <c r="BC82">
        <v>0</v>
      </c>
      <c r="BD82">
        <v>834143</v>
      </c>
      <c r="BE82">
        <v>93972</v>
      </c>
      <c r="BF82">
        <v>2969588</v>
      </c>
      <c r="BG82"/>
      <c r="BH82">
        <v>0</v>
      </c>
      <c r="BI82">
        <v>0</v>
      </c>
      <c r="BJ82">
        <v>449297</v>
      </c>
      <c r="BK82">
        <v>0</v>
      </c>
      <c r="BL82">
        <v>1541117</v>
      </c>
      <c r="BM82">
        <v>1202939</v>
      </c>
      <c r="BN82">
        <v>552381</v>
      </c>
      <c r="BO82">
        <v>0</v>
      </c>
      <c r="BP82"/>
      <c r="BQ82">
        <v>161531</v>
      </c>
      <c r="BR82"/>
      <c r="BS82">
        <v>148687</v>
      </c>
      <c r="BT82">
        <v>76092</v>
      </c>
      <c r="BU82"/>
      <c r="BV82" s="558">
        <v>71934</v>
      </c>
    </row>
    <row r="83" spans="1:74" s="558" customFormat="1" x14ac:dyDescent="0.3">
      <c r="A83">
        <v>371</v>
      </c>
      <c r="B83" t="s">
        <v>248</v>
      </c>
      <c r="C83"/>
      <c r="D83">
        <v>0</v>
      </c>
      <c r="E83">
        <v>67539691</v>
      </c>
      <c r="F83"/>
      <c r="G83"/>
      <c r="H83">
        <v>0</v>
      </c>
      <c r="I83">
        <v>0</v>
      </c>
      <c r="J83">
        <v>0</v>
      </c>
      <c r="K83">
        <v>0</v>
      </c>
      <c r="L83">
        <v>0</v>
      </c>
      <c r="M83">
        <v>0</v>
      </c>
      <c r="N83">
        <v>0</v>
      </c>
      <c r="O83">
        <v>0</v>
      </c>
      <c r="P83"/>
      <c r="Q83">
        <v>0</v>
      </c>
      <c r="R83">
        <v>0</v>
      </c>
      <c r="S83">
        <v>0</v>
      </c>
      <c r="T83">
        <v>0</v>
      </c>
      <c r="U83"/>
      <c r="V83"/>
      <c r="W83"/>
      <c r="X83">
        <v>0</v>
      </c>
      <c r="Y83">
        <v>0</v>
      </c>
      <c r="Z83">
        <v>0</v>
      </c>
      <c r="AA83">
        <v>0</v>
      </c>
      <c r="AB83"/>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c r="AY83">
        <v>0</v>
      </c>
      <c r="AZ83">
        <v>0</v>
      </c>
      <c r="BA83">
        <v>0</v>
      </c>
      <c r="BB83">
        <v>0</v>
      </c>
      <c r="BC83">
        <v>0</v>
      </c>
      <c r="BD83">
        <v>0</v>
      </c>
      <c r="BE83">
        <v>0</v>
      </c>
      <c r="BF83">
        <v>0</v>
      </c>
      <c r="BG83"/>
      <c r="BH83">
        <v>0</v>
      </c>
      <c r="BI83">
        <v>0</v>
      </c>
      <c r="BJ83">
        <v>0</v>
      </c>
      <c r="BK83">
        <v>0</v>
      </c>
      <c r="BL83">
        <v>0</v>
      </c>
      <c r="BM83">
        <v>0</v>
      </c>
      <c r="BN83">
        <v>0</v>
      </c>
      <c r="BO83">
        <v>0</v>
      </c>
      <c r="BP83"/>
      <c r="BQ83">
        <v>0</v>
      </c>
      <c r="BR83"/>
      <c r="BS83">
        <v>0</v>
      </c>
      <c r="BT83">
        <v>0</v>
      </c>
      <c r="BU83"/>
      <c r="BV83" s="558">
        <v>0</v>
      </c>
    </row>
    <row r="84" spans="1:74" x14ac:dyDescent="0.3">
      <c r="A84">
        <v>373</v>
      </c>
      <c r="B84" t="s">
        <v>302</v>
      </c>
      <c r="D84">
        <v>6689490</v>
      </c>
      <c r="E84">
        <v>1153295278</v>
      </c>
      <c r="H84">
        <v>3510463</v>
      </c>
      <c r="I84">
        <v>12361</v>
      </c>
      <c r="J84">
        <v>133672</v>
      </c>
      <c r="K84">
        <v>2169964</v>
      </c>
      <c r="L84">
        <v>4770948</v>
      </c>
      <c r="M84">
        <v>56492612</v>
      </c>
      <c r="N84">
        <v>93659</v>
      </c>
      <c r="O84">
        <v>823807</v>
      </c>
      <c r="Q84">
        <v>499084</v>
      </c>
      <c r="R84">
        <v>909550</v>
      </c>
      <c r="S84">
        <v>2803025</v>
      </c>
      <c r="T84">
        <v>19599523</v>
      </c>
      <c r="X84">
        <v>15389027</v>
      </c>
      <c r="Y84">
        <v>2219634</v>
      </c>
      <c r="Z84">
        <v>118575393</v>
      </c>
      <c r="AA84">
        <v>16538496</v>
      </c>
      <c r="AC84">
        <v>754930</v>
      </c>
      <c r="AD84">
        <v>3114072</v>
      </c>
      <c r="AE84">
        <v>2180828</v>
      </c>
      <c r="AF84">
        <v>446512</v>
      </c>
      <c r="AG84">
        <v>1654879</v>
      </c>
      <c r="AH84">
        <v>14642109</v>
      </c>
      <c r="AI84">
        <v>74159</v>
      </c>
      <c r="AJ84">
        <v>6096978</v>
      </c>
      <c r="AK84">
        <v>106393</v>
      </c>
      <c r="AL84">
        <v>1037219</v>
      </c>
      <c r="AM84">
        <v>8750967</v>
      </c>
      <c r="AN84">
        <v>516552</v>
      </c>
      <c r="AO84">
        <v>69604133</v>
      </c>
      <c r="AP84">
        <v>1686413</v>
      </c>
      <c r="AQ84">
        <v>388955</v>
      </c>
      <c r="AR84">
        <v>167894</v>
      </c>
      <c r="AS84">
        <v>60216246</v>
      </c>
      <c r="AT84">
        <v>368910</v>
      </c>
      <c r="AU84">
        <v>3962808</v>
      </c>
      <c r="AV84">
        <v>4746622</v>
      </c>
      <c r="AW84">
        <v>388707</v>
      </c>
      <c r="AY84">
        <v>239113</v>
      </c>
      <c r="AZ84">
        <v>11523761</v>
      </c>
      <c r="BA84">
        <v>2803804</v>
      </c>
      <c r="BB84">
        <v>197781</v>
      </c>
      <c r="BC84">
        <v>250049</v>
      </c>
      <c r="BD84">
        <v>6160428</v>
      </c>
      <c r="BE84">
        <v>1110313</v>
      </c>
      <c r="BF84">
        <v>35759311</v>
      </c>
      <c r="BH84">
        <v>370854</v>
      </c>
      <c r="BI84">
        <v>112098</v>
      </c>
      <c r="BJ84">
        <v>62977268</v>
      </c>
      <c r="BK84">
        <v>1194818</v>
      </c>
      <c r="BL84">
        <v>29445223</v>
      </c>
      <c r="BM84">
        <v>8782892</v>
      </c>
      <c r="BN84">
        <v>10727373</v>
      </c>
      <c r="BO84">
        <v>1439520</v>
      </c>
      <c r="BQ84">
        <v>4564087</v>
      </c>
      <c r="BS84">
        <v>4134896</v>
      </c>
      <c r="BT84">
        <v>1295953</v>
      </c>
      <c r="BV84" s="180">
        <v>3437239</v>
      </c>
    </row>
    <row r="85" spans="1:74" x14ac:dyDescent="0.3">
      <c r="A85">
        <v>375</v>
      </c>
      <c r="B85" t="s">
        <v>213</v>
      </c>
      <c r="D85">
        <v>6519204</v>
      </c>
      <c r="E85">
        <v>435801425</v>
      </c>
      <c r="H85">
        <v>1079427</v>
      </c>
      <c r="I85">
        <v>0</v>
      </c>
      <c r="J85">
        <v>0</v>
      </c>
      <c r="K85">
        <v>0</v>
      </c>
      <c r="L85">
        <v>82625</v>
      </c>
      <c r="M85">
        <v>7649494</v>
      </c>
      <c r="N85">
        <v>0</v>
      </c>
      <c r="O85">
        <v>653314</v>
      </c>
      <c r="Q85">
        <v>0</v>
      </c>
      <c r="R85">
        <v>0</v>
      </c>
      <c r="S85">
        <v>1036547</v>
      </c>
      <c r="T85">
        <v>0</v>
      </c>
      <c r="X85">
        <v>3939388</v>
      </c>
      <c r="Y85">
        <v>0</v>
      </c>
      <c r="Z85">
        <v>11071182</v>
      </c>
      <c r="AA85">
        <v>0</v>
      </c>
      <c r="AC85">
        <v>68412</v>
      </c>
      <c r="AD85">
        <v>856620</v>
      </c>
      <c r="AE85">
        <v>305724</v>
      </c>
      <c r="AF85">
        <v>1035845</v>
      </c>
      <c r="AG85">
        <v>100286</v>
      </c>
      <c r="AH85">
        <v>-1005036</v>
      </c>
      <c r="AI85">
        <v>0</v>
      </c>
      <c r="AJ85">
        <v>0</v>
      </c>
      <c r="AK85">
        <v>0</v>
      </c>
      <c r="AL85">
        <v>1042940</v>
      </c>
      <c r="AM85">
        <v>1266993</v>
      </c>
      <c r="AN85">
        <v>232454</v>
      </c>
      <c r="AO85">
        <v>48943319</v>
      </c>
      <c r="AP85">
        <v>543701</v>
      </c>
      <c r="AQ85">
        <v>0</v>
      </c>
      <c r="AR85">
        <v>57952</v>
      </c>
      <c r="AS85">
        <v>17191942</v>
      </c>
      <c r="AT85">
        <v>748332</v>
      </c>
      <c r="AU85">
        <v>5394632</v>
      </c>
      <c r="AV85">
        <v>1076545</v>
      </c>
      <c r="AW85">
        <v>1093466</v>
      </c>
      <c r="AY85">
        <v>0</v>
      </c>
      <c r="AZ85">
        <v>6024560</v>
      </c>
      <c r="BA85">
        <v>251712</v>
      </c>
      <c r="BB85">
        <v>1023011</v>
      </c>
      <c r="BC85">
        <v>655361</v>
      </c>
      <c r="BD85">
        <v>5067541</v>
      </c>
      <c r="BE85">
        <v>715362</v>
      </c>
      <c r="BF85">
        <v>12276551</v>
      </c>
      <c r="BH85">
        <v>0</v>
      </c>
      <c r="BI85">
        <v>935400</v>
      </c>
      <c r="BJ85">
        <v>13201147</v>
      </c>
      <c r="BK85">
        <v>1459940</v>
      </c>
      <c r="BL85">
        <v>20008632</v>
      </c>
      <c r="BM85">
        <v>0</v>
      </c>
      <c r="BN85">
        <v>6472826</v>
      </c>
      <c r="BO85">
        <v>13836344</v>
      </c>
      <c r="BQ85">
        <v>0</v>
      </c>
      <c r="BS85">
        <v>460431</v>
      </c>
      <c r="BT85">
        <v>522631</v>
      </c>
      <c r="BV85" s="180">
        <v>536440</v>
      </c>
    </row>
    <row r="86" spans="1:74" x14ac:dyDescent="0.3">
      <c r="A86">
        <v>376</v>
      </c>
      <c r="B86" t="s">
        <v>100</v>
      </c>
      <c r="D86">
        <v>0</v>
      </c>
      <c r="E86">
        <v>0</v>
      </c>
      <c r="H86">
        <v>0</v>
      </c>
      <c r="I86">
        <v>0</v>
      </c>
      <c r="J86">
        <v>0</v>
      </c>
      <c r="K86">
        <v>0</v>
      </c>
      <c r="L86">
        <v>0</v>
      </c>
      <c r="M86">
        <v>0</v>
      </c>
      <c r="N86">
        <v>-1</v>
      </c>
      <c r="O86">
        <v>0</v>
      </c>
      <c r="Q86">
        <v>0</v>
      </c>
      <c r="R86">
        <v>0</v>
      </c>
      <c r="S86">
        <v>0</v>
      </c>
      <c r="T86">
        <v>0</v>
      </c>
      <c r="X86">
        <v>0</v>
      </c>
      <c r="Y86">
        <v>0</v>
      </c>
      <c r="Z86">
        <v>1081008</v>
      </c>
      <c r="AA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41863</v>
      </c>
      <c r="AY86">
        <v>3</v>
      </c>
      <c r="AZ86">
        <v>0</v>
      </c>
      <c r="BA86">
        <v>14179</v>
      </c>
      <c r="BB86">
        <v>0</v>
      </c>
      <c r="BC86">
        <v>0</v>
      </c>
      <c r="BD86">
        <v>172678</v>
      </c>
      <c r="BE86">
        <v>0</v>
      </c>
      <c r="BF86">
        <v>0</v>
      </c>
      <c r="BH86">
        <v>0</v>
      </c>
      <c r="BI86">
        <v>0</v>
      </c>
      <c r="BJ86">
        <v>0</v>
      </c>
      <c r="BK86">
        <v>54274</v>
      </c>
      <c r="BL86">
        <v>0</v>
      </c>
      <c r="BM86">
        <v>0</v>
      </c>
      <c r="BN86">
        <v>-149474</v>
      </c>
      <c r="BO86">
        <v>0</v>
      </c>
      <c r="BQ86">
        <v>0</v>
      </c>
      <c r="BS86">
        <v>0</v>
      </c>
      <c r="BT86">
        <v>0</v>
      </c>
      <c r="BV86" s="180">
        <v>0</v>
      </c>
    </row>
    <row r="87" spans="1:74" x14ac:dyDescent="0.3">
      <c r="A87">
        <v>377</v>
      </c>
      <c r="B87" t="s">
        <v>101</v>
      </c>
      <c r="D87">
        <v>0</v>
      </c>
      <c r="E87">
        <v>0</v>
      </c>
      <c r="H87">
        <v>-1</v>
      </c>
      <c r="I87">
        <v>0</v>
      </c>
      <c r="J87">
        <v>0</v>
      </c>
      <c r="K87">
        <v>0</v>
      </c>
      <c r="L87">
        <v>0</v>
      </c>
      <c r="M87">
        <v>0</v>
      </c>
      <c r="N87">
        <v>0</v>
      </c>
      <c r="O87">
        <v>0</v>
      </c>
      <c r="Q87">
        <v>0</v>
      </c>
      <c r="R87">
        <v>0</v>
      </c>
      <c r="S87">
        <v>0</v>
      </c>
      <c r="T87">
        <v>0</v>
      </c>
      <c r="X87">
        <v>0</v>
      </c>
      <c r="Y87">
        <v>0</v>
      </c>
      <c r="Z87">
        <v>0</v>
      </c>
      <c r="AA87">
        <v>0</v>
      </c>
      <c r="AC87">
        <v>0</v>
      </c>
      <c r="AD87">
        <v>0</v>
      </c>
      <c r="AE87">
        <v>0</v>
      </c>
      <c r="AF87">
        <v>0</v>
      </c>
      <c r="AG87">
        <v>0</v>
      </c>
      <c r="AH87">
        <v>0</v>
      </c>
      <c r="AI87">
        <v>0</v>
      </c>
      <c r="AJ87">
        <v>0</v>
      </c>
      <c r="AK87">
        <v>0</v>
      </c>
      <c r="AL87">
        <v>0</v>
      </c>
      <c r="AM87">
        <v>0</v>
      </c>
      <c r="AN87">
        <v>0</v>
      </c>
      <c r="AO87">
        <v>0</v>
      </c>
      <c r="AP87">
        <v>0</v>
      </c>
      <c r="AQ87">
        <v>0</v>
      </c>
      <c r="AR87">
        <v>0</v>
      </c>
      <c r="AS87">
        <v>0</v>
      </c>
      <c r="AT87">
        <v>0</v>
      </c>
      <c r="AU87">
        <v>-2</v>
      </c>
      <c r="AV87">
        <v>0</v>
      </c>
      <c r="AW87">
        <v>-41863</v>
      </c>
      <c r="AY87">
        <v>-1</v>
      </c>
      <c r="AZ87">
        <v>0</v>
      </c>
      <c r="BA87">
        <v>0</v>
      </c>
      <c r="BB87">
        <v>0</v>
      </c>
      <c r="BC87">
        <v>0</v>
      </c>
      <c r="BD87">
        <v>0</v>
      </c>
      <c r="BE87">
        <v>0</v>
      </c>
      <c r="BF87">
        <v>0</v>
      </c>
      <c r="BH87">
        <v>0</v>
      </c>
      <c r="BI87">
        <v>0</v>
      </c>
      <c r="BJ87">
        <v>0</v>
      </c>
      <c r="BK87">
        <v>21660</v>
      </c>
      <c r="BL87">
        <v>0</v>
      </c>
      <c r="BM87">
        <v>0</v>
      </c>
      <c r="BN87">
        <v>-286322</v>
      </c>
      <c r="BO87">
        <v>0</v>
      </c>
      <c r="BQ87">
        <v>0</v>
      </c>
      <c r="BS87">
        <v>0</v>
      </c>
      <c r="BT87">
        <v>0</v>
      </c>
      <c r="BV87" s="180">
        <v>0</v>
      </c>
    </row>
    <row r="88" spans="1:74" x14ac:dyDescent="0.3">
      <c r="A88">
        <v>378</v>
      </c>
      <c r="B88" t="s">
        <v>102</v>
      </c>
      <c r="D88">
        <v>0</v>
      </c>
      <c r="E88">
        <v>0</v>
      </c>
      <c r="H88">
        <v>0</v>
      </c>
      <c r="I88">
        <v>0</v>
      </c>
      <c r="J88">
        <v>0</v>
      </c>
      <c r="K88">
        <v>0</v>
      </c>
      <c r="L88">
        <v>0</v>
      </c>
      <c r="M88">
        <v>0</v>
      </c>
      <c r="N88">
        <v>0</v>
      </c>
      <c r="O88">
        <v>0</v>
      </c>
      <c r="Q88">
        <v>0</v>
      </c>
      <c r="R88">
        <v>0</v>
      </c>
      <c r="S88">
        <v>0</v>
      </c>
      <c r="T88">
        <v>0</v>
      </c>
      <c r="X88">
        <v>0</v>
      </c>
      <c r="Y88">
        <v>0</v>
      </c>
      <c r="Z88">
        <v>0</v>
      </c>
      <c r="AA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Y88">
        <v>0</v>
      </c>
      <c r="AZ88">
        <v>0</v>
      </c>
      <c r="BA88">
        <v>0</v>
      </c>
      <c r="BB88">
        <v>0</v>
      </c>
      <c r="BC88">
        <v>0</v>
      </c>
      <c r="BD88">
        <v>0</v>
      </c>
      <c r="BE88">
        <v>0</v>
      </c>
      <c r="BF88">
        <v>0</v>
      </c>
      <c r="BH88">
        <v>0</v>
      </c>
      <c r="BI88">
        <v>0</v>
      </c>
      <c r="BJ88">
        <v>0</v>
      </c>
      <c r="BK88">
        <v>0</v>
      </c>
      <c r="BL88">
        <v>0</v>
      </c>
      <c r="BM88">
        <v>0</v>
      </c>
      <c r="BN88">
        <v>-41036</v>
      </c>
      <c r="BO88">
        <v>0</v>
      </c>
      <c r="BQ88">
        <v>0</v>
      </c>
      <c r="BS88">
        <v>0</v>
      </c>
      <c r="BT88">
        <v>0</v>
      </c>
      <c r="BV88" s="180">
        <v>0</v>
      </c>
    </row>
    <row r="89" spans="1:74" x14ac:dyDescent="0.3">
      <c r="A89">
        <v>379</v>
      </c>
      <c r="B89" t="s">
        <v>110</v>
      </c>
      <c r="D89">
        <v>11398597</v>
      </c>
      <c r="E89">
        <v>507260235</v>
      </c>
      <c r="H89">
        <v>3906461</v>
      </c>
      <c r="I89">
        <v>74893</v>
      </c>
      <c r="J89">
        <v>1923010</v>
      </c>
      <c r="K89">
        <v>9332949</v>
      </c>
      <c r="L89">
        <v>2610796</v>
      </c>
      <c r="M89">
        <v>16496043</v>
      </c>
      <c r="N89">
        <v>972734</v>
      </c>
      <c r="O89">
        <v>1657136</v>
      </c>
      <c r="Q89">
        <v>1581045</v>
      </c>
      <c r="R89">
        <v>2238965</v>
      </c>
      <c r="S89">
        <v>1384699</v>
      </c>
      <c r="T89">
        <v>10777935</v>
      </c>
      <c r="X89">
        <v>7615475</v>
      </c>
      <c r="Y89">
        <v>2666302</v>
      </c>
      <c r="Z89">
        <v>81363173</v>
      </c>
      <c r="AA89">
        <v>13031644</v>
      </c>
      <c r="AC89">
        <v>811278</v>
      </c>
      <c r="AD89">
        <v>1558869</v>
      </c>
      <c r="AE89">
        <v>2975819</v>
      </c>
      <c r="AF89">
        <v>611428</v>
      </c>
      <c r="AG89">
        <v>542869</v>
      </c>
      <c r="AH89">
        <v>3689233</v>
      </c>
      <c r="AI89">
        <v>395000</v>
      </c>
      <c r="AJ89">
        <v>5571613</v>
      </c>
      <c r="AK89">
        <v>665744</v>
      </c>
      <c r="AL89">
        <v>1045867</v>
      </c>
      <c r="AM89">
        <v>3325096</v>
      </c>
      <c r="AN89">
        <v>898604</v>
      </c>
      <c r="AO89">
        <v>40911189</v>
      </c>
      <c r="AP89">
        <v>2056980</v>
      </c>
      <c r="AQ89">
        <v>902309</v>
      </c>
      <c r="AR89">
        <v>1164859</v>
      </c>
      <c r="AS89">
        <v>41340881</v>
      </c>
      <c r="AT89">
        <v>493259</v>
      </c>
      <c r="AU89">
        <v>8215041</v>
      </c>
      <c r="AV89">
        <v>1223610</v>
      </c>
      <c r="AW89">
        <v>777666</v>
      </c>
      <c r="AY89">
        <v>871697</v>
      </c>
      <c r="AZ89">
        <v>7475305</v>
      </c>
      <c r="BA89">
        <v>1246880</v>
      </c>
      <c r="BB89">
        <v>245286</v>
      </c>
      <c r="BC89">
        <v>1616738</v>
      </c>
      <c r="BD89">
        <v>10002945</v>
      </c>
      <c r="BE89">
        <v>1940086</v>
      </c>
      <c r="BF89">
        <v>23598027</v>
      </c>
      <c r="BH89">
        <v>749071</v>
      </c>
      <c r="BI89">
        <v>606486</v>
      </c>
      <c r="BJ89">
        <v>20387651</v>
      </c>
      <c r="BK89">
        <v>2253964</v>
      </c>
      <c r="BL89">
        <v>24942219</v>
      </c>
      <c r="BM89">
        <v>13592076</v>
      </c>
      <c r="BN89">
        <v>10425415</v>
      </c>
      <c r="BO89">
        <v>3219392</v>
      </c>
      <c r="BQ89">
        <v>3416264</v>
      </c>
      <c r="BS89">
        <v>2420072</v>
      </c>
      <c r="BT89">
        <v>2114083</v>
      </c>
      <c r="BV89" s="180">
        <v>4934219</v>
      </c>
    </row>
    <row r="90" spans="1:74" x14ac:dyDescent="0.3">
      <c r="A90">
        <v>380</v>
      </c>
      <c r="B90" t="s">
        <v>113</v>
      </c>
      <c r="D90">
        <v>134897</v>
      </c>
      <c r="E90">
        <v>16817463</v>
      </c>
      <c r="H90">
        <v>74461</v>
      </c>
      <c r="I90">
        <v>153</v>
      </c>
      <c r="J90">
        <v>6259</v>
      </c>
      <c r="K90">
        <v>0</v>
      </c>
      <c r="L90">
        <v>748065</v>
      </c>
      <c r="M90">
        <v>1462445</v>
      </c>
      <c r="N90">
        <v>3774</v>
      </c>
      <c r="O90">
        <v>7543</v>
      </c>
      <c r="Q90">
        <v>471221</v>
      </c>
      <c r="R90">
        <v>37277</v>
      </c>
      <c r="S90">
        <v>4814</v>
      </c>
      <c r="T90">
        <v>247994</v>
      </c>
      <c r="X90">
        <v>79763</v>
      </c>
      <c r="Y90">
        <v>36977</v>
      </c>
      <c r="Z90">
        <v>12427419</v>
      </c>
      <c r="AA90">
        <v>21497</v>
      </c>
      <c r="AC90">
        <v>70359</v>
      </c>
      <c r="AD90">
        <v>0</v>
      </c>
      <c r="AE90">
        <v>49502</v>
      </c>
      <c r="AF90">
        <v>1231</v>
      </c>
      <c r="AG90">
        <v>116115</v>
      </c>
      <c r="AH90">
        <v>457709</v>
      </c>
      <c r="AI90">
        <v>4166</v>
      </c>
      <c r="AJ90">
        <v>14039</v>
      </c>
      <c r="AK90">
        <v>5858</v>
      </c>
      <c r="AL90">
        <v>1165</v>
      </c>
      <c r="AM90">
        <v>33427</v>
      </c>
      <c r="AN90">
        <v>1191</v>
      </c>
      <c r="AO90">
        <v>1620833</v>
      </c>
      <c r="AP90">
        <v>17924</v>
      </c>
      <c r="AQ90">
        <v>2271</v>
      </c>
      <c r="AR90">
        <v>4501</v>
      </c>
      <c r="AS90">
        <v>505613</v>
      </c>
      <c r="AT90">
        <v>19612</v>
      </c>
      <c r="AU90">
        <v>44422</v>
      </c>
      <c r="AV90">
        <v>121224</v>
      </c>
      <c r="AW90">
        <v>222395</v>
      </c>
      <c r="AY90">
        <v>17682</v>
      </c>
      <c r="AZ90">
        <v>160304</v>
      </c>
      <c r="BA90">
        <v>220740</v>
      </c>
      <c r="BB90">
        <v>1697</v>
      </c>
      <c r="BC90">
        <v>8262</v>
      </c>
      <c r="BD90">
        <v>34426</v>
      </c>
      <c r="BE90">
        <v>66347</v>
      </c>
      <c r="BF90">
        <v>608579</v>
      </c>
      <c r="BH90">
        <v>144380</v>
      </c>
      <c r="BI90">
        <v>1113</v>
      </c>
      <c r="BJ90">
        <v>666137</v>
      </c>
      <c r="BK90">
        <v>34506</v>
      </c>
      <c r="BL90">
        <v>2641352</v>
      </c>
      <c r="BM90">
        <v>7039</v>
      </c>
      <c r="BN90">
        <v>25799</v>
      </c>
      <c r="BO90">
        <v>7300</v>
      </c>
      <c r="BQ90">
        <v>114401</v>
      </c>
      <c r="BS90">
        <v>88969</v>
      </c>
      <c r="BT90">
        <v>44941</v>
      </c>
      <c r="BV90" s="180">
        <v>131166</v>
      </c>
    </row>
    <row r="91" spans="1:74" x14ac:dyDescent="0.3">
      <c r="A91">
        <v>381</v>
      </c>
      <c r="B91" t="s">
        <v>105</v>
      </c>
      <c r="D91">
        <v>22790671</v>
      </c>
      <c r="E91">
        <v>2624091669</v>
      </c>
      <c r="H91">
        <v>7033390</v>
      </c>
      <c r="I91">
        <v>0</v>
      </c>
      <c r="J91">
        <v>0</v>
      </c>
      <c r="K91">
        <v>0</v>
      </c>
      <c r="L91">
        <v>21101123</v>
      </c>
      <c r="M91">
        <v>66297111</v>
      </c>
      <c r="N91">
        <v>133712</v>
      </c>
      <c r="O91">
        <v>5418169</v>
      </c>
      <c r="Q91">
        <v>0</v>
      </c>
      <c r="R91">
        <v>0</v>
      </c>
      <c r="S91">
        <v>3640306</v>
      </c>
      <c r="T91">
        <v>0</v>
      </c>
      <c r="X91">
        <v>18953918</v>
      </c>
      <c r="Y91">
        <v>0</v>
      </c>
      <c r="Z91">
        <v>99683374</v>
      </c>
      <c r="AA91">
        <v>0</v>
      </c>
      <c r="AC91">
        <v>6678010</v>
      </c>
      <c r="AD91">
        <v>8548198</v>
      </c>
      <c r="AE91">
        <v>4917101</v>
      </c>
      <c r="AF91">
        <v>5695802</v>
      </c>
      <c r="AG91">
        <v>3989052</v>
      </c>
      <c r="AH91">
        <v>43418511</v>
      </c>
      <c r="AI91">
        <v>0</v>
      </c>
      <c r="AJ91">
        <v>0</v>
      </c>
      <c r="AK91">
        <v>0</v>
      </c>
      <c r="AL91">
        <v>4194417</v>
      </c>
      <c r="AM91">
        <v>9552248</v>
      </c>
      <c r="AN91">
        <v>1414433</v>
      </c>
      <c r="AO91">
        <v>192083099</v>
      </c>
      <c r="AP91">
        <v>5560254</v>
      </c>
      <c r="AQ91">
        <v>0</v>
      </c>
      <c r="AR91">
        <v>1055370</v>
      </c>
      <c r="AS91">
        <v>252236333</v>
      </c>
      <c r="AT91">
        <v>6485278</v>
      </c>
      <c r="AU91">
        <v>11114398</v>
      </c>
      <c r="AV91">
        <v>6985714</v>
      </c>
      <c r="AW91">
        <v>9098200</v>
      </c>
      <c r="AY91">
        <v>15683</v>
      </c>
      <c r="AZ91">
        <v>19130835</v>
      </c>
      <c r="BA91">
        <v>2466946</v>
      </c>
      <c r="BB91">
        <v>3357286</v>
      </c>
      <c r="BC91">
        <v>1330509</v>
      </c>
      <c r="BD91">
        <v>14897501</v>
      </c>
      <c r="BE91">
        <v>9750822</v>
      </c>
      <c r="BF91">
        <v>147471453</v>
      </c>
      <c r="BH91">
        <v>0</v>
      </c>
      <c r="BI91">
        <v>2425578</v>
      </c>
      <c r="BJ91">
        <v>47739265</v>
      </c>
      <c r="BK91">
        <v>7532591</v>
      </c>
      <c r="BL91">
        <v>66555549</v>
      </c>
      <c r="BM91">
        <v>0</v>
      </c>
      <c r="BN91">
        <v>27328115</v>
      </c>
      <c r="BO91">
        <v>17743790</v>
      </c>
      <c r="BQ91">
        <v>0</v>
      </c>
      <c r="BS91">
        <v>16110494</v>
      </c>
      <c r="BT91">
        <v>4064622</v>
      </c>
      <c r="BV91" s="180">
        <v>15039990</v>
      </c>
    </row>
    <row r="92" spans="1:74" x14ac:dyDescent="0.3">
      <c r="A92">
        <v>382</v>
      </c>
      <c r="B92" t="s">
        <v>106</v>
      </c>
      <c r="D92">
        <v>0</v>
      </c>
      <c r="E92">
        <v>0</v>
      </c>
      <c r="H92">
        <v>0</v>
      </c>
      <c r="I92">
        <v>0</v>
      </c>
      <c r="J92">
        <v>0</v>
      </c>
      <c r="K92">
        <v>0</v>
      </c>
      <c r="L92">
        <v>2920940</v>
      </c>
      <c r="M92">
        <v>0</v>
      </c>
      <c r="N92">
        <v>0</v>
      </c>
      <c r="O92">
        <v>0</v>
      </c>
      <c r="Q92">
        <v>0</v>
      </c>
      <c r="R92">
        <v>0</v>
      </c>
      <c r="S92">
        <v>0</v>
      </c>
      <c r="T92">
        <v>0</v>
      </c>
      <c r="X92">
        <v>0</v>
      </c>
      <c r="Y92">
        <v>0</v>
      </c>
      <c r="Z92">
        <v>105042447</v>
      </c>
      <c r="AA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3350817</v>
      </c>
      <c r="AW92">
        <v>0</v>
      </c>
      <c r="AY92">
        <v>0</v>
      </c>
      <c r="AZ92">
        <v>6707023</v>
      </c>
      <c r="BA92">
        <v>0</v>
      </c>
      <c r="BB92">
        <v>0</v>
      </c>
      <c r="BC92">
        <v>0</v>
      </c>
      <c r="BD92">
        <v>0</v>
      </c>
      <c r="BE92">
        <v>3698928</v>
      </c>
      <c r="BF92">
        <v>43066473</v>
      </c>
      <c r="BH92">
        <v>0</v>
      </c>
      <c r="BI92">
        <v>0</v>
      </c>
      <c r="BJ92">
        <v>26348596</v>
      </c>
      <c r="BK92">
        <v>0</v>
      </c>
      <c r="BL92">
        <v>0</v>
      </c>
      <c r="BM92">
        <v>0</v>
      </c>
      <c r="BN92">
        <v>19387858</v>
      </c>
      <c r="BO92">
        <v>0</v>
      </c>
      <c r="BQ92">
        <v>0</v>
      </c>
      <c r="BS92">
        <v>0</v>
      </c>
      <c r="BT92">
        <v>0</v>
      </c>
      <c r="BV92" s="180">
        <v>0</v>
      </c>
    </row>
    <row r="93" spans="1:74" x14ac:dyDescent="0.3">
      <c r="A93">
        <v>383</v>
      </c>
      <c r="B93" t="s">
        <v>212</v>
      </c>
      <c r="D93">
        <v>0</v>
      </c>
      <c r="E93">
        <v>0</v>
      </c>
      <c r="H93">
        <v>0</v>
      </c>
      <c r="I93">
        <v>0</v>
      </c>
      <c r="J93">
        <v>0</v>
      </c>
      <c r="K93">
        <v>0</v>
      </c>
      <c r="L93">
        <v>0</v>
      </c>
      <c r="M93">
        <v>0</v>
      </c>
      <c r="N93">
        <v>0</v>
      </c>
      <c r="O93">
        <v>0</v>
      </c>
      <c r="Q93">
        <v>0</v>
      </c>
      <c r="R93">
        <v>0</v>
      </c>
      <c r="S93">
        <v>0</v>
      </c>
      <c r="T93">
        <v>0</v>
      </c>
      <c r="X93">
        <v>0</v>
      </c>
      <c r="Y93">
        <v>0</v>
      </c>
      <c r="Z93">
        <v>0</v>
      </c>
      <c r="AA93">
        <v>0</v>
      </c>
      <c r="AC93">
        <v>0</v>
      </c>
      <c r="AD93">
        <v>0</v>
      </c>
      <c r="AE93">
        <v>0</v>
      </c>
      <c r="AF93">
        <v>0</v>
      </c>
      <c r="AG93">
        <v>0</v>
      </c>
      <c r="AH93">
        <v>0</v>
      </c>
      <c r="AI93">
        <v>0</v>
      </c>
      <c r="AJ93">
        <v>0</v>
      </c>
      <c r="AK93">
        <v>0</v>
      </c>
      <c r="AL93">
        <v>0</v>
      </c>
      <c r="AM93">
        <v>0</v>
      </c>
      <c r="AN93">
        <v>0</v>
      </c>
      <c r="AO93">
        <v>0</v>
      </c>
      <c r="AP93">
        <v>0</v>
      </c>
      <c r="AQ93">
        <v>0</v>
      </c>
      <c r="AR93">
        <v>17480</v>
      </c>
      <c r="AS93">
        <v>0</v>
      </c>
      <c r="AT93">
        <v>0</v>
      </c>
      <c r="AU93">
        <v>0</v>
      </c>
      <c r="AV93">
        <v>0</v>
      </c>
      <c r="AW93">
        <v>0</v>
      </c>
      <c r="AY93">
        <v>0</v>
      </c>
      <c r="AZ93">
        <v>0</v>
      </c>
      <c r="BA93">
        <v>0</v>
      </c>
      <c r="BB93">
        <v>0</v>
      </c>
      <c r="BC93">
        <v>1633</v>
      </c>
      <c r="BD93">
        <v>0</v>
      </c>
      <c r="BE93">
        <v>0</v>
      </c>
      <c r="BF93">
        <v>0</v>
      </c>
      <c r="BH93">
        <v>0</v>
      </c>
      <c r="BI93">
        <v>0</v>
      </c>
      <c r="BJ93">
        <v>0</v>
      </c>
      <c r="BK93">
        <v>0</v>
      </c>
      <c r="BL93">
        <v>0</v>
      </c>
      <c r="BM93">
        <v>0</v>
      </c>
      <c r="BN93">
        <v>0</v>
      </c>
      <c r="BO93">
        <v>0</v>
      </c>
      <c r="BQ93">
        <v>0</v>
      </c>
      <c r="BS93">
        <v>0</v>
      </c>
      <c r="BT93">
        <v>0</v>
      </c>
      <c r="BV93" s="180">
        <v>0</v>
      </c>
    </row>
    <row r="94" spans="1:74" x14ac:dyDescent="0.3">
      <c r="A94">
        <v>384</v>
      </c>
      <c r="B94" t="s">
        <v>116</v>
      </c>
      <c r="D94">
        <v>0</v>
      </c>
      <c r="E94">
        <v>0</v>
      </c>
      <c r="H94">
        <v>0</v>
      </c>
      <c r="I94">
        <v>0</v>
      </c>
      <c r="J94">
        <v>0</v>
      </c>
      <c r="K94">
        <v>0</v>
      </c>
      <c r="L94">
        <v>0</v>
      </c>
      <c r="M94">
        <v>0</v>
      </c>
      <c r="N94">
        <v>0</v>
      </c>
      <c r="O94">
        <v>0</v>
      </c>
      <c r="Q94">
        <v>0</v>
      </c>
      <c r="R94">
        <v>0</v>
      </c>
      <c r="S94">
        <v>0</v>
      </c>
      <c r="T94">
        <v>0</v>
      </c>
      <c r="X94">
        <v>0</v>
      </c>
      <c r="Y94">
        <v>0</v>
      </c>
      <c r="Z94">
        <v>0</v>
      </c>
      <c r="AA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Y94">
        <v>0</v>
      </c>
      <c r="AZ94">
        <v>0</v>
      </c>
      <c r="BA94">
        <v>0</v>
      </c>
      <c r="BB94">
        <v>0</v>
      </c>
      <c r="BC94">
        <v>0</v>
      </c>
      <c r="BD94">
        <v>0</v>
      </c>
      <c r="BE94">
        <v>0</v>
      </c>
      <c r="BF94">
        <v>62254</v>
      </c>
      <c r="BH94">
        <v>0</v>
      </c>
      <c r="BI94">
        <v>0</v>
      </c>
      <c r="BJ94">
        <v>0</v>
      </c>
      <c r="BK94">
        <v>0</v>
      </c>
      <c r="BL94">
        <v>0</v>
      </c>
      <c r="BM94">
        <v>0</v>
      </c>
      <c r="BN94">
        <v>0</v>
      </c>
      <c r="BO94">
        <v>0</v>
      </c>
      <c r="BQ94">
        <v>0</v>
      </c>
      <c r="BS94">
        <v>0</v>
      </c>
      <c r="BT94">
        <v>0</v>
      </c>
      <c r="BV94" s="180">
        <v>0</v>
      </c>
    </row>
    <row r="95" spans="1:74" x14ac:dyDescent="0.3">
      <c r="A95">
        <v>385</v>
      </c>
      <c r="B95" t="s">
        <v>107</v>
      </c>
      <c r="D95">
        <v>18991778</v>
      </c>
      <c r="E95">
        <v>2631648285</v>
      </c>
      <c r="H95">
        <v>10206856</v>
      </c>
      <c r="I95">
        <v>81951</v>
      </c>
      <c r="J95">
        <v>3134446</v>
      </c>
      <c r="K95">
        <v>13365624</v>
      </c>
      <c r="L95">
        <v>9609381</v>
      </c>
      <c r="M95">
        <v>58033588</v>
      </c>
      <c r="N95">
        <v>1151279</v>
      </c>
      <c r="O95">
        <v>2322556</v>
      </c>
      <c r="Q95">
        <v>2542565</v>
      </c>
      <c r="R95">
        <v>3986128</v>
      </c>
      <c r="S95">
        <v>8531723</v>
      </c>
      <c r="T95">
        <v>37528081</v>
      </c>
      <c r="X95">
        <v>40538550</v>
      </c>
      <c r="Y95">
        <v>6108449</v>
      </c>
      <c r="Z95">
        <v>263295885</v>
      </c>
      <c r="AA95">
        <v>92087836</v>
      </c>
      <c r="AC95">
        <v>1615833</v>
      </c>
      <c r="AD95">
        <v>3233028</v>
      </c>
      <c r="AE95">
        <v>4750493</v>
      </c>
      <c r="AF95">
        <v>1440836</v>
      </c>
      <c r="AG95">
        <v>1619834</v>
      </c>
      <c r="AH95">
        <v>17118007</v>
      </c>
      <c r="AI95">
        <v>739889</v>
      </c>
      <c r="AJ95">
        <v>11028563</v>
      </c>
      <c r="AK95">
        <v>889882</v>
      </c>
      <c r="AL95">
        <v>3545340</v>
      </c>
      <c r="AM95">
        <v>13190969</v>
      </c>
      <c r="AN95">
        <v>1510007</v>
      </c>
      <c r="AO95">
        <v>128066597</v>
      </c>
      <c r="AP95">
        <v>4099191</v>
      </c>
      <c r="AQ95">
        <v>932243</v>
      </c>
      <c r="AR95">
        <v>1648786</v>
      </c>
      <c r="AS95">
        <v>142380151</v>
      </c>
      <c r="AT95">
        <v>1081529</v>
      </c>
      <c r="AU95">
        <v>13064109</v>
      </c>
      <c r="AV95">
        <v>4960616</v>
      </c>
      <c r="AW95">
        <v>1905244</v>
      </c>
      <c r="AY95">
        <v>1143691</v>
      </c>
      <c r="AZ95">
        <v>19209318</v>
      </c>
      <c r="BA95">
        <v>4959819</v>
      </c>
      <c r="BB95">
        <v>256534</v>
      </c>
      <c r="BC95">
        <v>17654808</v>
      </c>
      <c r="BD95">
        <v>30569268</v>
      </c>
      <c r="BE95">
        <v>3047879</v>
      </c>
      <c r="BF95">
        <v>122997817</v>
      </c>
      <c r="BH95">
        <v>874731</v>
      </c>
      <c r="BI95">
        <v>933264</v>
      </c>
      <c r="BJ95">
        <v>62346058</v>
      </c>
      <c r="BK95">
        <v>4345305</v>
      </c>
      <c r="BL95">
        <v>79965867</v>
      </c>
      <c r="BM95">
        <v>36583031</v>
      </c>
      <c r="BN95">
        <v>33744363</v>
      </c>
      <c r="BO95">
        <v>6232805</v>
      </c>
      <c r="BQ95">
        <v>13335148</v>
      </c>
      <c r="BS95">
        <v>10220878</v>
      </c>
      <c r="BT95">
        <v>4073714</v>
      </c>
      <c r="BV95" s="180">
        <v>9655597</v>
      </c>
    </row>
    <row r="96" spans="1:74" x14ac:dyDescent="0.3">
      <c r="A96">
        <v>386</v>
      </c>
      <c r="B96" t="s">
        <v>185</v>
      </c>
      <c r="D96">
        <v>0</v>
      </c>
      <c r="E96">
        <v>10623081</v>
      </c>
      <c r="H96">
        <v>0</v>
      </c>
      <c r="I96">
        <v>0</v>
      </c>
      <c r="J96">
        <v>0</v>
      </c>
      <c r="K96">
        <v>0</v>
      </c>
      <c r="L96">
        <v>0</v>
      </c>
      <c r="M96">
        <v>0</v>
      </c>
      <c r="N96">
        <v>0</v>
      </c>
      <c r="O96">
        <v>0</v>
      </c>
      <c r="Q96">
        <v>0</v>
      </c>
      <c r="R96">
        <v>0</v>
      </c>
      <c r="S96">
        <v>1031758</v>
      </c>
      <c r="T96">
        <v>0</v>
      </c>
      <c r="X96">
        <v>491900</v>
      </c>
      <c r="Y96">
        <v>0</v>
      </c>
      <c r="Z96">
        <v>14380810</v>
      </c>
      <c r="AA96">
        <v>0</v>
      </c>
      <c r="AC96">
        <v>0</v>
      </c>
      <c r="AD96">
        <v>0</v>
      </c>
      <c r="AE96">
        <v>0</v>
      </c>
      <c r="AF96">
        <v>0</v>
      </c>
      <c r="AG96">
        <v>0</v>
      </c>
      <c r="AH96">
        <v>0</v>
      </c>
      <c r="AI96">
        <v>0</v>
      </c>
      <c r="AJ96">
        <v>0</v>
      </c>
      <c r="AK96">
        <v>0</v>
      </c>
      <c r="AL96">
        <v>0</v>
      </c>
      <c r="AM96">
        <v>0</v>
      </c>
      <c r="AN96">
        <v>0</v>
      </c>
      <c r="AO96">
        <v>0</v>
      </c>
      <c r="AP96">
        <v>0</v>
      </c>
      <c r="AQ96">
        <v>0</v>
      </c>
      <c r="AR96">
        <v>0</v>
      </c>
      <c r="AS96">
        <v>0</v>
      </c>
      <c r="AT96">
        <v>0</v>
      </c>
      <c r="AU96">
        <v>0</v>
      </c>
      <c r="AV96">
        <v>61099</v>
      </c>
      <c r="AW96">
        <v>0</v>
      </c>
      <c r="AY96">
        <v>0</v>
      </c>
      <c r="AZ96">
        <v>195000</v>
      </c>
      <c r="BA96">
        <v>0</v>
      </c>
      <c r="BB96">
        <v>36064</v>
      </c>
      <c r="BC96">
        <v>0</v>
      </c>
      <c r="BD96">
        <v>0</v>
      </c>
      <c r="BE96">
        <v>0</v>
      </c>
      <c r="BF96">
        <v>13834265</v>
      </c>
      <c r="BH96">
        <v>0</v>
      </c>
      <c r="BI96">
        <v>0</v>
      </c>
      <c r="BJ96">
        <v>482640</v>
      </c>
      <c r="BK96">
        <v>0</v>
      </c>
      <c r="BL96">
        <v>0</v>
      </c>
      <c r="BM96">
        <v>0</v>
      </c>
      <c r="BN96">
        <v>0</v>
      </c>
      <c r="BO96">
        <v>0</v>
      </c>
      <c r="BQ96">
        <v>0</v>
      </c>
      <c r="BS96">
        <v>0</v>
      </c>
      <c r="BT96">
        <v>0</v>
      </c>
      <c r="BV96" s="180">
        <v>0</v>
      </c>
    </row>
    <row r="97" spans="1:74" x14ac:dyDescent="0.3">
      <c r="A97">
        <v>387</v>
      </c>
      <c r="B97" t="s">
        <v>186</v>
      </c>
      <c r="D97">
        <v>83249</v>
      </c>
      <c r="E97">
        <v>65408847</v>
      </c>
      <c r="H97">
        <v>0</v>
      </c>
      <c r="I97">
        <v>0</v>
      </c>
      <c r="J97">
        <v>0</v>
      </c>
      <c r="K97">
        <v>0</v>
      </c>
      <c r="L97">
        <v>320</v>
      </c>
      <c r="M97">
        <v>0</v>
      </c>
      <c r="N97">
        <v>0</v>
      </c>
      <c r="O97">
        <v>54305</v>
      </c>
      <c r="Q97">
        <v>0</v>
      </c>
      <c r="R97">
        <v>0</v>
      </c>
      <c r="S97">
        <v>0</v>
      </c>
      <c r="T97">
        <v>0</v>
      </c>
      <c r="X97">
        <v>0</v>
      </c>
      <c r="Y97">
        <v>0</v>
      </c>
      <c r="Z97">
        <v>11455810</v>
      </c>
      <c r="AA97">
        <v>0</v>
      </c>
      <c r="AC97">
        <v>0</v>
      </c>
      <c r="AD97">
        <v>0</v>
      </c>
      <c r="AE97">
        <v>0</v>
      </c>
      <c r="AF97">
        <v>98000</v>
      </c>
      <c r="AG97">
        <v>0</v>
      </c>
      <c r="AH97">
        <v>0</v>
      </c>
      <c r="AI97">
        <v>0</v>
      </c>
      <c r="AJ97">
        <v>0</v>
      </c>
      <c r="AK97">
        <v>0</v>
      </c>
      <c r="AL97">
        <v>14107</v>
      </c>
      <c r="AM97">
        <v>0</v>
      </c>
      <c r="AN97">
        <v>0</v>
      </c>
      <c r="AO97">
        <v>3330000</v>
      </c>
      <c r="AP97">
        <v>0</v>
      </c>
      <c r="AQ97">
        <v>0</v>
      </c>
      <c r="AR97">
        <v>0</v>
      </c>
      <c r="AS97">
        <v>649600</v>
      </c>
      <c r="AT97">
        <v>2624</v>
      </c>
      <c r="AU97">
        <v>272801</v>
      </c>
      <c r="AV97">
        <v>0</v>
      </c>
      <c r="AW97">
        <v>0</v>
      </c>
      <c r="AY97">
        <v>0</v>
      </c>
      <c r="AZ97">
        <v>415042</v>
      </c>
      <c r="BA97">
        <v>0</v>
      </c>
      <c r="BB97">
        <v>0</v>
      </c>
      <c r="BC97">
        <v>0</v>
      </c>
      <c r="BD97">
        <v>286974</v>
      </c>
      <c r="BE97">
        <v>210688</v>
      </c>
      <c r="BF97">
        <v>11387292</v>
      </c>
      <c r="BH97">
        <v>0</v>
      </c>
      <c r="BI97">
        <v>0</v>
      </c>
      <c r="BJ97">
        <v>365000</v>
      </c>
      <c r="BK97">
        <v>100935</v>
      </c>
      <c r="BL97">
        <v>743022</v>
      </c>
      <c r="BM97">
        <v>0</v>
      </c>
      <c r="BN97">
        <v>0</v>
      </c>
      <c r="BO97">
        <v>0</v>
      </c>
      <c r="BQ97">
        <v>0</v>
      </c>
      <c r="BS97">
        <v>88830</v>
      </c>
      <c r="BT97">
        <v>15000</v>
      </c>
      <c r="BV97" s="180">
        <v>364106</v>
      </c>
    </row>
    <row r="98" spans="1:74" x14ac:dyDescent="0.3">
      <c r="A98">
        <v>388</v>
      </c>
      <c r="B98" t="s">
        <v>180</v>
      </c>
      <c r="D98">
        <v>6425558</v>
      </c>
      <c r="E98">
        <v>532694353</v>
      </c>
      <c r="H98">
        <v>2705608</v>
      </c>
      <c r="I98">
        <v>39470</v>
      </c>
      <c r="J98">
        <v>261102</v>
      </c>
      <c r="K98">
        <v>1122279</v>
      </c>
      <c r="L98">
        <v>6607440</v>
      </c>
      <c r="M98">
        <v>19690411</v>
      </c>
      <c r="N98">
        <v>62740</v>
      </c>
      <c r="O98">
        <v>882858</v>
      </c>
      <c r="Q98">
        <v>407411</v>
      </c>
      <c r="R98">
        <v>1856102</v>
      </c>
      <c r="S98">
        <v>2018161</v>
      </c>
      <c r="T98">
        <v>18013040</v>
      </c>
      <c r="X98">
        <v>11803551</v>
      </c>
      <c r="Y98">
        <v>2001221</v>
      </c>
      <c r="Z98">
        <v>88306160</v>
      </c>
      <c r="AA98">
        <v>11971257</v>
      </c>
      <c r="AC98">
        <v>360124</v>
      </c>
      <c r="AD98">
        <v>1382173</v>
      </c>
      <c r="AE98">
        <v>1413170</v>
      </c>
      <c r="AF98">
        <v>432636</v>
      </c>
      <c r="AG98">
        <v>1587532</v>
      </c>
      <c r="AH98">
        <v>11832517</v>
      </c>
      <c r="AI98">
        <v>127939</v>
      </c>
      <c r="AJ98">
        <v>3443835</v>
      </c>
      <c r="AK98">
        <v>222673</v>
      </c>
      <c r="AL98">
        <v>814995</v>
      </c>
      <c r="AM98">
        <v>6095725</v>
      </c>
      <c r="AN98">
        <v>444013</v>
      </c>
      <c r="AO98">
        <v>42364409</v>
      </c>
      <c r="AP98">
        <v>1459567</v>
      </c>
      <c r="AQ98">
        <v>128099</v>
      </c>
      <c r="AR98">
        <v>213191</v>
      </c>
      <c r="AS98">
        <v>39397453</v>
      </c>
      <c r="AT98">
        <v>325574</v>
      </c>
      <c r="AU98">
        <v>2326671</v>
      </c>
      <c r="AV98">
        <v>2040978</v>
      </c>
      <c r="AW98">
        <v>360309</v>
      </c>
      <c r="AY98">
        <v>313084</v>
      </c>
      <c r="AZ98">
        <v>6881609</v>
      </c>
      <c r="BA98">
        <v>2210000</v>
      </c>
      <c r="BB98">
        <v>59176</v>
      </c>
      <c r="BC98">
        <v>333395</v>
      </c>
      <c r="BD98">
        <v>6434621</v>
      </c>
      <c r="BE98">
        <v>1549120</v>
      </c>
      <c r="BF98">
        <v>37885025</v>
      </c>
      <c r="BH98">
        <v>247945</v>
      </c>
      <c r="BI98">
        <v>266181</v>
      </c>
      <c r="BJ98">
        <v>16080754</v>
      </c>
      <c r="BK98">
        <v>1305946</v>
      </c>
      <c r="BL98">
        <v>22864922</v>
      </c>
      <c r="BM98">
        <v>8114575</v>
      </c>
      <c r="BN98">
        <v>10984822</v>
      </c>
      <c r="BO98">
        <v>1834303</v>
      </c>
      <c r="BQ98">
        <v>4178411</v>
      </c>
      <c r="BS98">
        <v>4102130</v>
      </c>
      <c r="BT98">
        <v>1310676</v>
      </c>
      <c r="BV98" s="180">
        <v>2653812</v>
      </c>
    </row>
    <row r="99" spans="1:74" x14ac:dyDescent="0.3">
      <c r="A99">
        <v>389</v>
      </c>
      <c r="B99" t="s">
        <v>187</v>
      </c>
      <c r="D99">
        <v>0</v>
      </c>
      <c r="E99">
        <v>0</v>
      </c>
      <c r="H99">
        <v>0</v>
      </c>
      <c r="I99">
        <v>0</v>
      </c>
      <c r="J99">
        <v>0</v>
      </c>
      <c r="K99">
        <v>0</v>
      </c>
      <c r="L99">
        <v>0</v>
      </c>
      <c r="M99">
        <v>0</v>
      </c>
      <c r="N99">
        <v>0</v>
      </c>
      <c r="O99">
        <v>0</v>
      </c>
      <c r="Q99">
        <v>0</v>
      </c>
      <c r="R99">
        <v>0</v>
      </c>
      <c r="S99">
        <v>0</v>
      </c>
      <c r="T99">
        <v>0</v>
      </c>
      <c r="X99">
        <v>0</v>
      </c>
      <c r="Y99">
        <v>0</v>
      </c>
      <c r="Z99">
        <v>0</v>
      </c>
      <c r="AA99">
        <v>0</v>
      </c>
      <c r="AC99">
        <v>0</v>
      </c>
      <c r="AD99">
        <v>0</v>
      </c>
      <c r="AE99">
        <v>0</v>
      </c>
      <c r="AF99">
        <v>0</v>
      </c>
      <c r="AG99">
        <v>0</v>
      </c>
      <c r="AH99">
        <v>646998</v>
      </c>
      <c r="AI99">
        <v>0</v>
      </c>
      <c r="AJ99">
        <v>0</v>
      </c>
      <c r="AK99">
        <v>0</v>
      </c>
      <c r="AL99">
        <v>0</v>
      </c>
      <c r="AM99">
        <v>0</v>
      </c>
      <c r="AN99">
        <v>0</v>
      </c>
      <c r="AO99">
        <v>0</v>
      </c>
      <c r="AP99">
        <v>0</v>
      </c>
      <c r="AQ99">
        <v>0</v>
      </c>
      <c r="AR99">
        <v>0</v>
      </c>
      <c r="AS99">
        <v>0</v>
      </c>
      <c r="AT99">
        <v>0</v>
      </c>
      <c r="AU99">
        <v>0</v>
      </c>
      <c r="AV99">
        <v>0</v>
      </c>
      <c r="AW99">
        <v>0</v>
      </c>
      <c r="AY99">
        <v>0</v>
      </c>
      <c r="AZ99">
        <v>0</v>
      </c>
      <c r="BA99">
        <v>0</v>
      </c>
      <c r="BB99">
        <v>0</v>
      </c>
      <c r="BC99">
        <v>0</v>
      </c>
      <c r="BD99">
        <v>0</v>
      </c>
      <c r="BE99">
        <v>0</v>
      </c>
      <c r="BF99">
        <v>0</v>
      </c>
      <c r="BH99">
        <v>0</v>
      </c>
      <c r="BI99">
        <v>0</v>
      </c>
      <c r="BJ99">
        <v>0</v>
      </c>
      <c r="BK99">
        <v>0</v>
      </c>
      <c r="BL99">
        <v>0</v>
      </c>
      <c r="BM99">
        <v>0</v>
      </c>
      <c r="BN99">
        <v>0</v>
      </c>
      <c r="BO99">
        <v>0</v>
      </c>
      <c r="BQ99">
        <v>0</v>
      </c>
      <c r="BS99">
        <v>0</v>
      </c>
      <c r="BT99">
        <v>0</v>
      </c>
      <c r="BV99" s="180">
        <v>0</v>
      </c>
    </row>
    <row r="100" spans="1:74" x14ac:dyDescent="0.3">
      <c r="A100">
        <v>391</v>
      </c>
      <c r="B100" t="s">
        <v>192</v>
      </c>
      <c r="D100">
        <v>690585</v>
      </c>
      <c r="E100">
        <v>76206159</v>
      </c>
      <c r="H100">
        <v>272231</v>
      </c>
      <c r="I100">
        <v>0</v>
      </c>
      <c r="J100">
        <v>79168</v>
      </c>
      <c r="K100">
        <v>225891</v>
      </c>
      <c r="L100">
        <v>362302</v>
      </c>
      <c r="M100">
        <v>4374121</v>
      </c>
      <c r="N100">
        <v>0</v>
      </c>
      <c r="O100">
        <v>92708</v>
      </c>
      <c r="Q100">
        <v>48746</v>
      </c>
      <c r="R100">
        <v>104456</v>
      </c>
      <c r="S100">
        <v>174010</v>
      </c>
      <c r="T100">
        <v>1140296</v>
      </c>
      <c r="X100">
        <v>1143474</v>
      </c>
      <c r="Y100">
        <v>278914</v>
      </c>
      <c r="Z100">
        <v>7862397</v>
      </c>
      <c r="AA100">
        <v>1135253</v>
      </c>
      <c r="AC100">
        <v>11221</v>
      </c>
      <c r="AD100">
        <v>525509</v>
      </c>
      <c r="AE100">
        <v>378009</v>
      </c>
      <c r="AF100">
        <v>38343</v>
      </c>
      <c r="AG100">
        <v>279957</v>
      </c>
      <c r="AH100">
        <v>1461443</v>
      </c>
      <c r="AI100">
        <v>12596</v>
      </c>
      <c r="AJ100">
        <v>289137</v>
      </c>
      <c r="AK100">
        <v>8460</v>
      </c>
      <c r="AL100">
        <v>81375</v>
      </c>
      <c r="AM100">
        <v>546710</v>
      </c>
      <c r="AN100">
        <v>45739</v>
      </c>
      <c r="AO100">
        <v>6265015</v>
      </c>
      <c r="AP100">
        <v>153087</v>
      </c>
      <c r="AQ100">
        <v>22566</v>
      </c>
      <c r="AR100">
        <v>29446</v>
      </c>
      <c r="AS100">
        <v>5437897</v>
      </c>
      <c r="AT100">
        <v>27602</v>
      </c>
      <c r="AU100">
        <v>371856</v>
      </c>
      <c r="AV100">
        <v>106289</v>
      </c>
      <c r="AW100">
        <v>39140</v>
      </c>
      <c r="AY100">
        <v>32345</v>
      </c>
      <c r="AZ100">
        <v>1237530</v>
      </c>
      <c r="BA100">
        <v>141974</v>
      </c>
      <c r="BB100">
        <v>7272</v>
      </c>
      <c r="BC100">
        <v>12173</v>
      </c>
      <c r="BD100">
        <v>785000</v>
      </c>
      <c r="BE100">
        <v>310767</v>
      </c>
      <c r="BF100">
        <v>4865555</v>
      </c>
      <c r="BH100">
        <v>34773</v>
      </c>
      <c r="BI100">
        <v>36305</v>
      </c>
      <c r="BJ100">
        <v>3592790</v>
      </c>
      <c r="BK100">
        <v>146097</v>
      </c>
      <c r="BL100">
        <v>2625774</v>
      </c>
      <c r="BM100">
        <v>2767913</v>
      </c>
      <c r="BN100">
        <v>1937769</v>
      </c>
      <c r="BO100">
        <v>459435</v>
      </c>
      <c r="BQ100">
        <v>1087030</v>
      </c>
      <c r="BS100">
        <v>902830</v>
      </c>
      <c r="BT100">
        <v>123451</v>
      </c>
      <c r="BV100" s="180">
        <v>73679</v>
      </c>
    </row>
    <row r="101" spans="1:74" x14ac:dyDescent="0.3">
      <c r="A101">
        <v>500</v>
      </c>
      <c r="B101" t="s">
        <v>175</v>
      </c>
      <c r="D101">
        <v>947448</v>
      </c>
      <c r="E101">
        <v>102722200</v>
      </c>
      <c r="H101">
        <v>2585778</v>
      </c>
      <c r="I101">
        <v>280</v>
      </c>
      <c r="J101">
        <v>68213</v>
      </c>
      <c r="K101">
        <v>0</v>
      </c>
      <c r="L101">
        <v>1921107</v>
      </c>
      <c r="M101">
        <v>52184</v>
      </c>
      <c r="N101">
        <v>76168</v>
      </c>
      <c r="O101">
        <v>18066</v>
      </c>
      <c r="Q101">
        <v>306806</v>
      </c>
      <c r="R101">
        <v>249134</v>
      </c>
      <c r="S101">
        <v>1307120</v>
      </c>
      <c r="T101">
        <v>325621</v>
      </c>
      <c r="X101">
        <v>452867</v>
      </c>
      <c r="Y101">
        <v>356198</v>
      </c>
      <c r="Z101">
        <v>5894322</v>
      </c>
      <c r="AA101">
        <v>766255</v>
      </c>
      <c r="AC101">
        <v>67500</v>
      </c>
      <c r="AD101">
        <v>435587</v>
      </c>
      <c r="AE101">
        <v>191557</v>
      </c>
      <c r="AF101">
        <v>177</v>
      </c>
      <c r="AG101">
        <v>3234</v>
      </c>
      <c r="AH101">
        <v>2852518</v>
      </c>
      <c r="AI101">
        <v>69334</v>
      </c>
      <c r="AJ101">
        <v>249776</v>
      </c>
      <c r="AK101">
        <v>157289</v>
      </c>
      <c r="AL101">
        <v>0</v>
      </c>
      <c r="AM101">
        <v>2448769</v>
      </c>
      <c r="AN101">
        <v>144398</v>
      </c>
      <c r="AO101">
        <v>7480302</v>
      </c>
      <c r="AP101">
        <v>402827</v>
      </c>
      <c r="AQ101">
        <v>31508</v>
      </c>
      <c r="AR101">
        <v>195440</v>
      </c>
      <c r="AS101">
        <v>11909624</v>
      </c>
      <c r="AT101">
        <v>83158</v>
      </c>
      <c r="AU101">
        <v>826441</v>
      </c>
      <c r="AV101">
        <v>204307</v>
      </c>
      <c r="AW101">
        <v>33988</v>
      </c>
      <c r="AY101">
        <v>207735</v>
      </c>
      <c r="AZ101">
        <v>535715</v>
      </c>
      <c r="BA101">
        <v>0</v>
      </c>
      <c r="BB101">
        <v>39601</v>
      </c>
      <c r="BC101">
        <v>51212</v>
      </c>
      <c r="BD101">
        <v>1726551</v>
      </c>
      <c r="BE101">
        <v>100636</v>
      </c>
      <c r="BF101">
        <v>10606561</v>
      </c>
      <c r="BH101">
        <v>28000</v>
      </c>
      <c r="BI101">
        <v>103611</v>
      </c>
      <c r="BJ101">
        <v>4099825</v>
      </c>
      <c r="BK101">
        <v>140644</v>
      </c>
      <c r="BL101">
        <v>771700</v>
      </c>
      <c r="BM101">
        <v>2495152</v>
      </c>
      <c r="BN101">
        <v>1477484</v>
      </c>
      <c r="BO101">
        <v>619224</v>
      </c>
      <c r="BQ101">
        <v>873903</v>
      </c>
      <c r="BS101">
        <v>1865463</v>
      </c>
      <c r="BT101">
        <v>441248</v>
      </c>
      <c r="BV101" s="180">
        <v>232249</v>
      </c>
    </row>
    <row r="102" spans="1:74" x14ac:dyDescent="0.3">
      <c r="A102">
        <v>502</v>
      </c>
      <c r="B102" t="s">
        <v>177</v>
      </c>
      <c r="D102">
        <v>6834236</v>
      </c>
      <c r="E102">
        <v>607294703</v>
      </c>
      <c r="H102">
        <v>2351</v>
      </c>
      <c r="I102">
        <v>0</v>
      </c>
      <c r="J102">
        <v>0</v>
      </c>
      <c r="K102">
        <v>0</v>
      </c>
      <c r="L102">
        <v>773742</v>
      </c>
      <c r="M102">
        <v>8292145</v>
      </c>
      <c r="N102">
        <v>0</v>
      </c>
      <c r="O102">
        <v>662136</v>
      </c>
      <c r="Q102">
        <v>0</v>
      </c>
      <c r="R102">
        <v>0</v>
      </c>
      <c r="S102">
        <v>1129582</v>
      </c>
      <c r="T102">
        <v>0</v>
      </c>
      <c r="X102">
        <v>4569415</v>
      </c>
      <c r="Y102">
        <v>0</v>
      </c>
      <c r="Z102">
        <v>60251072</v>
      </c>
      <c r="AA102">
        <v>0</v>
      </c>
      <c r="AC102">
        <v>98843</v>
      </c>
      <c r="AD102">
        <v>953975</v>
      </c>
      <c r="AE102">
        <v>573376</v>
      </c>
      <c r="AF102">
        <v>956613</v>
      </c>
      <c r="AG102">
        <v>34871</v>
      </c>
      <c r="AH102">
        <v>0</v>
      </c>
      <c r="AI102">
        <v>0</v>
      </c>
      <c r="AJ102">
        <v>0</v>
      </c>
      <c r="AK102">
        <v>0</v>
      </c>
      <c r="AL102">
        <v>1035600</v>
      </c>
      <c r="AM102">
        <v>1072783</v>
      </c>
      <c r="AN102">
        <v>230771</v>
      </c>
      <c r="AO102">
        <v>50365948</v>
      </c>
      <c r="AP102">
        <v>378284</v>
      </c>
      <c r="AQ102">
        <v>0</v>
      </c>
      <c r="AR102">
        <v>54581</v>
      </c>
      <c r="AS102">
        <v>22136561</v>
      </c>
      <c r="AT102">
        <v>737940</v>
      </c>
      <c r="AU102">
        <v>5210066</v>
      </c>
      <c r="AV102">
        <v>3305341</v>
      </c>
      <c r="AW102">
        <v>835581</v>
      </c>
      <c r="AY102">
        <v>15683</v>
      </c>
      <c r="AZ102">
        <v>9778738</v>
      </c>
      <c r="BA102">
        <v>249436</v>
      </c>
      <c r="BB102">
        <v>992014</v>
      </c>
      <c r="BC102">
        <v>0</v>
      </c>
      <c r="BD102">
        <v>4698326</v>
      </c>
      <c r="BE102">
        <v>3081439</v>
      </c>
      <c r="BF102">
        <v>32278058</v>
      </c>
      <c r="BH102">
        <v>0</v>
      </c>
      <c r="BI102">
        <v>956386</v>
      </c>
      <c r="BJ102">
        <v>25522555</v>
      </c>
      <c r="BK102">
        <v>1206002</v>
      </c>
      <c r="BL102">
        <v>17381082</v>
      </c>
      <c r="BM102">
        <v>0</v>
      </c>
      <c r="BN102">
        <v>13396538</v>
      </c>
      <c r="BO102">
        <v>1183639</v>
      </c>
      <c r="BQ102">
        <v>0</v>
      </c>
      <c r="BS102">
        <v>990398</v>
      </c>
      <c r="BT102">
        <v>416346</v>
      </c>
      <c r="BV102" s="180">
        <v>401856</v>
      </c>
    </row>
    <row r="103" spans="1:74" x14ac:dyDescent="0.3">
      <c r="A103">
        <v>503</v>
      </c>
      <c r="B103" t="s">
        <v>178</v>
      </c>
      <c r="D103">
        <v>66294</v>
      </c>
      <c r="E103">
        <v>55987694</v>
      </c>
      <c r="H103">
        <v>1040365</v>
      </c>
      <c r="I103">
        <v>0</v>
      </c>
      <c r="J103">
        <v>0</v>
      </c>
      <c r="K103">
        <v>0</v>
      </c>
      <c r="L103">
        <v>365321</v>
      </c>
      <c r="M103">
        <v>1745809</v>
      </c>
      <c r="N103">
        <v>0</v>
      </c>
      <c r="O103">
        <v>27650</v>
      </c>
      <c r="Q103">
        <v>0</v>
      </c>
      <c r="R103">
        <v>0</v>
      </c>
      <c r="S103">
        <v>22860</v>
      </c>
      <c r="T103">
        <v>0</v>
      </c>
      <c r="X103">
        <v>123488</v>
      </c>
      <c r="Y103">
        <v>0</v>
      </c>
      <c r="Z103">
        <v>9742739</v>
      </c>
      <c r="AA103">
        <v>0</v>
      </c>
      <c r="AC103">
        <v>64559</v>
      </c>
      <c r="AD103">
        <v>100615</v>
      </c>
      <c r="AE103">
        <v>80996</v>
      </c>
      <c r="AF103">
        <v>87807</v>
      </c>
      <c r="AG103">
        <v>0</v>
      </c>
      <c r="AH103">
        <v>1849235</v>
      </c>
      <c r="AI103">
        <v>0</v>
      </c>
      <c r="AJ103">
        <v>0</v>
      </c>
      <c r="AK103">
        <v>0</v>
      </c>
      <c r="AL103">
        <v>0</v>
      </c>
      <c r="AM103">
        <v>0</v>
      </c>
      <c r="AN103">
        <v>16905</v>
      </c>
      <c r="AO103">
        <v>1739021</v>
      </c>
      <c r="AP103">
        <v>182231</v>
      </c>
      <c r="AQ103">
        <v>0</v>
      </c>
      <c r="AR103">
        <v>17480</v>
      </c>
      <c r="AS103">
        <v>4684007</v>
      </c>
      <c r="AT103">
        <v>48946</v>
      </c>
      <c r="AU103">
        <v>111011</v>
      </c>
      <c r="AV103">
        <v>110808</v>
      </c>
      <c r="AW103">
        <v>233655</v>
      </c>
      <c r="AY103">
        <v>0</v>
      </c>
      <c r="AZ103">
        <v>106963</v>
      </c>
      <c r="BA103">
        <v>4530</v>
      </c>
      <c r="BB103">
        <v>8138</v>
      </c>
      <c r="BC103">
        <v>0</v>
      </c>
      <c r="BD103">
        <v>79051</v>
      </c>
      <c r="BE103">
        <v>327382</v>
      </c>
      <c r="BF103">
        <v>641673</v>
      </c>
      <c r="BH103">
        <v>0</v>
      </c>
      <c r="BI103">
        <v>28456</v>
      </c>
      <c r="BJ103">
        <v>1146471</v>
      </c>
      <c r="BK103">
        <v>62638</v>
      </c>
      <c r="BL103">
        <v>1770154</v>
      </c>
      <c r="BM103">
        <v>0</v>
      </c>
      <c r="BN103">
        <v>3840510</v>
      </c>
      <c r="BO103">
        <v>6245075</v>
      </c>
      <c r="BQ103">
        <v>0</v>
      </c>
      <c r="BS103">
        <v>0</v>
      </c>
      <c r="BT103">
        <v>47187</v>
      </c>
      <c r="BV103" s="180">
        <v>56978</v>
      </c>
    </row>
    <row r="104" spans="1:74" x14ac:dyDescent="0.3">
      <c r="A104">
        <v>504</v>
      </c>
      <c r="B104" t="s">
        <v>182</v>
      </c>
      <c r="D104">
        <v>1343919</v>
      </c>
      <c r="E104">
        <v>76482078</v>
      </c>
      <c r="H104">
        <v>1871558</v>
      </c>
      <c r="I104">
        <v>2256</v>
      </c>
      <c r="J104">
        <v>119753</v>
      </c>
      <c r="K104">
        <v>624125</v>
      </c>
      <c r="L104">
        <v>885052</v>
      </c>
      <c r="M104">
        <v>883705</v>
      </c>
      <c r="N104">
        <v>68165</v>
      </c>
      <c r="O104">
        <v>445437</v>
      </c>
      <c r="Q104">
        <v>32984</v>
      </c>
      <c r="R104">
        <v>612967</v>
      </c>
      <c r="S104">
        <v>851142</v>
      </c>
      <c r="T104">
        <v>4454644</v>
      </c>
      <c r="X104">
        <v>478534</v>
      </c>
      <c r="Y104">
        <v>124766</v>
      </c>
      <c r="Z104">
        <v>20212730</v>
      </c>
      <c r="AA104">
        <v>2778257</v>
      </c>
      <c r="AC104">
        <v>18961</v>
      </c>
      <c r="AD104">
        <v>192250</v>
      </c>
      <c r="AE104">
        <v>294718</v>
      </c>
      <c r="AF104">
        <v>68642</v>
      </c>
      <c r="AG104">
        <v>292985</v>
      </c>
      <c r="AH104">
        <v>1216177</v>
      </c>
      <c r="AI104">
        <v>8129</v>
      </c>
      <c r="AJ104">
        <v>1923003</v>
      </c>
      <c r="AK104">
        <v>13283</v>
      </c>
      <c r="AL104">
        <v>46800</v>
      </c>
      <c r="AM104">
        <v>1701608</v>
      </c>
      <c r="AN104">
        <v>86646</v>
      </c>
      <c r="AO104">
        <v>3060842</v>
      </c>
      <c r="AP104">
        <v>42122</v>
      </c>
      <c r="AQ104">
        <v>107736</v>
      </c>
      <c r="AR104">
        <v>207576</v>
      </c>
      <c r="AS104">
        <v>11463680</v>
      </c>
      <c r="AT104">
        <v>88804</v>
      </c>
      <c r="AU104">
        <v>1293012</v>
      </c>
      <c r="AV104">
        <v>759361</v>
      </c>
      <c r="AW104">
        <v>40460</v>
      </c>
      <c r="AY104">
        <v>183037</v>
      </c>
      <c r="AZ104">
        <v>1150811</v>
      </c>
      <c r="BA104">
        <v>59121</v>
      </c>
      <c r="BB104">
        <v>3438</v>
      </c>
      <c r="BC104">
        <v>7808</v>
      </c>
      <c r="BD104">
        <v>1501058</v>
      </c>
      <c r="BE104">
        <v>54307</v>
      </c>
      <c r="BF104">
        <v>8229017</v>
      </c>
      <c r="BH104">
        <v>154793</v>
      </c>
      <c r="BI104">
        <v>44751</v>
      </c>
      <c r="BJ104">
        <v>679538</v>
      </c>
      <c r="BK104">
        <v>313233</v>
      </c>
      <c r="BL104">
        <v>5258699</v>
      </c>
      <c r="BM104">
        <v>496268</v>
      </c>
      <c r="BN104">
        <v>168456</v>
      </c>
      <c r="BO104">
        <v>76026</v>
      </c>
      <c r="BQ104">
        <v>136610</v>
      </c>
      <c r="BS104">
        <v>597735</v>
      </c>
      <c r="BT104">
        <v>67199</v>
      </c>
      <c r="BV104" s="180">
        <v>463661</v>
      </c>
    </row>
    <row r="105" spans="1:74" x14ac:dyDescent="0.3">
      <c r="A105">
        <v>505</v>
      </c>
      <c r="B105" t="s">
        <v>183</v>
      </c>
      <c r="D105">
        <v>0</v>
      </c>
      <c r="E105">
        <v>60168726</v>
      </c>
      <c r="H105">
        <v>0</v>
      </c>
      <c r="I105">
        <v>0</v>
      </c>
      <c r="J105">
        <v>0</v>
      </c>
      <c r="K105">
        <v>0</v>
      </c>
      <c r="L105">
        <v>1196962</v>
      </c>
      <c r="M105">
        <v>962220</v>
      </c>
      <c r="N105">
        <v>0</v>
      </c>
      <c r="O105">
        <v>0</v>
      </c>
      <c r="Q105">
        <v>0</v>
      </c>
      <c r="R105">
        <v>300000</v>
      </c>
      <c r="S105">
        <v>0</v>
      </c>
      <c r="T105">
        <v>0</v>
      </c>
      <c r="X105">
        <v>2543325</v>
      </c>
      <c r="Y105">
        <v>292252</v>
      </c>
      <c r="Z105">
        <v>646617</v>
      </c>
      <c r="AA105">
        <v>12313918</v>
      </c>
      <c r="AC105">
        <v>0</v>
      </c>
      <c r="AD105">
        <v>0</v>
      </c>
      <c r="AE105">
        <v>334104</v>
      </c>
      <c r="AF105">
        <v>98000</v>
      </c>
      <c r="AG105">
        <v>26403</v>
      </c>
      <c r="AH105">
        <v>0</v>
      </c>
      <c r="AI105">
        <v>0</v>
      </c>
      <c r="AJ105">
        <v>51074</v>
      </c>
      <c r="AK105">
        <v>0</v>
      </c>
      <c r="AL105">
        <v>0</v>
      </c>
      <c r="AM105">
        <v>0</v>
      </c>
      <c r="AN105">
        <v>0</v>
      </c>
      <c r="AO105">
        <v>1075000</v>
      </c>
      <c r="AP105">
        <v>320500</v>
      </c>
      <c r="AQ105">
        <v>0</v>
      </c>
      <c r="AR105">
        <v>0</v>
      </c>
      <c r="AS105">
        <v>20534522</v>
      </c>
      <c r="AT105">
        <v>0</v>
      </c>
      <c r="AU105">
        <v>0</v>
      </c>
      <c r="AV105">
        <v>0</v>
      </c>
      <c r="AW105">
        <v>299847</v>
      </c>
      <c r="AY105">
        <v>65000</v>
      </c>
      <c r="AZ105">
        <v>269567</v>
      </c>
      <c r="BA105">
        <v>212097</v>
      </c>
      <c r="BB105">
        <v>0</v>
      </c>
      <c r="BC105">
        <v>0</v>
      </c>
      <c r="BD105">
        <v>139996</v>
      </c>
      <c r="BE105">
        <v>674885</v>
      </c>
      <c r="BF105">
        <v>5282180</v>
      </c>
      <c r="BH105">
        <v>0</v>
      </c>
      <c r="BI105">
        <v>0</v>
      </c>
      <c r="BJ105">
        <v>2970380</v>
      </c>
      <c r="BK105">
        <v>7819</v>
      </c>
      <c r="BL105">
        <v>2290708</v>
      </c>
      <c r="BM105">
        <v>6074226</v>
      </c>
      <c r="BN105">
        <v>72865</v>
      </c>
      <c r="BO105">
        <v>78588</v>
      </c>
      <c r="BQ105">
        <v>1373524</v>
      </c>
      <c r="BS105">
        <v>963878</v>
      </c>
      <c r="BT105">
        <v>0</v>
      </c>
      <c r="BV105" s="180">
        <v>50297</v>
      </c>
    </row>
    <row r="106" spans="1:74" x14ac:dyDescent="0.3">
      <c r="A106">
        <v>506</v>
      </c>
      <c r="B106" t="s">
        <v>189</v>
      </c>
      <c r="D106">
        <v>9664530</v>
      </c>
      <c r="E106">
        <v>391263734</v>
      </c>
      <c r="H106">
        <v>3339577</v>
      </c>
      <c r="I106">
        <v>71960</v>
      </c>
      <c r="J106">
        <v>1769371</v>
      </c>
      <c r="K106">
        <v>9069352</v>
      </c>
      <c r="L106">
        <v>1476065</v>
      </c>
      <c r="M106">
        <v>12018637</v>
      </c>
      <c r="N106">
        <v>892792</v>
      </c>
      <c r="O106">
        <v>1538819</v>
      </c>
      <c r="Q106">
        <v>923050</v>
      </c>
      <c r="R106">
        <v>2022258</v>
      </c>
      <c r="S106">
        <v>1165473</v>
      </c>
      <c r="T106">
        <v>9179693</v>
      </c>
      <c r="X106">
        <v>5932328</v>
      </c>
      <c r="Y106">
        <v>2206738</v>
      </c>
      <c r="Z106">
        <v>35523510</v>
      </c>
      <c r="AA106">
        <v>11122096</v>
      </c>
      <c r="AC106">
        <v>662198</v>
      </c>
      <c r="AD106">
        <v>989144</v>
      </c>
      <c r="AE106">
        <v>2477795</v>
      </c>
      <c r="AF106">
        <v>568677</v>
      </c>
      <c r="AG106">
        <v>262912</v>
      </c>
      <c r="AH106">
        <v>1630894</v>
      </c>
      <c r="AI106">
        <v>308904</v>
      </c>
      <c r="AJ106">
        <v>5020764</v>
      </c>
      <c r="AK106">
        <v>625759</v>
      </c>
      <c r="AL106">
        <v>963327</v>
      </c>
      <c r="AM106">
        <v>1984610</v>
      </c>
      <c r="AN106">
        <v>742022</v>
      </c>
      <c r="AO106">
        <v>31100219</v>
      </c>
      <c r="AP106">
        <v>1483142</v>
      </c>
      <c r="AQ106">
        <v>845964</v>
      </c>
      <c r="AR106">
        <v>935472</v>
      </c>
      <c r="AS106">
        <v>34104948</v>
      </c>
      <c r="AT106">
        <v>362887</v>
      </c>
      <c r="AU106">
        <v>7249457</v>
      </c>
      <c r="AV106">
        <v>791790</v>
      </c>
      <c r="AW106">
        <v>482143</v>
      </c>
      <c r="AY106">
        <v>610567</v>
      </c>
      <c r="AZ106">
        <v>5445724</v>
      </c>
      <c r="BA106">
        <v>879164</v>
      </c>
      <c r="BB106">
        <v>196716</v>
      </c>
      <c r="BC106">
        <v>1545091</v>
      </c>
      <c r="BD106">
        <v>8623853</v>
      </c>
      <c r="BE106">
        <v>1462336</v>
      </c>
      <c r="BF106">
        <v>15177754</v>
      </c>
      <c r="BH106">
        <v>542543</v>
      </c>
      <c r="BI106">
        <v>521604</v>
      </c>
      <c r="BJ106">
        <v>16218771</v>
      </c>
      <c r="BK106">
        <v>1932717</v>
      </c>
      <c r="BL106">
        <v>18643191</v>
      </c>
      <c r="BM106">
        <v>10132986</v>
      </c>
      <c r="BN106">
        <v>8378506</v>
      </c>
      <c r="BO106">
        <v>2682549</v>
      </c>
      <c r="BQ106">
        <v>2521445</v>
      </c>
      <c r="BS106">
        <v>1334460</v>
      </c>
      <c r="BT106">
        <v>1504543</v>
      </c>
      <c r="BV106" s="180">
        <v>4429550</v>
      </c>
    </row>
    <row r="107" spans="1:74" x14ac:dyDescent="0.3">
      <c r="A107">
        <v>507</v>
      </c>
      <c r="B107" t="s">
        <v>886</v>
      </c>
      <c r="D107">
        <v>0</v>
      </c>
      <c r="E107">
        <v>0</v>
      </c>
      <c r="H107">
        <v>0</v>
      </c>
      <c r="I107">
        <v>0</v>
      </c>
      <c r="J107">
        <v>0</v>
      </c>
      <c r="K107">
        <v>0</v>
      </c>
      <c r="L107">
        <v>0</v>
      </c>
      <c r="M107">
        <v>24555</v>
      </c>
      <c r="N107">
        <v>-1</v>
      </c>
      <c r="O107">
        <v>0</v>
      </c>
      <c r="Q107">
        <v>0</v>
      </c>
      <c r="R107">
        <v>0</v>
      </c>
      <c r="S107">
        <v>0</v>
      </c>
      <c r="T107">
        <v>0</v>
      </c>
      <c r="X107">
        <v>0</v>
      </c>
      <c r="Y107">
        <v>0</v>
      </c>
      <c r="Z107">
        <v>1624214</v>
      </c>
      <c r="AA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1</v>
      </c>
      <c r="AV107">
        <v>0</v>
      </c>
      <c r="AW107">
        <v>0</v>
      </c>
      <c r="AY107">
        <v>8</v>
      </c>
      <c r="AZ107">
        <v>0</v>
      </c>
      <c r="BA107">
        <v>14179</v>
      </c>
      <c r="BB107">
        <v>0</v>
      </c>
      <c r="BC107">
        <v>0</v>
      </c>
      <c r="BD107">
        <v>172678</v>
      </c>
      <c r="BE107">
        <v>0</v>
      </c>
      <c r="BF107">
        <v>0</v>
      </c>
      <c r="BH107">
        <v>0</v>
      </c>
      <c r="BI107">
        <v>0</v>
      </c>
      <c r="BJ107">
        <v>0</v>
      </c>
      <c r="BK107">
        <v>5203</v>
      </c>
      <c r="BL107">
        <v>0</v>
      </c>
      <c r="BM107">
        <v>0</v>
      </c>
      <c r="BN107">
        <v>0</v>
      </c>
      <c r="BO107">
        <v>0</v>
      </c>
      <c r="BQ107">
        <v>0</v>
      </c>
      <c r="BS107">
        <v>0</v>
      </c>
      <c r="BT107">
        <v>0</v>
      </c>
      <c r="BV107" s="180">
        <v>427</v>
      </c>
    </row>
    <row r="108" spans="1:74" x14ac:dyDescent="0.3">
      <c r="A108">
        <v>508</v>
      </c>
      <c r="B108" t="s">
        <v>204</v>
      </c>
      <c r="D108">
        <v>0</v>
      </c>
      <c r="E108">
        <v>0</v>
      </c>
      <c r="H108">
        <v>0</v>
      </c>
      <c r="I108">
        <v>0</v>
      </c>
      <c r="J108">
        <v>0</v>
      </c>
      <c r="K108">
        <v>0</v>
      </c>
      <c r="L108">
        <v>0</v>
      </c>
      <c r="M108">
        <v>0</v>
      </c>
      <c r="N108">
        <v>0</v>
      </c>
      <c r="O108">
        <v>0</v>
      </c>
      <c r="Q108">
        <v>0</v>
      </c>
      <c r="R108">
        <v>0</v>
      </c>
      <c r="S108">
        <v>0</v>
      </c>
      <c r="T108">
        <v>0</v>
      </c>
      <c r="X108">
        <v>0</v>
      </c>
      <c r="Y108">
        <v>0</v>
      </c>
      <c r="Z108">
        <v>0</v>
      </c>
      <c r="AA108">
        <v>239903</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Y108">
        <v>0</v>
      </c>
      <c r="AZ108">
        <v>0</v>
      </c>
      <c r="BA108">
        <v>0</v>
      </c>
      <c r="BB108">
        <v>0</v>
      </c>
      <c r="BC108">
        <v>0</v>
      </c>
      <c r="BD108">
        <v>0</v>
      </c>
      <c r="BE108">
        <v>0</v>
      </c>
      <c r="BF108">
        <v>0</v>
      </c>
      <c r="BH108">
        <v>0</v>
      </c>
      <c r="BI108">
        <v>0</v>
      </c>
      <c r="BJ108">
        <v>0</v>
      </c>
      <c r="BK108">
        <v>0</v>
      </c>
      <c r="BL108">
        <v>0</v>
      </c>
      <c r="BM108">
        <v>0</v>
      </c>
      <c r="BN108">
        <v>0</v>
      </c>
      <c r="BO108">
        <v>0</v>
      </c>
      <c r="BQ108">
        <v>0</v>
      </c>
      <c r="BS108">
        <v>0</v>
      </c>
      <c r="BT108">
        <v>0</v>
      </c>
      <c r="BV108" s="180">
        <v>0</v>
      </c>
    </row>
    <row r="109" spans="1:74" x14ac:dyDescent="0.3">
      <c r="A109">
        <v>509</v>
      </c>
      <c r="B109" t="s">
        <v>205</v>
      </c>
      <c r="D109">
        <v>0</v>
      </c>
      <c r="E109">
        <v>0</v>
      </c>
      <c r="H109">
        <v>0</v>
      </c>
      <c r="I109">
        <v>0</v>
      </c>
      <c r="J109">
        <v>0</v>
      </c>
      <c r="K109">
        <v>0</v>
      </c>
      <c r="L109">
        <v>0</v>
      </c>
      <c r="M109">
        <v>0</v>
      </c>
      <c r="N109">
        <v>0</v>
      </c>
      <c r="O109">
        <v>0</v>
      </c>
      <c r="Q109">
        <v>0</v>
      </c>
      <c r="R109">
        <v>0</v>
      </c>
      <c r="S109">
        <v>0</v>
      </c>
      <c r="T109">
        <v>0</v>
      </c>
      <c r="X109">
        <v>0</v>
      </c>
      <c r="Y109">
        <v>0</v>
      </c>
      <c r="Z109">
        <v>0</v>
      </c>
      <c r="AA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Y109">
        <v>0</v>
      </c>
      <c r="AZ109">
        <v>0</v>
      </c>
      <c r="BA109">
        <v>0</v>
      </c>
      <c r="BB109">
        <v>0</v>
      </c>
      <c r="BC109">
        <v>0</v>
      </c>
      <c r="BD109">
        <v>0</v>
      </c>
      <c r="BE109">
        <v>0</v>
      </c>
      <c r="BF109">
        <v>0</v>
      </c>
      <c r="BH109">
        <v>0</v>
      </c>
      <c r="BI109">
        <v>0</v>
      </c>
      <c r="BJ109">
        <v>0</v>
      </c>
      <c r="BK109">
        <v>0</v>
      </c>
      <c r="BL109">
        <v>0</v>
      </c>
      <c r="BM109">
        <v>0</v>
      </c>
      <c r="BN109">
        <v>0</v>
      </c>
      <c r="BO109">
        <v>0</v>
      </c>
      <c r="BQ109">
        <v>0</v>
      </c>
      <c r="BS109">
        <v>0</v>
      </c>
      <c r="BT109">
        <v>0</v>
      </c>
      <c r="BV109" s="180">
        <v>0</v>
      </c>
    </row>
    <row r="110" spans="1:74" x14ac:dyDescent="0.3">
      <c r="A110">
        <v>510</v>
      </c>
      <c r="B110" t="s">
        <v>211</v>
      </c>
      <c r="D110">
        <v>20773</v>
      </c>
      <c r="E110">
        <v>13785739</v>
      </c>
      <c r="H110">
        <v>0</v>
      </c>
      <c r="I110">
        <v>0</v>
      </c>
      <c r="J110">
        <v>0</v>
      </c>
      <c r="K110">
        <v>0</v>
      </c>
      <c r="L110">
        <v>114087</v>
      </c>
      <c r="M110">
        <v>261848</v>
      </c>
      <c r="N110">
        <v>0</v>
      </c>
      <c r="O110">
        <v>0</v>
      </c>
      <c r="Q110">
        <v>0</v>
      </c>
      <c r="R110">
        <v>0</v>
      </c>
      <c r="S110">
        <v>0</v>
      </c>
      <c r="T110">
        <v>0</v>
      </c>
      <c r="X110">
        <v>212131</v>
      </c>
      <c r="Y110">
        <v>0</v>
      </c>
      <c r="Z110">
        <v>309106</v>
      </c>
      <c r="AA110">
        <v>0</v>
      </c>
      <c r="AC110">
        <v>0</v>
      </c>
      <c r="AD110">
        <v>0</v>
      </c>
      <c r="AE110">
        <v>0</v>
      </c>
      <c r="AF110">
        <v>10000</v>
      </c>
      <c r="AG110">
        <v>4750</v>
      </c>
      <c r="AH110">
        <v>0</v>
      </c>
      <c r="AI110">
        <v>0</v>
      </c>
      <c r="AJ110">
        <v>0</v>
      </c>
      <c r="AK110">
        <v>0</v>
      </c>
      <c r="AL110">
        <v>0</v>
      </c>
      <c r="AM110">
        <v>0</v>
      </c>
      <c r="AN110">
        <v>0</v>
      </c>
      <c r="AO110">
        <v>1965328</v>
      </c>
      <c r="AP110">
        <v>0</v>
      </c>
      <c r="AQ110">
        <v>0</v>
      </c>
      <c r="AR110">
        <v>0</v>
      </c>
      <c r="AS110">
        <v>197141</v>
      </c>
      <c r="AT110">
        <v>0</v>
      </c>
      <c r="AU110">
        <v>110513</v>
      </c>
      <c r="AV110">
        <v>45891</v>
      </c>
      <c r="AW110">
        <v>0</v>
      </c>
      <c r="AY110">
        <v>0</v>
      </c>
      <c r="AZ110">
        <v>158004</v>
      </c>
      <c r="BA110">
        <v>0</v>
      </c>
      <c r="BB110">
        <v>0</v>
      </c>
      <c r="BC110">
        <v>0</v>
      </c>
      <c r="BD110">
        <v>199777</v>
      </c>
      <c r="BE110">
        <v>30713</v>
      </c>
      <c r="BF110">
        <v>978910</v>
      </c>
      <c r="BH110">
        <v>0</v>
      </c>
      <c r="BI110">
        <v>0</v>
      </c>
      <c r="BJ110">
        <v>318360</v>
      </c>
      <c r="BK110">
        <v>34144</v>
      </c>
      <c r="BL110">
        <v>0</v>
      </c>
      <c r="BM110">
        <v>0</v>
      </c>
      <c r="BN110">
        <v>0</v>
      </c>
      <c r="BO110">
        <v>27001</v>
      </c>
      <c r="BQ110">
        <v>0</v>
      </c>
      <c r="BS110">
        <v>0</v>
      </c>
      <c r="BT110">
        <v>0</v>
      </c>
      <c r="BV110" s="180">
        <v>0</v>
      </c>
    </row>
    <row r="111" spans="1:74" x14ac:dyDescent="0.3">
      <c r="A111">
        <v>511</v>
      </c>
      <c r="B111" t="s">
        <v>216</v>
      </c>
      <c r="D111">
        <v>0</v>
      </c>
      <c r="E111">
        <v>0</v>
      </c>
      <c r="H111">
        <v>0</v>
      </c>
      <c r="I111">
        <v>0</v>
      </c>
      <c r="J111">
        <v>0</v>
      </c>
      <c r="K111">
        <v>0</v>
      </c>
      <c r="L111">
        <v>473608</v>
      </c>
      <c r="M111">
        <v>0</v>
      </c>
      <c r="N111">
        <v>0</v>
      </c>
      <c r="O111">
        <v>0</v>
      </c>
      <c r="Q111">
        <v>0</v>
      </c>
      <c r="R111">
        <v>0</v>
      </c>
      <c r="S111">
        <v>0</v>
      </c>
      <c r="T111">
        <v>0</v>
      </c>
      <c r="X111">
        <v>0</v>
      </c>
      <c r="Y111">
        <v>0</v>
      </c>
      <c r="Z111">
        <v>2233327</v>
      </c>
      <c r="AA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349207</v>
      </c>
      <c r="AW111">
        <v>0</v>
      </c>
      <c r="AY111">
        <v>0</v>
      </c>
      <c r="AZ111">
        <v>330779</v>
      </c>
      <c r="BA111">
        <v>0</v>
      </c>
      <c r="BB111">
        <v>0</v>
      </c>
      <c r="BC111">
        <v>0</v>
      </c>
      <c r="BD111">
        <v>0</v>
      </c>
      <c r="BE111">
        <v>29976</v>
      </c>
      <c r="BF111">
        <v>1414000</v>
      </c>
      <c r="BH111">
        <v>0</v>
      </c>
      <c r="BI111">
        <v>0</v>
      </c>
      <c r="BJ111">
        <v>1908649</v>
      </c>
      <c r="BK111">
        <v>0</v>
      </c>
      <c r="BL111">
        <v>0</v>
      </c>
      <c r="BM111">
        <v>0</v>
      </c>
      <c r="BN111">
        <v>0</v>
      </c>
      <c r="BO111">
        <v>0</v>
      </c>
      <c r="BQ111">
        <v>0</v>
      </c>
      <c r="BS111">
        <v>0</v>
      </c>
      <c r="BT111">
        <v>0</v>
      </c>
      <c r="BV111" s="180">
        <v>0</v>
      </c>
    </row>
    <row r="112" spans="1:74" x14ac:dyDescent="0.3">
      <c r="A112">
        <v>512</v>
      </c>
      <c r="B112" t="s">
        <v>243</v>
      </c>
      <c r="D112">
        <v>0</v>
      </c>
      <c r="E112">
        <v>160276278</v>
      </c>
      <c r="H112">
        <v>0</v>
      </c>
      <c r="I112">
        <v>0</v>
      </c>
      <c r="J112">
        <v>0</v>
      </c>
      <c r="K112">
        <v>0</v>
      </c>
      <c r="L112">
        <v>0</v>
      </c>
      <c r="M112">
        <v>0</v>
      </c>
      <c r="N112">
        <v>0</v>
      </c>
      <c r="O112">
        <v>0</v>
      </c>
      <c r="Q112">
        <v>0</v>
      </c>
      <c r="R112">
        <v>0</v>
      </c>
      <c r="S112">
        <v>0</v>
      </c>
      <c r="T112">
        <v>0</v>
      </c>
      <c r="X112">
        <v>0</v>
      </c>
      <c r="Y112">
        <v>0</v>
      </c>
      <c r="Z112">
        <v>261477</v>
      </c>
      <c r="AA112">
        <v>0</v>
      </c>
      <c r="AC112">
        <v>0</v>
      </c>
      <c r="AD112">
        <v>0</v>
      </c>
      <c r="AE112">
        <v>0</v>
      </c>
      <c r="AF112">
        <v>0</v>
      </c>
      <c r="AG112">
        <v>0</v>
      </c>
      <c r="AH112">
        <v>0</v>
      </c>
      <c r="AI112">
        <v>0</v>
      </c>
      <c r="AJ112">
        <v>0</v>
      </c>
      <c r="AK112">
        <v>0</v>
      </c>
      <c r="AL112">
        <v>0</v>
      </c>
      <c r="AM112">
        <v>0</v>
      </c>
      <c r="AN112">
        <v>0</v>
      </c>
      <c r="AO112">
        <v>59218</v>
      </c>
      <c r="AP112">
        <v>0</v>
      </c>
      <c r="AQ112">
        <v>0</v>
      </c>
      <c r="AR112">
        <v>0</v>
      </c>
      <c r="AS112">
        <v>4392111</v>
      </c>
      <c r="AT112">
        <v>0</v>
      </c>
      <c r="AU112">
        <v>0</v>
      </c>
      <c r="AV112">
        <v>0</v>
      </c>
      <c r="AW112">
        <v>0</v>
      </c>
      <c r="AY112">
        <v>0</v>
      </c>
      <c r="AZ112">
        <v>0</v>
      </c>
      <c r="BA112">
        <v>0</v>
      </c>
      <c r="BB112">
        <v>0</v>
      </c>
      <c r="BC112">
        <v>0</v>
      </c>
      <c r="BD112">
        <v>0</v>
      </c>
      <c r="BE112">
        <v>0</v>
      </c>
      <c r="BF112">
        <v>0</v>
      </c>
      <c r="BH112">
        <v>0</v>
      </c>
      <c r="BI112">
        <v>0</v>
      </c>
      <c r="BJ112">
        <v>225718</v>
      </c>
      <c r="BK112">
        <v>0</v>
      </c>
      <c r="BL112">
        <v>27343</v>
      </c>
      <c r="BM112">
        <v>0</v>
      </c>
      <c r="BN112">
        <v>53801</v>
      </c>
      <c r="BO112">
        <v>0</v>
      </c>
      <c r="BQ112">
        <v>0</v>
      </c>
      <c r="BS112">
        <v>0</v>
      </c>
      <c r="BT112">
        <v>0</v>
      </c>
      <c r="BV112" s="180">
        <v>0</v>
      </c>
    </row>
    <row r="113" spans="1:74" x14ac:dyDescent="0.3">
      <c r="A113">
        <v>513</v>
      </c>
      <c r="B113" t="s">
        <v>249</v>
      </c>
      <c r="D113">
        <v>0</v>
      </c>
      <c r="E113">
        <v>0</v>
      </c>
      <c r="H113">
        <v>0</v>
      </c>
      <c r="I113">
        <v>0</v>
      </c>
      <c r="J113">
        <v>0</v>
      </c>
      <c r="K113">
        <v>0</v>
      </c>
      <c r="L113">
        <v>0</v>
      </c>
      <c r="M113">
        <v>0</v>
      </c>
      <c r="N113">
        <v>0</v>
      </c>
      <c r="O113">
        <v>0</v>
      </c>
      <c r="Q113">
        <v>0</v>
      </c>
      <c r="R113">
        <v>0</v>
      </c>
      <c r="S113">
        <v>0</v>
      </c>
      <c r="T113">
        <v>0</v>
      </c>
      <c r="X113">
        <v>0</v>
      </c>
      <c r="Y113">
        <v>0</v>
      </c>
      <c r="Z113">
        <v>59359</v>
      </c>
      <c r="AA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Y113">
        <v>0</v>
      </c>
      <c r="AZ113">
        <v>0</v>
      </c>
      <c r="BA113">
        <v>0</v>
      </c>
      <c r="BB113">
        <v>0</v>
      </c>
      <c r="BC113">
        <v>0</v>
      </c>
      <c r="BD113">
        <v>0</v>
      </c>
      <c r="BE113">
        <v>0</v>
      </c>
      <c r="BF113">
        <v>0</v>
      </c>
      <c r="BH113">
        <v>0</v>
      </c>
      <c r="BI113">
        <v>0</v>
      </c>
      <c r="BJ113">
        <v>0</v>
      </c>
      <c r="BK113">
        <v>0</v>
      </c>
      <c r="BL113">
        <v>0</v>
      </c>
      <c r="BM113">
        <v>0</v>
      </c>
      <c r="BN113">
        <v>0</v>
      </c>
      <c r="BO113">
        <v>0</v>
      </c>
      <c r="BQ113">
        <v>0</v>
      </c>
      <c r="BS113">
        <v>0</v>
      </c>
      <c r="BT113">
        <v>0</v>
      </c>
      <c r="BV113" s="180">
        <v>0</v>
      </c>
    </row>
    <row r="114" spans="1:74" x14ac:dyDescent="0.3">
      <c r="A114">
        <v>514</v>
      </c>
      <c r="B114" t="s">
        <v>250</v>
      </c>
      <c r="D114">
        <v>0</v>
      </c>
      <c r="E114">
        <v>0</v>
      </c>
      <c r="H114">
        <v>0</v>
      </c>
      <c r="I114">
        <v>0</v>
      </c>
      <c r="J114">
        <v>0</v>
      </c>
      <c r="K114">
        <v>0</v>
      </c>
      <c r="L114">
        <v>0</v>
      </c>
      <c r="M114">
        <v>0</v>
      </c>
      <c r="N114">
        <v>0</v>
      </c>
      <c r="O114">
        <v>0</v>
      </c>
      <c r="Q114">
        <v>0</v>
      </c>
      <c r="R114">
        <v>0</v>
      </c>
      <c r="S114">
        <v>0</v>
      </c>
      <c r="T114">
        <v>0</v>
      </c>
      <c r="X114">
        <v>0</v>
      </c>
      <c r="Y114">
        <v>0</v>
      </c>
      <c r="Z114">
        <v>118436</v>
      </c>
      <c r="AA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61099</v>
      </c>
      <c r="AW114">
        <v>0</v>
      </c>
      <c r="AY114">
        <v>0</v>
      </c>
      <c r="AZ114">
        <v>195000</v>
      </c>
      <c r="BA114">
        <v>0</v>
      </c>
      <c r="BB114">
        <v>0</v>
      </c>
      <c r="BC114">
        <v>0</v>
      </c>
      <c r="BD114">
        <v>0</v>
      </c>
      <c r="BE114">
        <v>0</v>
      </c>
      <c r="BF114">
        <v>900000</v>
      </c>
      <c r="BH114">
        <v>0</v>
      </c>
      <c r="BI114">
        <v>0</v>
      </c>
      <c r="BJ114">
        <v>0</v>
      </c>
      <c r="BK114">
        <v>0</v>
      </c>
      <c r="BL114">
        <v>0</v>
      </c>
      <c r="BM114">
        <v>0</v>
      </c>
      <c r="BN114">
        <v>0</v>
      </c>
      <c r="BO114">
        <v>0</v>
      </c>
      <c r="BQ114">
        <v>0</v>
      </c>
      <c r="BS114">
        <v>0</v>
      </c>
      <c r="BT114">
        <v>0</v>
      </c>
      <c r="BV114" s="180">
        <v>0</v>
      </c>
    </row>
    <row r="115" spans="1:74" x14ac:dyDescent="0.3">
      <c r="A115">
        <v>515</v>
      </c>
      <c r="B115" t="s">
        <v>262</v>
      </c>
      <c r="D115">
        <v>8705</v>
      </c>
      <c r="E115">
        <v>90607910</v>
      </c>
      <c r="H115">
        <v>8770</v>
      </c>
      <c r="I115">
        <v>0</v>
      </c>
      <c r="J115">
        <v>0</v>
      </c>
      <c r="K115">
        <v>0</v>
      </c>
      <c r="L115">
        <v>0</v>
      </c>
      <c r="M115">
        <v>0</v>
      </c>
      <c r="N115">
        <v>0</v>
      </c>
      <c r="O115">
        <v>0</v>
      </c>
      <c r="Q115">
        <v>0</v>
      </c>
      <c r="R115">
        <v>0</v>
      </c>
      <c r="S115">
        <v>8960</v>
      </c>
      <c r="T115">
        <v>0</v>
      </c>
      <c r="X115">
        <v>1171946</v>
      </c>
      <c r="Y115">
        <v>0</v>
      </c>
      <c r="Z115">
        <v>52795029</v>
      </c>
      <c r="AA115">
        <v>0</v>
      </c>
      <c r="AC115">
        <v>0</v>
      </c>
      <c r="AD115">
        <v>0</v>
      </c>
      <c r="AE115">
        <v>0</v>
      </c>
      <c r="AF115">
        <v>0</v>
      </c>
      <c r="AG115">
        <v>0</v>
      </c>
      <c r="AH115">
        <v>12829325</v>
      </c>
      <c r="AI115">
        <v>0</v>
      </c>
      <c r="AJ115">
        <v>0</v>
      </c>
      <c r="AK115">
        <v>0</v>
      </c>
      <c r="AL115">
        <v>16731</v>
      </c>
      <c r="AM115">
        <v>0</v>
      </c>
      <c r="AN115">
        <v>0</v>
      </c>
      <c r="AO115">
        <v>20999557</v>
      </c>
      <c r="AP115">
        <v>0</v>
      </c>
      <c r="AQ115">
        <v>0</v>
      </c>
      <c r="AR115">
        <v>0</v>
      </c>
      <c r="AS115">
        <v>499471</v>
      </c>
      <c r="AT115">
        <v>6504</v>
      </c>
      <c r="AU115">
        <v>0</v>
      </c>
      <c r="AV115">
        <v>0</v>
      </c>
      <c r="AW115">
        <v>0</v>
      </c>
      <c r="AY115">
        <v>0</v>
      </c>
      <c r="AZ115">
        <v>1200140</v>
      </c>
      <c r="BA115">
        <v>0</v>
      </c>
      <c r="BB115">
        <v>0</v>
      </c>
      <c r="BC115">
        <v>949</v>
      </c>
      <c r="BD115">
        <v>0</v>
      </c>
      <c r="BE115">
        <v>0</v>
      </c>
      <c r="BF115">
        <v>58133128</v>
      </c>
      <c r="BH115">
        <v>0</v>
      </c>
      <c r="BI115">
        <v>2863</v>
      </c>
      <c r="BJ115">
        <v>0</v>
      </c>
      <c r="BK115">
        <v>250062</v>
      </c>
      <c r="BL115">
        <v>1875684</v>
      </c>
      <c r="BM115">
        <v>0</v>
      </c>
      <c r="BN115">
        <v>0</v>
      </c>
      <c r="BO115">
        <v>0</v>
      </c>
      <c r="BQ115">
        <v>0</v>
      </c>
      <c r="BS115">
        <v>2459636</v>
      </c>
      <c r="BT115">
        <v>0</v>
      </c>
      <c r="BV115" s="180">
        <v>0</v>
      </c>
    </row>
    <row r="116" spans="1:74" x14ac:dyDescent="0.3">
      <c r="A116">
        <v>516</v>
      </c>
      <c r="B116" t="s">
        <v>263</v>
      </c>
      <c r="D116">
        <v>21307101</v>
      </c>
      <c r="E116">
        <v>1859800237</v>
      </c>
      <c r="H116">
        <v>6866481</v>
      </c>
      <c r="I116">
        <v>0</v>
      </c>
      <c r="J116">
        <v>0</v>
      </c>
      <c r="K116">
        <v>0</v>
      </c>
      <c r="L116">
        <v>16573541</v>
      </c>
      <c r="M116">
        <v>87850372</v>
      </c>
      <c r="N116">
        <v>0</v>
      </c>
      <c r="O116">
        <v>6892205</v>
      </c>
      <c r="Q116">
        <v>0</v>
      </c>
      <c r="R116">
        <v>0</v>
      </c>
      <c r="S116">
        <v>5818448</v>
      </c>
      <c r="T116">
        <v>0</v>
      </c>
      <c r="X116">
        <v>34426295</v>
      </c>
      <c r="Y116">
        <v>0</v>
      </c>
      <c r="Z116">
        <v>0</v>
      </c>
      <c r="AA116">
        <v>0</v>
      </c>
      <c r="AC116">
        <v>4363431</v>
      </c>
      <c r="AD116">
        <v>11130976</v>
      </c>
      <c r="AE116">
        <v>6263964</v>
      </c>
      <c r="AF116">
        <v>7320017</v>
      </c>
      <c r="AG116">
        <v>7536225</v>
      </c>
      <c r="AH116">
        <v>23931096</v>
      </c>
      <c r="AI116">
        <v>0</v>
      </c>
      <c r="AJ116">
        <v>0</v>
      </c>
      <c r="AK116">
        <v>0</v>
      </c>
      <c r="AL116">
        <v>5789798</v>
      </c>
      <c r="AM116">
        <v>13715637</v>
      </c>
      <c r="AN116">
        <v>3078525</v>
      </c>
      <c r="AO116">
        <v>223719656</v>
      </c>
      <c r="AP116">
        <v>6118008</v>
      </c>
      <c r="AQ116">
        <v>0</v>
      </c>
      <c r="AR116">
        <v>1289393</v>
      </c>
      <c r="AS116">
        <v>274527061</v>
      </c>
      <c r="AT116">
        <v>7351931</v>
      </c>
      <c r="AU116">
        <v>7141460</v>
      </c>
      <c r="AV116">
        <v>16472210</v>
      </c>
      <c r="AW116">
        <v>8528444</v>
      </c>
      <c r="AY116">
        <v>0</v>
      </c>
      <c r="AZ116">
        <v>19458579</v>
      </c>
      <c r="BA116">
        <v>3061449</v>
      </c>
      <c r="BB116">
        <v>4110738</v>
      </c>
      <c r="BC116">
        <v>1708256</v>
      </c>
      <c r="BD116">
        <v>11579040</v>
      </c>
      <c r="BE116">
        <v>12732207</v>
      </c>
      <c r="BF116">
        <v>113769414</v>
      </c>
      <c r="BH116">
        <v>0</v>
      </c>
      <c r="BI116">
        <v>2523166</v>
      </c>
      <c r="BJ116">
        <v>38975429</v>
      </c>
      <c r="BK116">
        <v>12665992</v>
      </c>
      <c r="BL116">
        <v>64689871</v>
      </c>
      <c r="BM116">
        <v>0</v>
      </c>
      <c r="BN116">
        <v>20836351</v>
      </c>
      <c r="BO116">
        <v>12739301</v>
      </c>
      <c r="BQ116">
        <v>0</v>
      </c>
      <c r="BS116">
        <v>7282934</v>
      </c>
      <c r="BT116">
        <v>4535873</v>
      </c>
      <c r="BV116" s="180">
        <v>26432444</v>
      </c>
    </row>
    <row r="117" spans="1:74" x14ac:dyDescent="0.3">
      <c r="A117">
        <v>517</v>
      </c>
      <c r="B117" t="s">
        <v>264</v>
      </c>
      <c r="D117">
        <v>0</v>
      </c>
      <c r="E117">
        <v>263724798</v>
      </c>
      <c r="H117">
        <v>0</v>
      </c>
      <c r="I117">
        <v>0</v>
      </c>
      <c r="J117">
        <v>0</v>
      </c>
      <c r="K117">
        <v>0</v>
      </c>
      <c r="L117">
        <v>0</v>
      </c>
      <c r="M117">
        <v>0</v>
      </c>
      <c r="N117">
        <v>0</v>
      </c>
      <c r="O117">
        <v>0</v>
      </c>
      <c r="Q117">
        <v>0</v>
      </c>
      <c r="R117">
        <v>0</v>
      </c>
      <c r="S117">
        <v>0</v>
      </c>
      <c r="T117">
        <v>0</v>
      </c>
      <c r="X117">
        <v>0</v>
      </c>
      <c r="Y117">
        <v>0</v>
      </c>
      <c r="Z117">
        <v>69906853</v>
      </c>
      <c r="AA117">
        <v>0</v>
      </c>
      <c r="AC117">
        <v>0</v>
      </c>
      <c r="AD117">
        <v>0</v>
      </c>
      <c r="AE117">
        <v>0</v>
      </c>
      <c r="AF117">
        <v>0</v>
      </c>
      <c r="AG117">
        <v>0</v>
      </c>
      <c r="AH117">
        <v>0</v>
      </c>
      <c r="AI117">
        <v>0</v>
      </c>
      <c r="AJ117">
        <v>0</v>
      </c>
      <c r="AK117">
        <v>0</v>
      </c>
      <c r="AL117">
        <v>0</v>
      </c>
      <c r="AM117">
        <v>42284</v>
      </c>
      <c r="AN117">
        <v>0</v>
      </c>
      <c r="AO117">
        <v>0</v>
      </c>
      <c r="AP117">
        <v>0</v>
      </c>
      <c r="AQ117">
        <v>0</v>
      </c>
      <c r="AR117">
        <v>0</v>
      </c>
      <c r="AS117">
        <v>0</v>
      </c>
      <c r="AT117">
        <v>0</v>
      </c>
      <c r="AU117">
        <v>0</v>
      </c>
      <c r="AV117">
        <v>0</v>
      </c>
      <c r="AW117">
        <v>0</v>
      </c>
      <c r="AY117">
        <v>0</v>
      </c>
      <c r="AZ117">
        <v>0</v>
      </c>
      <c r="BA117">
        <v>0</v>
      </c>
      <c r="BB117">
        <v>0</v>
      </c>
      <c r="BC117">
        <v>0</v>
      </c>
      <c r="BD117">
        <v>0</v>
      </c>
      <c r="BE117">
        <v>0</v>
      </c>
      <c r="BF117">
        <v>0</v>
      </c>
      <c r="BH117">
        <v>0</v>
      </c>
      <c r="BI117">
        <v>0</v>
      </c>
      <c r="BJ117">
        <v>0</v>
      </c>
      <c r="BK117">
        <v>26691</v>
      </c>
      <c r="BL117">
        <v>0</v>
      </c>
      <c r="BM117">
        <v>0</v>
      </c>
      <c r="BN117">
        <v>0</v>
      </c>
      <c r="BO117">
        <v>0</v>
      </c>
      <c r="BQ117">
        <v>0</v>
      </c>
      <c r="BS117">
        <v>13190565</v>
      </c>
      <c r="BT117">
        <v>0</v>
      </c>
      <c r="BV117" s="180">
        <v>0</v>
      </c>
    </row>
    <row r="118" spans="1:74" s="180" customFormat="1" x14ac:dyDescent="0.3">
      <c r="A118">
        <v>518</v>
      </c>
      <c r="B118" t="s">
        <v>265</v>
      </c>
      <c r="C118"/>
      <c r="D118">
        <v>4919929</v>
      </c>
      <c r="E118">
        <v>33012604</v>
      </c>
      <c r="F118"/>
      <c r="G118"/>
      <c r="H118">
        <v>668388</v>
      </c>
      <c r="I118">
        <v>0</v>
      </c>
      <c r="J118">
        <v>0</v>
      </c>
      <c r="K118">
        <v>0</v>
      </c>
      <c r="L118">
        <v>1179668</v>
      </c>
      <c r="M118">
        <v>3837818</v>
      </c>
      <c r="N118">
        <v>0</v>
      </c>
      <c r="O118">
        <v>147444</v>
      </c>
      <c r="P118"/>
      <c r="Q118">
        <v>0</v>
      </c>
      <c r="R118">
        <v>0</v>
      </c>
      <c r="S118">
        <v>491255</v>
      </c>
      <c r="T118">
        <v>0</v>
      </c>
      <c r="U118"/>
      <c r="V118"/>
      <c r="W118"/>
      <c r="X118">
        <v>5090920</v>
      </c>
      <c r="Y118">
        <v>0</v>
      </c>
      <c r="Z118">
        <v>48372594</v>
      </c>
      <c r="AA118">
        <v>0</v>
      </c>
      <c r="AB118"/>
      <c r="AC118">
        <v>139870</v>
      </c>
      <c r="AD118">
        <v>738400</v>
      </c>
      <c r="AE118">
        <v>579226</v>
      </c>
      <c r="AF118">
        <v>426288</v>
      </c>
      <c r="AG118">
        <v>458407</v>
      </c>
      <c r="AH118">
        <v>5080496</v>
      </c>
      <c r="AI118">
        <v>0</v>
      </c>
      <c r="AJ118">
        <v>0</v>
      </c>
      <c r="AK118">
        <v>0</v>
      </c>
      <c r="AL118">
        <v>302440</v>
      </c>
      <c r="AM118">
        <v>728075</v>
      </c>
      <c r="AN118">
        <v>364780</v>
      </c>
      <c r="AO118">
        <v>13330123</v>
      </c>
      <c r="AP118">
        <v>551580</v>
      </c>
      <c r="AQ118">
        <v>0</v>
      </c>
      <c r="AR118">
        <v>3360</v>
      </c>
      <c r="AS118">
        <v>5278885</v>
      </c>
      <c r="AT118">
        <v>167928</v>
      </c>
      <c r="AU118">
        <v>1751100</v>
      </c>
      <c r="AV118">
        <v>587074</v>
      </c>
      <c r="AW118">
        <v>70236</v>
      </c>
      <c r="AX118"/>
      <c r="AY118">
        <v>0</v>
      </c>
      <c r="AZ118">
        <v>2567004</v>
      </c>
      <c r="BA118">
        <v>498958</v>
      </c>
      <c r="BB118">
        <v>100197</v>
      </c>
      <c r="BC118">
        <v>162057</v>
      </c>
      <c r="BD118">
        <v>1348167</v>
      </c>
      <c r="BE118">
        <v>656462</v>
      </c>
      <c r="BF118">
        <v>4617708</v>
      </c>
      <c r="BG118"/>
      <c r="BH118">
        <v>0</v>
      </c>
      <c r="BI118">
        <v>34710</v>
      </c>
      <c r="BJ118">
        <v>3593413</v>
      </c>
      <c r="BK118">
        <v>603437</v>
      </c>
      <c r="BL118">
        <v>5209359</v>
      </c>
      <c r="BM118">
        <v>0</v>
      </c>
      <c r="BN118">
        <v>1554181</v>
      </c>
      <c r="BO118">
        <v>257896</v>
      </c>
      <c r="BP118"/>
      <c r="BQ118">
        <v>0</v>
      </c>
      <c r="BR118"/>
      <c r="BS118">
        <v>1187961</v>
      </c>
      <c r="BT118">
        <v>495630</v>
      </c>
      <c r="BU118"/>
      <c r="BV118" s="180">
        <v>584897</v>
      </c>
    </row>
    <row r="119" spans="1:74" x14ac:dyDescent="0.3">
      <c r="A119">
        <v>519</v>
      </c>
      <c r="B119" t="s">
        <v>266</v>
      </c>
      <c r="D119">
        <v>478</v>
      </c>
      <c r="E119">
        <v>2530790</v>
      </c>
      <c r="H119">
        <v>0</v>
      </c>
      <c r="I119">
        <v>0</v>
      </c>
      <c r="J119">
        <v>0</v>
      </c>
      <c r="K119">
        <v>0</v>
      </c>
      <c r="L119">
        <v>0</v>
      </c>
      <c r="M119">
        <v>0</v>
      </c>
      <c r="N119">
        <v>0</v>
      </c>
      <c r="O119">
        <v>0</v>
      </c>
      <c r="Q119">
        <v>0</v>
      </c>
      <c r="R119">
        <v>0</v>
      </c>
      <c r="S119">
        <v>224</v>
      </c>
      <c r="T119">
        <v>0</v>
      </c>
      <c r="X119">
        <v>28724</v>
      </c>
      <c r="Y119">
        <v>0</v>
      </c>
      <c r="Z119">
        <v>925106</v>
      </c>
      <c r="AA119">
        <v>0</v>
      </c>
      <c r="AC119">
        <v>0</v>
      </c>
      <c r="AD119">
        <v>0</v>
      </c>
      <c r="AE119">
        <v>0</v>
      </c>
      <c r="AF119">
        <v>0</v>
      </c>
      <c r="AG119">
        <v>0</v>
      </c>
      <c r="AH119">
        <v>198246</v>
      </c>
      <c r="AI119">
        <v>0</v>
      </c>
      <c r="AJ119">
        <v>0</v>
      </c>
      <c r="AK119">
        <v>0</v>
      </c>
      <c r="AL119">
        <v>0</v>
      </c>
      <c r="AM119">
        <v>0</v>
      </c>
      <c r="AN119">
        <v>0</v>
      </c>
      <c r="AO119">
        <v>370319</v>
      </c>
      <c r="AP119">
        <v>0</v>
      </c>
      <c r="AQ119">
        <v>0</v>
      </c>
      <c r="AR119">
        <v>0</v>
      </c>
      <c r="AS119">
        <v>11896</v>
      </c>
      <c r="AT119">
        <v>163</v>
      </c>
      <c r="AU119">
        <v>0</v>
      </c>
      <c r="AV119">
        <v>0</v>
      </c>
      <c r="AW119">
        <v>0</v>
      </c>
      <c r="AY119">
        <v>0</v>
      </c>
      <c r="AZ119">
        <v>27557</v>
      </c>
      <c r="BA119">
        <v>0</v>
      </c>
      <c r="BB119">
        <v>0</v>
      </c>
      <c r="BC119">
        <v>0</v>
      </c>
      <c r="BD119">
        <v>0</v>
      </c>
      <c r="BE119">
        <v>0</v>
      </c>
      <c r="BF119">
        <v>1229731</v>
      </c>
      <c r="BH119">
        <v>0</v>
      </c>
      <c r="BI119">
        <v>143</v>
      </c>
      <c r="BJ119">
        <v>0</v>
      </c>
      <c r="BK119">
        <v>7725</v>
      </c>
      <c r="BL119">
        <v>43686</v>
      </c>
      <c r="BM119">
        <v>0</v>
      </c>
      <c r="BN119">
        <v>0</v>
      </c>
      <c r="BO119">
        <v>0</v>
      </c>
      <c r="BQ119">
        <v>0</v>
      </c>
      <c r="BS119">
        <v>49015</v>
      </c>
      <c r="BT119">
        <v>0</v>
      </c>
      <c r="BV119" s="180">
        <v>0</v>
      </c>
    </row>
    <row r="120" spans="1:74" x14ac:dyDescent="0.3">
      <c r="A120">
        <v>520</v>
      </c>
      <c r="B120" t="s">
        <v>267</v>
      </c>
      <c r="D120">
        <v>538373</v>
      </c>
      <c r="E120">
        <v>40733051</v>
      </c>
      <c r="H120">
        <v>102898</v>
      </c>
      <c r="I120">
        <v>0</v>
      </c>
      <c r="J120">
        <v>0</v>
      </c>
      <c r="K120">
        <v>0</v>
      </c>
      <c r="L120">
        <v>326870</v>
      </c>
      <c r="M120">
        <v>1784020</v>
      </c>
      <c r="N120">
        <v>0</v>
      </c>
      <c r="O120">
        <v>175396</v>
      </c>
      <c r="Q120">
        <v>0</v>
      </c>
      <c r="R120">
        <v>0</v>
      </c>
      <c r="S120">
        <v>111012</v>
      </c>
      <c r="T120">
        <v>0</v>
      </c>
      <c r="X120">
        <v>756659</v>
      </c>
      <c r="Y120">
        <v>0</v>
      </c>
      <c r="Z120">
        <v>0</v>
      </c>
      <c r="AA120">
        <v>0</v>
      </c>
      <c r="AC120">
        <v>122446</v>
      </c>
      <c r="AD120">
        <v>279335</v>
      </c>
      <c r="AE120">
        <v>154617</v>
      </c>
      <c r="AF120">
        <v>209559</v>
      </c>
      <c r="AG120">
        <v>140019</v>
      </c>
      <c r="AH120">
        <v>445035</v>
      </c>
      <c r="AI120">
        <v>0</v>
      </c>
      <c r="AJ120">
        <v>0</v>
      </c>
      <c r="AK120">
        <v>0</v>
      </c>
      <c r="AL120">
        <v>134037</v>
      </c>
      <c r="AM120">
        <v>293552</v>
      </c>
      <c r="AN120">
        <v>74901</v>
      </c>
      <c r="AO120">
        <v>4263318</v>
      </c>
      <c r="AP120">
        <v>79445</v>
      </c>
      <c r="AQ120">
        <v>0</v>
      </c>
      <c r="AR120">
        <v>25788</v>
      </c>
      <c r="AS120">
        <v>6354707</v>
      </c>
      <c r="AT120">
        <v>171905</v>
      </c>
      <c r="AU120">
        <v>140769</v>
      </c>
      <c r="AV120">
        <v>524114</v>
      </c>
      <c r="AW120">
        <v>164880</v>
      </c>
      <c r="AY120">
        <v>0</v>
      </c>
      <c r="AZ120">
        <v>555503</v>
      </c>
      <c r="BA120">
        <v>63244</v>
      </c>
      <c r="BB120">
        <v>102055</v>
      </c>
      <c r="BC120">
        <v>42304</v>
      </c>
      <c r="BD120">
        <v>406899</v>
      </c>
      <c r="BE120">
        <v>287541</v>
      </c>
      <c r="BF120">
        <v>2161810</v>
      </c>
      <c r="BH120">
        <v>0</v>
      </c>
      <c r="BI120">
        <v>48846</v>
      </c>
      <c r="BJ120">
        <v>747983</v>
      </c>
      <c r="BK120">
        <v>289050</v>
      </c>
      <c r="BL120">
        <v>1427642</v>
      </c>
      <c r="BM120">
        <v>0</v>
      </c>
      <c r="BN120">
        <v>487464</v>
      </c>
      <c r="BO120">
        <v>238249</v>
      </c>
      <c r="BQ120">
        <v>0</v>
      </c>
      <c r="BS120">
        <v>229943</v>
      </c>
      <c r="BT120">
        <v>108940</v>
      </c>
      <c r="BV120" s="180">
        <v>623118</v>
      </c>
    </row>
    <row r="121" spans="1:74" x14ac:dyDescent="0.3">
      <c r="A121">
        <v>521</v>
      </c>
      <c r="B121" t="s">
        <v>268</v>
      </c>
      <c r="D121">
        <v>0</v>
      </c>
      <c r="E121">
        <v>13052758</v>
      </c>
      <c r="H121">
        <v>0</v>
      </c>
      <c r="I121">
        <v>0</v>
      </c>
      <c r="J121">
        <v>0</v>
      </c>
      <c r="K121">
        <v>0</v>
      </c>
      <c r="L121">
        <v>0</v>
      </c>
      <c r="M121">
        <v>0</v>
      </c>
      <c r="N121">
        <v>0</v>
      </c>
      <c r="O121">
        <v>0</v>
      </c>
      <c r="Q121">
        <v>0</v>
      </c>
      <c r="R121">
        <v>0</v>
      </c>
      <c r="S121">
        <v>0</v>
      </c>
      <c r="T121">
        <v>0</v>
      </c>
      <c r="X121">
        <v>0</v>
      </c>
      <c r="Y121">
        <v>0</v>
      </c>
      <c r="Z121">
        <v>938468</v>
      </c>
      <c r="AA121">
        <v>0</v>
      </c>
      <c r="AC121">
        <v>0</v>
      </c>
      <c r="AD121">
        <v>0</v>
      </c>
      <c r="AE121">
        <v>0</v>
      </c>
      <c r="AF121">
        <v>0</v>
      </c>
      <c r="AG121">
        <v>0</v>
      </c>
      <c r="AH121">
        <v>0</v>
      </c>
      <c r="AI121">
        <v>0</v>
      </c>
      <c r="AJ121">
        <v>0</v>
      </c>
      <c r="AK121">
        <v>0</v>
      </c>
      <c r="AL121">
        <v>0</v>
      </c>
      <c r="AM121">
        <v>1791</v>
      </c>
      <c r="AN121">
        <v>0</v>
      </c>
      <c r="AO121">
        <v>0</v>
      </c>
      <c r="AP121">
        <v>0</v>
      </c>
      <c r="AQ121">
        <v>0</v>
      </c>
      <c r="AR121">
        <v>0</v>
      </c>
      <c r="AS121">
        <v>0</v>
      </c>
      <c r="AT121">
        <v>0</v>
      </c>
      <c r="AU121">
        <v>0</v>
      </c>
      <c r="AV121">
        <v>0</v>
      </c>
      <c r="AW121">
        <v>0</v>
      </c>
      <c r="AY121">
        <v>0</v>
      </c>
      <c r="AZ121">
        <v>0</v>
      </c>
      <c r="BA121">
        <v>0</v>
      </c>
      <c r="BB121">
        <v>0</v>
      </c>
      <c r="BC121">
        <v>0</v>
      </c>
      <c r="BD121">
        <v>0</v>
      </c>
      <c r="BE121">
        <v>0</v>
      </c>
      <c r="BF121">
        <v>0</v>
      </c>
      <c r="BH121">
        <v>0</v>
      </c>
      <c r="BI121">
        <v>0</v>
      </c>
      <c r="BJ121">
        <v>0</v>
      </c>
      <c r="BK121">
        <v>1446</v>
      </c>
      <c r="BL121">
        <v>0</v>
      </c>
      <c r="BM121">
        <v>0</v>
      </c>
      <c r="BN121">
        <v>0</v>
      </c>
      <c r="BO121">
        <v>0</v>
      </c>
      <c r="BQ121">
        <v>0</v>
      </c>
      <c r="BS121">
        <v>439816</v>
      </c>
      <c r="BT121">
        <v>0</v>
      </c>
      <c r="BV121" s="180">
        <v>0</v>
      </c>
    </row>
    <row r="122" spans="1:74" x14ac:dyDescent="0.3">
      <c r="A122">
        <v>522</v>
      </c>
      <c r="B122" t="s">
        <v>269</v>
      </c>
      <c r="D122">
        <v>332361</v>
      </c>
      <c r="E122">
        <v>2955118</v>
      </c>
      <c r="H122">
        <v>42949</v>
      </c>
      <c r="I122">
        <v>0</v>
      </c>
      <c r="J122">
        <v>0</v>
      </c>
      <c r="K122">
        <v>0</v>
      </c>
      <c r="L122">
        <v>103051</v>
      </c>
      <c r="M122">
        <v>187399</v>
      </c>
      <c r="N122">
        <v>0</v>
      </c>
      <c r="O122">
        <v>15872</v>
      </c>
      <c r="Q122">
        <v>0</v>
      </c>
      <c r="R122">
        <v>0</v>
      </c>
      <c r="S122">
        <v>26534</v>
      </c>
      <c r="T122">
        <v>0</v>
      </c>
      <c r="X122">
        <v>343123</v>
      </c>
      <c r="Y122">
        <v>0</v>
      </c>
      <c r="Z122">
        <v>1534859</v>
      </c>
      <c r="AA122">
        <v>0</v>
      </c>
      <c r="AC122">
        <v>217</v>
      </c>
      <c r="AD122">
        <v>86070</v>
      </c>
      <c r="AE122">
        <v>23999</v>
      </c>
      <c r="AF122">
        <v>59555</v>
      </c>
      <c r="AG122">
        <v>0</v>
      </c>
      <c r="AH122">
        <v>224216</v>
      </c>
      <c r="AI122">
        <v>0</v>
      </c>
      <c r="AJ122">
        <v>0</v>
      </c>
      <c r="AK122">
        <v>0</v>
      </c>
      <c r="AL122">
        <v>10344</v>
      </c>
      <c r="AM122">
        <v>52565</v>
      </c>
      <c r="AN122">
        <v>27212</v>
      </c>
      <c r="AO122">
        <v>449698</v>
      </c>
      <c r="AP122">
        <v>58246</v>
      </c>
      <c r="AQ122">
        <v>0</v>
      </c>
      <c r="AR122">
        <v>0</v>
      </c>
      <c r="AS122">
        <v>514831</v>
      </c>
      <c r="AT122">
        <v>16064</v>
      </c>
      <c r="AU122">
        <v>102448</v>
      </c>
      <c r="AV122">
        <v>11692</v>
      </c>
      <c r="AW122">
        <v>3512</v>
      </c>
      <c r="AY122">
        <v>0</v>
      </c>
      <c r="AZ122">
        <v>107775</v>
      </c>
      <c r="BA122">
        <v>21881</v>
      </c>
      <c r="BB122">
        <v>11143</v>
      </c>
      <c r="BC122">
        <v>3147</v>
      </c>
      <c r="BD122">
        <v>98430</v>
      </c>
      <c r="BE122">
        <v>12927</v>
      </c>
      <c r="BF122">
        <v>335108</v>
      </c>
      <c r="BH122">
        <v>0</v>
      </c>
      <c r="BI122">
        <v>1921</v>
      </c>
      <c r="BJ122">
        <v>234855</v>
      </c>
      <c r="BK122">
        <v>38092</v>
      </c>
      <c r="BL122">
        <v>564735</v>
      </c>
      <c r="BM122">
        <v>0</v>
      </c>
      <c r="BN122">
        <v>95870</v>
      </c>
      <c r="BO122">
        <v>12030</v>
      </c>
      <c r="BQ122">
        <v>0</v>
      </c>
      <c r="BS122">
        <v>50817</v>
      </c>
      <c r="BT122">
        <v>35504</v>
      </c>
      <c r="BV122" s="180">
        <v>36236</v>
      </c>
    </row>
    <row r="123" spans="1:74" x14ac:dyDescent="0.3">
      <c r="A123">
        <v>523</v>
      </c>
      <c r="B123" t="s">
        <v>270</v>
      </c>
      <c r="D123">
        <v>2848</v>
      </c>
      <c r="E123">
        <v>57752740</v>
      </c>
      <c r="H123">
        <v>8770</v>
      </c>
      <c r="I123">
        <v>0</v>
      </c>
      <c r="J123">
        <v>0</v>
      </c>
      <c r="K123">
        <v>0</v>
      </c>
      <c r="L123">
        <v>0</v>
      </c>
      <c r="M123">
        <v>0</v>
      </c>
      <c r="N123">
        <v>0</v>
      </c>
      <c r="O123">
        <v>0</v>
      </c>
      <c r="Q123">
        <v>0</v>
      </c>
      <c r="R123">
        <v>0</v>
      </c>
      <c r="S123">
        <v>2912</v>
      </c>
      <c r="T123">
        <v>0</v>
      </c>
      <c r="X123">
        <v>959550</v>
      </c>
      <c r="Y123">
        <v>0</v>
      </c>
      <c r="Z123">
        <v>30247929</v>
      </c>
      <c r="AA123">
        <v>0</v>
      </c>
      <c r="AC123">
        <v>0</v>
      </c>
      <c r="AD123">
        <v>0</v>
      </c>
      <c r="AE123">
        <v>0</v>
      </c>
      <c r="AF123">
        <v>0</v>
      </c>
      <c r="AG123">
        <v>0</v>
      </c>
      <c r="AH123">
        <v>7745078</v>
      </c>
      <c r="AI123">
        <v>0</v>
      </c>
      <c r="AJ123">
        <v>0</v>
      </c>
      <c r="AK123">
        <v>0</v>
      </c>
      <c r="AL123">
        <v>16731</v>
      </c>
      <c r="AM123">
        <v>0</v>
      </c>
      <c r="AN123">
        <v>0</v>
      </c>
      <c r="AO123">
        <v>13591072</v>
      </c>
      <c r="AP123">
        <v>0</v>
      </c>
      <c r="AQ123">
        <v>0</v>
      </c>
      <c r="AR123">
        <v>0</v>
      </c>
      <c r="AS123">
        <v>365440</v>
      </c>
      <c r="AT123">
        <v>2440</v>
      </c>
      <c r="AU123">
        <v>0</v>
      </c>
      <c r="AV123">
        <v>0</v>
      </c>
      <c r="AW123">
        <v>0</v>
      </c>
      <c r="AY123">
        <v>0</v>
      </c>
      <c r="AZ123">
        <v>1070556</v>
      </c>
      <c r="BA123">
        <v>0</v>
      </c>
      <c r="BB123">
        <v>0</v>
      </c>
      <c r="BC123">
        <v>949</v>
      </c>
      <c r="BD123">
        <v>0</v>
      </c>
      <c r="BE123">
        <v>0</v>
      </c>
      <c r="BF123">
        <v>19080884</v>
      </c>
      <c r="BH123">
        <v>0</v>
      </c>
      <c r="BI123">
        <v>2863</v>
      </c>
      <c r="BJ123">
        <v>0</v>
      </c>
      <c r="BK123">
        <v>159944</v>
      </c>
      <c r="BL123">
        <v>531522</v>
      </c>
      <c r="BM123">
        <v>0</v>
      </c>
      <c r="BN123">
        <v>0</v>
      </c>
      <c r="BO123">
        <v>0</v>
      </c>
      <c r="BQ123">
        <v>0</v>
      </c>
      <c r="BS123">
        <v>1920460</v>
      </c>
      <c r="BT123">
        <v>0</v>
      </c>
      <c r="BV123" s="180">
        <v>0</v>
      </c>
    </row>
    <row r="124" spans="1:74" x14ac:dyDescent="0.3">
      <c r="A124">
        <v>524</v>
      </c>
      <c r="B124" t="s">
        <v>271</v>
      </c>
      <c r="D124">
        <v>14620933</v>
      </c>
      <c r="E124">
        <v>581073759</v>
      </c>
      <c r="H124">
        <v>3782878</v>
      </c>
      <c r="I124">
        <v>0</v>
      </c>
      <c r="J124">
        <v>0</v>
      </c>
      <c r="K124">
        <v>0</v>
      </c>
      <c r="L124">
        <v>10641727</v>
      </c>
      <c r="M124">
        <v>40462702</v>
      </c>
      <c r="N124">
        <v>0</v>
      </c>
      <c r="O124">
        <v>2273358</v>
      </c>
      <c r="Q124">
        <v>0</v>
      </c>
      <c r="R124">
        <v>0</v>
      </c>
      <c r="S124">
        <v>5074713</v>
      </c>
      <c r="T124">
        <v>0</v>
      </c>
      <c r="X124">
        <v>24900458</v>
      </c>
      <c r="Y124">
        <v>0</v>
      </c>
      <c r="Z124">
        <v>0</v>
      </c>
      <c r="AA124">
        <v>0</v>
      </c>
      <c r="AC124">
        <v>2413683</v>
      </c>
      <c r="AD124">
        <v>4261552</v>
      </c>
      <c r="AE124">
        <v>4105975</v>
      </c>
      <c r="AF124">
        <v>2972611</v>
      </c>
      <c r="AG124">
        <v>4090718</v>
      </c>
      <c r="AH124">
        <v>11725439</v>
      </c>
      <c r="AI124">
        <v>0</v>
      </c>
      <c r="AJ124">
        <v>0</v>
      </c>
      <c r="AK124">
        <v>0</v>
      </c>
      <c r="AL124">
        <v>2865058</v>
      </c>
      <c r="AM124">
        <v>5829948</v>
      </c>
      <c r="AN124">
        <v>2090744</v>
      </c>
      <c r="AO124">
        <v>104099016</v>
      </c>
      <c r="AP124">
        <v>1465322</v>
      </c>
      <c r="AQ124">
        <v>0</v>
      </c>
      <c r="AR124">
        <v>309455</v>
      </c>
      <c r="AS124">
        <v>101059418</v>
      </c>
      <c r="AT124">
        <v>2056638</v>
      </c>
      <c r="AU124">
        <v>2940234</v>
      </c>
      <c r="AV124">
        <v>10913228</v>
      </c>
      <c r="AW124">
        <v>2770844</v>
      </c>
      <c r="AY124">
        <v>0</v>
      </c>
      <c r="AZ124">
        <v>11943079</v>
      </c>
      <c r="BA124">
        <v>1030140</v>
      </c>
      <c r="BB124">
        <v>1827013</v>
      </c>
      <c r="BC124">
        <v>1052544</v>
      </c>
      <c r="BD124">
        <v>4184414</v>
      </c>
      <c r="BE124">
        <v>4412801</v>
      </c>
      <c r="BF124">
        <v>28287844</v>
      </c>
      <c r="BH124">
        <v>0</v>
      </c>
      <c r="BI124">
        <v>1149336</v>
      </c>
      <c r="BJ124">
        <v>11936268</v>
      </c>
      <c r="BK124">
        <v>7345162</v>
      </c>
      <c r="BL124">
        <v>32298197</v>
      </c>
      <c r="BM124">
        <v>0</v>
      </c>
      <c r="BN124">
        <v>8532753</v>
      </c>
      <c r="BO124">
        <v>4069420</v>
      </c>
      <c r="BQ124">
        <v>0</v>
      </c>
      <c r="BS124">
        <v>3465693</v>
      </c>
      <c r="BT124">
        <v>1478900</v>
      </c>
      <c r="BV124" s="180">
        <v>12244683</v>
      </c>
    </row>
    <row r="125" spans="1:74" x14ac:dyDescent="0.3">
      <c r="A125">
        <v>525</v>
      </c>
      <c r="B125" t="s">
        <v>272</v>
      </c>
      <c r="D125">
        <v>0</v>
      </c>
      <c r="E125">
        <v>122814754</v>
      </c>
      <c r="H125">
        <v>0</v>
      </c>
      <c r="I125">
        <v>0</v>
      </c>
      <c r="J125">
        <v>0</v>
      </c>
      <c r="K125">
        <v>0</v>
      </c>
      <c r="L125">
        <v>0</v>
      </c>
      <c r="M125">
        <v>0</v>
      </c>
      <c r="N125">
        <v>0</v>
      </c>
      <c r="O125">
        <v>0</v>
      </c>
      <c r="Q125">
        <v>0</v>
      </c>
      <c r="R125">
        <v>0</v>
      </c>
      <c r="S125">
        <v>0</v>
      </c>
      <c r="T125">
        <v>0</v>
      </c>
      <c r="X125">
        <v>0</v>
      </c>
      <c r="Y125">
        <v>0</v>
      </c>
      <c r="Z125">
        <v>26852421</v>
      </c>
      <c r="AA125">
        <v>0</v>
      </c>
      <c r="AC125">
        <v>0</v>
      </c>
      <c r="AD125">
        <v>0</v>
      </c>
      <c r="AE125">
        <v>0</v>
      </c>
      <c r="AF125">
        <v>0</v>
      </c>
      <c r="AG125">
        <v>0</v>
      </c>
      <c r="AH125">
        <v>0</v>
      </c>
      <c r="AI125">
        <v>0</v>
      </c>
      <c r="AJ125">
        <v>0</v>
      </c>
      <c r="AK125">
        <v>0</v>
      </c>
      <c r="AL125">
        <v>0</v>
      </c>
      <c r="AM125">
        <v>13624</v>
      </c>
      <c r="AN125">
        <v>0</v>
      </c>
      <c r="AO125">
        <v>0</v>
      </c>
      <c r="AP125">
        <v>0</v>
      </c>
      <c r="AQ125">
        <v>0</v>
      </c>
      <c r="AR125">
        <v>0</v>
      </c>
      <c r="AS125">
        <v>0</v>
      </c>
      <c r="AT125">
        <v>0</v>
      </c>
      <c r="AU125">
        <v>0</v>
      </c>
      <c r="AV125">
        <v>0</v>
      </c>
      <c r="AW125">
        <v>0</v>
      </c>
      <c r="AY125">
        <v>0</v>
      </c>
      <c r="AZ125">
        <v>0</v>
      </c>
      <c r="BA125">
        <v>0</v>
      </c>
      <c r="BB125">
        <v>0</v>
      </c>
      <c r="BC125">
        <v>0</v>
      </c>
      <c r="BD125">
        <v>0</v>
      </c>
      <c r="BE125">
        <v>0</v>
      </c>
      <c r="BF125">
        <v>0</v>
      </c>
      <c r="BH125">
        <v>0</v>
      </c>
      <c r="BI125">
        <v>0</v>
      </c>
      <c r="BJ125">
        <v>0</v>
      </c>
      <c r="BK125">
        <v>13218</v>
      </c>
      <c r="BL125">
        <v>0</v>
      </c>
      <c r="BM125">
        <v>0</v>
      </c>
      <c r="BN125">
        <v>0</v>
      </c>
      <c r="BO125">
        <v>0</v>
      </c>
      <c r="BQ125">
        <v>0</v>
      </c>
      <c r="BS125">
        <v>3396284</v>
      </c>
      <c r="BT125">
        <v>0</v>
      </c>
      <c r="BV125" s="180">
        <v>0</v>
      </c>
    </row>
    <row r="126" spans="1:74" x14ac:dyDescent="0.3">
      <c r="A126">
        <v>526</v>
      </c>
      <c r="B126" t="s">
        <v>273</v>
      </c>
      <c r="D126">
        <v>2911766</v>
      </c>
      <c r="E126">
        <v>28620641</v>
      </c>
      <c r="H126">
        <v>437944</v>
      </c>
      <c r="I126">
        <v>0</v>
      </c>
      <c r="J126">
        <v>0</v>
      </c>
      <c r="K126">
        <v>0</v>
      </c>
      <c r="L126">
        <v>736113</v>
      </c>
      <c r="M126">
        <v>2651714</v>
      </c>
      <c r="N126">
        <v>0</v>
      </c>
      <c r="O126">
        <v>96310</v>
      </c>
      <c r="Q126">
        <v>0</v>
      </c>
      <c r="R126">
        <v>0</v>
      </c>
      <c r="S126">
        <v>322069</v>
      </c>
      <c r="T126">
        <v>0</v>
      </c>
      <c r="X126">
        <v>3440545</v>
      </c>
      <c r="Y126">
        <v>0</v>
      </c>
      <c r="Z126">
        <v>38158820</v>
      </c>
      <c r="AA126">
        <v>0</v>
      </c>
      <c r="AC126">
        <v>31496</v>
      </c>
      <c r="AD126">
        <v>604440</v>
      </c>
      <c r="AE126">
        <v>468010</v>
      </c>
      <c r="AF126">
        <v>256238</v>
      </c>
      <c r="AG126">
        <v>458024</v>
      </c>
      <c r="AH126">
        <v>4228311</v>
      </c>
      <c r="AI126">
        <v>0</v>
      </c>
      <c r="AJ126">
        <v>0</v>
      </c>
      <c r="AK126">
        <v>0</v>
      </c>
      <c r="AL126">
        <v>167574</v>
      </c>
      <c r="AM126">
        <v>521494</v>
      </c>
      <c r="AN126">
        <v>300716</v>
      </c>
      <c r="AO126">
        <v>12148937</v>
      </c>
      <c r="AP126">
        <v>418415</v>
      </c>
      <c r="AQ126">
        <v>0</v>
      </c>
      <c r="AR126">
        <v>3360</v>
      </c>
      <c r="AS126">
        <v>3896382</v>
      </c>
      <c r="AT126">
        <v>94007</v>
      </c>
      <c r="AU126">
        <v>497506</v>
      </c>
      <c r="AV126">
        <v>479529</v>
      </c>
      <c r="AW126">
        <v>16891</v>
      </c>
      <c r="AY126">
        <v>0</v>
      </c>
      <c r="AZ126">
        <v>1135136</v>
      </c>
      <c r="BA126">
        <v>391050</v>
      </c>
      <c r="BB126">
        <v>63233</v>
      </c>
      <c r="BC126">
        <v>150067</v>
      </c>
      <c r="BD126">
        <v>864770</v>
      </c>
      <c r="BE126">
        <v>505217</v>
      </c>
      <c r="BF126">
        <v>4201055</v>
      </c>
      <c r="BH126">
        <v>0</v>
      </c>
      <c r="BI126">
        <v>26071</v>
      </c>
      <c r="BJ126">
        <v>2433270</v>
      </c>
      <c r="BK126">
        <v>508738</v>
      </c>
      <c r="BL126">
        <v>3259076</v>
      </c>
      <c r="BM126">
        <v>0</v>
      </c>
      <c r="BN126">
        <v>1238194</v>
      </c>
      <c r="BO126">
        <v>183316</v>
      </c>
      <c r="BQ126">
        <v>0</v>
      </c>
      <c r="BS126">
        <v>821807</v>
      </c>
      <c r="BT126">
        <v>137679</v>
      </c>
      <c r="BV126" s="180">
        <v>528755</v>
      </c>
    </row>
    <row r="127" spans="1:74" x14ac:dyDescent="0.3">
      <c r="A127">
        <v>527</v>
      </c>
      <c r="B127" t="s">
        <v>274</v>
      </c>
      <c r="D127">
        <v>0</v>
      </c>
      <c r="E127">
        <v>0</v>
      </c>
      <c r="H127">
        <v>0</v>
      </c>
      <c r="I127">
        <v>0</v>
      </c>
      <c r="J127">
        <v>0</v>
      </c>
      <c r="K127">
        <v>0</v>
      </c>
      <c r="L127">
        <v>0</v>
      </c>
      <c r="M127">
        <v>0</v>
      </c>
      <c r="N127">
        <v>0</v>
      </c>
      <c r="O127">
        <v>0</v>
      </c>
      <c r="Q127">
        <v>0</v>
      </c>
      <c r="R127">
        <v>0</v>
      </c>
      <c r="S127">
        <v>0</v>
      </c>
      <c r="T127">
        <v>0</v>
      </c>
      <c r="X127">
        <v>0</v>
      </c>
      <c r="Y127">
        <v>0</v>
      </c>
      <c r="Z127">
        <v>953257</v>
      </c>
      <c r="AA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11543</v>
      </c>
      <c r="AW127">
        <v>0</v>
      </c>
      <c r="AY127">
        <v>0</v>
      </c>
      <c r="AZ127">
        <v>851223</v>
      </c>
      <c r="BA127">
        <v>0</v>
      </c>
      <c r="BB127">
        <v>0</v>
      </c>
      <c r="BC127">
        <v>0</v>
      </c>
      <c r="BD127">
        <v>0</v>
      </c>
      <c r="BE127">
        <v>0</v>
      </c>
      <c r="BF127">
        <v>6070520</v>
      </c>
      <c r="BH127">
        <v>0</v>
      </c>
      <c r="BI127">
        <v>0</v>
      </c>
      <c r="BJ127">
        <v>1959554</v>
      </c>
      <c r="BK127">
        <v>0</v>
      </c>
      <c r="BL127">
        <v>0</v>
      </c>
      <c r="BM127">
        <v>0</v>
      </c>
      <c r="BN127">
        <v>0</v>
      </c>
      <c r="BO127">
        <v>0</v>
      </c>
      <c r="BQ127">
        <v>0</v>
      </c>
      <c r="BS127">
        <v>0</v>
      </c>
      <c r="BT127">
        <v>0</v>
      </c>
      <c r="BV127" s="180">
        <v>0</v>
      </c>
    </row>
    <row r="128" spans="1:74" x14ac:dyDescent="0.3">
      <c r="A128">
        <v>528</v>
      </c>
      <c r="B128" t="s">
        <v>257</v>
      </c>
      <c r="D128">
        <v>2698139</v>
      </c>
      <c r="E128">
        <v>293324186</v>
      </c>
      <c r="H128">
        <v>1367947</v>
      </c>
      <c r="I128">
        <v>1196</v>
      </c>
      <c r="J128">
        <v>95311</v>
      </c>
      <c r="K128">
        <v>0</v>
      </c>
      <c r="L128">
        <v>1109639</v>
      </c>
      <c r="M128">
        <v>8309377</v>
      </c>
      <c r="N128">
        <v>12338</v>
      </c>
      <c r="O128">
        <v>227196</v>
      </c>
      <c r="Q128">
        <v>166643</v>
      </c>
      <c r="R128">
        <v>752826</v>
      </c>
      <c r="S128">
        <v>727542</v>
      </c>
      <c r="T128">
        <v>7353811</v>
      </c>
      <c r="X128">
        <v>3632800</v>
      </c>
      <c r="Y128">
        <v>885390</v>
      </c>
      <c r="Z128">
        <v>26093240</v>
      </c>
      <c r="AA128">
        <v>6105770</v>
      </c>
      <c r="AC128">
        <v>122959</v>
      </c>
      <c r="AD128">
        <v>466924</v>
      </c>
      <c r="AE128">
        <v>540408</v>
      </c>
      <c r="AF128">
        <v>123309</v>
      </c>
      <c r="AG128">
        <v>364945</v>
      </c>
      <c r="AH128">
        <v>4244649</v>
      </c>
      <c r="AI128">
        <v>24484</v>
      </c>
      <c r="AJ128">
        <v>1456832</v>
      </c>
      <c r="AK128">
        <v>99992</v>
      </c>
      <c r="AL128">
        <v>157838</v>
      </c>
      <c r="AM128">
        <v>2248281</v>
      </c>
      <c r="AN128">
        <v>95211</v>
      </c>
      <c r="AO128">
        <v>21417589</v>
      </c>
      <c r="AP128">
        <v>938690</v>
      </c>
      <c r="AQ128">
        <v>40483</v>
      </c>
      <c r="AR128">
        <v>61895</v>
      </c>
      <c r="AS128">
        <v>17861556</v>
      </c>
      <c r="AT128">
        <v>127143</v>
      </c>
      <c r="AU128">
        <v>512217</v>
      </c>
      <c r="AV128">
        <v>692397</v>
      </c>
      <c r="AW128">
        <v>106002</v>
      </c>
      <c r="AY128">
        <v>175827</v>
      </c>
      <c r="AZ128">
        <v>3196452</v>
      </c>
      <c r="BA128">
        <v>1118731</v>
      </c>
      <c r="BB128">
        <v>13560</v>
      </c>
      <c r="BC128">
        <v>212898</v>
      </c>
      <c r="BD128">
        <v>2415667</v>
      </c>
      <c r="BE128">
        <v>398780</v>
      </c>
      <c r="BF128">
        <v>13004618</v>
      </c>
      <c r="BH128">
        <v>98554</v>
      </c>
      <c r="BI128">
        <v>121722</v>
      </c>
      <c r="BJ128">
        <v>7269354</v>
      </c>
      <c r="BK128">
        <v>378983</v>
      </c>
      <c r="BL128">
        <v>11430331</v>
      </c>
      <c r="BM128">
        <v>3812657</v>
      </c>
      <c r="BN128">
        <v>4328822</v>
      </c>
      <c r="BO128">
        <v>656668</v>
      </c>
      <c r="BQ128">
        <v>1588302</v>
      </c>
      <c r="BS128">
        <v>1417044</v>
      </c>
      <c r="BT128">
        <v>537171</v>
      </c>
      <c r="BV128" s="180">
        <v>1408950</v>
      </c>
    </row>
    <row r="129" spans="1:74" x14ac:dyDescent="0.3">
      <c r="A129">
        <v>529</v>
      </c>
      <c r="B129" t="s">
        <v>258</v>
      </c>
      <c r="D129">
        <v>248473</v>
      </c>
      <c r="E129">
        <v>20702083</v>
      </c>
      <c r="H129">
        <v>233992</v>
      </c>
      <c r="I129">
        <v>149</v>
      </c>
      <c r="J129">
        <v>17315</v>
      </c>
      <c r="K129">
        <v>0</v>
      </c>
      <c r="L129">
        <v>147814</v>
      </c>
      <c r="M129">
        <v>887731</v>
      </c>
      <c r="N129">
        <v>2532</v>
      </c>
      <c r="O129">
        <v>29422</v>
      </c>
      <c r="Q129">
        <v>21617</v>
      </c>
      <c r="R129">
        <v>82238</v>
      </c>
      <c r="S129">
        <v>105789</v>
      </c>
      <c r="T129">
        <v>1018691</v>
      </c>
      <c r="X129">
        <v>408616</v>
      </c>
      <c r="Y129">
        <v>111752</v>
      </c>
      <c r="Z129">
        <v>3388236</v>
      </c>
      <c r="AA129">
        <v>722983</v>
      </c>
      <c r="AC129">
        <v>21297</v>
      </c>
      <c r="AD129">
        <v>103499</v>
      </c>
      <c r="AE129">
        <v>58278</v>
      </c>
      <c r="AF129">
        <v>15918</v>
      </c>
      <c r="AG129">
        <v>47085</v>
      </c>
      <c r="AH129">
        <v>631913</v>
      </c>
      <c r="AI129">
        <v>3961</v>
      </c>
      <c r="AJ129">
        <v>122761</v>
      </c>
      <c r="AK129">
        <v>7878</v>
      </c>
      <c r="AL129">
        <v>15396</v>
      </c>
      <c r="AM129">
        <v>221246</v>
      </c>
      <c r="AN129">
        <v>18230</v>
      </c>
      <c r="AO129">
        <v>2845733</v>
      </c>
      <c r="AP129">
        <v>46759</v>
      </c>
      <c r="AQ129">
        <v>8946</v>
      </c>
      <c r="AR129">
        <v>12132</v>
      </c>
      <c r="AS129">
        <v>1951469</v>
      </c>
      <c r="AT129">
        <v>17407</v>
      </c>
      <c r="AU129">
        <v>92415</v>
      </c>
      <c r="AV129">
        <v>96976</v>
      </c>
      <c r="AW129">
        <v>20641</v>
      </c>
      <c r="AY129">
        <v>18413</v>
      </c>
      <c r="AZ129">
        <v>261009</v>
      </c>
      <c r="BA129">
        <v>25505</v>
      </c>
      <c r="BB129">
        <v>1661</v>
      </c>
      <c r="BC129">
        <v>12007</v>
      </c>
      <c r="BD129">
        <v>259556</v>
      </c>
      <c r="BE129">
        <v>73846</v>
      </c>
      <c r="BF129">
        <v>919924</v>
      </c>
      <c r="BH129">
        <v>21192</v>
      </c>
      <c r="BI129">
        <v>19367</v>
      </c>
      <c r="BJ129">
        <v>802239</v>
      </c>
      <c r="BK129">
        <v>72048</v>
      </c>
      <c r="BL129">
        <v>871470</v>
      </c>
      <c r="BM129">
        <v>148189</v>
      </c>
      <c r="BN129">
        <v>250933</v>
      </c>
      <c r="BO129">
        <v>70329</v>
      </c>
      <c r="BQ129">
        <v>159410</v>
      </c>
      <c r="BS129">
        <v>156324</v>
      </c>
      <c r="BT129">
        <v>73227</v>
      </c>
      <c r="BV129" s="180">
        <v>103039</v>
      </c>
    </row>
    <row r="130" spans="1:74" x14ac:dyDescent="0.3">
      <c r="A130">
        <v>530</v>
      </c>
      <c r="B130" t="s">
        <v>259</v>
      </c>
      <c r="D130">
        <v>64513</v>
      </c>
      <c r="E130">
        <v>515422</v>
      </c>
      <c r="H130">
        <v>34472</v>
      </c>
      <c r="I130">
        <v>61</v>
      </c>
      <c r="J130">
        <v>2217</v>
      </c>
      <c r="K130">
        <v>0</v>
      </c>
      <c r="L130">
        <v>73650</v>
      </c>
      <c r="M130">
        <v>107588</v>
      </c>
      <c r="N130">
        <v>1184</v>
      </c>
      <c r="O130">
        <v>8988</v>
      </c>
      <c r="Q130">
        <v>1251</v>
      </c>
      <c r="R130">
        <v>5967</v>
      </c>
      <c r="S130">
        <v>4524</v>
      </c>
      <c r="T130">
        <v>70626</v>
      </c>
      <c r="X130">
        <v>61224</v>
      </c>
      <c r="Y130">
        <v>27992</v>
      </c>
      <c r="Z130">
        <v>666541</v>
      </c>
      <c r="AA130">
        <v>8682</v>
      </c>
      <c r="AC130">
        <v>7371</v>
      </c>
      <c r="AD130">
        <v>17448</v>
      </c>
      <c r="AE130">
        <v>19104</v>
      </c>
      <c r="AF130">
        <v>639</v>
      </c>
      <c r="AG130">
        <v>27896</v>
      </c>
      <c r="AH130">
        <v>38480</v>
      </c>
      <c r="AI130">
        <v>1777</v>
      </c>
      <c r="AJ130">
        <v>10470</v>
      </c>
      <c r="AK130">
        <v>1195</v>
      </c>
      <c r="AL130">
        <v>1273</v>
      </c>
      <c r="AM130">
        <v>17503</v>
      </c>
      <c r="AN130">
        <v>580</v>
      </c>
      <c r="AO130">
        <v>328947</v>
      </c>
      <c r="AP130">
        <v>9908</v>
      </c>
      <c r="AQ130">
        <v>1386</v>
      </c>
      <c r="AR130">
        <v>3263</v>
      </c>
      <c r="AS130">
        <v>132840</v>
      </c>
      <c r="AT130">
        <v>2274</v>
      </c>
      <c r="AU130">
        <v>17292</v>
      </c>
      <c r="AV130">
        <v>32627</v>
      </c>
      <c r="AW130">
        <v>13653</v>
      </c>
      <c r="AY130">
        <v>6723</v>
      </c>
      <c r="AZ130">
        <v>4016</v>
      </c>
      <c r="BA130">
        <v>4477</v>
      </c>
      <c r="BB130">
        <v>752</v>
      </c>
      <c r="BC130">
        <v>2214</v>
      </c>
      <c r="BD130">
        <v>14493</v>
      </c>
      <c r="BE130">
        <v>11667</v>
      </c>
      <c r="BF130">
        <v>315010</v>
      </c>
      <c r="BH130">
        <v>1116</v>
      </c>
      <c r="BI130">
        <v>554</v>
      </c>
      <c r="BJ130">
        <v>5830</v>
      </c>
      <c r="BK130">
        <v>4532</v>
      </c>
      <c r="BL130">
        <v>17753</v>
      </c>
      <c r="BM130">
        <v>2418</v>
      </c>
      <c r="BN130">
        <v>27104</v>
      </c>
      <c r="BO130">
        <v>11871</v>
      </c>
      <c r="BQ130">
        <v>35625</v>
      </c>
      <c r="BS130">
        <v>45095</v>
      </c>
      <c r="BT130">
        <v>19038</v>
      </c>
      <c r="BV130" s="180">
        <v>29387</v>
      </c>
    </row>
    <row r="131" spans="1:74" x14ac:dyDescent="0.3">
      <c r="A131">
        <v>531</v>
      </c>
      <c r="B131" t="s">
        <v>260</v>
      </c>
      <c r="D131">
        <v>0</v>
      </c>
      <c r="E131">
        <v>0</v>
      </c>
      <c r="H131">
        <v>0</v>
      </c>
      <c r="I131">
        <v>0</v>
      </c>
      <c r="J131">
        <v>0</v>
      </c>
      <c r="K131">
        <v>0</v>
      </c>
      <c r="L131">
        <v>0</v>
      </c>
      <c r="M131">
        <v>0</v>
      </c>
      <c r="N131">
        <v>0</v>
      </c>
      <c r="O131">
        <v>0</v>
      </c>
      <c r="Q131">
        <v>0</v>
      </c>
      <c r="R131">
        <v>0</v>
      </c>
      <c r="S131">
        <v>0</v>
      </c>
      <c r="T131">
        <v>0</v>
      </c>
      <c r="X131">
        <v>0</v>
      </c>
      <c r="Y131">
        <v>0</v>
      </c>
      <c r="Z131">
        <v>2211</v>
      </c>
      <c r="AA131">
        <v>0</v>
      </c>
      <c r="AC131">
        <v>0</v>
      </c>
      <c r="AD131">
        <v>0</v>
      </c>
      <c r="AE131">
        <v>296</v>
      </c>
      <c r="AF131">
        <v>0</v>
      </c>
      <c r="AG131">
        <v>0</v>
      </c>
      <c r="AH131">
        <v>0</v>
      </c>
      <c r="AI131">
        <v>0</v>
      </c>
      <c r="AJ131">
        <v>0</v>
      </c>
      <c r="AK131">
        <v>0</v>
      </c>
      <c r="AL131">
        <v>0</v>
      </c>
      <c r="AM131">
        <v>0</v>
      </c>
      <c r="AN131">
        <v>0</v>
      </c>
      <c r="AO131">
        <v>0</v>
      </c>
      <c r="AP131">
        <v>0</v>
      </c>
      <c r="AQ131">
        <v>0</v>
      </c>
      <c r="AR131">
        <v>0</v>
      </c>
      <c r="AS131">
        <v>27527</v>
      </c>
      <c r="AT131">
        <v>0</v>
      </c>
      <c r="AU131">
        <v>0</v>
      </c>
      <c r="AV131">
        <v>0</v>
      </c>
      <c r="AW131">
        <v>0</v>
      </c>
      <c r="AY131">
        <v>0</v>
      </c>
      <c r="AZ131">
        <v>0</v>
      </c>
      <c r="BA131">
        <v>0</v>
      </c>
      <c r="BB131">
        <v>0</v>
      </c>
      <c r="BC131">
        <v>0</v>
      </c>
      <c r="BD131">
        <v>0</v>
      </c>
      <c r="BE131">
        <v>0</v>
      </c>
      <c r="BF131">
        <v>0</v>
      </c>
      <c r="BH131">
        <v>0</v>
      </c>
      <c r="BI131">
        <v>0</v>
      </c>
      <c r="BJ131">
        <v>0</v>
      </c>
      <c r="BK131">
        <v>0</v>
      </c>
      <c r="BL131">
        <v>0</v>
      </c>
      <c r="BM131">
        <v>0</v>
      </c>
      <c r="BN131">
        <v>295</v>
      </c>
      <c r="BO131">
        <v>0</v>
      </c>
      <c r="BQ131">
        <v>0</v>
      </c>
      <c r="BS131">
        <v>0</v>
      </c>
      <c r="BT131">
        <v>0</v>
      </c>
      <c r="BV131" s="180">
        <v>0</v>
      </c>
    </row>
    <row r="132" spans="1:74" x14ac:dyDescent="0.3">
      <c r="A132">
        <v>532</v>
      </c>
      <c r="B132" t="s">
        <v>887</v>
      </c>
      <c r="D132">
        <v>6424724</v>
      </c>
      <c r="E132">
        <v>468624243</v>
      </c>
      <c r="H132">
        <v>2493716</v>
      </c>
      <c r="I132">
        <v>39073</v>
      </c>
      <c r="J132">
        <v>243456</v>
      </c>
      <c r="K132">
        <v>955955</v>
      </c>
      <c r="L132">
        <v>4807139</v>
      </c>
      <c r="M132">
        <v>19920737</v>
      </c>
      <c r="N132">
        <v>176468</v>
      </c>
      <c r="O132">
        <v>493842</v>
      </c>
      <c r="Q132">
        <v>427415</v>
      </c>
      <c r="R132">
        <v>1671167</v>
      </c>
      <c r="S132">
        <v>2102201</v>
      </c>
      <c r="T132">
        <v>18285396</v>
      </c>
      <c r="X132">
        <v>10865817</v>
      </c>
      <c r="Y132">
        <v>1803052</v>
      </c>
      <c r="Z132">
        <v>88958984</v>
      </c>
      <c r="AA132">
        <v>10671712</v>
      </c>
      <c r="AC132">
        <v>316161</v>
      </c>
      <c r="AD132">
        <v>1080098</v>
      </c>
      <c r="AE132">
        <v>1541428</v>
      </c>
      <c r="AF132">
        <v>491497</v>
      </c>
      <c r="AG132">
        <v>1510627</v>
      </c>
      <c r="AH132">
        <v>11406404</v>
      </c>
      <c r="AI132">
        <v>237061</v>
      </c>
      <c r="AJ132">
        <v>2402044</v>
      </c>
      <c r="AK132">
        <v>218674</v>
      </c>
      <c r="AL132">
        <v>940410</v>
      </c>
      <c r="AM132">
        <v>6647915</v>
      </c>
      <c r="AN132">
        <v>377007</v>
      </c>
      <c r="AO132">
        <v>43485923</v>
      </c>
      <c r="AP132">
        <v>1603370</v>
      </c>
      <c r="AQ132">
        <v>116751</v>
      </c>
      <c r="AR132">
        <v>210767</v>
      </c>
      <c r="AS132">
        <v>37331392</v>
      </c>
      <c r="AT132">
        <v>366634</v>
      </c>
      <c r="AU132">
        <v>2837411</v>
      </c>
      <c r="AV132">
        <v>2503026</v>
      </c>
      <c r="AW132">
        <v>397965</v>
      </c>
      <c r="AY132">
        <v>343789</v>
      </c>
      <c r="AZ132">
        <v>7998878</v>
      </c>
      <c r="BA132">
        <v>2558527</v>
      </c>
      <c r="BB132">
        <v>59176</v>
      </c>
      <c r="BC132">
        <v>319715</v>
      </c>
      <c r="BD132">
        <v>6637354</v>
      </c>
      <c r="BE132">
        <v>1548222</v>
      </c>
      <c r="BF132">
        <v>32567614</v>
      </c>
      <c r="BH132">
        <v>206631</v>
      </c>
      <c r="BI132">
        <v>260181</v>
      </c>
      <c r="BJ132">
        <v>14318618</v>
      </c>
      <c r="BK132">
        <v>1329736</v>
      </c>
      <c r="BL132">
        <v>21903984</v>
      </c>
      <c r="BM132">
        <v>8532191</v>
      </c>
      <c r="BN132">
        <v>9613393</v>
      </c>
      <c r="BO132">
        <v>1980431</v>
      </c>
      <c r="BQ132">
        <v>4116942</v>
      </c>
      <c r="BS132">
        <v>5152761</v>
      </c>
      <c r="BT132">
        <v>1320913</v>
      </c>
      <c r="BV132" s="180">
        <v>2470582</v>
      </c>
    </row>
    <row r="133" spans="1:74" x14ac:dyDescent="0.3">
      <c r="A133">
        <v>533</v>
      </c>
      <c r="B133" t="s">
        <v>888</v>
      </c>
      <c r="D133">
        <v>166015</v>
      </c>
      <c r="E133">
        <v>414074</v>
      </c>
      <c r="H133">
        <v>0</v>
      </c>
      <c r="I133">
        <v>0</v>
      </c>
      <c r="J133">
        <v>0</v>
      </c>
      <c r="K133">
        <v>0</v>
      </c>
      <c r="L133">
        <v>231682</v>
      </c>
      <c r="M133">
        <v>0</v>
      </c>
      <c r="N133">
        <v>0</v>
      </c>
      <c r="O133">
        <v>0</v>
      </c>
      <c r="Q133">
        <v>0</v>
      </c>
      <c r="R133">
        <v>0</v>
      </c>
      <c r="S133">
        <v>0</v>
      </c>
      <c r="T133">
        <v>0</v>
      </c>
      <c r="X133">
        <v>0</v>
      </c>
      <c r="Y133">
        <v>0</v>
      </c>
      <c r="Z133">
        <v>6391624</v>
      </c>
      <c r="AA133">
        <v>0</v>
      </c>
      <c r="AC133">
        <v>0</v>
      </c>
      <c r="AD133">
        <v>0</v>
      </c>
      <c r="AE133">
        <v>0</v>
      </c>
      <c r="AF133">
        <v>0</v>
      </c>
      <c r="AG133">
        <v>0</v>
      </c>
      <c r="AH133">
        <v>0</v>
      </c>
      <c r="AI133">
        <v>0</v>
      </c>
      <c r="AJ133">
        <v>0</v>
      </c>
      <c r="AK133">
        <v>0</v>
      </c>
      <c r="AL133">
        <v>0</v>
      </c>
      <c r="AM133">
        <v>545000</v>
      </c>
      <c r="AN133">
        <v>0</v>
      </c>
      <c r="AO133">
        <v>0</v>
      </c>
      <c r="AP133">
        <v>0</v>
      </c>
      <c r="AQ133">
        <v>0</v>
      </c>
      <c r="AR133">
        <v>0</v>
      </c>
      <c r="AS133">
        <v>0</v>
      </c>
      <c r="AT133">
        <v>0</v>
      </c>
      <c r="AU133">
        <v>0</v>
      </c>
      <c r="AV133">
        <v>0</v>
      </c>
      <c r="AW133">
        <v>0</v>
      </c>
      <c r="AY133">
        <v>0</v>
      </c>
      <c r="AZ133">
        <v>28927</v>
      </c>
      <c r="BA133">
        <v>0</v>
      </c>
      <c r="BB133">
        <v>0</v>
      </c>
      <c r="BC133">
        <v>0</v>
      </c>
      <c r="BD133">
        <v>0</v>
      </c>
      <c r="BE133">
        <v>0</v>
      </c>
      <c r="BF133">
        <v>3225192</v>
      </c>
      <c r="BH133">
        <v>0</v>
      </c>
      <c r="BI133">
        <v>0</v>
      </c>
      <c r="BJ133">
        <v>0</v>
      </c>
      <c r="BK133">
        <v>0</v>
      </c>
      <c r="BL133">
        <v>168099</v>
      </c>
      <c r="BM133">
        <v>0</v>
      </c>
      <c r="BN133">
        <v>0</v>
      </c>
      <c r="BO133">
        <v>0</v>
      </c>
      <c r="BQ133">
        <v>0</v>
      </c>
      <c r="BS133">
        <v>0</v>
      </c>
      <c r="BT133">
        <v>0</v>
      </c>
      <c r="BV133" s="180">
        <v>0</v>
      </c>
    </row>
    <row r="134" spans="1:74" x14ac:dyDescent="0.3">
      <c r="A134">
        <v>535</v>
      </c>
      <c r="B134" t="s">
        <v>244</v>
      </c>
      <c r="D134">
        <v>0</v>
      </c>
      <c r="E134">
        <v>23220017</v>
      </c>
      <c r="H134">
        <v>0</v>
      </c>
      <c r="I134">
        <v>0</v>
      </c>
      <c r="J134">
        <v>0</v>
      </c>
      <c r="K134">
        <v>0</v>
      </c>
      <c r="L134">
        <v>0</v>
      </c>
      <c r="M134">
        <v>1745809</v>
      </c>
      <c r="N134">
        <v>0</v>
      </c>
      <c r="O134">
        <v>0</v>
      </c>
      <c r="Q134">
        <v>0</v>
      </c>
      <c r="R134">
        <v>0</v>
      </c>
      <c r="S134">
        <v>0</v>
      </c>
      <c r="T134">
        <v>0</v>
      </c>
      <c r="X134">
        <v>0</v>
      </c>
      <c r="Y134">
        <v>0</v>
      </c>
      <c r="Z134">
        <v>5203302</v>
      </c>
      <c r="AA134">
        <v>4485000</v>
      </c>
      <c r="AC134">
        <v>0</v>
      </c>
      <c r="AD134">
        <v>0</v>
      </c>
      <c r="AE134">
        <v>0</v>
      </c>
      <c r="AF134">
        <v>0</v>
      </c>
      <c r="AG134">
        <v>0</v>
      </c>
      <c r="AH134">
        <v>0</v>
      </c>
      <c r="AI134">
        <v>0</v>
      </c>
      <c r="AJ134">
        <v>0</v>
      </c>
      <c r="AK134">
        <v>0</v>
      </c>
      <c r="AL134">
        <v>0</v>
      </c>
      <c r="AM134">
        <v>400000</v>
      </c>
      <c r="AN134">
        <v>0</v>
      </c>
      <c r="AO134">
        <v>7291125</v>
      </c>
      <c r="AP134">
        <v>0</v>
      </c>
      <c r="AQ134">
        <v>0</v>
      </c>
      <c r="AR134">
        <v>0</v>
      </c>
      <c r="AS134">
        <v>7561481</v>
      </c>
      <c r="AT134">
        <v>0</v>
      </c>
      <c r="AU134">
        <v>0</v>
      </c>
      <c r="AV134">
        <v>0</v>
      </c>
      <c r="AW134">
        <v>0</v>
      </c>
      <c r="AY134">
        <v>0</v>
      </c>
      <c r="AZ134">
        <v>0</v>
      </c>
      <c r="BA134">
        <v>0</v>
      </c>
      <c r="BB134">
        <v>0</v>
      </c>
      <c r="BC134">
        <v>0</v>
      </c>
      <c r="BD134">
        <v>0</v>
      </c>
      <c r="BE134">
        <v>0</v>
      </c>
      <c r="BF134">
        <v>5668440</v>
      </c>
      <c r="BH134">
        <v>0</v>
      </c>
      <c r="BI134">
        <v>0</v>
      </c>
      <c r="BJ134">
        <v>0</v>
      </c>
      <c r="BK134">
        <v>0</v>
      </c>
      <c r="BL134">
        <v>0</v>
      </c>
      <c r="BM134">
        <v>0</v>
      </c>
      <c r="BN134">
        <v>0</v>
      </c>
      <c r="BO134">
        <v>6130395</v>
      </c>
      <c r="BQ134">
        <v>0</v>
      </c>
      <c r="BS134">
        <v>0</v>
      </c>
      <c r="BT134">
        <v>0</v>
      </c>
      <c r="BV134" s="180">
        <v>0</v>
      </c>
    </row>
    <row r="135" spans="1:74" x14ac:dyDescent="0.3">
      <c r="A135">
        <v>536</v>
      </c>
      <c r="B135" t="s">
        <v>190</v>
      </c>
      <c r="D135">
        <v>947448</v>
      </c>
      <c r="E135">
        <v>387415</v>
      </c>
      <c r="H135">
        <v>220192</v>
      </c>
      <c r="I135">
        <v>280</v>
      </c>
      <c r="J135">
        <v>68213</v>
      </c>
      <c r="K135">
        <v>0</v>
      </c>
      <c r="L135">
        <v>31531</v>
      </c>
      <c r="M135">
        <v>0</v>
      </c>
      <c r="N135">
        <v>76168</v>
      </c>
      <c r="O135">
        <v>18066</v>
      </c>
      <c r="Q135">
        <v>108573</v>
      </c>
      <c r="R135">
        <v>74974</v>
      </c>
      <c r="S135">
        <v>40402</v>
      </c>
      <c r="T135">
        <v>123765</v>
      </c>
      <c r="X135">
        <v>452867</v>
      </c>
      <c r="Y135">
        <v>142509</v>
      </c>
      <c r="Z135">
        <v>5445084</v>
      </c>
      <c r="AA135">
        <v>766255</v>
      </c>
      <c r="AC135">
        <v>67500</v>
      </c>
      <c r="AD135">
        <v>856</v>
      </c>
      <c r="AE135">
        <v>31</v>
      </c>
      <c r="AF135">
        <v>177</v>
      </c>
      <c r="AG135">
        <v>0</v>
      </c>
      <c r="AH135">
        <v>83505</v>
      </c>
      <c r="AI135">
        <v>69334</v>
      </c>
      <c r="AJ135">
        <v>247673</v>
      </c>
      <c r="AK135">
        <v>25667</v>
      </c>
      <c r="AL135">
        <v>0</v>
      </c>
      <c r="AM135">
        <v>760349</v>
      </c>
      <c r="AN135">
        <v>109652</v>
      </c>
      <c r="AO135">
        <v>1070107</v>
      </c>
      <c r="AP135">
        <v>402827</v>
      </c>
      <c r="AQ135">
        <v>31508</v>
      </c>
      <c r="AR135">
        <v>195440</v>
      </c>
      <c r="AS135">
        <v>2818920</v>
      </c>
      <c r="AT135">
        <v>83158</v>
      </c>
      <c r="AU135">
        <v>549306</v>
      </c>
      <c r="AV135">
        <v>204307</v>
      </c>
      <c r="AW135">
        <v>33988</v>
      </c>
      <c r="AY135">
        <v>207735</v>
      </c>
      <c r="AZ135">
        <v>535715</v>
      </c>
      <c r="BA135">
        <v>0</v>
      </c>
      <c r="BB135">
        <v>39601</v>
      </c>
      <c r="BC135">
        <v>51212</v>
      </c>
      <c r="BD135">
        <v>534851</v>
      </c>
      <c r="BE135">
        <v>100636</v>
      </c>
      <c r="BF135">
        <v>2347457</v>
      </c>
      <c r="BH135">
        <v>27375</v>
      </c>
      <c r="BI135">
        <v>47464</v>
      </c>
      <c r="BJ135">
        <v>626041</v>
      </c>
      <c r="BK135">
        <v>140644</v>
      </c>
      <c r="BL135">
        <v>771700</v>
      </c>
      <c r="BM135">
        <v>2495152</v>
      </c>
      <c r="BN135">
        <v>213530</v>
      </c>
      <c r="BO135">
        <v>70108</v>
      </c>
      <c r="BQ135">
        <v>421906</v>
      </c>
      <c r="BS135">
        <v>41331</v>
      </c>
      <c r="BT135">
        <v>441248</v>
      </c>
      <c r="BV135" s="180">
        <v>232249</v>
      </c>
    </row>
    <row r="136" spans="1:74" x14ac:dyDescent="0.3">
      <c r="A136">
        <v>537</v>
      </c>
      <c r="B136" t="s">
        <v>280</v>
      </c>
      <c r="D136">
        <v>2</v>
      </c>
      <c r="E136">
        <v>1</v>
      </c>
      <c r="H136">
        <v>2</v>
      </c>
      <c r="I136">
        <v>0</v>
      </c>
      <c r="J136">
        <v>0</v>
      </c>
      <c r="K136">
        <v>0</v>
      </c>
      <c r="L136">
        <v>2</v>
      </c>
      <c r="M136">
        <v>2</v>
      </c>
      <c r="N136">
        <v>2</v>
      </c>
      <c r="O136">
        <v>2</v>
      </c>
      <c r="Q136">
        <v>0</v>
      </c>
      <c r="R136">
        <v>2</v>
      </c>
      <c r="S136">
        <v>1</v>
      </c>
      <c r="T136">
        <v>0</v>
      </c>
      <c r="X136">
        <v>2</v>
      </c>
      <c r="Y136">
        <v>0</v>
      </c>
      <c r="Z136">
        <v>1</v>
      </c>
      <c r="AA136">
        <v>0</v>
      </c>
      <c r="AC136">
        <v>1</v>
      </c>
      <c r="AD136">
        <v>2</v>
      </c>
      <c r="AE136">
        <v>2</v>
      </c>
      <c r="AF136">
        <v>2</v>
      </c>
      <c r="AG136">
        <v>2</v>
      </c>
      <c r="AH136">
        <v>2</v>
      </c>
      <c r="AI136">
        <v>0</v>
      </c>
      <c r="AJ136">
        <v>0</v>
      </c>
      <c r="AK136">
        <v>0</v>
      </c>
      <c r="AL136">
        <v>2</v>
      </c>
      <c r="AM136">
        <v>1</v>
      </c>
      <c r="AN136">
        <v>1</v>
      </c>
      <c r="AO136">
        <v>1</v>
      </c>
      <c r="AP136">
        <v>2</v>
      </c>
      <c r="AQ136">
        <v>2</v>
      </c>
      <c r="AR136">
        <v>2</v>
      </c>
      <c r="AS136">
        <v>1</v>
      </c>
      <c r="AT136">
        <v>2</v>
      </c>
      <c r="AU136">
        <v>1</v>
      </c>
      <c r="AV136">
        <v>2</v>
      </c>
      <c r="AW136">
        <v>2</v>
      </c>
      <c r="AY136">
        <v>2</v>
      </c>
      <c r="AZ136">
        <v>1</v>
      </c>
      <c r="BA136">
        <v>1</v>
      </c>
      <c r="BB136">
        <v>1</v>
      </c>
      <c r="BC136">
        <v>2</v>
      </c>
      <c r="BD136">
        <v>2</v>
      </c>
      <c r="BE136">
        <v>2</v>
      </c>
      <c r="BF136">
        <v>1</v>
      </c>
      <c r="BH136">
        <v>0</v>
      </c>
      <c r="BI136">
        <v>1</v>
      </c>
      <c r="BJ136">
        <v>1</v>
      </c>
      <c r="BK136">
        <v>1</v>
      </c>
      <c r="BL136">
        <v>1</v>
      </c>
      <c r="BM136">
        <v>0</v>
      </c>
      <c r="BN136">
        <v>2</v>
      </c>
      <c r="BO136">
        <v>1</v>
      </c>
      <c r="BQ136">
        <v>0</v>
      </c>
      <c r="BS136">
        <v>1</v>
      </c>
      <c r="BT136">
        <v>1</v>
      </c>
      <c r="BV136" s="180">
        <v>1</v>
      </c>
    </row>
    <row r="137" spans="1:74" x14ac:dyDescent="0.3">
      <c r="A137">
        <v>538</v>
      </c>
      <c r="B137" t="s">
        <v>279</v>
      </c>
      <c r="D137">
        <v>2</v>
      </c>
      <c r="E137">
        <v>1</v>
      </c>
      <c r="H137">
        <v>2</v>
      </c>
      <c r="I137">
        <v>0</v>
      </c>
      <c r="J137">
        <v>0</v>
      </c>
      <c r="K137">
        <v>0</v>
      </c>
      <c r="L137">
        <v>2</v>
      </c>
      <c r="M137">
        <v>2</v>
      </c>
      <c r="N137">
        <v>2</v>
      </c>
      <c r="O137">
        <v>1</v>
      </c>
      <c r="Q137">
        <v>0</v>
      </c>
      <c r="R137">
        <v>2</v>
      </c>
      <c r="S137">
        <v>2</v>
      </c>
      <c r="T137">
        <v>0</v>
      </c>
      <c r="X137">
        <v>2</v>
      </c>
      <c r="Y137">
        <v>0</v>
      </c>
      <c r="Z137">
        <v>1</v>
      </c>
      <c r="AA137">
        <v>0</v>
      </c>
      <c r="AC137">
        <v>2</v>
      </c>
      <c r="AD137">
        <v>2</v>
      </c>
      <c r="AE137">
        <v>2</v>
      </c>
      <c r="AF137">
        <v>2</v>
      </c>
      <c r="AG137">
        <v>2</v>
      </c>
      <c r="AH137">
        <v>2</v>
      </c>
      <c r="AI137">
        <v>0</v>
      </c>
      <c r="AJ137">
        <v>0</v>
      </c>
      <c r="AK137">
        <v>0</v>
      </c>
      <c r="AL137">
        <v>2</v>
      </c>
      <c r="AM137">
        <v>1</v>
      </c>
      <c r="AN137">
        <v>2</v>
      </c>
      <c r="AO137">
        <v>2</v>
      </c>
      <c r="AP137">
        <v>2</v>
      </c>
      <c r="AQ137">
        <v>2</v>
      </c>
      <c r="AR137">
        <v>2</v>
      </c>
      <c r="AS137">
        <v>1</v>
      </c>
      <c r="AT137">
        <v>2</v>
      </c>
      <c r="AU137">
        <v>1</v>
      </c>
      <c r="AV137">
        <v>2</v>
      </c>
      <c r="AW137">
        <v>2</v>
      </c>
      <c r="AY137">
        <v>2</v>
      </c>
      <c r="AZ137">
        <v>1</v>
      </c>
      <c r="BA137">
        <v>1</v>
      </c>
      <c r="BB137">
        <v>1</v>
      </c>
      <c r="BC137">
        <v>2</v>
      </c>
      <c r="BD137">
        <v>2</v>
      </c>
      <c r="BE137">
        <v>2</v>
      </c>
      <c r="BF137">
        <v>1</v>
      </c>
      <c r="BH137">
        <v>0</v>
      </c>
      <c r="BI137">
        <v>1</v>
      </c>
      <c r="BJ137">
        <v>1</v>
      </c>
      <c r="BK137">
        <v>2</v>
      </c>
      <c r="BL137">
        <v>1</v>
      </c>
      <c r="BM137">
        <v>0</v>
      </c>
      <c r="BN137">
        <v>2</v>
      </c>
      <c r="BO137">
        <v>1</v>
      </c>
      <c r="BQ137">
        <v>0</v>
      </c>
      <c r="BS137">
        <v>1</v>
      </c>
      <c r="BT137">
        <v>2</v>
      </c>
      <c r="BV137" s="180">
        <v>1</v>
      </c>
    </row>
    <row r="138" spans="1:74" x14ac:dyDescent="0.3">
      <c r="A138">
        <v>540</v>
      </c>
      <c r="B138" t="s">
        <v>253</v>
      </c>
      <c r="D138">
        <v>0</v>
      </c>
      <c r="E138">
        <v>21736474</v>
      </c>
      <c r="H138">
        <v>0</v>
      </c>
      <c r="I138">
        <v>0</v>
      </c>
      <c r="J138">
        <v>0</v>
      </c>
      <c r="K138">
        <v>0</v>
      </c>
      <c r="L138">
        <v>0</v>
      </c>
      <c r="M138">
        <v>0</v>
      </c>
      <c r="N138">
        <v>0</v>
      </c>
      <c r="O138">
        <v>103500</v>
      </c>
      <c r="Q138">
        <v>0</v>
      </c>
      <c r="R138">
        <v>0</v>
      </c>
      <c r="S138">
        <v>198597</v>
      </c>
      <c r="T138">
        <v>0</v>
      </c>
      <c r="X138">
        <v>747365</v>
      </c>
      <c r="Y138">
        <v>39500</v>
      </c>
      <c r="Z138">
        <v>6883074</v>
      </c>
      <c r="AA138">
        <v>0</v>
      </c>
      <c r="AC138">
        <v>0</v>
      </c>
      <c r="AD138">
        <v>0</v>
      </c>
      <c r="AE138">
        <v>0</v>
      </c>
      <c r="AF138">
        <v>400000</v>
      </c>
      <c r="AG138">
        <v>0</v>
      </c>
      <c r="AH138">
        <v>0</v>
      </c>
      <c r="AI138">
        <v>0</v>
      </c>
      <c r="AJ138">
        <v>194419</v>
      </c>
      <c r="AK138">
        <v>19469</v>
      </c>
      <c r="AL138">
        <v>0</v>
      </c>
      <c r="AM138">
        <v>60780</v>
      </c>
      <c r="AN138">
        <v>0</v>
      </c>
      <c r="AO138">
        <v>5414529</v>
      </c>
      <c r="AP138">
        <v>169739</v>
      </c>
      <c r="AQ138">
        <v>0</v>
      </c>
      <c r="AR138">
        <v>60000</v>
      </c>
      <c r="AS138">
        <v>2995264</v>
      </c>
      <c r="AT138">
        <v>75000</v>
      </c>
      <c r="AU138">
        <v>0</v>
      </c>
      <c r="AV138">
        <v>0</v>
      </c>
      <c r="AW138">
        <v>0</v>
      </c>
      <c r="AY138">
        <v>0</v>
      </c>
      <c r="AZ138">
        <v>332031</v>
      </c>
      <c r="BA138">
        <v>209214</v>
      </c>
      <c r="BB138">
        <v>12922</v>
      </c>
      <c r="BC138">
        <v>2400</v>
      </c>
      <c r="BD138">
        <v>268778</v>
      </c>
      <c r="BE138">
        <v>0</v>
      </c>
      <c r="BF138">
        <v>330000</v>
      </c>
      <c r="BH138">
        <v>0</v>
      </c>
      <c r="BI138">
        <v>60000</v>
      </c>
      <c r="BJ138">
        <v>380265</v>
      </c>
      <c r="BK138">
        <v>0</v>
      </c>
      <c r="BL138">
        <v>5891466</v>
      </c>
      <c r="BM138">
        <v>0</v>
      </c>
      <c r="BN138">
        <v>0</v>
      </c>
      <c r="BO138">
        <v>250000</v>
      </c>
      <c r="BQ138">
        <v>579881</v>
      </c>
      <c r="BS138">
        <v>461870</v>
      </c>
      <c r="BT138">
        <v>0</v>
      </c>
      <c r="BV138" s="180">
        <v>0</v>
      </c>
    </row>
    <row r="139" spans="1:74" x14ac:dyDescent="0.3">
      <c r="A139">
        <v>541</v>
      </c>
      <c r="B139" t="s">
        <v>308</v>
      </c>
      <c r="D139">
        <v>548660</v>
      </c>
      <c r="E139">
        <v>111840678</v>
      </c>
      <c r="H139">
        <v>73481</v>
      </c>
      <c r="I139">
        <v>0</v>
      </c>
      <c r="J139">
        <v>0</v>
      </c>
      <c r="K139">
        <v>0</v>
      </c>
      <c r="L139">
        <v>0</v>
      </c>
      <c r="M139">
        <v>1084345</v>
      </c>
      <c r="N139">
        <v>0</v>
      </c>
      <c r="O139">
        <v>111821</v>
      </c>
      <c r="Q139">
        <v>0</v>
      </c>
      <c r="R139">
        <v>0</v>
      </c>
      <c r="S139">
        <v>99893</v>
      </c>
      <c r="T139">
        <v>0</v>
      </c>
      <c r="X139">
        <v>338243</v>
      </c>
      <c r="Y139">
        <v>0</v>
      </c>
      <c r="Z139">
        <v>-1505434</v>
      </c>
      <c r="AA139">
        <v>0</v>
      </c>
      <c r="AC139">
        <v>252045</v>
      </c>
      <c r="AD139">
        <v>285840</v>
      </c>
      <c r="AE139">
        <v>0</v>
      </c>
      <c r="AF139">
        <v>485359</v>
      </c>
      <c r="AG139">
        <v>-19615</v>
      </c>
      <c r="AH139">
        <v>-1528438</v>
      </c>
      <c r="AI139">
        <v>0</v>
      </c>
      <c r="AJ139">
        <v>0</v>
      </c>
      <c r="AK139">
        <v>0</v>
      </c>
      <c r="AL139">
        <v>56697</v>
      </c>
      <c r="AM139">
        <v>194669</v>
      </c>
      <c r="AN139">
        <v>-132401</v>
      </c>
      <c r="AO139">
        <v>6146376</v>
      </c>
      <c r="AP139">
        <v>-317562</v>
      </c>
      <c r="AQ139">
        <v>0</v>
      </c>
      <c r="AR139">
        <v>-15954</v>
      </c>
      <c r="AS139">
        <v>3670577</v>
      </c>
      <c r="AT139">
        <v>39195</v>
      </c>
      <c r="AU139">
        <v>384645</v>
      </c>
      <c r="AV139">
        <v>371888</v>
      </c>
      <c r="AW139">
        <v>108825</v>
      </c>
      <c r="AY139">
        <v>0</v>
      </c>
      <c r="AZ139">
        <v>-5217</v>
      </c>
      <c r="BA139">
        <v>-58431</v>
      </c>
      <c r="BB139">
        <v>254884</v>
      </c>
      <c r="BC139">
        <v>45960</v>
      </c>
      <c r="BD139">
        <v>-889816</v>
      </c>
      <c r="BE139">
        <v>38848</v>
      </c>
      <c r="BF139">
        <v>-133651</v>
      </c>
      <c r="BH139">
        <v>0</v>
      </c>
      <c r="BI139">
        <v>70057</v>
      </c>
      <c r="BJ139">
        <v>3537279</v>
      </c>
      <c r="BK139">
        <v>383586</v>
      </c>
      <c r="BL139">
        <v>2297307</v>
      </c>
      <c r="BM139">
        <v>0</v>
      </c>
      <c r="BN139">
        <v>2376679</v>
      </c>
      <c r="BO139">
        <v>-248311</v>
      </c>
      <c r="BQ139">
        <v>0</v>
      </c>
      <c r="BS139">
        <v>-20804</v>
      </c>
      <c r="BT139">
        <v>-19248</v>
      </c>
      <c r="BV139" s="180">
        <v>338938</v>
      </c>
    </row>
    <row r="140" spans="1:74" x14ac:dyDescent="0.3">
      <c r="A140">
        <v>542</v>
      </c>
      <c r="B140" t="s">
        <v>889</v>
      </c>
      <c r="D140">
        <v>0</v>
      </c>
      <c r="E140">
        <v>95356258</v>
      </c>
      <c r="H140">
        <v>0</v>
      </c>
      <c r="I140">
        <v>0</v>
      </c>
      <c r="J140">
        <v>0</v>
      </c>
      <c r="K140">
        <v>0</v>
      </c>
      <c r="L140">
        <v>0</v>
      </c>
      <c r="M140">
        <v>0</v>
      </c>
      <c r="N140">
        <v>0</v>
      </c>
      <c r="O140">
        <v>0</v>
      </c>
      <c r="Q140">
        <v>0</v>
      </c>
      <c r="R140">
        <v>0</v>
      </c>
      <c r="S140">
        <v>109668</v>
      </c>
      <c r="T140">
        <v>0</v>
      </c>
      <c r="X140">
        <v>0</v>
      </c>
      <c r="Y140">
        <v>0</v>
      </c>
      <c r="Z140">
        <v>4600000</v>
      </c>
      <c r="AA140">
        <v>0</v>
      </c>
      <c r="AC140">
        <v>35295</v>
      </c>
      <c r="AD140">
        <v>0</v>
      </c>
      <c r="AE140">
        <v>0</v>
      </c>
      <c r="AF140">
        <v>0</v>
      </c>
      <c r="AG140">
        <v>0</v>
      </c>
      <c r="AH140">
        <v>0</v>
      </c>
      <c r="AI140">
        <v>0</v>
      </c>
      <c r="AJ140">
        <v>0</v>
      </c>
      <c r="AK140">
        <v>0</v>
      </c>
      <c r="AL140">
        <v>59150</v>
      </c>
      <c r="AM140">
        <v>0</v>
      </c>
      <c r="AN140">
        <v>127900</v>
      </c>
      <c r="AO140">
        <v>6480000</v>
      </c>
      <c r="AP140">
        <v>66625</v>
      </c>
      <c r="AQ140">
        <v>0</v>
      </c>
      <c r="AR140">
        <v>4600</v>
      </c>
      <c r="AS140">
        <v>2642058</v>
      </c>
      <c r="AT140">
        <v>0</v>
      </c>
      <c r="AU140">
        <v>298531</v>
      </c>
      <c r="AV140">
        <v>0</v>
      </c>
      <c r="AW140">
        <v>0</v>
      </c>
      <c r="AY140">
        <v>0</v>
      </c>
      <c r="AZ140">
        <v>0</v>
      </c>
      <c r="BA140">
        <v>0</v>
      </c>
      <c r="BB140">
        <v>0</v>
      </c>
      <c r="BC140">
        <v>0</v>
      </c>
      <c r="BD140">
        <v>1045015</v>
      </c>
      <c r="BE140">
        <v>0</v>
      </c>
      <c r="BF140">
        <v>164832</v>
      </c>
      <c r="BH140">
        <v>0</v>
      </c>
      <c r="BI140">
        <v>10000</v>
      </c>
      <c r="BJ140">
        <v>0</v>
      </c>
      <c r="BK140">
        <v>0</v>
      </c>
      <c r="BL140">
        <v>2538283</v>
      </c>
      <c r="BM140">
        <v>0</v>
      </c>
      <c r="BN140">
        <v>0</v>
      </c>
      <c r="BO140">
        <v>0</v>
      </c>
      <c r="BQ140">
        <v>0</v>
      </c>
      <c r="BS140">
        <v>0</v>
      </c>
      <c r="BT140">
        <v>0</v>
      </c>
      <c r="BV140" s="180">
        <v>0</v>
      </c>
    </row>
    <row r="141" spans="1:74" x14ac:dyDescent="0.3">
      <c r="A141">
        <v>544</v>
      </c>
      <c r="B141" t="s">
        <v>52</v>
      </c>
      <c r="D141">
        <v>0</v>
      </c>
      <c r="E141">
        <v>2</v>
      </c>
      <c r="H141">
        <v>0</v>
      </c>
      <c r="I141">
        <v>0</v>
      </c>
      <c r="J141">
        <v>0</v>
      </c>
      <c r="K141">
        <v>0</v>
      </c>
      <c r="L141">
        <v>0</v>
      </c>
      <c r="M141">
        <v>0</v>
      </c>
      <c r="N141">
        <v>0</v>
      </c>
      <c r="O141">
        <v>0</v>
      </c>
      <c r="Q141">
        <v>0</v>
      </c>
      <c r="R141">
        <v>0</v>
      </c>
      <c r="S141">
        <v>0</v>
      </c>
      <c r="T141">
        <v>0</v>
      </c>
      <c r="X141">
        <v>0</v>
      </c>
      <c r="Y141">
        <v>0</v>
      </c>
      <c r="Z141">
        <v>0</v>
      </c>
      <c r="AA141">
        <v>0</v>
      </c>
      <c r="AC141">
        <v>0</v>
      </c>
      <c r="AD141">
        <v>0</v>
      </c>
      <c r="AE141">
        <v>0</v>
      </c>
      <c r="AF141">
        <v>0.02</v>
      </c>
      <c r="AG141">
        <v>0</v>
      </c>
      <c r="AH141">
        <v>0</v>
      </c>
      <c r="AI141">
        <v>0</v>
      </c>
      <c r="AJ141">
        <v>0</v>
      </c>
      <c r="AK141">
        <v>0</v>
      </c>
      <c r="AL141">
        <v>0</v>
      </c>
      <c r="AM141">
        <v>0.04</v>
      </c>
      <c r="AN141">
        <v>0</v>
      </c>
      <c r="AO141">
        <v>0</v>
      </c>
      <c r="AP141">
        <v>0.5</v>
      </c>
      <c r="AQ141">
        <v>0</v>
      </c>
      <c r="AR141">
        <v>0</v>
      </c>
      <c r="AS141">
        <v>0</v>
      </c>
      <c r="AT141">
        <v>0</v>
      </c>
      <c r="AU141">
        <v>0</v>
      </c>
      <c r="AV141">
        <v>0</v>
      </c>
      <c r="AW141">
        <v>0</v>
      </c>
      <c r="AY141">
        <v>0</v>
      </c>
      <c r="AZ141">
        <v>0.02</v>
      </c>
      <c r="BA141">
        <v>0</v>
      </c>
      <c r="BB141">
        <v>0</v>
      </c>
      <c r="BC141">
        <v>0</v>
      </c>
      <c r="BD141">
        <v>0</v>
      </c>
      <c r="BE141">
        <v>0.1</v>
      </c>
      <c r="BF141">
        <v>0</v>
      </c>
      <c r="BH141">
        <v>0</v>
      </c>
      <c r="BI141">
        <v>0.01</v>
      </c>
      <c r="BJ141">
        <v>0</v>
      </c>
      <c r="BK141">
        <v>0</v>
      </c>
      <c r="BL141">
        <v>0</v>
      </c>
      <c r="BM141">
        <v>0</v>
      </c>
      <c r="BN141">
        <v>0.1</v>
      </c>
      <c r="BO141">
        <v>0</v>
      </c>
      <c r="BQ141">
        <v>0</v>
      </c>
      <c r="BS141">
        <v>0</v>
      </c>
      <c r="BT141">
        <v>0</v>
      </c>
      <c r="BV141" s="180">
        <v>-0.05</v>
      </c>
    </row>
    <row r="142" spans="1:74" s="564" customFormat="1" x14ac:dyDescent="0.3">
      <c r="A142">
        <v>545</v>
      </c>
      <c r="B142" t="s">
        <v>53</v>
      </c>
      <c r="C142"/>
      <c r="D142">
        <v>0</v>
      </c>
      <c r="E142">
        <v>4</v>
      </c>
      <c r="F142"/>
      <c r="G142"/>
      <c r="H142">
        <v>0</v>
      </c>
      <c r="I142">
        <v>0</v>
      </c>
      <c r="J142">
        <v>0</v>
      </c>
      <c r="K142">
        <v>0</v>
      </c>
      <c r="L142">
        <v>0</v>
      </c>
      <c r="M142">
        <v>0</v>
      </c>
      <c r="N142">
        <v>0</v>
      </c>
      <c r="O142">
        <v>0</v>
      </c>
      <c r="P142"/>
      <c r="Q142">
        <v>0</v>
      </c>
      <c r="R142">
        <v>0</v>
      </c>
      <c r="S142">
        <v>0</v>
      </c>
      <c r="T142">
        <v>0</v>
      </c>
      <c r="U142"/>
      <c r="V142"/>
      <c r="W142"/>
      <c r="X142">
        <v>0</v>
      </c>
      <c r="Y142">
        <v>0</v>
      </c>
      <c r="Z142">
        <v>0</v>
      </c>
      <c r="AA142">
        <v>0</v>
      </c>
      <c r="AB142"/>
      <c r="AC142">
        <v>0</v>
      </c>
      <c r="AD142">
        <v>0</v>
      </c>
      <c r="AE142">
        <v>0</v>
      </c>
      <c r="AF142">
        <v>0</v>
      </c>
      <c r="AG142">
        <v>0</v>
      </c>
      <c r="AH142">
        <v>0</v>
      </c>
      <c r="AI142">
        <v>0</v>
      </c>
      <c r="AJ142">
        <v>0</v>
      </c>
      <c r="AK142">
        <v>0</v>
      </c>
      <c r="AL142">
        <v>0</v>
      </c>
      <c r="AM142">
        <v>0</v>
      </c>
      <c r="AN142">
        <v>0</v>
      </c>
      <c r="AO142">
        <v>0</v>
      </c>
      <c r="AP142">
        <v>1</v>
      </c>
      <c r="AQ142">
        <v>0</v>
      </c>
      <c r="AR142">
        <v>0</v>
      </c>
      <c r="AS142">
        <v>0</v>
      </c>
      <c r="AT142">
        <v>0</v>
      </c>
      <c r="AU142">
        <v>0</v>
      </c>
      <c r="AV142">
        <v>0</v>
      </c>
      <c r="AW142">
        <v>0</v>
      </c>
      <c r="AX142"/>
      <c r="AY142">
        <v>0</v>
      </c>
      <c r="AZ142">
        <v>0</v>
      </c>
      <c r="BA142">
        <v>0</v>
      </c>
      <c r="BB142">
        <v>0</v>
      </c>
      <c r="BC142">
        <v>0</v>
      </c>
      <c r="BD142">
        <v>0</v>
      </c>
      <c r="BE142">
        <v>0.25</v>
      </c>
      <c r="BF142">
        <v>0</v>
      </c>
      <c r="BG142"/>
      <c r="BH142">
        <v>0</v>
      </c>
      <c r="BI142">
        <v>0</v>
      </c>
      <c r="BJ142">
        <v>0</v>
      </c>
      <c r="BK142">
        <v>0</v>
      </c>
      <c r="BL142">
        <v>0</v>
      </c>
      <c r="BM142">
        <v>0</v>
      </c>
      <c r="BN142">
        <v>0</v>
      </c>
      <c r="BO142">
        <v>0</v>
      </c>
      <c r="BP142"/>
      <c r="BQ142">
        <v>0</v>
      </c>
      <c r="BR142"/>
      <c r="BS142">
        <v>0</v>
      </c>
      <c r="BT142">
        <v>0</v>
      </c>
      <c r="BU142"/>
      <c r="BV142" s="564">
        <v>0</v>
      </c>
    </row>
    <row r="143" spans="1:74" x14ac:dyDescent="0.3">
      <c r="A143">
        <v>547</v>
      </c>
      <c r="B143" t="s">
        <v>890</v>
      </c>
      <c r="D143">
        <v>3</v>
      </c>
      <c r="E143">
        <v>3</v>
      </c>
      <c r="H143">
        <v>2</v>
      </c>
      <c r="I143">
        <v>2</v>
      </c>
      <c r="J143">
        <v>2</v>
      </c>
      <c r="K143">
        <v>2</v>
      </c>
      <c r="L143">
        <v>3</v>
      </c>
      <c r="M143">
        <v>3</v>
      </c>
      <c r="N143">
        <v>2</v>
      </c>
      <c r="O143">
        <v>2</v>
      </c>
      <c r="Q143">
        <v>2</v>
      </c>
      <c r="R143">
        <v>2</v>
      </c>
      <c r="S143">
        <v>2</v>
      </c>
      <c r="T143">
        <v>1</v>
      </c>
      <c r="X143">
        <v>3</v>
      </c>
      <c r="Y143">
        <v>2</v>
      </c>
      <c r="Z143">
        <v>3</v>
      </c>
      <c r="AA143">
        <v>3</v>
      </c>
      <c r="AC143">
        <v>2</v>
      </c>
      <c r="AD143">
        <v>3</v>
      </c>
      <c r="AE143">
        <v>2</v>
      </c>
      <c r="AF143">
        <v>2</v>
      </c>
      <c r="AG143">
        <v>3</v>
      </c>
      <c r="AH143">
        <v>3</v>
      </c>
      <c r="AI143">
        <v>2</v>
      </c>
      <c r="AJ143">
        <v>3</v>
      </c>
      <c r="AK143">
        <v>2</v>
      </c>
      <c r="AL143">
        <v>2</v>
      </c>
      <c r="AM143">
        <v>2</v>
      </c>
      <c r="AN143">
        <v>2</v>
      </c>
      <c r="AO143">
        <v>1</v>
      </c>
      <c r="AP143">
        <v>2</v>
      </c>
      <c r="AQ143">
        <v>2</v>
      </c>
      <c r="AR143">
        <v>2</v>
      </c>
      <c r="AS143">
        <v>3</v>
      </c>
      <c r="AT143">
        <v>2</v>
      </c>
      <c r="AU143">
        <v>2</v>
      </c>
      <c r="AV143">
        <v>2</v>
      </c>
      <c r="AW143">
        <v>2</v>
      </c>
      <c r="AY143">
        <v>2</v>
      </c>
      <c r="AZ143">
        <v>3</v>
      </c>
      <c r="BA143">
        <v>2</v>
      </c>
      <c r="BB143">
        <v>2</v>
      </c>
      <c r="BC143">
        <v>0</v>
      </c>
      <c r="BD143">
        <v>3</v>
      </c>
      <c r="BE143">
        <v>2</v>
      </c>
      <c r="BF143">
        <v>3</v>
      </c>
      <c r="BH143">
        <v>2</v>
      </c>
      <c r="BI143">
        <v>2</v>
      </c>
      <c r="BJ143">
        <v>3</v>
      </c>
      <c r="BK143">
        <v>2</v>
      </c>
      <c r="BL143">
        <v>2</v>
      </c>
      <c r="BM143">
        <v>3</v>
      </c>
      <c r="BN143">
        <v>1</v>
      </c>
      <c r="BO143">
        <v>2</v>
      </c>
      <c r="BQ143">
        <v>2</v>
      </c>
      <c r="BS143">
        <v>3</v>
      </c>
      <c r="BT143">
        <v>2</v>
      </c>
      <c r="BV143" s="180">
        <v>2</v>
      </c>
    </row>
    <row r="144" spans="1:74" s="551" customFormat="1" x14ac:dyDescent="0.3">
      <c r="A144">
        <v>554</v>
      </c>
      <c r="B144" t="s">
        <v>318</v>
      </c>
      <c r="C144"/>
      <c r="D144">
        <v>1136692</v>
      </c>
      <c r="E144">
        <v>68099691</v>
      </c>
      <c r="F144"/>
      <c r="G144"/>
      <c r="H144">
        <v>2666541</v>
      </c>
      <c r="I144"/>
      <c r="J144"/>
      <c r="K144"/>
      <c r="L144">
        <v>2127444</v>
      </c>
      <c r="M144">
        <v>3548490</v>
      </c>
      <c r="N144"/>
      <c r="O144"/>
      <c r="P144"/>
      <c r="Q144"/>
      <c r="R144"/>
      <c r="S144"/>
      <c r="T144">
        <v>3234600</v>
      </c>
      <c r="U144"/>
      <c r="V144"/>
      <c r="W144"/>
      <c r="X144">
        <v>2103628</v>
      </c>
      <c r="Y144"/>
      <c r="Z144">
        <v>13877070</v>
      </c>
      <c r="AA144">
        <v>5477360</v>
      </c>
      <c r="AB144"/>
      <c r="AC144"/>
      <c r="AD144"/>
      <c r="AE144">
        <v>793622</v>
      </c>
      <c r="AF144"/>
      <c r="AG144"/>
      <c r="AH144">
        <v>756276</v>
      </c>
      <c r="AI144"/>
      <c r="AJ144">
        <v>1040228</v>
      </c>
      <c r="AK144"/>
      <c r="AL144"/>
      <c r="AM144">
        <v>717252</v>
      </c>
      <c r="AN144"/>
      <c r="AO144">
        <v>7380727</v>
      </c>
      <c r="AP144"/>
      <c r="AQ144"/>
      <c r="AR144"/>
      <c r="AS144">
        <v>11879304</v>
      </c>
      <c r="AT144"/>
      <c r="AU144">
        <v>1138692</v>
      </c>
      <c r="AV144"/>
      <c r="AW144">
        <v>1848119</v>
      </c>
      <c r="AX144"/>
      <c r="AY144"/>
      <c r="AZ144">
        <v>1515482</v>
      </c>
      <c r="BA144"/>
      <c r="BB144"/>
      <c r="BC144"/>
      <c r="BD144">
        <v>1257622</v>
      </c>
      <c r="BE144"/>
      <c r="BF144">
        <v>8032547</v>
      </c>
      <c r="BG144"/>
      <c r="BH144"/>
      <c r="BI144"/>
      <c r="BJ144">
        <v>1526357</v>
      </c>
      <c r="BK144"/>
      <c r="BL144"/>
      <c r="BM144">
        <v>477312</v>
      </c>
      <c r="BN144"/>
      <c r="BO144">
        <v>48174</v>
      </c>
      <c r="BP144"/>
      <c r="BQ144"/>
      <c r="BR144"/>
      <c r="BS144">
        <v>518450</v>
      </c>
      <c r="BT144"/>
      <c r="BU144"/>
      <c r="BV144" s="551">
        <v>364106</v>
      </c>
    </row>
    <row r="145" spans="1:74" s="551" customFormat="1" x14ac:dyDescent="0.3">
      <c r="A145">
        <v>555</v>
      </c>
      <c r="B145" t="s">
        <v>319</v>
      </c>
      <c r="C145"/>
      <c r="D145">
        <v>789761</v>
      </c>
      <c r="E145">
        <v>25385840</v>
      </c>
      <c r="F145"/>
      <c r="G145"/>
      <c r="H145">
        <v>2666541</v>
      </c>
      <c r="I145"/>
      <c r="J145"/>
      <c r="K145"/>
      <c r="L145">
        <v>955323</v>
      </c>
      <c r="M145">
        <v>2982893</v>
      </c>
      <c r="N145"/>
      <c r="O145"/>
      <c r="P145"/>
      <c r="Q145"/>
      <c r="R145"/>
      <c r="S145"/>
      <c r="T145">
        <v>2281874</v>
      </c>
      <c r="U145"/>
      <c r="V145"/>
      <c r="W145"/>
      <c r="X145">
        <v>2042196</v>
      </c>
      <c r="Y145"/>
      <c r="Z145">
        <v>11521180</v>
      </c>
      <c r="AA145">
        <v>5477360</v>
      </c>
      <c r="AB145"/>
      <c r="AC145"/>
      <c r="AD145"/>
      <c r="AE145">
        <v>422007</v>
      </c>
      <c r="AF145"/>
      <c r="AG145"/>
      <c r="AH145">
        <v>637099</v>
      </c>
      <c r="AI145"/>
      <c r="AJ145">
        <v>1040228</v>
      </c>
      <c r="AK145"/>
      <c r="AL145"/>
      <c r="AM145">
        <v>0</v>
      </c>
      <c r="AN145"/>
      <c r="AO145">
        <v>5691543</v>
      </c>
      <c r="AP145"/>
      <c r="AQ145"/>
      <c r="AR145"/>
      <c r="AS145">
        <v>11259134</v>
      </c>
      <c r="AT145"/>
      <c r="AU145">
        <v>1138692</v>
      </c>
      <c r="AV145"/>
      <c r="AW145">
        <v>807394</v>
      </c>
      <c r="AX145"/>
      <c r="AY145"/>
      <c r="AZ145">
        <v>1344626</v>
      </c>
      <c r="BA145"/>
      <c r="BB145"/>
      <c r="BC145"/>
      <c r="BD145">
        <v>1257622</v>
      </c>
      <c r="BE145"/>
      <c r="BF145">
        <v>6571346</v>
      </c>
      <c r="BG145"/>
      <c r="BH145"/>
      <c r="BI145"/>
      <c r="BJ145">
        <v>1271852</v>
      </c>
      <c r="BK145"/>
      <c r="BL145"/>
      <c r="BM145">
        <v>0</v>
      </c>
      <c r="BN145"/>
      <c r="BO145">
        <v>0</v>
      </c>
      <c r="BP145"/>
      <c r="BQ145"/>
      <c r="BR145"/>
      <c r="BS145">
        <v>0</v>
      </c>
      <c r="BT145"/>
      <c r="BU145"/>
      <c r="BV145" s="551">
        <v>0</v>
      </c>
    </row>
    <row r="146" spans="1:74" s="551" customFormat="1" x14ac:dyDescent="0.3">
      <c r="A146">
        <v>556</v>
      </c>
      <c r="B146" t="s">
        <v>320</v>
      </c>
      <c r="C146"/>
      <c r="D146">
        <v>831237</v>
      </c>
      <c r="E146">
        <v>11571197</v>
      </c>
      <c r="F146"/>
      <c r="G146"/>
      <c r="H146">
        <v>220192</v>
      </c>
      <c r="I146"/>
      <c r="J146"/>
      <c r="K146"/>
      <c r="L146">
        <v>1521883</v>
      </c>
      <c r="M146">
        <v>755449</v>
      </c>
      <c r="N146"/>
      <c r="O146"/>
      <c r="P146"/>
      <c r="Q146"/>
      <c r="R146"/>
      <c r="S146"/>
      <c r="T146">
        <v>1145622</v>
      </c>
      <c r="U146"/>
      <c r="V146"/>
      <c r="W146"/>
      <c r="X146">
        <v>659245</v>
      </c>
      <c r="Y146"/>
      <c r="Z146">
        <v>2057738</v>
      </c>
      <c r="AA146">
        <v>277949</v>
      </c>
      <c r="AB146"/>
      <c r="AC146"/>
      <c r="AD146"/>
      <c r="AE146">
        <v>44219</v>
      </c>
      <c r="AF146"/>
      <c r="AG146"/>
      <c r="AH146">
        <v>348731</v>
      </c>
      <c r="AI146"/>
      <c r="AJ146">
        <v>129122</v>
      </c>
      <c r="AK146"/>
      <c r="AL146"/>
      <c r="AM146">
        <v>757771</v>
      </c>
      <c r="AN146"/>
      <c r="AO146">
        <v>2350066</v>
      </c>
      <c r="AP146"/>
      <c r="AQ146"/>
      <c r="AR146"/>
      <c r="AS146">
        <v>12834744</v>
      </c>
      <c r="AT146"/>
      <c r="AU146">
        <v>97070</v>
      </c>
      <c r="AV146"/>
      <c r="AW146">
        <v>39993</v>
      </c>
      <c r="AX146"/>
      <c r="AY146"/>
      <c r="AZ146">
        <v>659117</v>
      </c>
      <c r="BA146"/>
      <c r="BB146"/>
      <c r="BC146"/>
      <c r="BD146">
        <v>228549</v>
      </c>
      <c r="BE146"/>
      <c r="BF146">
        <v>2153321</v>
      </c>
      <c r="BG146"/>
      <c r="BH146"/>
      <c r="BI146"/>
      <c r="BJ146">
        <v>12882390</v>
      </c>
      <c r="BK146"/>
      <c r="BL146"/>
      <c r="BM146">
        <v>1539021</v>
      </c>
      <c r="BN146"/>
      <c r="BO146">
        <v>1180730</v>
      </c>
      <c r="BP146"/>
      <c r="BQ146"/>
      <c r="BR146"/>
      <c r="BS146">
        <v>567113</v>
      </c>
      <c r="BT146"/>
      <c r="BU146"/>
      <c r="BV146" s="551">
        <v>543831</v>
      </c>
    </row>
    <row r="147" spans="1:74" s="551" customFormat="1" x14ac:dyDescent="0.3">
      <c r="A147">
        <v>557</v>
      </c>
      <c r="B147" t="s">
        <v>321</v>
      </c>
      <c r="C147"/>
      <c r="D147">
        <v>521017</v>
      </c>
      <c r="E147">
        <v>3041187</v>
      </c>
      <c r="F147"/>
      <c r="G147"/>
      <c r="H147">
        <v>0</v>
      </c>
      <c r="I147"/>
      <c r="J147"/>
      <c r="K147"/>
      <c r="L147">
        <v>1196962</v>
      </c>
      <c r="M147">
        <v>496195</v>
      </c>
      <c r="N147"/>
      <c r="O147"/>
      <c r="P147"/>
      <c r="Q147"/>
      <c r="R147"/>
      <c r="S147"/>
      <c r="T147">
        <v>619751</v>
      </c>
      <c r="U147"/>
      <c r="V147"/>
      <c r="W147"/>
      <c r="X147">
        <v>340251</v>
      </c>
      <c r="Y147"/>
      <c r="Z147">
        <v>832229</v>
      </c>
      <c r="AA147">
        <v>0</v>
      </c>
      <c r="AB147"/>
      <c r="AC147"/>
      <c r="AD147"/>
      <c r="AE147">
        <v>0</v>
      </c>
      <c r="AF147"/>
      <c r="AG147"/>
      <c r="AH147">
        <v>0</v>
      </c>
      <c r="AI147"/>
      <c r="AJ147">
        <v>0</v>
      </c>
      <c r="AK147"/>
      <c r="AL147"/>
      <c r="AM147">
        <v>672303</v>
      </c>
      <c r="AN147"/>
      <c r="AO147">
        <v>1963594</v>
      </c>
      <c r="AP147"/>
      <c r="AQ147"/>
      <c r="AR147"/>
      <c r="AS147">
        <v>11483990</v>
      </c>
      <c r="AT147"/>
      <c r="AU147">
        <v>97070</v>
      </c>
      <c r="AV147"/>
      <c r="AW147">
        <v>0</v>
      </c>
      <c r="AX147"/>
      <c r="AY147"/>
      <c r="AZ147">
        <v>388803</v>
      </c>
      <c r="BA147"/>
      <c r="BB147"/>
      <c r="BC147"/>
      <c r="BD147">
        <v>0</v>
      </c>
      <c r="BE147"/>
      <c r="BF147">
        <v>1735786</v>
      </c>
      <c r="BG147"/>
      <c r="BH147"/>
      <c r="BI147"/>
      <c r="BJ147">
        <v>1698528</v>
      </c>
      <c r="BK147"/>
      <c r="BL147"/>
      <c r="BM147">
        <v>1408247</v>
      </c>
      <c r="BN147"/>
      <c r="BO147">
        <v>787555</v>
      </c>
      <c r="BP147"/>
      <c r="BQ147"/>
      <c r="BR147"/>
      <c r="BS147">
        <v>517500</v>
      </c>
      <c r="BT147"/>
      <c r="BU147"/>
      <c r="BV147" s="551">
        <v>434829</v>
      </c>
    </row>
    <row r="148" spans="1:74" x14ac:dyDescent="0.3">
      <c r="A148">
        <v>575</v>
      </c>
      <c r="B148" t="s">
        <v>300</v>
      </c>
      <c r="D148">
        <v>0</v>
      </c>
      <c r="E148">
        <v>1671505</v>
      </c>
      <c r="H148">
        <v>0</v>
      </c>
      <c r="I148">
        <v>0</v>
      </c>
      <c r="J148">
        <v>0</v>
      </c>
      <c r="K148">
        <v>0</v>
      </c>
      <c r="L148">
        <v>0</v>
      </c>
      <c r="M148">
        <v>0</v>
      </c>
      <c r="N148">
        <v>0</v>
      </c>
      <c r="O148">
        <v>15553</v>
      </c>
      <c r="Q148">
        <v>0</v>
      </c>
      <c r="R148">
        <v>0</v>
      </c>
      <c r="S148">
        <v>0</v>
      </c>
      <c r="T148">
        <v>0</v>
      </c>
      <c r="X148">
        <v>0</v>
      </c>
      <c r="Y148">
        <v>0</v>
      </c>
      <c r="Z148">
        <v>0</v>
      </c>
      <c r="AA148">
        <v>0</v>
      </c>
      <c r="AC148">
        <v>0</v>
      </c>
      <c r="AD148">
        <v>2528</v>
      </c>
      <c r="AE148">
        <v>319737</v>
      </c>
      <c r="AF148">
        <v>0</v>
      </c>
      <c r="AG148">
        <v>0</v>
      </c>
      <c r="AH148">
        <v>0</v>
      </c>
      <c r="AI148">
        <v>0</v>
      </c>
      <c r="AJ148">
        <v>0</v>
      </c>
      <c r="AK148">
        <v>0</v>
      </c>
      <c r="AL148">
        <v>0</v>
      </c>
      <c r="AM148">
        <v>0</v>
      </c>
      <c r="AN148">
        <v>0</v>
      </c>
      <c r="AO148">
        <v>0</v>
      </c>
      <c r="AP148">
        <v>0</v>
      </c>
      <c r="AQ148">
        <v>0</v>
      </c>
      <c r="AR148">
        <v>0</v>
      </c>
      <c r="AS148">
        <v>0</v>
      </c>
      <c r="AT148">
        <v>0</v>
      </c>
      <c r="AU148">
        <v>0</v>
      </c>
      <c r="AV148">
        <v>0</v>
      </c>
      <c r="AW148">
        <v>0</v>
      </c>
      <c r="AY148">
        <v>0</v>
      </c>
      <c r="AZ148">
        <v>415042</v>
      </c>
      <c r="BA148">
        <v>0</v>
      </c>
      <c r="BB148">
        <v>0</v>
      </c>
      <c r="BC148">
        <v>0</v>
      </c>
      <c r="BD148">
        <v>0</v>
      </c>
      <c r="BE148">
        <v>0</v>
      </c>
      <c r="BF148">
        <v>0</v>
      </c>
      <c r="BH148">
        <v>0</v>
      </c>
      <c r="BI148">
        <v>18757</v>
      </c>
      <c r="BJ148">
        <v>0</v>
      </c>
      <c r="BK148">
        <v>0</v>
      </c>
      <c r="BL148">
        <v>0</v>
      </c>
      <c r="BM148">
        <v>0</v>
      </c>
      <c r="BN148">
        <v>0</v>
      </c>
      <c r="BO148">
        <v>123837</v>
      </c>
      <c r="BQ148">
        <v>0</v>
      </c>
      <c r="BS148">
        <v>0</v>
      </c>
      <c r="BT148">
        <v>0</v>
      </c>
      <c r="BV148" s="180">
        <v>0</v>
      </c>
    </row>
    <row r="149" spans="1:74" x14ac:dyDescent="0.3">
      <c r="A149">
        <v>576</v>
      </c>
      <c r="B149" t="s">
        <v>301</v>
      </c>
      <c r="D149">
        <v>0</v>
      </c>
      <c r="E149">
        <v>0</v>
      </c>
      <c r="H149">
        <v>0</v>
      </c>
      <c r="I149">
        <v>0</v>
      </c>
      <c r="J149">
        <v>0</v>
      </c>
      <c r="K149">
        <v>0</v>
      </c>
      <c r="L149">
        <v>2027</v>
      </c>
      <c r="M149">
        <v>0</v>
      </c>
      <c r="N149">
        <v>0</v>
      </c>
      <c r="O149">
        <v>0</v>
      </c>
      <c r="Q149">
        <v>0</v>
      </c>
      <c r="R149">
        <v>0</v>
      </c>
      <c r="S149">
        <v>0</v>
      </c>
      <c r="T149">
        <v>0</v>
      </c>
      <c r="X149">
        <v>0</v>
      </c>
      <c r="Y149">
        <v>0</v>
      </c>
      <c r="Z149">
        <v>228095</v>
      </c>
      <c r="AA149">
        <v>0</v>
      </c>
      <c r="AC149">
        <v>0</v>
      </c>
      <c r="AD149">
        <v>0</v>
      </c>
      <c r="AE149">
        <v>0</v>
      </c>
      <c r="AF149">
        <v>0</v>
      </c>
      <c r="AG149">
        <v>27914</v>
      </c>
      <c r="AH149">
        <v>0</v>
      </c>
      <c r="AI149">
        <v>0</v>
      </c>
      <c r="AJ149">
        <v>0</v>
      </c>
      <c r="AK149">
        <v>0</v>
      </c>
      <c r="AL149">
        <v>0</v>
      </c>
      <c r="AM149">
        <v>0</v>
      </c>
      <c r="AN149">
        <v>0</v>
      </c>
      <c r="AO149">
        <v>0</v>
      </c>
      <c r="AP149">
        <v>0</v>
      </c>
      <c r="AQ149">
        <v>0</v>
      </c>
      <c r="AR149">
        <v>0</v>
      </c>
      <c r="AS149">
        <v>0</v>
      </c>
      <c r="AT149">
        <v>0</v>
      </c>
      <c r="AU149">
        <v>0</v>
      </c>
      <c r="AV149">
        <v>0</v>
      </c>
      <c r="AW149">
        <v>0</v>
      </c>
      <c r="AY149">
        <v>0</v>
      </c>
      <c r="AZ149">
        <v>0</v>
      </c>
      <c r="BA149">
        <v>0</v>
      </c>
      <c r="BB149">
        <v>0</v>
      </c>
      <c r="BC149">
        <v>0</v>
      </c>
      <c r="BD149">
        <v>0</v>
      </c>
      <c r="BE149">
        <v>0</v>
      </c>
      <c r="BF149">
        <v>783029</v>
      </c>
      <c r="BH149">
        <v>0</v>
      </c>
      <c r="BI149">
        <v>0</v>
      </c>
      <c r="BJ149">
        <v>0</v>
      </c>
      <c r="BK149">
        <v>152718</v>
      </c>
      <c r="BL149">
        <v>0</v>
      </c>
      <c r="BM149">
        <v>0</v>
      </c>
      <c r="BN149">
        <v>0</v>
      </c>
      <c r="BO149">
        <v>0</v>
      </c>
      <c r="BQ149">
        <v>0</v>
      </c>
      <c r="BS149">
        <v>0</v>
      </c>
      <c r="BT149">
        <v>0</v>
      </c>
      <c r="BV149" s="180">
        <v>0</v>
      </c>
    </row>
    <row r="150" spans="1:74" s="564" customFormat="1" x14ac:dyDescent="0.3">
      <c r="A150">
        <v>577</v>
      </c>
      <c r="B150" t="s">
        <v>891</v>
      </c>
      <c r="C150"/>
      <c r="D150">
        <v>2</v>
      </c>
      <c r="E150">
        <v>1</v>
      </c>
      <c r="F150"/>
      <c r="G150"/>
      <c r="H150">
        <v>2</v>
      </c>
      <c r="I150">
        <v>2</v>
      </c>
      <c r="J150">
        <v>0</v>
      </c>
      <c r="K150">
        <v>0</v>
      </c>
      <c r="L150">
        <v>2</v>
      </c>
      <c r="M150">
        <v>1</v>
      </c>
      <c r="N150">
        <v>0</v>
      </c>
      <c r="O150">
        <v>2</v>
      </c>
      <c r="P150"/>
      <c r="Q150">
        <v>2</v>
      </c>
      <c r="R150">
        <v>2</v>
      </c>
      <c r="S150">
        <v>2</v>
      </c>
      <c r="T150">
        <v>2</v>
      </c>
      <c r="U150"/>
      <c r="V150"/>
      <c r="W150"/>
      <c r="X150">
        <v>2</v>
      </c>
      <c r="Y150">
        <v>2</v>
      </c>
      <c r="Z150">
        <v>2</v>
      </c>
      <c r="AA150">
        <v>2</v>
      </c>
      <c r="AB150"/>
      <c r="AC150">
        <v>2</v>
      </c>
      <c r="AD150">
        <v>2</v>
      </c>
      <c r="AE150">
        <v>2</v>
      </c>
      <c r="AF150">
        <v>2</v>
      </c>
      <c r="AG150">
        <v>2</v>
      </c>
      <c r="AH150">
        <v>2</v>
      </c>
      <c r="AI150">
        <v>0</v>
      </c>
      <c r="AJ150">
        <v>2</v>
      </c>
      <c r="AK150">
        <v>2</v>
      </c>
      <c r="AL150">
        <v>2</v>
      </c>
      <c r="AM150">
        <v>2</v>
      </c>
      <c r="AN150">
        <v>2</v>
      </c>
      <c r="AO150">
        <v>2</v>
      </c>
      <c r="AP150">
        <v>2</v>
      </c>
      <c r="AQ150">
        <v>2</v>
      </c>
      <c r="AR150">
        <v>2</v>
      </c>
      <c r="AS150">
        <v>2</v>
      </c>
      <c r="AT150">
        <v>2</v>
      </c>
      <c r="AU150">
        <v>2</v>
      </c>
      <c r="AV150">
        <v>2</v>
      </c>
      <c r="AW150">
        <v>2</v>
      </c>
      <c r="AX150"/>
      <c r="AY150">
        <v>0</v>
      </c>
      <c r="AZ150">
        <v>2</v>
      </c>
      <c r="BA150">
        <v>2</v>
      </c>
      <c r="BB150">
        <v>2</v>
      </c>
      <c r="BC150">
        <v>0</v>
      </c>
      <c r="BD150">
        <v>2</v>
      </c>
      <c r="BE150">
        <v>2</v>
      </c>
      <c r="BF150">
        <v>2</v>
      </c>
      <c r="BG150"/>
      <c r="BH150">
        <v>2</v>
      </c>
      <c r="BI150">
        <v>2</v>
      </c>
      <c r="BJ150">
        <v>2</v>
      </c>
      <c r="BK150">
        <v>2</v>
      </c>
      <c r="BL150">
        <v>1</v>
      </c>
      <c r="BM150">
        <v>2</v>
      </c>
      <c r="BN150">
        <v>2</v>
      </c>
      <c r="BO150">
        <v>2</v>
      </c>
      <c r="BP150"/>
      <c r="BQ150">
        <v>2</v>
      </c>
      <c r="BR150"/>
      <c r="BS150">
        <v>2</v>
      </c>
      <c r="BT150">
        <v>2</v>
      </c>
      <c r="BU150"/>
      <c r="BV150" s="564">
        <v>2</v>
      </c>
    </row>
    <row r="151" spans="1:74" x14ac:dyDescent="0.3">
      <c r="A151">
        <v>578</v>
      </c>
      <c r="B151" t="s">
        <v>892</v>
      </c>
      <c r="D151">
        <v>0</v>
      </c>
      <c r="E151">
        <v>0</v>
      </c>
      <c r="H151">
        <v>0</v>
      </c>
      <c r="I151">
        <v>0</v>
      </c>
      <c r="J151">
        <v>0</v>
      </c>
      <c r="K151">
        <v>0</v>
      </c>
      <c r="L151">
        <v>0</v>
      </c>
      <c r="M151">
        <v>0</v>
      </c>
      <c r="N151">
        <v>0</v>
      </c>
      <c r="O151">
        <v>0</v>
      </c>
      <c r="Q151">
        <v>0</v>
      </c>
      <c r="R151">
        <v>0</v>
      </c>
      <c r="S151">
        <v>0</v>
      </c>
      <c r="T151">
        <v>0</v>
      </c>
      <c r="X151">
        <v>0</v>
      </c>
      <c r="Y151">
        <v>0</v>
      </c>
      <c r="Z151">
        <v>0</v>
      </c>
      <c r="AA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Y151">
        <v>0</v>
      </c>
      <c r="AZ151">
        <v>275000</v>
      </c>
      <c r="BA151">
        <v>0</v>
      </c>
      <c r="BB151">
        <v>0</v>
      </c>
      <c r="BC151">
        <v>0</v>
      </c>
      <c r="BD151">
        <v>0</v>
      </c>
      <c r="BE151">
        <v>0</v>
      </c>
      <c r="BF151">
        <v>2250000</v>
      </c>
      <c r="BH151">
        <v>0</v>
      </c>
      <c r="BI151">
        <v>0</v>
      </c>
      <c r="BJ151">
        <v>0</v>
      </c>
      <c r="BK151">
        <v>0</v>
      </c>
      <c r="BL151">
        <v>0</v>
      </c>
      <c r="BM151">
        <v>0</v>
      </c>
      <c r="BN151">
        <v>0</v>
      </c>
      <c r="BO151">
        <v>123837</v>
      </c>
      <c r="BQ151">
        <v>0</v>
      </c>
      <c r="BS151">
        <v>0</v>
      </c>
      <c r="BT151">
        <v>0</v>
      </c>
      <c r="BV151" s="180">
        <v>0</v>
      </c>
    </row>
    <row r="152" spans="1:74" x14ac:dyDescent="0.3">
      <c r="A152">
        <v>579</v>
      </c>
      <c r="B152" t="s">
        <v>893</v>
      </c>
      <c r="D152">
        <v>0</v>
      </c>
      <c r="E152">
        <v>0</v>
      </c>
      <c r="H152">
        <v>0</v>
      </c>
      <c r="I152">
        <v>0</v>
      </c>
      <c r="J152">
        <v>0</v>
      </c>
      <c r="K152">
        <v>0</v>
      </c>
      <c r="L152">
        <v>0</v>
      </c>
      <c r="M152">
        <v>0</v>
      </c>
      <c r="N152">
        <v>0</v>
      </c>
      <c r="O152">
        <v>0</v>
      </c>
      <c r="Q152">
        <v>0</v>
      </c>
      <c r="R152">
        <v>0</v>
      </c>
      <c r="S152">
        <v>0</v>
      </c>
      <c r="T152">
        <v>0</v>
      </c>
      <c r="X152">
        <v>0</v>
      </c>
      <c r="Y152">
        <v>0</v>
      </c>
      <c r="Z152">
        <v>0</v>
      </c>
      <c r="AA152">
        <v>0</v>
      </c>
      <c r="AC152">
        <v>0</v>
      </c>
      <c r="AD152">
        <v>0</v>
      </c>
      <c r="AE152">
        <v>0</v>
      </c>
      <c r="AF152">
        <v>0</v>
      </c>
      <c r="AG152">
        <v>0</v>
      </c>
      <c r="AH152">
        <v>0</v>
      </c>
      <c r="AI152">
        <v>0</v>
      </c>
      <c r="AJ152">
        <v>0</v>
      </c>
      <c r="AK152">
        <v>0</v>
      </c>
      <c r="AL152">
        <v>0</v>
      </c>
      <c r="AM152">
        <v>0</v>
      </c>
      <c r="AN152">
        <v>0</v>
      </c>
      <c r="AO152">
        <v>5301961</v>
      </c>
      <c r="AP152">
        <v>0</v>
      </c>
      <c r="AQ152">
        <v>0</v>
      </c>
      <c r="AR152">
        <v>0</v>
      </c>
      <c r="AS152">
        <v>0</v>
      </c>
      <c r="AT152">
        <v>0</v>
      </c>
      <c r="AU152">
        <v>0</v>
      </c>
      <c r="AV152">
        <v>0</v>
      </c>
      <c r="AW152">
        <v>0</v>
      </c>
      <c r="AY152">
        <v>0</v>
      </c>
      <c r="AZ152">
        <v>275000</v>
      </c>
      <c r="BA152">
        <v>0</v>
      </c>
      <c r="BB152">
        <v>0</v>
      </c>
      <c r="BC152">
        <v>0</v>
      </c>
      <c r="BD152">
        <v>0</v>
      </c>
      <c r="BE152">
        <v>0</v>
      </c>
      <c r="BF152">
        <v>0</v>
      </c>
      <c r="BH152">
        <v>0</v>
      </c>
      <c r="BI152">
        <v>0</v>
      </c>
      <c r="BJ152">
        <v>0</v>
      </c>
      <c r="BK152">
        <v>0</v>
      </c>
      <c r="BL152">
        <v>0</v>
      </c>
      <c r="BM152">
        <v>0</v>
      </c>
      <c r="BN152">
        <v>0</v>
      </c>
      <c r="BO152">
        <v>0</v>
      </c>
      <c r="BQ152">
        <v>0</v>
      </c>
      <c r="BS152">
        <v>0</v>
      </c>
      <c r="BT152">
        <v>0</v>
      </c>
      <c r="BV152" s="180">
        <v>0</v>
      </c>
    </row>
    <row r="153" spans="1:74" x14ac:dyDescent="0.3">
      <c r="A153">
        <v>580</v>
      </c>
      <c r="B153" t="s">
        <v>894</v>
      </c>
      <c r="D153">
        <v>0</v>
      </c>
      <c r="E153">
        <v>0</v>
      </c>
      <c r="H153">
        <v>0</v>
      </c>
      <c r="I153">
        <v>0</v>
      </c>
      <c r="J153">
        <v>0</v>
      </c>
      <c r="K153">
        <v>0</v>
      </c>
      <c r="L153">
        <v>0</v>
      </c>
      <c r="M153">
        <v>0</v>
      </c>
      <c r="N153">
        <v>0</v>
      </c>
      <c r="O153">
        <v>0</v>
      </c>
      <c r="Q153">
        <v>0</v>
      </c>
      <c r="R153">
        <v>0</v>
      </c>
      <c r="S153">
        <v>0</v>
      </c>
      <c r="T153">
        <v>0</v>
      </c>
      <c r="X153">
        <v>0</v>
      </c>
      <c r="Y153">
        <v>0</v>
      </c>
      <c r="Z153">
        <v>0</v>
      </c>
      <c r="AA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c r="AU153">
        <v>0</v>
      </c>
      <c r="AV153">
        <v>0</v>
      </c>
      <c r="AW153">
        <v>0</v>
      </c>
      <c r="AY153">
        <v>0</v>
      </c>
      <c r="AZ153">
        <v>0</v>
      </c>
      <c r="BA153">
        <v>0</v>
      </c>
      <c r="BB153">
        <v>0</v>
      </c>
      <c r="BC153">
        <v>0</v>
      </c>
      <c r="BD153">
        <v>0</v>
      </c>
      <c r="BE153">
        <v>0</v>
      </c>
      <c r="BF153">
        <v>0</v>
      </c>
      <c r="BH153">
        <v>0</v>
      </c>
      <c r="BI153">
        <v>0</v>
      </c>
      <c r="BJ153">
        <v>0</v>
      </c>
      <c r="BK153">
        <v>0</v>
      </c>
      <c r="BL153">
        <v>0</v>
      </c>
      <c r="BM153">
        <v>0</v>
      </c>
      <c r="BN153">
        <v>0</v>
      </c>
      <c r="BO153">
        <v>0</v>
      </c>
      <c r="BQ153">
        <v>0</v>
      </c>
      <c r="BS153">
        <v>0</v>
      </c>
      <c r="BT153">
        <v>0</v>
      </c>
      <c r="BV153" s="180">
        <v>0</v>
      </c>
    </row>
    <row r="154" spans="1:74" x14ac:dyDescent="0.3">
      <c r="A154">
        <v>581</v>
      </c>
      <c r="B154" t="s">
        <v>895</v>
      </c>
      <c r="D154">
        <v>0</v>
      </c>
      <c r="E154">
        <v>0</v>
      </c>
      <c r="H154">
        <v>0</v>
      </c>
      <c r="I154">
        <v>0</v>
      </c>
      <c r="J154">
        <v>0</v>
      </c>
      <c r="K154">
        <v>0</v>
      </c>
      <c r="L154">
        <v>0</v>
      </c>
      <c r="M154">
        <v>0</v>
      </c>
      <c r="N154">
        <v>0</v>
      </c>
      <c r="O154">
        <v>0</v>
      </c>
      <c r="Q154">
        <v>0</v>
      </c>
      <c r="R154">
        <v>0</v>
      </c>
      <c r="S154">
        <v>0</v>
      </c>
      <c r="T154">
        <v>0</v>
      </c>
      <c r="X154">
        <v>0</v>
      </c>
      <c r="Y154">
        <v>0</v>
      </c>
      <c r="Z154">
        <v>0</v>
      </c>
      <c r="AA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Y154">
        <v>0</v>
      </c>
      <c r="AZ154">
        <v>0</v>
      </c>
      <c r="BA154">
        <v>0</v>
      </c>
      <c r="BB154">
        <v>0</v>
      </c>
      <c r="BC154">
        <v>0</v>
      </c>
      <c r="BD154">
        <v>0</v>
      </c>
      <c r="BE154">
        <v>0</v>
      </c>
      <c r="BF154">
        <v>1400000</v>
      </c>
      <c r="BH154">
        <v>0</v>
      </c>
      <c r="BI154">
        <v>0</v>
      </c>
      <c r="BJ154">
        <v>0</v>
      </c>
      <c r="BK154">
        <v>0</v>
      </c>
      <c r="BL154">
        <v>0</v>
      </c>
      <c r="BM154">
        <v>0</v>
      </c>
      <c r="BN154">
        <v>0</v>
      </c>
      <c r="BO154">
        <v>0</v>
      </c>
      <c r="BQ154">
        <v>0</v>
      </c>
      <c r="BS154">
        <v>0</v>
      </c>
      <c r="BT154">
        <v>0</v>
      </c>
      <c r="BV154" s="180">
        <v>0</v>
      </c>
    </row>
    <row r="155" spans="1:74" x14ac:dyDescent="0.3">
      <c r="A155">
        <v>586</v>
      </c>
      <c r="B155" t="s">
        <v>896</v>
      </c>
      <c r="D155">
        <v>0</v>
      </c>
      <c r="E155">
        <v>5931594</v>
      </c>
      <c r="H155">
        <v>0</v>
      </c>
      <c r="I155">
        <v>0</v>
      </c>
      <c r="J155">
        <v>0</v>
      </c>
      <c r="K155">
        <v>0</v>
      </c>
      <c r="L155">
        <v>0</v>
      </c>
      <c r="M155">
        <v>0</v>
      </c>
      <c r="N155">
        <v>0</v>
      </c>
      <c r="O155">
        <v>0</v>
      </c>
      <c r="Q155">
        <v>0</v>
      </c>
      <c r="R155">
        <v>0</v>
      </c>
      <c r="S155">
        <v>0</v>
      </c>
      <c r="T155">
        <v>0</v>
      </c>
      <c r="X155">
        <v>0</v>
      </c>
      <c r="Y155">
        <v>0</v>
      </c>
      <c r="Z155">
        <v>16649800</v>
      </c>
      <c r="AA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0</v>
      </c>
      <c r="AW155">
        <v>0</v>
      </c>
      <c r="AY155">
        <v>0</v>
      </c>
      <c r="AZ155">
        <v>0</v>
      </c>
      <c r="BA155">
        <v>0</v>
      </c>
      <c r="BB155">
        <v>0</v>
      </c>
      <c r="BC155">
        <v>0</v>
      </c>
      <c r="BD155">
        <v>100</v>
      </c>
      <c r="BE155">
        <v>0</v>
      </c>
      <c r="BF155">
        <v>0</v>
      </c>
      <c r="BH155">
        <v>0</v>
      </c>
      <c r="BI155">
        <v>0</v>
      </c>
      <c r="BJ155">
        <v>0</v>
      </c>
      <c r="BK155">
        <v>0</v>
      </c>
      <c r="BL155">
        <v>0</v>
      </c>
      <c r="BM155">
        <v>0</v>
      </c>
      <c r="BN155">
        <v>0</v>
      </c>
      <c r="BO155">
        <v>0</v>
      </c>
      <c r="BQ155">
        <v>0</v>
      </c>
      <c r="BS155">
        <v>0</v>
      </c>
      <c r="BT155">
        <v>0</v>
      </c>
      <c r="BV155" s="180">
        <v>0</v>
      </c>
    </row>
    <row r="156" spans="1:74" x14ac:dyDescent="0.3">
      <c r="A156">
        <v>590</v>
      </c>
      <c r="B156" t="s">
        <v>1579</v>
      </c>
      <c r="D156" t="s">
        <v>2476</v>
      </c>
      <c r="E156" t="s">
        <v>1977</v>
      </c>
      <c r="H156" t="s">
        <v>1977</v>
      </c>
      <c r="J156" t="s">
        <v>1977</v>
      </c>
      <c r="L156" t="s">
        <v>1977</v>
      </c>
      <c r="M156" t="s">
        <v>1977</v>
      </c>
      <c r="N156" t="s">
        <v>1977</v>
      </c>
      <c r="Q156" t="s">
        <v>1977</v>
      </c>
      <c r="R156" t="s">
        <v>1977</v>
      </c>
      <c r="S156" t="s">
        <v>2477</v>
      </c>
      <c r="T156" t="s">
        <v>1977</v>
      </c>
      <c r="X156" t="s">
        <v>1977</v>
      </c>
      <c r="Y156" t="s">
        <v>1977</v>
      </c>
      <c r="Z156" t="s">
        <v>1977</v>
      </c>
      <c r="AA156" t="s">
        <v>1977</v>
      </c>
      <c r="AC156" t="s">
        <v>1977</v>
      </c>
      <c r="AD156" t="s">
        <v>1977</v>
      </c>
      <c r="AE156" t="s">
        <v>1977</v>
      </c>
      <c r="AF156" t="s">
        <v>1977</v>
      </c>
      <c r="AG156" t="s">
        <v>1977</v>
      </c>
      <c r="AH156" t="s">
        <v>1977</v>
      </c>
      <c r="AI156" t="s">
        <v>1977</v>
      </c>
      <c r="AJ156" t="s">
        <v>1977</v>
      </c>
      <c r="AK156" t="s">
        <v>1581</v>
      </c>
      <c r="AM156" t="s">
        <v>1977</v>
      </c>
      <c r="AN156" t="s">
        <v>1977</v>
      </c>
      <c r="AO156" t="s">
        <v>1977</v>
      </c>
      <c r="AP156" t="s">
        <v>1977</v>
      </c>
      <c r="AQ156" t="s">
        <v>1977</v>
      </c>
      <c r="AR156" t="s">
        <v>1977</v>
      </c>
      <c r="AS156" t="s">
        <v>1977</v>
      </c>
      <c r="AT156" t="s">
        <v>2478</v>
      </c>
      <c r="AU156" t="s">
        <v>1977</v>
      </c>
      <c r="AV156" t="s">
        <v>1977</v>
      </c>
      <c r="AW156" t="s">
        <v>1977</v>
      </c>
      <c r="AY156" t="s">
        <v>1977</v>
      </c>
      <c r="AZ156" t="s">
        <v>1977</v>
      </c>
      <c r="BA156" t="s">
        <v>1580</v>
      </c>
      <c r="BB156" t="s">
        <v>1977</v>
      </c>
      <c r="BC156" t="s">
        <v>1581</v>
      </c>
      <c r="BD156" t="s">
        <v>1977</v>
      </c>
      <c r="BE156" t="s">
        <v>1977</v>
      </c>
      <c r="BF156" t="s">
        <v>1977</v>
      </c>
      <c r="BH156" t="s">
        <v>1977</v>
      </c>
      <c r="BI156" t="s">
        <v>1977</v>
      </c>
      <c r="BJ156" t="s">
        <v>1977</v>
      </c>
      <c r="BK156" t="s">
        <v>1977</v>
      </c>
      <c r="BL156" t="s">
        <v>1977</v>
      </c>
      <c r="BM156" t="s">
        <v>1977</v>
      </c>
      <c r="BN156" t="s">
        <v>1977</v>
      </c>
      <c r="BO156" t="s">
        <v>2479</v>
      </c>
      <c r="BQ156" t="s">
        <v>1977</v>
      </c>
      <c r="BS156" t="s">
        <v>2480</v>
      </c>
      <c r="BT156" t="s">
        <v>1977</v>
      </c>
      <c r="BV156" s="180" t="s">
        <v>1977</v>
      </c>
    </row>
    <row r="157" spans="1:74" s="566" customFormat="1" x14ac:dyDescent="0.3">
      <c r="A157">
        <v>591</v>
      </c>
      <c r="B157" t="s">
        <v>327</v>
      </c>
      <c r="C157"/>
      <c r="D157">
        <v>3013799</v>
      </c>
      <c r="E157">
        <v>388547331</v>
      </c>
      <c r="F157"/>
      <c r="G157"/>
      <c r="H157">
        <v>1822153</v>
      </c>
      <c r="I157">
        <v>0</v>
      </c>
      <c r="J157">
        <v>0</v>
      </c>
      <c r="K157">
        <v>0</v>
      </c>
      <c r="L157">
        <v>13314920</v>
      </c>
      <c r="M157">
        <v>10204904</v>
      </c>
      <c r="N157">
        <v>0</v>
      </c>
      <c r="O157">
        <v>455562</v>
      </c>
      <c r="P157"/>
      <c r="Q157">
        <v>0</v>
      </c>
      <c r="R157">
        <v>0</v>
      </c>
      <c r="S157">
        <v>1065375</v>
      </c>
      <c r="T157">
        <v>0</v>
      </c>
      <c r="U157"/>
      <c r="V157"/>
      <c r="W157"/>
      <c r="X157">
        <v>7506359</v>
      </c>
      <c r="Y157">
        <v>0</v>
      </c>
      <c r="Z157">
        <v>143108018</v>
      </c>
      <c r="AA157">
        <v>0</v>
      </c>
      <c r="AB157"/>
      <c r="AC157">
        <v>289411</v>
      </c>
      <c r="AD157">
        <v>1212581</v>
      </c>
      <c r="AE157">
        <v>640136</v>
      </c>
      <c r="AF157">
        <v>601704</v>
      </c>
      <c r="AG157">
        <v>687464</v>
      </c>
      <c r="AH157">
        <v>7517115</v>
      </c>
      <c r="AI157">
        <v>0</v>
      </c>
      <c r="AJ157">
        <v>0</v>
      </c>
      <c r="AK157">
        <v>0</v>
      </c>
      <c r="AL157">
        <v>825533</v>
      </c>
      <c r="AM157">
        <v>1360063</v>
      </c>
      <c r="AN157">
        <v>730238</v>
      </c>
      <c r="AO157">
        <v>30342299</v>
      </c>
      <c r="AP157">
        <v>1219251</v>
      </c>
      <c r="AQ157">
        <v>0</v>
      </c>
      <c r="AR157">
        <v>91070</v>
      </c>
      <c r="AS157">
        <v>28329912</v>
      </c>
      <c r="AT157">
        <v>378219</v>
      </c>
      <c r="AU157">
        <v>1048451</v>
      </c>
      <c r="AV157">
        <v>4709797</v>
      </c>
      <c r="AW157">
        <v>718105</v>
      </c>
      <c r="AX157"/>
      <c r="AY157">
        <v>2</v>
      </c>
      <c r="AZ157">
        <v>11575767</v>
      </c>
      <c r="BA157">
        <v>312083</v>
      </c>
      <c r="BB157">
        <v>480898</v>
      </c>
      <c r="BC157">
        <v>88741</v>
      </c>
      <c r="BD157">
        <v>3966662</v>
      </c>
      <c r="BE157">
        <v>4584225</v>
      </c>
      <c r="BF157">
        <v>57987401</v>
      </c>
      <c r="BG157"/>
      <c r="BH157">
        <v>0</v>
      </c>
      <c r="BI157">
        <v>164977</v>
      </c>
      <c r="BJ157">
        <v>22428838</v>
      </c>
      <c r="BK157">
        <v>1352697</v>
      </c>
      <c r="BL157">
        <v>9682153</v>
      </c>
      <c r="BM157">
        <v>0</v>
      </c>
      <c r="BN157">
        <v>12258885</v>
      </c>
      <c r="BO157">
        <v>1889942</v>
      </c>
      <c r="BP157"/>
      <c r="BQ157">
        <v>0</v>
      </c>
      <c r="BR157"/>
      <c r="BS157">
        <v>1908283</v>
      </c>
      <c r="BT157">
        <v>1163906</v>
      </c>
      <c r="BU157"/>
      <c r="BV157" s="566">
        <v>3129035</v>
      </c>
    </row>
    <row r="158" spans="1:74" s="566" customFormat="1" x14ac:dyDescent="0.3">
      <c r="A158">
        <v>592</v>
      </c>
      <c r="B158" t="s">
        <v>328</v>
      </c>
      <c r="C158"/>
      <c r="D158">
        <v>345432</v>
      </c>
      <c r="E158">
        <v>150430418</v>
      </c>
      <c r="F158"/>
      <c r="G158"/>
      <c r="H158">
        <v>752285</v>
      </c>
      <c r="I158">
        <v>0</v>
      </c>
      <c r="J158">
        <v>0</v>
      </c>
      <c r="K158">
        <v>0</v>
      </c>
      <c r="L158">
        <v>1735640</v>
      </c>
      <c r="M158">
        <v>1600104</v>
      </c>
      <c r="N158">
        <v>0</v>
      </c>
      <c r="O158">
        <v>-67425</v>
      </c>
      <c r="P158"/>
      <c r="Q158">
        <v>0</v>
      </c>
      <c r="R158">
        <v>0</v>
      </c>
      <c r="S158">
        <v>-278532</v>
      </c>
      <c r="T158">
        <v>0</v>
      </c>
      <c r="U158"/>
      <c r="V158"/>
      <c r="W158"/>
      <c r="X158">
        <v>495032</v>
      </c>
      <c r="Y158">
        <v>0</v>
      </c>
      <c r="Z158">
        <v>-11747044</v>
      </c>
      <c r="AA158">
        <v>0</v>
      </c>
      <c r="AB158"/>
      <c r="AC158">
        <v>286727</v>
      </c>
      <c r="AD158">
        <v>-40763</v>
      </c>
      <c r="AE158">
        <v>737166</v>
      </c>
      <c r="AF158">
        <v>529712</v>
      </c>
      <c r="AG158">
        <v>-19615</v>
      </c>
      <c r="AH158">
        <v>-1585839</v>
      </c>
      <c r="AI158">
        <v>0</v>
      </c>
      <c r="AJ158">
        <v>0</v>
      </c>
      <c r="AK158">
        <v>0</v>
      </c>
      <c r="AL158">
        <v>-36201</v>
      </c>
      <c r="AM158">
        <v>31445</v>
      </c>
      <c r="AN158">
        <v>-237150</v>
      </c>
      <c r="AO158">
        <v>9907304</v>
      </c>
      <c r="AP158">
        <v>-284218</v>
      </c>
      <c r="AQ158">
        <v>0</v>
      </c>
      <c r="AR158">
        <v>-41742</v>
      </c>
      <c r="AS158">
        <v>37551706</v>
      </c>
      <c r="AT158">
        <v>13877</v>
      </c>
      <c r="AU158">
        <v>389882</v>
      </c>
      <c r="AV158">
        <v>353187</v>
      </c>
      <c r="AW158">
        <v>1604313</v>
      </c>
      <c r="AX158"/>
      <c r="AY158">
        <v>0</v>
      </c>
      <c r="AZ158">
        <v>2738959</v>
      </c>
      <c r="BA158">
        <v>-6667</v>
      </c>
      <c r="BB158">
        <v>141686</v>
      </c>
      <c r="BC158">
        <v>60149</v>
      </c>
      <c r="BD158">
        <v>-4231838</v>
      </c>
      <c r="BE158">
        <v>384462</v>
      </c>
      <c r="BF158">
        <v>7774903</v>
      </c>
      <c r="BG158"/>
      <c r="BH158">
        <v>0</v>
      </c>
      <c r="BI158">
        <v>19147</v>
      </c>
      <c r="BJ158">
        <v>4339610</v>
      </c>
      <c r="BK158">
        <v>116289</v>
      </c>
      <c r="BL158">
        <v>4983302</v>
      </c>
      <c r="BM158">
        <v>0</v>
      </c>
      <c r="BN158">
        <v>2716534</v>
      </c>
      <c r="BO158">
        <v>-7132</v>
      </c>
      <c r="BP158"/>
      <c r="BQ158">
        <v>0</v>
      </c>
      <c r="BR158"/>
      <c r="BS158">
        <v>-6293</v>
      </c>
      <c r="BT158">
        <v>204136</v>
      </c>
      <c r="BU158"/>
      <c r="BV158" s="566">
        <v>114652</v>
      </c>
    </row>
    <row r="159" spans="1:74" x14ac:dyDescent="0.3">
      <c r="A159">
        <v>596</v>
      </c>
      <c r="B159" t="s">
        <v>333</v>
      </c>
      <c r="D159">
        <v>52</v>
      </c>
      <c r="E159">
        <v>52</v>
      </c>
      <c r="H159">
        <v>52</v>
      </c>
      <c r="I159">
        <v>0</v>
      </c>
      <c r="J159">
        <v>52</v>
      </c>
      <c r="K159">
        <v>52</v>
      </c>
      <c r="L159">
        <v>52</v>
      </c>
      <c r="M159">
        <v>52</v>
      </c>
      <c r="N159">
        <v>52</v>
      </c>
      <c r="O159">
        <v>52</v>
      </c>
      <c r="Q159">
        <v>0</v>
      </c>
      <c r="R159">
        <v>52</v>
      </c>
      <c r="S159">
        <v>52</v>
      </c>
      <c r="T159">
        <v>52</v>
      </c>
      <c r="X159">
        <v>52</v>
      </c>
      <c r="Y159">
        <v>0</v>
      </c>
      <c r="Z159">
        <v>52</v>
      </c>
      <c r="AA159">
        <v>52</v>
      </c>
      <c r="AC159">
        <v>52</v>
      </c>
      <c r="AD159">
        <v>52</v>
      </c>
      <c r="AE159">
        <v>52</v>
      </c>
      <c r="AF159">
        <v>52</v>
      </c>
      <c r="AG159">
        <v>52</v>
      </c>
      <c r="AH159">
        <v>52</v>
      </c>
      <c r="AI159">
        <v>0</v>
      </c>
      <c r="AJ159">
        <v>0</v>
      </c>
      <c r="AK159">
        <v>0</v>
      </c>
      <c r="AL159">
        <v>52</v>
      </c>
      <c r="AM159">
        <v>52</v>
      </c>
      <c r="AN159">
        <v>52</v>
      </c>
      <c r="AO159">
        <v>52</v>
      </c>
      <c r="AP159">
        <v>52</v>
      </c>
      <c r="AQ159">
        <v>52</v>
      </c>
      <c r="AR159">
        <v>52</v>
      </c>
      <c r="AS159">
        <v>52</v>
      </c>
      <c r="AT159">
        <v>52</v>
      </c>
      <c r="AU159">
        <v>52</v>
      </c>
      <c r="AV159">
        <v>52</v>
      </c>
      <c r="AW159">
        <v>52</v>
      </c>
      <c r="AY159">
        <v>52</v>
      </c>
      <c r="AZ159">
        <v>52</v>
      </c>
      <c r="BA159">
        <v>52</v>
      </c>
      <c r="BB159">
        <v>52</v>
      </c>
      <c r="BC159">
        <v>52</v>
      </c>
      <c r="BD159">
        <v>52</v>
      </c>
      <c r="BE159">
        <v>52</v>
      </c>
      <c r="BF159">
        <v>52</v>
      </c>
      <c r="BH159">
        <v>52</v>
      </c>
      <c r="BI159">
        <v>52</v>
      </c>
      <c r="BJ159">
        <v>52</v>
      </c>
      <c r="BK159">
        <v>52</v>
      </c>
      <c r="BL159">
        <v>52</v>
      </c>
      <c r="BM159">
        <v>0</v>
      </c>
      <c r="BN159">
        <v>52</v>
      </c>
      <c r="BO159">
        <v>52</v>
      </c>
      <c r="BQ159">
        <v>0</v>
      </c>
      <c r="BS159">
        <v>52</v>
      </c>
      <c r="BT159">
        <v>52</v>
      </c>
      <c r="BV159" s="180">
        <v>52</v>
      </c>
    </row>
    <row r="160" spans="1:74" x14ac:dyDescent="0.3">
      <c r="A160">
        <v>597</v>
      </c>
      <c r="B160" t="s">
        <v>336</v>
      </c>
      <c r="D160">
        <v>0</v>
      </c>
      <c r="E160">
        <v>27103056</v>
      </c>
      <c r="H160">
        <v>259760</v>
      </c>
      <c r="I160">
        <v>0</v>
      </c>
      <c r="J160">
        <v>10009</v>
      </c>
      <c r="K160">
        <v>89727</v>
      </c>
      <c r="L160">
        <v>151821</v>
      </c>
      <c r="M160">
        <v>723642</v>
      </c>
      <c r="N160">
        <v>32811</v>
      </c>
      <c r="O160">
        <v>53145</v>
      </c>
      <c r="Q160">
        <v>18824</v>
      </c>
      <c r="R160">
        <v>12412</v>
      </c>
      <c r="S160">
        <v>139321</v>
      </c>
      <c r="T160">
        <v>0</v>
      </c>
      <c r="X160">
        <v>0</v>
      </c>
      <c r="Y160">
        <v>2601</v>
      </c>
      <c r="Z160">
        <v>4010949</v>
      </c>
      <c r="AA160">
        <v>860898</v>
      </c>
      <c r="AC160">
        <v>0</v>
      </c>
      <c r="AD160">
        <v>66282</v>
      </c>
      <c r="AE160">
        <v>53077</v>
      </c>
      <c r="AF160">
        <v>1733</v>
      </c>
      <c r="AG160">
        <v>0</v>
      </c>
      <c r="AH160">
        <v>0</v>
      </c>
      <c r="AI160">
        <v>0</v>
      </c>
      <c r="AJ160">
        <v>57376</v>
      </c>
      <c r="AK160">
        <v>0</v>
      </c>
      <c r="AL160">
        <v>0</v>
      </c>
      <c r="AM160">
        <v>196243</v>
      </c>
      <c r="AN160">
        <v>730</v>
      </c>
      <c r="AO160">
        <v>2948280</v>
      </c>
      <c r="AP160">
        <v>79288</v>
      </c>
      <c r="AQ160">
        <v>452</v>
      </c>
      <c r="AR160">
        <v>277</v>
      </c>
      <c r="AS160">
        <v>2572827</v>
      </c>
      <c r="AT160">
        <v>10132</v>
      </c>
      <c r="AU160">
        <v>70768</v>
      </c>
      <c r="AV160">
        <v>5554</v>
      </c>
      <c r="AW160">
        <v>544</v>
      </c>
      <c r="AY160">
        <v>0</v>
      </c>
      <c r="AZ160">
        <v>353320</v>
      </c>
      <c r="BA160">
        <v>18667</v>
      </c>
      <c r="BB160">
        <v>0</v>
      </c>
      <c r="BC160">
        <v>77239</v>
      </c>
      <c r="BD160">
        <v>150458</v>
      </c>
      <c r="BE160">
        <v>1328</v>
      </c>
      <c r="BF160">
        <v>1697827</v>
      </c>
      <c r="BH160">
        <v>0</v>
      </c>
      <c r="BI160">
        <v>3425</v>
      </c>
      <c r="BJ160">
        <v>494044</v>
      </c>
      <c r="BK160">
        <v>90939</v>
      </c>
      <c r="BL160">
        <v>1435492</v>
      </c>
      <c r="BM160">
        <v>489895</v>
      </c>
      <c r="BN160">
        <v>660511</v>
      </c>
      <c r="BO160">
        <v>22853</v>
      </c>
      <c r="BQ160">
        <v>119715</v>
      </c>
      <c r="BS160">
        <v>108632</v>
      </c>
      <c r="BT160">
        <v>2336</v>
      </c>
      <c r="BV160" s="180">
        <v>125683</v>
      </c>
    </row>
    <row r="161" spans="1:74" x14ac:dyDescent="0.3">
      <c r="A161">
        <v>598</v>
      </c>
      <c r="B161" t="s">
        <v>341</v>
      </c>
      <c r="D161">
        <v>0</v>
      </c>
      <c r="E161">
        <v>4961404</v>
      </c>
      <c r="H161">
        <v>0</v>
      </c>
      <c r="I161">
        <v>0</v>
      </c>
      <c r="J161">
        <v>0</v>
      </c>
      <c r="K161">
        <v>0</v>
      </c>
      <c r="L161">
        <v>0</v>
      </c>
      <c r="M161">
        <v>86284</v>
      </c>
      <c r="N161">
        <v>0</v>
      </c>
      <c r="O161">
        <v>0</v>
      </c>
      <c r="Q161">
        <v>0</v>
      </c>
      <c r="R161">
        <v>0</v>
      </c>
      <c r="S161">
        <v>0</v>
      </c>
      <c r="T161">
        <v>111690</v>
      </c>
      <c r="X161">
        <v>72251</v>
      </c>
      <c r="Y161">
        <v>12372</v>
      </c>
      <c r="Z161">
        <v>573616</v>
      </c>
      <c r="AA161">
        <v>0</v>
      </c>
      <c r="AC161">
        <v>0</v>
      </c>
      <c r="AD161">
        <v>9361</v>
      </c>
      <c r="AE161">
        <v>0</v>
      </c>
      <c r="AF161">
        <v>0</v>
      </c>
      <c r="AG161">
        <v>12296</v>
      </c>
      <c r="AH161">
        <v>89936</v>
      </c>
      <c r="AI161">
        <v>0</v>
      </c>
      <c r="AJ161">
        <v>0</v>
      </c>
      <c r="AK161">
        <v>0</v>
      </c>
      <c r="AL161">
        <v>0</v>
      </c>
      <c r="AM161">
        <v>21267</v>
      </c>
      <c r="AN161">
        <v>0</v>
      </c>
      <c r="AO161">
        <v>206233</v>
      </c>
      <c r="AP161">
        <v>0</v>
      </c>
      <c r="AQ161">
        <v>0</v>
      </c>
      <c r="AR161">
        <v>0</v>
      </c>
      <c r="AS161">
        <v>403708</v>
      </c>
      <c r="AT161">
        <v>0</v>
      </c>
      <c r="AU161">
        <v>0</v>
      </c>
      <c r="AV161">
        <v>0</v>
      </c>
      <c r="AW161">
        <v>0</v>
      </c>
      <c r="AY161">
        <v>0</v>
      </c>
      <c r="AZ161">
        <v>75754</v>
      </c>
      <c r="BA161">
        <v>16190</v>
      </c>
      <c r="BB161">
        <v>0</v>
      </c>
      <c r="BC161">
        <v>0</v>
      </c>
      <c r="BD161">
        <v>23440</v>
      </c>
      <c r="BE161">
        <v>0</v>
      </c>
      <c r="BF161">
        <v>214415</v>
      </c>
      <c r="BH161">
        <v>0</v>
      </c>
      <c r="BI161">
        <v>0</v>
      </c>
      <c r="BJ161">
        <v>73134</v>
      </c>
      <c r="BK161">
        <v>1478</v>
      </c>
      <c r="BL161">
        <v>74832</v>
      </c>
      <c r="BM161">
        <v>37148</v>
      </c>
      <c r="BN161">
        <v>12828</v>
      </c>
      <c r="BO161">
        <v>1813</v>
      </c>
      <c r="BQ161">
        <v>7108</v>
      </c>
      <c r="BS161">
        <v>13089</v>
      </c>
      <c r="BT161">
        <v>11330</v>
      </c>
      <c r="BV161" s="180">
        <v>11203</v>
      </c>
    </row>
    <row r="162" spans="1:74" x14ac:dyDescent="0.3">
      <c r="A162">
        <v>599</v>
      </c>
      <c r="B162" t="s">
        <v>340</v>
      </c>
      <c r="D162">
        <v>414300</v>
      </c>
      <c r="E162">
        <v>62875907</v>
      </c>
      <c r="H162">
        <v>304454</v>
      </c>
      <c r="I162">
        <v>0</v>
      </c>
      <c r="J162">
        <v>0</v>
      </c>
      <c r="K162">
        <v>0</v>
      </c>
      <c r="L162">
        <v>294686</v>
      </c>
      <c r="M162">
        <v>2063439</v>
      </c>
      <c r="N162">
        <v>0</v>
      </c>
      <c r="O162">
        <v>259</v>
      </c>
      <c r="Q162">
        <v>0</v>
      </c>
      <c r="R162">
        <v>136077</v>
      </c>
      <c r="S162">
        <v>167413</v>
      </c>
      <c r="T162">
        <v>1301650</v>
      </c>
      <c r="X162">
        <v>1184271</v>
      </c>
      <c r="Y162">
        <v>165495</v>
      </c>
      <c r="Z162">
        <v>8685853</v>
      </c>
      <c r="AA162">
        <v>793831</v>
      </c>
      <c r="AC162">
        <v>0</v>
      </c>
      <c r="AD162">
        <v>202005</v>
      </c>
      <c r="AE162">
        <v>0</v>
      </c>
      <c r="AF162">
        <v>0</v>
      </c>
      <c r="AG162">
        <v>188913</v>
      </c>
      <c r="AH162">
        <v>1350131</v>
      </c>
      <c r="AI162">
        <v>0</v>
      </c>
      <c r="AJ162">
        <v>0</v>
      </c>
      <c r="AK162">
        <v>0</v>
      </c>
      <c r="AL162">
        <v>0</v>
      </c>
      <c r="AM162">
        <v>333590</v>
      </c>
      <c r="AN162">
        <v>0</v>
      </c>
      <c r="AO162">
        <v>3480440</v>
      </c>
      <c r="AP162">
        <v>26548</v>
      </c>
      <c r="AQ162">
        <v>0</v>
      </c>
      <c r="AR162">
        <v>0</v>
      </c>
      <c r="AS162">
        <v>4943788</v>
      </c>
      <c r="AT162">
        <v>0</v>
      </c>
      <c r="AU162">
        <v>0</v>
      </c>
      <c r="AV162">
        <v>117569</v>
      </c>
      <c r="AW162">
        <v>0</v>
      </c>
      <c r="AY162">
        <v>0</v>
      </c>
      <c r="AZ162">
        <v>768079</v>
      </c>
      <c r="BA162">
        <v>205560</v>
      </c>
      <c r="BB162">
        <v>0</v>
      </c>
      <c r="BC162">
        <v>0</v>
      </c>
      <c r="BD162">
        <v>426944</v>
      </c>
      <c r="BE162">
        <v>172162</v>
      </c>
      <c r="BF162">
        <v>3553959</v>
      </c>
      <c r="BH162">
        <v>0</v>
      </c>
      <c r="BI162">
        <v>0</v>
      </c>
      <c r="BJ162">
        <v>1977966</v>
      </c>
      <c r="BK162">
        <v>88351</v>
      </c>
      <c r="BL162">
        <v>1805374</v>
      </c>
      <c r="BM162">
        <v>656501</v>
      </c>
      <c r="BN162">
        <v>471276</v>
      </c>
      <c r="BO162">
        <v>53447</v>
      </c>
      <c r="BQ162">
        <v>124073</v>
      </c>
      <c r="BS162">
        <v>236794</v>
      </c>
      <c r="BT162">
        <v>208731</v>
      </c>
      <c r="BV162" s="180">
        <v>416278</v>
      </c>
    </row>
    <row r="163" spans="1:74" x14ac:dyDescent="0.3">
      <c r="A163">
        <v>602</v>
      </c>
      <c r="B163" t="s">
        <v>342</v>
      </c>
      <c r="D163">
        <v>0</v>
      </c>
      <c r="E163">
        <v>0</v>
      </c>
      <c r="H163">
        <v>0</v>
      </c>
      <c r="I163">
        <v>0</v>
      </c>
      <c r="J163">
        <v>0</v>
      </c>
      <c r="K163">
        <v>0</v>
      </c>
      <c r="L163">
        <v>0</v>
      </c>
      <c r="M163">
        <v>0</v>
      </c>
      <c r="N163">
        <v>0</v>
      </c>
      <c r="O163">
        <v>0</v>
      </c>
      <c r="Q163">
        <v>0</v>
      </c>
      <c r="R163">
        <v>0</v>
      </c>
      <c r="S163">
        <v>0</v>
      </c>
      <c r="T163">
        <v>0</v>
      </c>
      <c r="X163">
        <v>0</v>
      </c>
      <c r="Y163">
        <v>0</v>
      </c>
      <c r="Z163">
        <v>0</v>
      </c>
      <c r="AA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0</v>
      </c>
      <c r="AW163">
        <v>0</v>
      </c>
      <c r="AY163">
        <v>0</v>
      </c>
      <c r="AZ163">
        <v>0</v>
      </c>
      <c r="BA163">
        <v>0</v>
      </c>
      <c r="BB163">
        <v>0</v>
      </c>
      <c r="BC163">
        <v>0</v>
      </c>
      <c r="BD163">
        <v>0</v>
      </c>
      <c r="BE163">
        <v>0</v>
      </c>
      <c r="BF163">
        <v>0</v>
      </c>
      <c r="BH163">
        <v>0</v>
      </c>
      <c r="BI163">
        <v>0</v>
      </c>
      <c r="BJ163">
        <v>0</v>
      </c>
      <c r="BK163">
        <v>0</v>
      </c>
      <c r="BL163">
        <v>0</v>
      </c>
      <c r="BM163">
        <v>0</v>
      </c>
      <c r="BN163">
        <v>0</v>
      </c>
      <c r="BO163">
        <v>0</v>
      </c>
      <c r="BQ163">
        <v>0</v>
      </c>
      <c r="BS163">
        <v>0</v>
      </c>
      <c r="BT163">
        <v>0</v>
      </c>
      <c r="BV163" s="180">
        <v>0</v>
      </c>
    </row>
    <row r="164" spans="1:74" s="551" customFormat="1" x14ac:dyDescent="0.3">
      <c r="A164">
        <v>606</v>
      </c>
      <c r="B164" t="s">
        <v>897</v>
      </c>
      <c r="C164"/>
      <c r="D164">
        <v>1</v>
      </c>
      <c r="E164">
        <v>1</v>
      </c>
      <c r="F164"/>
      <c r="G164"/>
      <c r="H164">
        <v>1</v>
      </c>
      <c r="I164"/>
      <c r="J164"/>
      <c r="K164"/>
      <c r="L164">
        <v>1</v>
      </c>
      <c r="M164">
        <v>1</v>
      </c>
      <c r="N164"/>
      <c r="O164"/>
      <c r="P164"/>
      <c r="Q164"/>
      <c r="R164"/>
      <c r="S164"/>
      <c r="T164">
        <v>1</v>
      </c>
      <c r="U164"/>
      <c r="V164"/>
      <c r="W164"/>
      <c r="X164">
        <v>1</v>
      </c>
      <c r="Y164"/>
      <c r="Z164">
        <v>1</v>
      </c>
      <c r="AA164">
        <v>1</v>
      </c>
      <c r="AB164"/>
      <c r="AC164"/>
      <c r="AD164"/>
      <c r="AE164">
        <v>1</v>
      </c>
      <c r="AF164"/>
      <c r="AG164"/>
      <c r="AH164">
        <v>1</v>
      </c>
      <c r="AI164"/>
      <c r="AJ164">
        <v>1</v>
      </c>
      <c r="AK164"/>
      <c r="AL164"/>
      <c r="AM164">
        <v>1</v>
      </c>
      <c r="AN164"/>
      <c r="AO164">
        <v>1</v>
      </c>
      <c r="AP164"/>
      <c r="AQ164"/>
      <c r="AR164"/>
      <c r="AS164">
        <v>1</v>
      </c>
      <c r="AT164"/>
      <c r="AU164">
        <v>1</v>
      </c>
      <c r="AV164"/>
      <c r="AW164">
        <v>1</v>
      </c>
      <c r="AX164"/>
      <c r="AY164"/>
      <c r="AZ164">
        <v>1</v>
      </c>
      <c r="BA164"/>
      <c r="BB164"/>
      <c r="BC164"/>
      <c r="BD164">
        <v>1</v>
      </c>
      <c r="BE164"/>
      <c r="BF164">
        <v>1</v>
      </c>
      <c r="BG164"/>
      <c r="BH164"/>
      <c r="BI164"/>
      <c r="BJ164">
        <v>1</v>
      </c>
      <c r="BK164"/>
      <c r="BL164"/>
      <c r="BM164">
        <v>1</v>
      </c>
      <c r="BN164"/>
      <c r="BO164">
        <v>1</v>
      </c>
      <c r="BP164"/>
      <c r="BQ164"/>
      <c r="BR164"/>
      <c r="BS164">
        <v>1</v>
      </c>
      <c r="BT164"/>
      <c r="BU164"/>
      <c r="BV164" s="551">
        <v>1</v>
      </c>
    </row>
    <row r="165" spans="1:74" x14ac:dyDescent="0.3">
      <c r="A165">
        <v>619</v>
      </c>
      <c r="B165" t="s">
        <v>898</v>
      </c>
      <c r="D165">
        <v>0</v>
      </c>
      <c r="E165">
        <v>0</v>
      </c>
      <c r="H165">
        <v>0</v>
      </c>
      <c r="I165">
        <v>0</v>
      </c>
      <c r="J165">
        <v>0</v>
      </c>
      <c r="K165">
        <v>0</v>
      </c>
      <c r="L165">
        <v>0</v>
      </c>
      <c r="M165">
        <v>0</v>
      </c>
      <c r="N165">
        <v>0</v>
      </c>
      <c r="O165">
        <v>0</v>
      </c>
      <c r="Q165">
        <v>0</v>
      </c>
      <c r="R165">
        <v>0</v>
      </c>
      <c r="S165">
        <v>0</v>
      </c>
      <c r="T165">
        <v>0</v>
      </c>
      <c r="X165">
        <v>0</v>
      </c>
      <c r="Y165">
        <v>0</v>
      </c>
      <c r="Z165">
        <v>0</v>
      </c>
      <c r="AA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Y165">
        <v>0</v>
      </c>
      <c r="AZ165">
        <v>0</v>
      </c>
      <c r="BA165">
        <v>0</v>
      </c>
      <c r="BB165">
        <v>0</v>
      </c>
      <c r="BC165">
        <v>0</v>
      </c>
      <c r="BD165">
        <v>0</v>
      </c>
      <c r="BE165">
        <v>0</v>
      </c>
      <c r="BF165">
        <v>0</v>
      </c>
      <c r="BH165">
        <v>0</v>
      </c>
      <c r="BI165">
        <v>0</v>
      </c>
      <c r="BJ165">
        <v>0</v>
      </c>
      <c r="BK165">
        <v>0</v>
      </c>
      <c r="BL165">
        <v>0</v>
      </c>
      <c r="BM165">
        <v>0</v>
      </c>
      <c r="BN165">
        <v>0</v>
      </c>
      <c r="BO165">
        <v>0</v>
      </c>
      <c r="BQ165">
        <v>0</v>
      </c>
      <c r="BS165">
        <v>0</v>
      </c>
      <c r="BT165">
        <v>0</v>
      </c>
      <c r="BV165" s="180">
        <v>0</v>
      </c>
    </row>
    <row r="166" spans="1:74" s="564" customFormat="1" x14ac:dyDescent="0.3">
      <c r="A166">
        <v>620</v>
      </c>
      <c r="B166" t="s">
        <v>899</v>
      </c>
      <c r="C166"/>
      <c r="D166">
        <v>2</v>
      </c>
      <c r="E166">
        <v>2</v>
      </c>
      <c r="F166"/>
      <c r="G166"/>
      <c r="H166">
        <v>1</v>
      </c>
      <c r="I166">
        <v>2</v>
      </c>
      <c r="J166">
        <v>2</v>
      </c>
      <c r="K166">
        <v>2</v>
      </c>
      <c r="L166">
        <v>2</v>
      </c>
      <c r="M166">
        <v>1</v>
      </c>
      <c r="N166">
        <v>2</v>
      </c>
      <c r="O166">
        <v>2</v>
      </c>
      <c r="P166"/>
      <c r="Q166">
        <v>2</v>
      </c>
      <c r="R166">
        <v>2</v>
      </c>
      <c r="S166">
        <v>2</v>
      </c>
      <c r="T166">
        <v>2</v>
      </c>
      <c r="U166"/>
      <c r="V166"/>
      <c r="W166"/>
      <c r="X166">
        <v>2</v>
      </c>
      <c r="Y166">
        <v>2</v>
      </c>
      <c r="Z166">
        <v>1</v>
      </c>
      <c r="AA166">
        <v>2</v>
      </c>
      <c r="AB166"/>
      <c r="AC166">
        <v>2</v>
      </c>
      <c r="AD166">
        <v>1</v>
      </c>
      <c r="AE166">
        <v>2</v>
      </c>
      <c r="AF166">
        <v>1</v>
      </c>
      <c r="AG166">
        <v>2</v>
      </c>
      <c r="AH166">
        <v>2</v>
      </c>
      <c r="AI166">
        <v>2</v>
      </c>
      <c r="AJ166">
        <v>1</v>
      </c>
      <c r="AK166">
        <v>2</v>
      </c>
      <c r="AL166">
        <v>2</v>
      </c>
      <c r="AM166">
        <v>2</v>
      </c>
      <c r="AN166">
        <v>2</v>
      </c>
      <c r="AO166">
        <v>2</v>
      </c>
      <c r="AP166">
        <v>2</v>
      </c>
      <c r="AQ166">
        <v>2</v>
      </c>
      <c r="AR166">
        <v>2</v>
      </c>
      <c r="AS166">
        <v>1</v>
      </c>
      <c r="AT166">
        <v>2</v>
      </c>
      <c r="AU166">
        <v>1</v>
      </c>
      <c r="AV166">
        <v>2</v>
      </c>
      <c r="AW166">
        <v>2</v>
      </c>
      <c r="AX166"/>
      <c r="AY166">
        <v>1</v>
      </c>
      <c r="AZ166">
        <v>1</v>
      </c>
      <c r="BA166">
        <v>2</v>
      </c>
      <c r="BB166">
        <v>2</v>
      </c>
      <c r="BC166">
        <v>2</v>
      </c>
      <c r="BD166">
        <v>2</v>
      </c>
      <c r="BE166">
        <v>2</v>
      </c>
      <c r="BF166">
        <v>1</v>
      </c>
      <c r="BG166"/>
      <c r="BH166">
        <v>2</v>
      </c>
      <c r="BI166">
        <v>2</v>
      </c>
      <c r="BJ166">
        <v>2</v>
      </c>
      <c r="BK166">
        <v>2</v>
      </c>
      <c r="BL166">
        <v>1</v>
      </c>
      <c r="BM166">
        <v>2</v>
      </c>
      <c r="BN166">
        <v>2</v>
      </c>
      <c r="BO166">
        <v>2</v>
      </c>
      <c r="BP166"/>
      <c r="BQ166">
        <v>2</v>
      </c>
      <c r="BR166"/>
      <c r="BS166">
        <v>1</v>
      </c>
      <c r="BT166">
        <v>2</v>
      </c>
      <c r="BU166"/>
      <c r="BV166" s="564">
        <v>2</v>
      </c>
    </row>
    <row r="167" spans="1:74" x14ac:dyDescent="0.3">
      <c r="A167">
        <v>621</v>
      </c>
      <c r="B167" t="s">
        <v>900</v>
      </c>
      <c r="D167">
        <v>0</v>
      </c>
      <c r="E167">
        <v>0</v>
      </c>
      <c r="H167">
        <v>0</v>
      </c>
      <c r="I167">
        <v>0</v>
      </c>
      <c r="J167">
        <v>0</v>
      </c>
      <c r="K167">
        <v>0</v>
      </c>
      <c r="L167">
        <v>0</v>
      </c>
      <c r="M167">
        <v>0</v>
      </c>
      <c r="N167">
        <v>0</v>
      </c>
      <c r="O167">
        <v>0</v>
      </c>
      <c r="Q167">
        <v>0</v>
      </c>
      <c r="R167">
        <v>0</v>
      </c>
      <c r="S167">
        <v>0</v>
      </c>
      <c r="T167">
        <v>0</v>
      </c>
      <c r="X167">
        <v>4575058</v>
      </c>
      <c r="Y167">
        <v>0</v>
      </c>
      <c r="Z167">
        <v>0</v>
      </c>
      <c r="AA167">
        <v>0</v>
      </c>
      <c r="AC167">
        <v>0</v>
      </c>
      <c r="AD167">
        <v>0</v>
      </c>
      <c r="AE167">
        <v>0</v>
      </c>
      <c r="AF167">
        <v>0</v>
      </c>
      <c r="AG167">
        <v>0</v>
      </c>
      <c r="AH167">
        <v>580149</v>
      </c>
      <c r="AI167">
        <v>0</v>
      </c>
      <c r="AJ167">
        <v>0</v>
      </c>
      <c r="AK167">
        <v>0</v>
      </c>
      <c r="AL167">
        <v>0</v>
      </c>
      <c r="AM167">
        <v>0</v>
      </c>
      <c r="AN167">
        <v>0</v>
      </c>
      <c r="AO167">
        <v>0</v>
      </c>
      <c r="AP167">
        <v>0</v>
      </c>
      <c r="AQ167">
        <v>0</v>
      </c>
      <c r="AR167">
        <v>0</v>
      </c>
      <c r="AS167">
        <v>0</v>
      </c>
      <c r="AT167">
        <v>0</v>
      </c>
      <c r="AU167">
        <v>0</v>
      </c>
      <c r="AV167">
        <v>0</v>
      </c>
      <c r="AW167">
        <v>0</v>
      </c>
      <c r="AY167">
        <v>0</v>
      </c>
      <c r="AZ167">
        <v>0</v>
      </c>
      <c r="BA167">
        <v>0</v>
      </c>
      <c r="BB167">
        <v>0</v>
      </c>
      <c r="BC167">
        <v>0</v>
      </c>
      <c r="BD167">
        <v>295059</v>
      </c>
      <c r="BE167">
        <v>0</v>
      </c>
      <c r="BF167">
        <v>0</v>
      </c>
      <c r="BH167">
        <v>0</v>
      </c>
      <c r="BI167">
        <v>0</v>
      </c>
      <c r="BJ167">
        <v>0</v>
      </c>
      <c r="BK167">
        <v>0</v>
      </c>
      <c r="BL167">
        <v>0</v>
      </c>
      <c r="BM167">
        <v>0</v>
      </c>
      <c r="BN167">
        <v>0</v>
      </c>
      <c r="BO167">
        <v>0</v>
      </c>
      <c r="BQ167">
        <v>0</v>
      </c>
      <c r="BS167">
        <v>0</v>
      </c>
      <c r="BT167">
        <v>0</v>
      </c>
      <c r="BV167" s="180">
        <v>0</v>
      </c>
    </row>
    <row r="168" spans="1:74" x14ac:dyDescent="0.3">
      <c r="A168">
        <v>622</v>
      </c>
      <c r="B168" t="s">
        <v>901</v>
      </c>
      <c r="D168">
        <v>1952498</v>
      </c>
      <c r="E168">
        <v>196581202</v>
      </c>
      <c r="H168">
        <v>1106848</v>
      </c>
      <c r="I168">
        <v>0</v>
      </c>
      <c r="J168">
        <v>0</v>
      </c>
      <c r="K168">
        <v>0</v>
      </c>
      <c r="L168">
        <v>1788333</v>
      </c>
      <c r="M168">
        <v>6460563</v>
      </c>
      <c r="N168">
        <v>0</v>
      </c>
      <c r="O168">
        <v>173192</v>
      </c>
      <c r="Q168">
        <v>0</v>
      </c>
      <c r="R168">
        <v>443416</v>
      </c>
      <c r="S168">
        <v>817443</v>
      </c>
      <c r="T168">
        <v>0</v>
      </c>
      <c r="X168">
        <v>4372671</v>
      </c>
      <c r="Y168">
        <v>371206</v>
      </c>
      <c r="Z168">
        <v>34888283</v>
      </c>
      <c r="AA168">
        <v>2315242</v>
      </c>
      <c r="AC168">
        <v>59799</v>
      </c>
      <c r="AD168">
        <v>459776</v>
      </c>
      <c r="AE168">
        <v>157396</v>
      </c>
      <c r="AF168">
        <v>0</v>
      </c>
      <c r="AG168">
        <v>293918</v>
      </c>
      <c r="AH168">
        <v>4503552</v>
      </c>
      <c r="AI168">
        <v>0</v>
      </c>
      <c r="AJ168">
        <v>727744</v>
      </c>
      <c r="AK168">
        <v>0</v>
      </c>
      <c r="AL168">
        <v>192373</v>
      </c>
      <c r="AM168">
        <v>1609500</v>
      </c>
      <c r="AN168">
        <v>136523</v>
      </c>
      <c r="AO168">
        <v>18141704</v>
      </c>
      <c r="AP168">
        <v>333408</v>
      </c>
      <c r="AQ168">
        <v>0</v>
      </c>
      <c r="AR168">
        <v>0</v>
      </c>
      <c r="AS168">
        <v>13343106</v>
      </c>
      <c r="AT168">
        <v>0</v>
      </c>
      <c r="AU168">
        <v>451878</v>
      </c>
      <c r="AV168">
        <v>840573</v>
      </c>
      <c r="AW168">
        <v>94776</v>
      </c>
      <c r="AY168">
        <v>0</v>
      </c>
      <c r="AZ168">
        <v>2818461</v>
      </c>
      <c r="BA168">
        <v>521268</v>
      </c>
      <c r="BB168">
        <v>0</v>
      </c>
      <c r="BC168">
        <v>0</v>
      </c>
      <c r="BD168">
        <v>2696603</v>
      </c>
      <c r="BE168">
        <v>861446</v>
      </c>
      <c r="BF168">
        <v>11967161</v>
      </c>
      <c r="BH168">
        <v>12975</v>
      </c>
      <c r="BI168">
        <v>0</v>
      </c>
      <c r="BJ168">
        <v>5594604</v>
      </c>
      <c r="BK168">
        <v>437775</v>
      </c>
      <c r="BL168">
        <v>7649776</v>
      </c>
      <c r="BM168">
        <v>1405844</v>
      </c>
      <c r="BN168">
        <v>2403812</v>
      </c>
      <c r="BO168">
        <v>235248</v>
      </c>
      <c r="BQ168">
        <v>873857</v>
      </c>
      <c r="BS168">
        <v>1147466</v>
      </c>
      <c r="BT168">
        <v>312535</v>
      </c>
      <c r="BV168" s="180">
        <v>965812</v>
      </c>
    </row>
    <row r="169" spans="1:74" s="564" customFormat="1" x14ac:dyDescent="0.3">
      <c r="A169">
        <v>624</v>
      </c>
      <c r="B169" t="s">
        <v>355</v>
      </c>
      <c r="C169"/>
      <c r="D169">
        <v>2</v>
      </c>
      <c r="E169">
        <v>1</v>
      </c>
      <c r="F169"/>
      <c r="G169"/>
      <c r="H169">
        <v>2</v>
      </c>
      <c r="I169">
        <v>2</v>
      </c>
      <c r="J169">
        <v>1</v>
      </c>
      <c r="K169">
        <v>2</v>
      </c>
      <c r="L169">
        <v>2</v>
      </c>
      <c r="M169">
        <v>2</v>
      </c>
      <c r="N169">
        <v>1</v>
      </c>
      <c r="O169">
        <v>1</v>
      </c>
      <c r="P169"/>
      <c r="Q169">
        <v>1</v>
      </c>
      <c r="R169">
        <v>1</v>
      </c>
      <c r="S169">
        <v>1</v>
      </c>
      <c r="T169">
        <v>1</v>
      </c>
      <c r="U169"/>
      <c r="V169"/>
      <c r="W169"/>
      <c r="X169">
        <v>2</v>
      </c>
      <c r="Y169">
        <v>1</v>
      </c>
      <c r="Z169">
        <v>1</v>
      </c>
      <c r="AA169">
        <v>1</v>
      </c>
      <c r="AB169"/>
      <c r="AC169">
        <v>2</v>
      </c>
      <c r="AD169">
        <v>1</v>
      </c>
      <c r="AE169">
        <v>1</v>
      </c>
      <c r="AF169">
        <v>1</v>
      </c>
      <c r="AG169">
        <v>2</v>
      </c>
      <c r="AH169">
        <v>2</v>
      </c>
      <c r="AI169">
        <v>1</v>
      </c>
      <c r="AJ169">
        <v>1</v>
      </c>
      <c r="AK169">
        <v>1</v>
      </c>
      <c r="AL169">
        <v>2</v>
      </c>
      <c r="AM169">
        <v>1</v>
      </c>
      <c r="AN169">
        <v>1</v>
      </c>
      <c r="AO169">
        <v>1</v>
      </c>
      <c r="AP169">
        <v>2</v>
      </c>
      <c r="AQ169">
        <v>1</v>
      </c>
      <c r="AR169">
        <v>1</v>
      </c>
      <c r="AS169">
        <v>1</v>
      </c>
      <c r="AT169">
        <v>1</v>
      </c>
      <c r="AU169">
        <v>2</v>
      </c>
      <c r="AV169">
        <v>1</v>
      </c>
      <c r="AW169">
        <v>2</v>
      </c>
      <c r="AX169"/>
      <c r="AY169">
        <v>1</v>
      </c>
      <c r="AZ169">
        <v>1</v>
      </c>
      <c r="BA169">
        <v>2</v>
      </c>
      <c r="BB169">
        <v>1</v>
      </c>
      <c r="BC169">
        <v>0</v>
      </c>
      <c r="BD169">
        <v>1</v>
      </c>
      <c r="BE169">
        <v>2</v>
      </c>
      <c r="BF169">
        <v>1</v>
      </c>
      <c r="BG169"/>
      <c r="BH169">
        <v>1</v>
      </c>
      <c r="BI169">
        <v>1</v>
      </c>
      <c r="BJ169">
        <v>1</v>
      </c>
      <c r="BK169">
        <v>1</v>
      </c>
      <c r="BL169">
        <v>1</v>
      </c>
      <c r="BM169">
        <v>1</v>
      </c>
      <c r="BN169">
        <v>1</v>
      </c>
      <c r="BO169">
        <v>2</v>
      </c>
      <c r="BP169"/>
      <c r="BQ169">
        <v>1</v>
      </c>
      <c r="BR169"/>
      <c r="BS169">
        <v>1</v>
      </c>
      <c r="BT169">
        <v>2</v>
      </c>
      <c r="BU169"/>
      <c r="BV169" s="564">
        <v>2</v>
      </c>
    </row>
    <row r="170" spans="1:74" s="560" customFormat="1" x14ac:dyDescent="0.3">
      <c r="A170">
        <v>626</v>
      </c>
      <c r="B170" t="s">
        <v>902</v>
      </c>
      <c r="C170"/>
      <c r="D170">
        <v>686364</v>
      </c>
      <c r="E170">
        <v>187317512</v>
      </c>
      <c r="F170"/>
      <c r="G170"/>
      <c r="H170">
        <v>94093</v>
      </c>
      <c r="I170">
        <v>0</v>
      </c>
      <c r="J170">
        <v>4812</v>
      </c>
      <c r="K170">
        <v>20919</v>
      </c>
      <c r="L170">
        <v>431928</v>
      </c>
      <c r="M170">
        <v>4326067</v>
      </c>
      <c r="N170">
        <v>1931</v>
      </c>
      <c r="O170">
        <v>47407</v>
      </c>
      <c r="P170"/>
      <c r="Q170">
        <v>224291</v>
      </c>
      <c r="R170">
        <v>86705</v>
      </c>
      <c r="S170">
        <v>60919</v>
      </c>
      <c r="T170">
        <v>1944141</v>
      </c>
      <c r="U170"/>
      <c r="V170"/>
      <c r="W170"/>
      <c r="X170">
        <v>645349</v>
      </c>
      <c r="Y170">
        <v>330735</v>
      </c>
      <c r="Z170">
        <v>14261729</v>
      </c>
      <c r="AA170">
        <v>2395269</v>
      </c>
      <c r="AB170"/>
      <c r="AC170">
        <v>21841</v>
      </c>
      <c r="AD170">
        <v>478635</v>
      </c>
      <c r="AE170">
        <v>41177</v>
      </c>
      <c r="AF170">
        <v>37609</v>
      </c>
      <c r="AG170">
        <v>105784</v>
      </c>
      <c r="AH170">
        <v>1219537</v>
      </c>
      <c r="AI170">
        <v>4043</v>
      </c>
      <c r="AJ170">
        <v>262373</v>
      </c>
      <c r="AK170">
        <v>133422</v>
      </c>
      <c r="AL170">
        <v>366171</v>
      </c>
      <c r="AM170">
        <v>2124248</v>
      </c>
      <c r="AN170">
        <v>10674</v>
      </c>
      <c r="AO170">
        <v>6281463</v>
      </c>
      <c r="AP170">
        <v>69971</v>
      </c>
      <c r="AQ170">
        <v>1376</v>
      </c>
      <c r="AR170">
        <v>17744</v>
      </c>
      <c r="AS170">
        <v>7261947</v>
      </c>
      <c r="AT170">
        <v>7540</v>
      </c>
      <c r="AU170">
        <v>344967</v>
      </c>
      <c r="AV170">
        <v>37958</v>
      </c>
      <c r="AW170">
        <v>38194</v>
      </c>
      <c r="AX170"/>
      <c r="AY170">
        <v>18626</v>
      </c>
      <c r="AZ170">
        <v>494864</v>
      </c>
      <c r="BA170">
        <v>196115</v>
      </c>
      <c r="BB170">
        <v>837</v>
      </c>
      <c r="BC170">
        <v>0</v>
      </c>
      <c r="BD170">
        <v>2264594</v>
      </c>
      <c r="BE170">
        <v>176124</v>
      </c>
      <c r="BF170">
        <v>8249449</v>
      </c>
      <c r="BG170"/>
      <c r="BH170">
        <v>6495</v>
      </c>
      <c r="BI170">
        <v>70263</v>
      </c>
      <c r="BJ170">
        <v>4618719</v>
      </c>
      <c r="BK170">
        <v>251424</v>
      </c>
      <c r="BL170">
        <v>3545994</v>
      </c>
      <c r="BM170">
        <v>1313231</v>
      </c>
      <c r="BN170">
        <v>7534595</v>
      </c>
      <c r="BO170">
        <v>630736</v>
      </c>
      <c r="BP170"/>
      <c r="BQ170">
        <v>417164</v>
      </c>
      <c r="BR170"/>
      <c r="BS170">
        <v>1206640</v>
      </c>
      <c r="BT170">
        <v>91544</v>
      </c>
      <c r="BU170"/>
      <c r="BV170" s="560">
        <v>187848</v>
      </c>
    </row>
    <row r="171" spans="1:74" s="558" customFormat="1" x14ac:dyDescent="0.3">
      <c r="A171">
        <v>627</v>
      </c>
      <c r="B171" t="s">
        <v>903</v>
      </c>
      <c r="C171"/>
      <c r="D171">
        <v>0</v>
      </c>
      <c r="E171">
        <v>0</v>
      </c>
      <c r="F171"/>
      <c r="G171"/>
      <c r="H171">
        <v>0</v>
      </c>
      <c r="I171">
        <v>0</v>
      </c>
      <c r="J171">
        <v>0</v>
      </c>
      <c r="K171">
        <v>0</v>
      </c>
      <c r="L171">
        <v>0</v>
      </c>
      <c r="M171">
        <v>0</v>
      </c>
      <c r="N171">
        <v>0</v>
      </c>
      <c r="O171">
        <v>0</v>
      </c>
      <c r="P171"/>
      <c r="Q171">
        <v>0</v>
      </c>
      <c r="R171">
        <v>0</v>
      </c>
      <c r="S171">
        <v>0</v>
      </c>
      <c r="T171">
        <v>0</v>
      </c>
      <c r="U171"/>
      <c r="V171"/>
      <c r="W171"/>
      <c r="X171">
        <v>0</v>
      </c>
      <c r="Y171">
        <v>0</v>
      </c>
      <c r="Z171">
        <v>0</v>
      </c>
      <c r="AA171">
        <v>838656</v>
      </c>
      <c r="AB171"/>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c r="AY171">
        <v>0</v>
      </c>
      <c r="AZ171">
        <v>0</v>
      </c>
      <c r="BA171">
        <v>0</v>
      </c>
      <c r="BB171">
        <v>0</v>
      </c>
      <c r="BC171">
        <v>0</v>
      </c>
      <c r="BD171">
        <v>0</v>
      </c>
      <c r="BE171">
        <v>0</v>
      </c>
      <c r="BF171">
        <v>0</v>
      </c>
      <c r="BG171"/>
      <c r="BH171">
        <v>0</v>
      </c>
      <c r="BI171">
        <v>0</v>
      </c>
      <c r="BJ171">
        <v>0</v>
      </c>
      <c r="BK171">
        <v>0</v>
      </c>
      <c r="BL171">
        <v>0</v>
      </c>
      <c r="BM171">
        <v>0</v>
      </c>
      <c r="BN171">
        <v>0</v>
      </c>
      <c r="BO171">
        <v>0</v>
      </c>
      <c r="BP171"/>
      <c r="BQ171">
        <v>0</v>
      </c>
      <c r="BR171"/>
      <c r="BS171">
        <v>0</v>
      </c>
      <c r="BT171">
        <v>0</v>
      </c>
      <c r="BU171"/>
      <c r="BV171" s="558">
        <v>0</v>
      </c>
    </row>
    <row r="172" spans="1:74" s="558" customFormat="1" x14ac:dyDescent="0.3">
      <c r="A172">
        <v>628</v>
      </c>
      <c r="B172" t="s">
        <v>904</v>
      </c>
      <c r="C172"/>
      <c r="D172">
        <v>73615</v>
      </c>
      <c r="E172">
        <v>16873933</v>
      </c>
      <c r="F172"/>
      <c r="G172"/>
      <c r="H172">
        <v>0</v>
      </c>
      <c r="I172">
        <v>0</v>
      </c>
      <c r="J172">
        <v>0</v>
      </c>
      <c r="K172">
        <v>0</v>
      </c>
      <c r="L172">
        <v>10000</v>
      </c>
      <c r="M172">
        <v>74145</v>
      </c>
      <c r="N172">
        <v>0</v>
      </c>
      <c r="O172">
        <v>13952</v>
      </c>
      <c r="P172"/>
      <c r="Q172">
        <v>1418</v>
      </c>
      <c r="R172">
        <v>53274</v>
      </c>
      <c r="S172">
        <v>10000</v>
      </c>
      <c r="T172">
        <v>52767</v>
      </c>
      <c r="U172"/>
      <c r="V172"/>
      <c r="W172"/>
      <c r="X172">
        <v>237978</v>
      </c>
      <c r="Y172">
        <v>33092</v>
      </c>
      <c r="Z172">
        <v>2018087</v>
      </c>
      <c r="AA172">
        <v>0</v>
      </c>
      <c r="AB172"/>
      <c r="AC172">
        <v>208</v>
      </c>
      <c r="AD172">
        <v>3713</v>
      </c>
      <c r="AE172">
        <v>9882</v>
      </c>
      <c r="AF172">
        <v>800</v>
      </c>
      <c r="AG172">
        <v>0</v>
      </c>
      <c r="AH172">
        <v>38000</v>
      </c>
      <c r="AI172">
        <v>0</v>
      </c>
      <c r="AJ172">
        <v>19992</v>
      </c>
      <c r="AK172">
        <v>0</v>
      </c>
      <c r="AL172">
        <v>5492</v>
      </c>
      <c r="AM172">
        <v>19178</v>
      </c>
      <c r="AN172">
        <v>3203</v>
      </c>
      <c r="AO172">
        <v>201830</v>
      </c>
      <c r="AP172">
        <v>0</v>
      </c>
      <c r="AQ172">
        <v>0</v>
      </c>
      <c r="AR172">
        <v>0</v>
      </c>
      <c r="AS172">
        <v>1300555</v>
      </c>
      <c r="AT172">
        <v>0</v>
      </c>
      <c r="AU172">
        <v>0</v>
      </c>
      <c r="AV172">
        <v>0</v>
      </c>
      <c r="AW172">
        <v>14876</v>
      </c>
      <c r="AX172"/>
      <c r="AY172">
        <v>0</v>
      </c>
      <c r="AZ172">
        <v>111631</v>
      </c>
      <c r="BA172">
        <v>0</v>
      </c>
      <c r="BB172">
        <v>0</v>
      </c>
      <c r="BC172">
        <v>0</v>
      </c>
      <c r="BD172">
        <v>176567</v>
      </c>
      <c r="BE172">
        <v>0</v>
      </c>
      <c r="BF172">
        <v>338857</v>
      </c>
      <c r="BG172"/>
      <c r="BH172">
        <v>0</v>
      </c>
      <c r="BI172">
        <v>0</v>
      </c>
      <c r="BJ172">
        <v>120650</v>
      </c>
      <c r="BK172">
        <v>31511</v>
      </c>
      <c r="BL172">
        <v>390402</v>
      </c>
      <c r="BM172">
        <v>25000</v>
      </c>
      <c r="BN172">
        <v>67665</v>
      </c>
      <c r="BO172">
        <v>0</v>
      </c>
      <c r="BP172"/>
      <c r="BQ172">
        <v>0</v>
      </c>
      <c r="BR172"/>
      <c r="BS172">
        <v>39000</v>
      </c>
      <c r="BT172">
        <v>20000</v>
      </c>
      <c r="BU172"/>
      <c r="BV172" s="558">
        <v>32000</v>
      </c>
    </row>
    <row r="173" spans="1:74" x14ac:dyDescent="0.3">
      <c r="A173">
        <v>629</v>
      </c>
      <c r="B173" t="s">
        <v>905</v>
      </c>
      <c r="D173">
        <v>0</v>
      </c>
      <c r="E173">
        <v>0</v>
      </c>
      <c r="H173">
        <v>0</v>
      </c>
      <c r="I173">
        <v>0</v>
      </c>
      <c r="J173">
        <v>0</v>
      </c>
      <c r="K173">
        <v>0</v>
      </c>
      <c r="L173">
        <v>0</v>
      </c>
      <c r="M173">
        <v>0</v>
      </c>
      <c r="N173">
        <v>0</v>
      </c>
      <c r="O173">
        <v>0</v>
      </c>
      <c r="Q173">
        <v>0</v>
      </c>
      <c r="R173">
        <v>0</v>
      </c>
      <c r="S173">
        <v>0</v>
      </c>
      <c r="T173">
        <v>0</v>
      </c>
      <c r="X173">
        <v>0</v>
      </c>
      <c r="Y173">
        <v>0</v>
      </c>
      <c r="Z173">
        <v>0</v>
      </c>
      <c r="AA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Y173">
        <v>0</v>
      </c>
      <c r="AZ173">
        <v>0</v>
      </c>
      <c r="BA173">
        <v>0</v>
      </c>
      <c r="BB173">
        <v>0</v>
      </c>
      <c r="BC173">
        <v>0</v>
      </c>
      <c r="BD173">
        <v>0</v>
      </c>
      <c r="BE173">
        <v>0</v>
      </c>
      <c r="BF173">
        <v>0</v>
      </c>
      <c r="BH173">
        <v>0</v>
      </c>
      <c r="BI173">
        <v>0</v>
      </c>
      <c r="BJ173">
        <v>0</v>
      </c>
      <c r="BK173">
        <v>0</v>
      </c>
      <c r="BL173">
        <v>44743</v>
      </c>
      <c r="BM173">
        <v>0</v>
      </c>
      <c r="BN173">
        <v>0</v>
      </c>
      <c r="BO173">
        <v>0</v>
      </c>
      <c r="BQ173">
        <v>0</v>
      </c>
      <c r="BS173">
        <v>0</v>
      </c>
      <c r="BT173">
        <v>0</v>
      </c>
      <c r="BV173" s="180">
        <v>0</v>
      </c>
    </row>
    <row r="174" spans="1:74" x14ac:dyDescent="0.3">
      <c r="A174">
        <v>630</v>
      </c>
      <c r="B174" t="s">
        <v>906</v>
      </c>
      <c r="D174">
        <v>0</v>
      </c>
      <c r="E174">
        <v>0</v>
      </c>
      <c r="H174">
        <v>0</v>
      </c>
      <c r="I174">
        <v>0</v>
      </c>
      <c r="J174">
        <v>0</v>
      </c>
      <c r="K174">
        <v>0</v>
      </c>
      <c r="L174">
        <v>0</v>
      </c>
      <c r="M174">
        <v>0</v>
      </c>
      <c r="N174">
        <v>0</v>
      </c>
      <c r="O174">
        <v>0</v>
      </c>
      <c r="Q174">
        <v>198233</v>
      </c>
      <c r="R174">
        <v>0</v>
      </c>
      <c r="S174">
        <v>0</v>
      </c>
      <c r="T174">
        <v>0</v>
      </c>
      <c r="X174">
        <v>0</v>
      </c>
      <c r="Y174">
        <v>220733</v>
      </c>
      <c r="Z174">
        <v>0</v>
      </c>
      <c r="AA174">
        <v>0</v>
      </c>
      <c r="AC174">
        <v>0</v>
      </c>
      <c r="AD174">
        <v>0</v>
      </c>
      <c r="AE174">
        <v>0</v>
      </c>
      <c r="AF174">
        <v>0</v>
      </c>
      <c r="AG174">
        <v>0</v>
      </c>
      <c r="AH174">
        <v>50033</v>
      </c>
      <c r="AI174">
        <v>0</v>
      </c>
      <c r="AJ174">
        <v>0</v>
      </c>
      <c r="AK174">
        <v>131622</v>
      </c>
      <c r="AL174">
        <v>0</v>
      </c>
      <c r="AM174">
        <v>0</v>
      </c>
      <c r="AN174">
        <v>0</v>
      </c>
      <c r="AO174">
        <v>0</v>
      </c>
      <c r="AP174">
        <v>0</v>
      </c>
      <c r="AQ174">
        <v>0</v>
      </c>
      <c r="AR174">
        <v>0</v>
      </c>
      <c r="AS174">
        <v>0</v>
      </c>
      <c r="AT174">
        <v>0</v>
      </c>
      <c r="AU174">
        <v>277135</v>
      </c>
      <c r="AV174">
        <v>0</v>
      </c>
      <c r="AW174">
        <v>0</v>
      </c>
      <c r="AY174">
        <v>0</v>
      </c>
      <c r="AZ174">
        <v>0</v>
      </c>
      <c r="BA174">
        <v>0</v>
      </c>
      <c r="BB174">
        <v>0</v>
      </c>
      <c r="BC174">
        <v>0</v>
      </c>
      <c r="BD174">
        <v>0</v>
      </c>
      <c r="BE174">
        <v>0</v>
      </c>
      <c r="BF174">
        <v>0</v>
      </c>
      <c r="BH174">
        <v>0</v>
      </c>
      <c r="BI174">
        <v>0</v>
      </c>
      <c r="BJ174">
        <v>3473784</v>
      </c>
      <c r="BK174">
        <v>0</v>
      </c>
      <c r="BL174">
        <v>771700</v>
      </c>
      <c r="BM174">
        <v>0</v>
      </c>
      <c r="BN174">
        <v>0</v>
      </c>
      <c r="BO174">
        <v>0</v>
      </c>
      <c r="BQ174">
        <v>0</v>
      </c>
      <c r="BS174">
        <v>886227</v>
      </c>
      <c r="BT174">
        <v>0</v>
      </c>
      <c r="BV174" s="180">
        <v>0</v>
      </c>
    </row>
    <row r="175" spans="1:74" x14ac:dyDescent="0.3">
      <c r="A175">
        <v>631</v>
      </c>
      <c r="B175" t="s">
        <v>907</v>
      </c>
      <c r="D175">
        <v>0</v>
      </c>
      <c r="E175">
        <v>0</v>
      </c>
      <c r="H175">
        <v>0</v>
      </c>
      <c r="I175">
        <v>0</v>
      </c>
      <c r="J175">
        <v>0</v>
      </c>
      <c r="K175">
        <v>0</v>
      </c>
      <c r="L175">
        <v>0</v>
      </c>
      <c r="M175">
        <v>0</v>
      </c>
      <c r="N175">
        <v>0</v>
      </c>
      <c r="O175">
        <v>0</v>
      </c>
      <c r="Q175">
        <v>0</v>
      </c>
      <c r="R175">
        <v>0</v>
      </c>
      <c r="S175">
        <v>0</v>
      </c>
      <c r="T175">
        <v>0</v>
      </c>
      <c r="X175">
        <v>0</v>
      </c>
      <c r="Y175">
        <v>0</v>
      </c>
      <c r="Z175">
        <v>0</v>
      </c>
      <c r="AA175">
        <v>0</v>
      </c>
      <c r="AC175">
        <v>0</v>
      </c>
      <c r="AD175">
        <v>0</v>
      </c>
      <c r="AE175">
        <v>0</v>
      </c>
      <c r="AF175">
        <v>0</v>
      </c>
      <c r="AG175">
        <v>0</v>
      </c>
      <c r="AH175">
        <v>0</v>
      </c>
      <c r="AI175">
        <v>0</v>
      </c>
      <c r="AJ175">
        <v>0</v>
      </c>
      <c r="AK175">
        <v>0</v>
      </c>
      <c r="AL175">
        <v>0</v>
      </c>
      <c r="AM175">
        <v>0</v>
      </c>
      <c r="AN175">
        <v>0</v>
      </c>
      <c r="AO175">
        <v>563536</v>
      </c>
      <c r="AP175">
        <v>0</v>
      </c>
      <c r="AQ175">
        <v>0</v>
      </c>
      <c r="AR175">
        <v>0</v>
      </c>
      <c r="AS175">
        <v>0</v>
      </c>
      <c r="AT175">
        <v>0</v>
      </c>
      <c r="AU175">
        <v>0</v>
      </c>
      <c r="AV175">
        <v>0</v>
      </c>
      <c r="AW175">
        <v>0</v>
      </c>
      <c r="AY175">
        <v>0</v>
      </c>
      <c r="AZ175">
        <v>0</v>
      </c>
      <c r="BA175">
        <v>0</v>
      </c>
      <c r="BB175">
        <v>0</v>
      </c>
      <c r="BC175">
        <v>0</v>
      </c>
      <c r="BD175">
        <v>0</v>
      </c>
      <c r="BE175">
        <v>0</v>
      </c>
      <c r="BF175">
        <v>713000</v>
      </c>
      <c r="BH175">
        <v>0</v>
      </c>
      <c r="BI175">
        <v>0</v>
      </c>
      <c r="BJ175">
        <v>0</v>
      </c>
      <c r="BK175">
        <v>0</v>
      </c>
      <c r="BL175">
        <v>0</v>
      </c>
      <c r="BM175">
        <v>0</v>
      </c>
      <c r="BN175">
        <v>0</v>
      </c>
      <c r="BO175">
        <v>0</v>
      </c>
      <c r="BQ175">
        <v>0</v>
      </c>
      <c r="BS175">
        <v>0</v>
      </c>
      <c r="BT175">
        <v>0</v>
      </c>
      <c r="BV175" s="180">
        <v>0</v>
      </c>
    </row>
    <row r="176" spans="1:74" x14ac:dyDescent="0.3">
      <c r="A176">
        <v>632</v>
      </c>
      <c r="B176" t="s">
        <v>908</v>
      </c>
      <c r="D176">
        <v>0</v>
      </c>
      <c r="E176">
        <v>0</v>
      </c>
      <c r="H176">
        <v>0</v>
      </c>
      <c r="I176">
        <v>0</v>
      </c>
      <c r="J176">
        <v>0</v>
      </c>
      <c r="K176">
        <v>0</v>
      </c>
      <c r="L176">
        <v>0</v>
      </c>
      <c r="M176">
        <v>0</v>
      </c>
      <c r="N176">
        <v>0</v>
      </c>
      <c r="O176">
        <v>0</v>
      </c>
      <c r="Q176">
        <v>0</v>
      </c>
      <c r="R176">
        <v>0</v>
      </c>
      <c r="S176">
        <v>0</v>
      </c>
      <c r="T176">
        <v>0</v>
      </c>
      <c r="X176">
        <v>0</v>
      </c>
      <c r="Y176">
        <v>0</v>
      </c>
      <c r="Z176">
        <v>0</v>
      </c>
      <c r="AA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Y176">
        <v>0</v>
      </c>
      <c r="AZ176">
        <v>0</v>
      </c>
      <c r="BA176">
        <v>0</v>
      </c>
      <c r="BB176">
        <v>0</v>
      </c>
      <c r="BC176">
        <v>0</v>
      </c>
      <c r="BD176">
        <v>0</v>
      </c>
      <c r="BE176">
        <v>0</v>
      </c>
      <c r="BF176">
        <v>0</v>
      </c>
      <c r="BH176">
        <v>0</v>
      </c>
      <c r="BI176">
        <v>0</v>
      </c>
      <c r="BJ176">
        <v>0</v>
      </c>
      <c r="BK176">
        <v>0</v>
      </c>
      <c r="BL176">
        <v>0</v>
      </c>
      <c r="BM176">
        <v>0</v>
      </c>
      <c r="BN176">
        <v>0</v>
      </c>
      <c r="BO176">
        <v>0</v>
      </c>
      <c r="BQ176">
        <v>0</v>
      </c>
      <c r="BS176">
        <v>0</v>
      </c>
      <c r="BT176">
        <v>0</v>
      </c>
      <c r="BV176" s="180">
        <v>0</v>
      </c>
    </row>
    <row r="177" spans="1:74" x14ac:dyDescent="0.3">
      <c r="A177">
        <v>633</v>
      </c>
      <c r="B177" t="s">
        <v>371</v>
      </c>
      <c r="D177">
        <v>728469</v>
      </c>
      <c r="E177">
        <v>68729735</v>
      </c>
      <c r="H177">
        <v>45187</v>
      </c>
      <c r="I177">
        <v>0</v>
      </c>
      <c r="J177">
        <v>0</v>
      </c>
      <c r="K177">
        <v>0</v>
      </c>
      <c r="L177">
        <v>176501</v>
      </c>
      <c r="M177">
        <v>1903692</v>
      </c>
      <c r="N177">
        <v>0</v>
      </c>
      <c r="O177">
        <v>70932</v>
      </c>
      <c r="Q177">
        <v>0</v>
      </c>
      <c r="R177">
        <v>0</v>
      </c>
      <c r="S177">
        <v>500358</v>
      </c>
      <c r="T177">
        <v>0</v>
      </c>
      <c r="X177">
        <v>459591</v>
      </c>
      <c r="Y177">
        <v>0</v>
      </c>
      <c r="Z177">
        <v>1755332</v>
      </c>
      <c r="AA177">
        <v>0</v>
      </c>
      <c r="AC177">
        <v>176271</v>
      </c>
      <c r="AD177">
        <v>69762</v>
      </c>
      <c r="AE177">
        <v>425954</v>
      </c>
      <c r="AF177">
        <v>144952</v>
      </c>
      <c r="AG177">
        <v>134062</v>
      </c>
      <c r="AH177">
        <v>1264997</v>
      </c>
      <c r="AI177">
        <v>0</v>
      </c>
      <c r="AJ177">
        <v>0</v>
      </c>
      <c r="AK177">
        <v>0</v>
      </c>
      <c r="AL177">
        <v>116080</v>
      </c>
      <c r="AM177">
        <v>166366</v>
      </c>
      <c r="AN177">
        <v>28823</v>
      </c>
      <c r="AO177">
        <v>7545286</v>
      </c>
      <c r="AP177">
        <v>160310</v>
      </c>
      <c r="AQ177">
        <v>0</v>
      </c>
      <c r="AR177">
        <v>17480</v>
      </c>
      <c r="AS177">
        <v>13241973</v>
      </c>
      <c r="AT177">
        <v>212288</v>
      </c>
      <c r="AU177">
        <v>214130</v>
      </c>
      <c r="AV177">
        <v>133270</v>
      </c>
      <c r="AW177">
        <v>70150</v>
      </c>
      <c r="AY177">
        <v>0</v>
      </c>
      <c r="AZ177">
        <v>1091008</v>
      </c>
      <c r="BA177">
        <v>45453</v>
      </c>
      <c r="BB177">
        <v>11461</v>
      </c>
      <c r="BC177">
        <v>5761</v>
      </c>
      <c r="BD177">
        <v>229603</v>
      </c>
      <c r="BE177">
        <v>348889</v>
      </c>
      <c r="BF177">
        <v>5418798</v>
      </c>
      <c r="BH177">
        <v>0</v>
      </c>
      <c r="BI177">
        <v>51975</v>
      </c>
      <c r="BJ177">
        <v>1587910</v>
      </c>
      <c r="BK177">
        <v>184566</v>
      </c>
      <c r="BL177">
        <v>869963</v>
      </c>
      <c r="BM177">
        <v>0</v>
      </c>
      <c r="BN177">
        <v>697021</v>
      </c>
      <c r="BO177">
        <v>392990</v>
      </c>
      <c r="BQ177">
        <v>0</v>
      </c>
      <c r="BS177">
        <v>547289</v>
      </c>
      <c r="BT177">
        <v>102069</v>
      </c>
      <c r="BV177" s="180">
        <v>210458</v>
      </c>
    </row>
    <row r="178" spans="1:74" x14ac:dyDescent="0.3">
      <c r="A178">
        <v>634</v>
      </c>
      <c r="B178" t="s">
        <v>372</v>
      </c>
      <c r="D178">
        <v>0</v>
      </c>
      <c r="E178">
        <v>0</v>
      </c>
      <c r="H178">
        <v>0</v>
      </c>
      <c r="I178">
        <v>0</v>
      </c>
      <c r="J178">
        <v>0</v>
      </c>
      <c r="K178">
        <v>0</v>
      </c>
      <c r="L178">
        <v>0</v>
      </c>
      <c r="M178">
        <v>0</v>
      </c>
      <c r="N178">
        <v>0</v>
      </c>
      <c r="O178">
        <v>0</v>
      </c>
      <c r="Q178">
        <v>0</v>
      </c>
      <c r="R178">
        <v>0</v>
      </c>
      <c r="S178">
        <v>0</v>
      </c>
      <c r="T178">
        <v>0</v>
      </c>
      <c r="X178">
        <v>0</v>
      </c>
      <c r="Y178">
        <v>0</v>
      </c>
      <c r="Z178">
        <v>0</v>
      </c>
      <c r="AA178">
        <v>0</v>
      </c>
      <c r="AC178">
        <v>0</v>
      </c>
      <c r="AD178">
        <v>12745</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Y178">
        <v>0</v>
      </c>
      <c r="AZ178">
        <v>0</v>
      </c>
      <c r="BA178">
        <v>0</v>
      </c>
      <c r="BB178">
        <v>0</v>
      </c>
      <c r="BC178">
        <v>0</v>
      </c>
      <c r="BD178">
        <v>0</v>
      </c>
      <c r="BE178">
        <v>0</v>
      </c>
      <c r="BF178">
        <v>0</v>
      </c>
      <c r="BH178">
        <v>0</v>
      </c>
      <c r="BI178">
        <v>0</v>
      </c>
      <c r="BJ178">
        <v>0</v>
      </c>
      <c r="BK178">
        <v>0</v>
      </c>
      <c r="BL178">
        <v>0</v>
      </c>
      <c r="BM178">
        <v>0</v>
      </c>
      <c r="BN178">
        <v>0</v>
      </c>
      <c r="BO178">
        <v>0</v>
      </c>
      <c r="BQ178">
        <v>0</v>
      </c>
      <c r="BS178">
        <v>0</v>
      </c>
      <c r="BT178">
        <v>0</v>
      </c>
      <c r="BV178" s="180">
        <v>0</v>
      </c>
    </row>
    <row r="179" spans="1:74" x14ac:dyDescent="0.3">
      <c r="A179">
        <v>635</v>
      </c>
      <c r="B179" t="s">
        <v>373</v>
      </c>
      <c r="D179">
        <v>13523</v>
      </c>
      <c r="E179">
        <v>2669538</v>
      </c>
      <c r="H179">
        <v>0</v>
      </c>
      <c r="I179">
        <v>0</v>
      </c>
      <c r="J179">
        <v>0</v>
      </c>
      <c r="K179">
        <v>0</v>
      </c>
      <c r="L179">
        <v>5000</v>
      </c>
      <c r="M179">
        <v>11233</v>
      </c>
      <c r="N179">
        <v>0</v>
      </c>
      <c r="O179">
        <v>1070</v>
      </c>
      <c r="Q179">
        <v>0</v>
      </c>
      <c r="R179">
        <v>0</v>
      </c>
      <c r="S179">
        <v>10000</v>
      </c>
      <c r="T179">
        <v>0</v>
      </c>
      <c r="X179">
        <v>65240</v>
      </c>
      <c r="Y179">
        <v>0</v>
      </c>
      <c r="Z179">
        <v>250934</v>
      </c>
      <c r="AA179">
        <v>0</v>
      </c>
      <c r="AC179">
        <v>0</v>
      </c>
      <c r="AD179">
        <v>5339</v>
      </c>
      <c r="AE179">
        <v>3355</v>
      </c>
      <c r="AF179">
        <v>2863</v>
      </c>
      <c r="AG179">
        <v>0</v>
      </c>
      <c r="AH179">
        <v>0</v>
      </c>
      <c r="AI179">
        <v>0</v>
      </c>
      <c r="AJ179">
        <v>0</v>
      </c>
      <c r="AK179">
        <v>0</v>
      </c>
      <c r="AL179">
        <v>4351</v>
      </c>
      <c r="AM179">
        <v>1415</v>
      </c>
      <c r="AN179">
        <v>6574</v>
      </c>
      <c r="AO179">
        <v>49233</v>
      </c>
      <c r="AP179">
        <v>0</v>
      </c>
      <c r="AQ179">
        <v>0</v>
      </c>
      <c r="AR179">
        <v>0</v>
      </c>
      <c r="AS179">
        <v>261835</v>
      </c>
      <c r="AT179">
        <v>0</v>
      </c>
      <c r="AU179">
        <v>0</v>
      </c>
      <c r="AV179">
        <v>0</v>
      </c>
      <c r="AW179">
        <v>16737</v>
      </c>
      <c r="AY179">
        <v>0</v>
      </c>
      <c r="AZ179">
        <v>14640</v>
      </c>
      <c r="BA179">
        <v>0</v>
      </c>
      <c r="BB179">
        <v>0</v>
      </c>
      <c r="BC179">
        <v>0</v>
      </c>
      <c r="BD179">
        <v>55740</v>
      </c>
      <c r="BE179">
        <v>0</v>
      </c>
      <c r="BF179">
        <v>37570</v>
      </c>
      <c r="BH179">
        <v>0</v>
      </c>
      <c r="BI179">
        <v>0</v>
      </c>
      <c r="BJ179">
        <v>24043</v>
      </c>
      <c r="BK179">
        <v>25410</v>
      </c>
      <c r="BL179">
        <v>39504</v>
      </c>
      <c r="BM179">
        <v>0</v>
      </c>
      <c r="BN179">
        <v>3831</v>
      </c>
      <c r="BO179">
        <v>0</v>
      </c>
      <c r="BQ179">
        <v>0</v>
      </c>
      <c r="BS179">
        <v>14000</v>
      </c>
      <c r="BT179">
        <v>5000</v>
      </c>
      <c r="BV179" s="180">
        <v>0</v>
      </c>
    </row>
    <row r="180" spans="1:74" x14ac:dyDescent="0.3">
      <c r="A180">
        <v>636</v>
      </c>
      <c r="B180" t="s">
        <v>1582</v>
      </c>
      <c r="D180">
        <v>0</v>
      </c>
      <c r="E180">
        <v>0</v>
      </c>
      <c r="H180">
        <v>0</v>
      </c>
      <c r="I180">
        <v>0</v>
      </c>
      <c r="J180">
        <v>0</v>
      </c>
      <c r="K180">
        <v>0</v>
      </c>
      <c r="L180">
        <v>0</v>
      </c>
      <c r="M180">
        <v>0</v>
      </c>
      <c r="N180">
        <v>0</v>
      </c>
      <c r="O180">
        <v>0</v>
      </c>
      <c r="Q180">
        <v>0</v>
      </c>
      <c r="R180">
        <v>0</v>
      </c>
      <c r="S180">
        <v>0</v>
      </c>
      <c r="T180">
        <v>0</v>
      </c>
      <c r="X180">
        <v>0</v>
      </c>
      <c r="Y180">
        <v>0</v>
      </c>
      <c r="Z180">
        <v>0</v>
      </c>
      <c r="AA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Y180">
        <v>0</v>
      </c>
      <c r="AZ180">
        <v>0</v>
      </c>
      <c r="BA180">
        <v>0</v>
      </c>
      <c r="BB180">
        <v>0</v>
      </c>
      <c r="BC180">
        <v>0</v>
      </c>
      <c r="BD180">
        <v>0</v>
      </c>
      <c r="BE180">
        <v>0</v>
      </c>
      <c r="BF180">
        <v>0</v>
      </c>
      <c r="BH180">
        <v>0</v>
      </c>
      <c r="BI180">
        <v>0</v>
      </c>
      <c r="BJ180">
        <v>0</v>
      </c>
      <c r="BK180">
        <v>0</v>
      </c>
      <c r="BL180">
        <v>0</v>
      </c>
      <c r="BM180">
        <v>0</v>
      </c>
      <c r="BN180">
        <v>0</v>
      </c>
      <c r="BO180">
        <v>0</v>
      </c>
      <c r="BQ180">
        <v>0</v>
      </c>
      <c r="BS180">
        <v>0</v>
      </c>
      <c r="BT180">
        <v>0</v>
      </c>
      <c r="BV180" s="180">
        <v>0</v>
      </c>
    </row>
    <row r="181" spans="1:74" x14ac:dyDescent="0.3">
      <c r="A181">
        <v>637</v>
      </c>
      <c r="B181" t="s">
        <v>1583</v>
      </c>
      <c r="D181">
        <v>0</v>
      </c>
      <c r="E181">
        <v>44505730</v>
      </c>
      <c r="H181">
        <v>27580</v>
      </c>
      <c r="I181">
        <v>0</v>
      </c>
      <c r="J181">
        <v>0</v>
      </c>
      <c r="K181">
        <v>0</v>
      </c>
      <c r="L181">
        <v>0</v>
      </c>
      <c r="M181">
        <v>0</v>
      </c>
      <c r="N181">
        <v>0</v>
      </c>
      <c r="O181">
        <v>27650</v>
      </c>
      <c r="Q181">
        <v>0</v>
      </c>
      <c r="R181">
        <v>0</v>
      </c>
      <c r="S181">
        <v>22860</v>
      </c>
      <c r="T181">
        <v>0</v>
      </c>
      <c r="X181">
        <v>0</v>
      </c>
      <c r="Y181">
        <v>0</v>
      </c>
      <c r="Z181">
        <v>0</v>
      </c>
      <c r="AA181">
        <v>0</v>
      </c>
      <c r="AC181">
        <v>64559</v>
      </c>
      <c r="AD181">
        <v>0</v>
      </c>
      <c r="AE181">
        <v>0</v>
      </c>
      <c r="AF181">
        <v>87807</v>
      </c>
      <c r="AG181">
        <v>0</v>
      </c>
      <c r="AH181">
        <v>0</v>
      </c>
      <c r="AI181">
        <v>0</v>
      </c>
      <c r="AJ181">
        <v>0</v>
      </c>
      <c r="AK181">
        <v>0</v>
      </c>
      <c r="AL181">
        <v>0</v>
      </c>
      <c r="AM181">
        <v>0</v>
      </c>
      <c r="AN181">
        <v>16905</v>
      </c>
      <c r="AO181">
        <v>0</v>
      </c>
      <c r="AP181">
        <v>0</v>
      </c>
      <c r="AQ181">
        <v>0</v>
      </c>
      <c r="AR181">
        <v>0</v>
      </c>
      <c r="AS181">
        <v>0</v>
      </c>
      <c r="AT181">
        <v>145309</v>
      </c>
      <c r="AU181">
        <v>111011</v>
      </c>
      <c r="AV181">
        <v>30095</v>
      </c>
      <c r="AW181">
        <v>0</v>
      </c>
      <c r="AY181">
        <v>0</v>
      </c>
      <c r="AZ181">
        <v>0</v>
      </c>
      <c r="BA181">
        <v>4530</v>
      </c>
      <c r="BB181">
        <v>0</v>
      </c>
      <c r="BC181">
        <v>0</v>
      </c>
      <c r="BD181">
        <v>79051</v>
      </c>
      <c r="BE181">
        <v>111601</v>
      </c>
      <c r="BF181">
        <v>0</v>
      </c>
      <c r="BH181">
        <v>0</v>
      </c>
      <c r="BI181">
        <v>28456</v>
      </c>
      <c r="BJ181">
        <v>0</v>
      </c>
      <c r="BK181">
        <v>62638</v>
      </c>
      <c r="BL181">
        <v>83765</v>
      </c>
      <c r="BM181">
        <v>0</v>
      </c>
      <c r="BN181">
        <v>268063</v>
      </c>
      <c r="BO181">
        <v>52831</v>
      </c>
      <c r="BQ181">
        <v>0</v>
      </c>
      <c r="BS181">
        <v>0</v>
      </c>
      <c r="BT181">
        <v>47187</v>
      </c>
      <c r="BV181" s="180">
        <v>0</v>
      </c>
    </row>
    <row r="182" spans="1:74" x14ac:dyDescent="0.3">
      <c r="A182">
        <v>638</v>
      </c>
      <c r="B182" t="s">
        <v>1584</v>
      </c>
      <c r="D182">
        <v>0</v>
      </c>
      <c r="E182">
        <v>0</v>
      </c>
      <c r="H182">
        <v>0</v>
      </c>
      <c r="I182">
        <v>0</v>
      </c>
      <c r="J182">
        <v>0</v>
      </c>
      <c r="K182">
        <v>0</v>
      </c>
      <c r="L182">
        <v>0</v>
      </c>
      <c r="M182">
        <v>0</v>
      </c>
      <c r="N182">
        <v>0</v>
      </c>
      <c r="O182">
        <v>0</v>
      </c>
      <c r="Q182">
        <v>0</v>
      </c>
      <c r="R182">
        <v>0</v>
      </c>
      <c r="S182">
        <v>0</v>
      </c>
      <c r="T182">
        <v>0</v>
      </c>
      <c r="X182">
        <v>0</v>
      </c>
      <c r="Y182">
        <v>0</v>
      </c>
      <c r="Z182">
        <v>0</v>
      </c>
      <c r="AA182">
        <v>0</v>
      </c>
      <c r="AC182">
        <v>0</v>
      </c>
      <c r="AD182">
        <v>0</v>
      </c>
      <c r="AE182">
        <v>0</v>
      </c>
      <c r="AF182">
        <v>0</v>
      </c>
      <c r="AG182">
        <v>0</v>
      </c>
      <c r="AH182">
        <v>0</v>
      </c>
      <c r="AI182">
        <v>0</v>
      </c>
      <c r="AJ182">
        <v>0</v>
      </c>
      <c r="AK182">
        <v>0</v>
      </c>
      <c r="AL182">
        <v>0</v>
      </c>
      <c r="AM182">
        <v>0</v>
      </c>
      <c r="AN182">
        <v>0</v>
      </c>
      <c r="AO182">
        <v>74786</v>
      </c>
      <c r="AP182">
        <v>0</v>
      </c>
      <c r="AQ182">
        <v>0</v>
      </c>
      <c r="AR182">
        <v>0</v>
      </c>
      <c r="AS182">
        <v>0</v>
      </c>
      <c r="AT182">
        <v>0</v>
      </c>
      <c r="AU182">
        <v>0</v>
      </c>
      <c r="AV182">
        <v>0</v>
      </c>
      <c r="AW182">
        <v>0</v>
      </c>
      <c r="AY182">
        <v>0</v>
      </c>
      <c r="AZ182">
        <v>0</v>
      </c>
      <c r="BA182">
        <v>0</v>
      </c>
      <c r="BB182">
        <v>0</v>
      </c>
      <c r="BC182">
        <v>0</v>
      </c>
      <c r="BD182">
        <v>0</v>
      </c>
      <c r="BE182">
        <v>0</v>
      </c>
      <c r="BF182">
        <v>102000</v>
      </c>
      <c r="BH182">
        <v>0</v>
      </c>
      <c r="BI182">
        <v>0</v>
      </c>
      <c r="BJ182">
        <v>0</v>
      </c>
      <c r="BK182">
        <v>0</v>
      </c>
      <c r="BL182">
        <v>0</v>
      </c>
      <c r="BM182">
        <v>0</v>
      </c>
      <c r="BN182">
        <v>0</v>
      </c>
      <c r="BO182">
        <v>0</v>
      </c>
      <c r="BQ182">
        <v>0</v>
      </c>
      <c r="BS182">
        <v>0</v>
      </c>
      <c r="BT182">
        <v>0</v>
      </c>
      <c r="BV182" s="180">
        <v>0</v>
      </c>
    </row>
    <row r="183" spans="1:74" x14ac:dyDescent="0.3">
      <c r="A183">
        <v>639</v>
      </c>
      <c r="B183" t="s">
        <v>1585</v>
      </c>
      <c r="D183">
        <v>0</v>
      </c>
      <c r="E183">
        <v>0</v>
      </c>
      <c r="H183">
        <v>0</v>
      </c>
      <c r="I183">
        <v>0</v>
      </c>
      <c r="J183">
        <v>0</v>
      </c>
      <c r="K183">
        <v>0</v>
      </c>
      <c r="L183">
        <v>441626</v>
      </c>
      <c r="M183">
        <v>0</v>
      </c>
      <c r="N183">
        <v>0</v>
      </c>
      <c r="O183">
        <v>0</v>
      </c>
      <c r="Q183">
        <v>0</v>
      </c>
      <c r="R183">
        <v>0</v>
      </c>
      <c r="S183">
        <v>0</v>
      </c>
      <c r="T183">
        <v>0</v>
      </c>
      <c r="X183">
        <v>0</v>
      </c>
      <c r="Y183">
        <v>0</v>
      </c>
      <c r="Z183">
        <v>7436791</v>
      </c>
      <c r="AA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305347</v>
      </c>
      <c r="AW183">
        <v>0</v>
      </c>
      <c r="AY183">
        <v>0</v>
      </c>
      <c r="AZ183">
        <v>795343</v>
      </c>
      <c r="BA183">
        <v>0</v>
      </c>
      <c r="BB183">
        <v>0</v>
      </c>
      <c r="BC183">
        <v>0</v>
      </c>
      <c r="BD183">
        <v>0</v>
      </c>
      <c r="BE183">
        <v>355197</v>
      </c>
      <c r="BF183">
        <v>2539197</v>
      </c>
      <c r="BH183">
        <v>0</v>
      </c>
      <c r="BI183">
        <v>0</v>
      </c>
      <c r="BJ183">
        <v>2333524</v>
      </c>
      <c r="BK183">
        <v>0</v>
      </c>
      <c r="BL183">
        <v>0</v>
      </c>
      <c r="BM183">
        <v>0</v>
      </c>
      <c r="BN183">
        <v>1080543</v>
      </c>
      <c r="BO183">
        <v>0</v>
      </c>
      <c r="BQ183">
        <v>0</v>
      </c>
      <c r="BS183">
        <v>0</v>
      </c>
      <c r="BT183">
        <v>0</v>
      </c>
      <c r="BV183" s="180">
        <v>0</v>
      </c>
    </row>
    <row r="184" spans="1:74" x14ac:dyDescent="0.3">
      <c r="A184">
        <v>640</v>
      </c>
      <c r="B184" t="s">
        <v>1586</v>
      </c>
      <c r="D184">
        <v>0</v>
      </c>
      <c r="E184">
        <v>0</v>
      </c>
      <c r="H184">
        <v>0</v>
      </c>
      <c r="I184">
        <v>0</v>
      </c>
      <c r="J184">
        <v>0</v>
      </c>
      <c r="K184">
        <v>0</v>
      </c>
      <c r="L184">
        <v>0</v>
      </c>
      <c r="M184">
        <v>0</v>
      </c>
      <c r="N184">
        <v>0</v>
      </c>
      <c r="O184">
        <v>0</v>
      </c>
      <c r="Q184">
        <v>0</v>
      </c>
      <c r="R184">
        <v>0</v>
      </c>
      <c r="S184">
        <v>0</v>
      </c>
      <c r="T184">
        <v>0</v>
      </c>
      <c r="X184">
        <v>0</v>
      </c>
      <c r="Y184">
        <v>0</v>
      </c>
      <c r="Z184">
        <v>0</v>
      </c>
      <c r="AA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Y184">
        <v>0</v>
      </c>
      <c r="AZ184">
        <v>0</v>
      </c>
      <c r="BA184">
        <v>0</v>
      </c>
      <c r="BB184">
        <v>0</v>
      </c>
      <c r="BC184">
        <v>0</v>
      </c>
      <c r="BD184">
        <v>0</v>
      </c>
      <c r="BE184">
        <v>0</v>
      </c>
      <c r="BF184">
        <v>0</v>
      </c>
      <c r="BH184">
        <v>0</v>
      </c>
      <c r="BI184">
        <v>0</v>
      </c>
      <c r="BJ184">
        <v>0</v>
      </c>
      <c r="BK184">
        <v>0</v>
      </c>
      <c r="BL184">
        <v>0</v>
      </c>
      <c r="BM184">
        <v>0</v>
      </c>
      <c r="BN184">
        <v>0</v>
      </c>
      <c r="BO184">
        <v>0</v>
      </c>
      <c r="BQ184">
        <v>0</v>
      </c>
      <c r="BS184">
        <v>0</v>
      </c>
      <c r="BT184">
        <v>0</v>
      </c>
      <c r="BV184" s="180">
        <v>0</v>
      </c>
    </row>
    <row r="185" spans="1:74" x14ac:dyDescent="0.3">
      <c r="A185">
        <v>641</v>
      </c>
      <c r="B185" t="s">
        <v>1587</v>
      </c>
      <c r="D185">
        <v>0</v>
      </c>
      <c r="E185">
        <v>0</v>
      </c>
      <c r="H185">
        <v>0</v>
      </c>
      <c r="I185">
        <v>0</v>
      </c>
      <c r="J185">
        <v>0</v>
      </c>
      <c r="K185">
        <v>0</v>
      </c>
      <c r="L185">
        <v>5000</v>
      </c>
      <c r="M185">
        <v>0</v>
      </c>
      <c r="N185">
        <v>0</v>
      </c>
      <c r="O185">
        <v>0</v>
      </c>
      <c r="Q185">
        <v>0</v>
      </c>
      <c r="R185">
        <v>0</v>
      </c>
      <c r="S185">
        <v>0</v>
      </c>
      <c r="T185">
        <v>0</v>
      </c>
      <c r="X185">
        <v>0</v>
      </c>
      <c r="Y185">
        <v>0</v>
      </c>
      <c r="Z185">
        <v>247537</v>
      </c>
      <c r="AA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Y185">
        <v>0</v>
      </c>
      <c r="AZ185">
        <v>2272</v>
      </c>
      <c r="BA185">
        <v>0</v>
      </c>
      <c r="BB185">
        <v>0</v>
      </c>
      <c r="BC185">
        <v>0</v>
      </c>
      <c r="BD185">
        <v>0</v>
      </c>
      <c r="BE185">
        <v>0</v>
      </c>
      <c r="BF185">
        <v>14862</v>
      </c>
      <c r="BH185">
        <v>0</v>
      </c>
      <c r="BI185">
        <v>0</v>
      </c>
      <c r="BJ185">
        <v>29545</v>
      </c>
      <c r="BK185">
        <v>0</v>
      </c>
      <c r="BL185">
        <v>0</v>
      </c>
      <c r="BM185">
        <v>0</v>
      </c>
      <c r="BN185">
        <v>2102</v>
      </c>
      <c r="BO185">
        <v>0</v>
      </c>
      <c r="BQ185">
        <v>0</v>
      </c>
      <c r="BS185">
        <v>0</v>
      </c>
      <c r="BT185">
        <v>0</v>
      </c>
      <c r="BV185" s="180">
        <v>0</v>
      </c>
    </row>
    <row r="186" spans="1:74" x14ac:dyDescent="0.3">
      <c r="A186">
        <v>642</v>
      </c>
      <c r="B186" t="s">
        <v>1588</v>
      </c>
      <c r="D186">
        <v>0</v>
      </c>
      <c r="E186">
        <v>0</v>
      </c>
      <c r="H186">
        <v>0</v>
      </c>
      <c r="I186">
        <v>0</v>
      </c>
      <c r="J186">
        <v>0</v>
      </c>
      <c r="K186">
        <v>0</v>
      </c>
      <c r="L186">
        <v>0</v>
      </c>
      <c r="M186">
        <v>0</v>
      </c>
      <c r="N186">
        <v>0</v>
      </c>
      <c r="O186">
        <v>0</v>
      </c>
      <c r="Q186">
        <v>0</v>
      </c>
      <c r="R186">
        <v>0</v>
      </c>
      <c r="S186">
        <v>0</v>
      </c>
      <c r="T186">
        <v>0</v>
      </c>
      <c r="X186">
        <v>0</v>
      </c>
      <c r="Y186">
        <v>0</v>
      </c>
      <c r="Z186">
        <v>0</v>
      </c>
      <c r="AA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Y186">
        <v>0</v>
      </c>
      <c r="AZ186">
        <v>0</v>
      </c>
      <c r="BA186">
        <v>0</v>
      </c>
      <c r="BB186">
        <v>0</v>
      </c>
      <c r="BC186">
        <v>0</v>
      </c>
      <c r="BD186">
        <v>0</v>
      </c>
      <c r="BE186">
        <v>0</v>
      </c>
      <c r="BF186">
        <v>0</v>
      </c>
      <c r="BH186">
        <v>0</v>
      </c>
      <c r="BI186">
        <v>0</v>
      </c>
      <c r="BJ186">
        <v>0</v>
      </c>
      <c r="BK186">
        <v>0</v>
      </c>
      <c r="BL186">
        <v>0</v>
      </c>
      <c r="BM186">
        <v>0</v>
      </c>
      <c r="BN186">
        <v>0</v>
      </c>
      <c r="BO186">
        <v>0</v>
      </c>
      <c r="BQ186">
        <v>0</v>
      </c>
      <c r="BS186">
        <v>0</v>
      </c>
      <c r="BT186">
        <v>0</v>
      </c>
      <c r="BV186" s="180">
        <v>0</v>
      </c>
    </row>
    <row r="187" spans="1:74" x14ac:dyDescent="0.3">
      <c r="A187">
        <v>643</v>
      </c>
      <c r="B187" t="s">
        <v>1589</v>
      </c>
      <c r="D187">
        <v>0</v>
      </c>
      <c r="E187">
        <v>0</v>
      </c>
      <c r="H187">
        <v>0</v>
      </c>
      <c r="I187">
        <v>0</v>
      </c>
      <c r="J187">
        <v>0</v>
      </c>
      <c r="K187">
        <v>0</v>
      </c>
      <c r="L187">
        <v>0</v>
      </c>
      <c r="M187">
        <v>0</v>
      </c>
      <c r="N187">
        <v>0</v>
      </c>
      <c r="O187">
        <v>0</v>
      </c>
      <c r="Q187">
        <v>0</v>
      </c>
      <c r="R187">
        <v>0</v>
      </c>
      <c r="S187">
        <v>0</v>
      </c>
      <c r="T187">
        <v>0</v>
      </c>
      <c r="X187">
        <v>0</v>
      </c>
      <c r="Y187">
        <v>0</v>
      </c>
      <c r="Z187">
        <v>0</v>
      </c>
      <c r="AA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Y187">
        <v>0</v>
      </c>
      <c r="AZ187">
        <v>0</v>
      </c>
      <c r="BA187">
        <v>0</v>
      </c>
      <c r="BB187">
        <v>0</v>
      </c>
      <c r="BC187">
        <v>0</v>
      </c>
      <c r="BD187">
        <v>0</v>
      </c>
      <c r="BE187">
        <v>215781</v>
      </c>
      <c r="BF187">
        <v>565417</v>
      </c>
      <c r="BH187">
        <v>0</v>
      </c>
      <c r="BI187">
        <v>0</v>
      </c>
      <c r="BJ187">
        <v>0</v>
      </c>
      <c r="BK187">
        <v>0</v>
      </c>
      <c r="BL187">
        <v>0</v>
      </c>
      <c r="BM187">
        <v>0</v>
      </c>
      <c r="BN187">
        <v>170827</v>
      </c>
      <c r="BO187">
        <v>0</v>
      </c>
      <c r="BQ187">
        <v>0</v>
      </c>
      <c r="BS187">
        <v>0</v>
      </c>
      <c r="BT187">
        <v>0</v>
      </c>
      <c r="BV187" s="180">
        <v>0</v>
      </c>
    </row>
    <row r="188" spans="1:74" x14ac:dyDescent="0.3">
      <c r="A188">
        <v>644</v>
      </c>
      <c r="B188" t="s">
        <v>1590</v>
      </c>
      <c r="D188">
        <v>0</v>
      </c>
      <c r="E188">
        <v>0</v>
      </c>
      <c r="H188">
        <v>0</v>
      </c>
      <c r="I188">
        <v>0</v>
      </c>
      <c r="J188">
        <v>0</v>
      </c>
      <c r="K188">
        <v>0</v>
      </c>
      <c r="L188">
        <v>0</v>
      </c>
      <c r="M188">
        <v>0</v>
      </c>
      <c r="N188">
        <v>0</v>
      </c>
      <c r="O188">
        <v>0</v>
      </c>
      <c r="Q188">
        <v>0</v>
      </c>
      <c r="R188">
        <v>0</v>
      </c>
      <c r="S188">
        <v>0</v>
      </c>
      <c r="T188">
        <v>0</v>
      </c>
      <c r="X188">
        <v>0</v>
      </c>
      <c r="Y188">
        <v>0</v>
      </c>
      <c r="Z188">
        <v>0</v>
      </c>
      <c r="AA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Y188">
        <v>0</v>
      </c>
      <c r="AZ188">
        <v>0</v>
      </c>
      <c r="BA188">
        <v>0</v>
      </c>
      <c r="BB188">
        <v>0</v>
      </c>
      <c r="BC188">
        <v>0</v>
      </c>
      <c r="BD188">
        <v>0</v>
      </c>
      <c r="BE188">
        <v>0</v>
      </c>
      <c r="BF188">
        <v>46000</v>
      </c>
      <c r="BH188">
        <v>0</v>
      </c>
      <c r="BI188">
        <v>0</v>
      </c>
      <c r="BJ188">
        <v>0</v>
      </c>
      <c r="BK188">
        <v>0</v>
      </c>
      <c r="BL188">
        <v>0</v>
      </c>
      <c r="BM188">
        <v>0</v>
      </c>
      <c r="BN188">
        <v>0</v>
      </c>
      <c r="BO188">
        <v>0</v>
      </c>
      <c r="BQ188">
        <v>0</v>
      </c>
      <c r="BS188">
        <v>0</v>
      </c>
      <c r="BT188">
        <v>0</v>
      </c>
      <c r="BV188" s="180">
        <v>0</v>
      </c>
    </row>
    <row r="189" spans="1:74" s="558" customFormat="1" x14ac:dyDescent="0.3">
      <c r="A189">
        <v>645</v>
      </c>
      <c r="B189" t="s">
        <v>384</v>
      </c>
      <c r="C189"/>
      <c r="D189">
        <v>0</v>
      </c>
      <c r="E189">
        <v>236873004</v>
      </c>
      <c r="F189"/>
      <c r="G189"/>
      <c r="H189">
        <v>0</v>
      </c>
      <c r="I189">
        <v>0</v>
      </c>
      <c r="J189">
        <v>0</v>
      </c>
      <c r="K189">
        <v>0</v>
      </c>
      <c r="L189">
        <v>0</v>
      </c>
      <c r="M189">
        <v>0</v>
      </c>
      <c r="N189">
        <v>0</v>
      </c>
      <c r="O189">
        <v>103500</v>
      </c>
      <c r="P189"/>
      <c r="Q189">
        <v>36061</v>
      </c>
      <c r="R189">
        <v>0</v>
      </c>
      <c r="S189">
        <v>235409</v>
      </c>
      <c r="T189">
        <v>429006</v>
      </c>
      <c r="U189"/>
      <c r="V189"/>
      <c r="W189"/>
      <c r="X189">
        <v>747365</v>
      </c>
      <c r="Y189">
        <v>39500</v>
      </c>
      <c r="Z189">
        <v>6883074</v>
      </c>
      <c r="AA189">
        <v>1300500</v>
      </c>
      <c r="AB189"/>
      <c r="AC189">
        <v>0</v>
      </c>
      <c r="AD189">
        <v>0</v>
      </c>
      <c r="AE189">
        <v>0</v>
      </c>
      <c r="AF189">
        <v>400000</v>
      </c>
      <c r="AG189">
        <v>0</v>
      </c>
      <c r="AH189">
        <v>0</v>
      </c>
      <c r="AI189">
        <v>0</v>
      </c>
      <c r="AJ189">
        <v>194419</v>
      </c>
      <c r="AK189">
        <v>19469</v>
      </c>
      <c r="AL189">
        <v>0</v>
      </c>
      <c r="AM189">
        <v>218577</v>
      </c>
      <c r="AN189">
        <v>50000</v>
      </c>
      <c r="AO189">
        <v>5414529</v>
      </c>
      <c r="AP189">
        <v>0</v>
      </c>
      <c r="AQ189">
        <v>0</v>
      </c>
      <c r="AR189">
        <v>60000</v>
      </c>
      <c r="AS189">
        <v>2995264</v>
      </c>
      <c r="AT189">
        <v>75000</v>
      </c>
      <c r="AU189">
        <v>0</v>
      </c>
      <c r="AV189">
        <v>0</v>
      </c>
      <c r="AW189">
        <v>0</v>
      </c>
      <c r="AX189"/>
      <c r="AY189">
        <v>0</v>
      </c>
      <c r="AZ189">
        <v>566257</v>
      </c>
      <c r="BA189">
        <v>209214</v>
      </c>
      <c r="BB189">
        <v>21615</v>
      </c>
      <c r="BC189">
        <v>0</v>
      </c>
      <c r="BD189">
        <v>0</v>
      </c>
      <c r="BE189">
        <v>0</v>
      </c>
      <c r="BF189">
        <v>330000</v>
      </c>
      <c r="BG189"/>
      <c r="BH189">
        <v>0</v>
      </c>
      <c r="BI189">
        <v>60000</v>
      </c>
      <c r="BJ189">
        <v>674738</v>
      </c>
      <c r="BK189">
        <v>0</v>
      </c>
      <c r="BL189">
        <v>5891466</v>
      </c>
      <c r="BM189">
        <v>0</v>
      </c>
      <c r="BN189">
        <v>0</v>
      </c>
      <c r="BO189">
        <v>250000</v>
      </c>
      <c r="BP189"/>
      <c r="BQ189">
        <v>579881</v>
      </c>
      <c r="BR189"/>
      <c r="BS189">
        <v>461870</v>
      </c>
      <c r="BT189">
        <v>0</v>
      </c>
      <c r="BU189"/>
      <c r="BV189" s="558">
        <v>254789</v>
      </c>
    </row>
    <row r="190" spans="1:74" s="558" customFormat="1" x14ac:dyDescent="0.3">
      <c r="A190">
        <v>646</v>
      </c>
      <c r="B190" t="s">
        <v>359</v>
      </c>
      <c r="C190"/>
      <c r="D190">
        <v>9167328</v>
      </c>
      <c r="E190">
        <v>126365584</v>
      </c>
      <c r="F190"/>
      <c r="G190"/>
      <c r="H190">
        <v>3299081</v>
      </c>
      <c r="I190">
        <v>74460</v>
      </c>
      <c r="J190">
        <v>1764559</v>
      </c>
      <c r="K190">
        <v>0</v>
      </c>
      <c r="L190">
        <v>1292867</v>
      </c>
      <c r="M190">
        <v>8372871</v>
      </c>
      <c r="N190">
        <v>890861</v>
      </c>
      <c r="O190">
        <v>1420234</v>
      </c>
      <c r="P190"/>
      <c r="Q190">
        <v>862349</v>
      </c>
      <c r="R190">
        <v>1990658</v>
      </c>
      <c r="S190">
        <v>919547</v>
      </c>
      <c r="T190">
        <v>8540807</v>
      </c>
      <c r="U190"/>
      <c r="V190"/>
      <c r="W190"/>
      <c r="X190">
        <v>5039810</v>
      </c>
      <c r="Y190">
        <v>2137820</v>
      </c>
      <c r="Z190">
        <v>18890252</v>
      </c>
      <c r="AA190">
        <v>9146922</v>
      </c>
      <c r="AB190"/>
      <c r="AC190">
        <v>640560</v>
      </c>
      <c r="AD190">
        <v>946263</v>
      </c>
      <c r="AE190">
        <v>2139423</v>
      </c>
      <c r="AF190">
        <v>142880</v>
      </c>
      <c r="AG190">
        <v>57670</v>
      </c>
      <c r="AH190">
        <v>1389362</v>
      </c>
      <c r="AI190">
        <v>183737</v>
      </c>
      <c r="AJ190">
        <v>4683390</v>
      </c>
      <c r="AK190">
        <v>604490</v>
      </c>
      <c r="AL190">
        <v>941323</v>
      </c>
      <c r="AM190">
        <v>1082921</v>
      </c>
      <c r="AN190">
        <v>684551</v>
      </c>
      <c r="AO190">
        <v>18516131</v>
      </c>
      <c r="AP190">
        <v>1443130</v>
      </c>
      <c r="AQ190">
        <v>844588</v>
      </c>
      <c r="AR190">
        <v>867095</v>
      </c>
      <c r="AS190">
        <v>24687022</v>
      </c>
      <c r="AT190">
        <v>280347</v>
      </c>
      <c r="AU190">
        <v>7181625</v>
      </c>
      <c r="AV190">
        <v>860121</v>
      </c>
      <c r="AW190">
        <v>465150</v>
      </c>
      <c r="AX190"/>
      <c r="AY190">
        <v>591943</v>
      </c>
      <c r="AZ190">
        <v>4621617</v>
      </c>
      <c r="BA190">
        <v>586250</v>
      </c>
      <c r="BB190">
        <v>174264</v>
      </c>
      <c r="BC190">
        <v>1527624</v>
      </c>
      <c r="BD190">
        <v>7885110</v>
      </c>
      <c r="BE190">
        <v>1363473</v>
      </c>
      <c r="BF190">
        <v>14345506</v>
      </c>
      <c r="BG190"/>
      <c r="BH190">
        <v>536048</v>
      </c>
      <c r="BI190">
        <v>447488</v>
      </c>
      <c r="BJ190">
        <v>13899006</v>
      </c>
      <c r="BK190">
        <v>1741217</v>
      </c>
      <c r="BL190">
        <v>11689345</v>
      </c>
      <c r="BM190">
        <v>7830328</v>
      </c>
      <c r="BN190">
        <v>8764399</v>
      </c>
      <c r="BO190">
        <v>2235981</v>
      </c>
      <c r="BP190"/>
      <c r="BQ190">
        <v>987146</v>
      </c>
      <c r="BR190"/>
      <c r="BS190">
        <v>581738</v>
      </c>
      <c r="BT190">
        <v>1466973</v>
      </c>
      <c r="BU190"/>
      <c r="BV190" s="558">
        <v>4262284</v>
      </c>
    </row>
    <row r="191" spans="1:74" x14ac:dyDescent="0.3">
      <c r="A191">
        <v>647</v>
      </c>
      <c r="B191" t="s">
        <v>909</v>
      </c>
      <c r="D191">
        <v>0</v>
      </c>
      <c r="E191">
        <v>172470881</v>
      </c>
      <c r="H191">
        <v>0</v>
      </c>
      <c r="I191">
        <v>0</v>
      </c>
      <c r="J191">
        <v>0</v>
      </c>
      <c r="K191">
        <v>0</v>
      </c>
      <c r="L191">
        <v>0</v>
      </c>
      <c r="M191">
        <v>0</v>
      </c>
      <c r="N191">
        <v>0</v>
      </c>
      <c r="O191">
        <v>0</v>
      </c>
      <c r="Q191">
        <v>0</v>
      </c>
      <c r="R191">
        <v>0</v>
      </c>
      <c r="S191">
        <v>0</v>
      </c>
      <c r="T191">
        <v>0</v>
      </c>
      <c r="X191">
        <v>0</v>
      </c>
      <c r="Y191">
        <v>0</v>
      </c>
      <c r="Z191">
        <v>0</v>
      </c>
      <c r="AA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Y191">
        <v>0</v>
      </c>
      <c r="AZ191">
        <v>0</v>
      </c>
      <c r="BA191">
        <v>0</v>
      </c>
      <c r="BB191">
        <v>0</v>
      </c>
      <c r="BC191">
        <v>0</v>
      </c>
      <c r="BD191">
        <v>0</v>
      </c>
      <c r="BE191">
        <v>0</v>
      </c>
      <c r="BF191">
        <v>0</v>
      </c>
      <c r="BH191">
        <v>0</v>
      </c>
      <c r="BI191">
        <v>0</v>
      </c>
      <c r="BJ191">
        <v>0</v>
      </c>
      <c r="BK191">
        <v>0</v>
      </c>
      <c r="BL191">
        <v>0</v>
      </c>
      <c r="BM191">
        <v>0</v>
      </c>
      <c r="BN191">
        <v>0</v>
      </c>
      <c r="BO191">
        <v>0</v>
      </c>
      <c r="BQ191">
        <v>0</v>
      </c>
      <c r="BS191">
        <v>0</v>
      </c>
      <c r="BT191">
        <v>0</v>
      </c>
      <c r="BV191" s="180">
        <v>0</v>
      </c>
    </row>
    <row r="192" spans="1:74" x14ac:dyDescent="0.3">
      <c r="A192">
        <v>648</v>
      </c>
      <c r="B192" t="s">
        <v>597</v>
      </c>
      <c r="D192">
        <v>0.48</v>
      </c>
      <c r="E192">
        <v>0.39300000000000002</v>
      </c>
      <c r="H192">
        <v>0.5</v>
      </c>
      <c r="I192">
        <v>0.05</v>
      </c>
      <c r="J192">
        <v>0.16</v>
      </c>
      <c r="K192">
        <v>0</v>
      </c>
      <c r="L192">
        <v>0.64</v>
      </c>
      <c r="M192">
        <v>7.4000000000000003E-3</v>
      </c>
      <c r="N192">
        <v>1E-3</v>
      </c>
      <c r="O192">
        <v>0.55000000000000004</v>
      </c>
      <c r="Q192">
        <v>0.22</v>
      </c>
      <c r="R192">
        <v>0.38</v>
      </c>
      <c r="S192">
        <v>0.26</v>
      </c>
      <c r="T192">
        <v>0.66100000000000003</v>
      </c>
      <c r="X192">
        <v>0.57999999999999996</v>
      </c>
      <c r="Y192">
        <v>0.46</v>
      </c>
      <c r="Z192">
        <v>0.68500000000000005</v>
      </c>
      <c r="AA192">
        <v>0.46</v>
      </c>
      <c r="AC192">
        <v>0.82</v>
      </c>
      <c r="AD192">
        <v>0.75</v>
      </c>
      <c r="AE192">
        <v>0.63</v>
      </c>
      <c r="AF192">
        <v>0.46</v>
      </c>
      <c r="AG192">
        <v>0.79</v>
      </c>
      <c r="AH192">
        <v>70</v>
      </c>
      <c r="AI192">
        <v>0</v>
      </c>
      <c r="AJ192">
        <v>0.31</v>
      </c>
      <c r="AK192">
        <v>0.31</v>
      </c>
      <c r="AL192">
        <v>0.12</v>
      </c>
      <c r="AM192">
        <v>0.59</v>
      </c>
      <c r="AN192">
        <v>0.3</v>
      </c>
      <c r="AO192">
        <v>0.71960000000000002</v>
      </c>
      <c r="AP192">
        <v>0.68</v>
      </c>
      <c r="AQ192">
        <v>0.25</v>
      </c>
      <c r="AR192">
        <v>0.35</v>
      </c>
      <c r="AS192">
        <v>0.62</v>
      </c>
      <c r="AT192">
        <v>0.57999999999999996</v>
      </c>
      <c r="AU192">
        <v>0.2</v>
      </c>
      <c r="AV192">
        <v>0.78500000000000003</v>
      </c>
      <c r="AW192">
        <v>0.5</v>
      </c>
      <c r="AY192">
        <v>0.27500000000000002</v>
      </c>
      <c r="AZ192">
        <v>0.6</v>
      </c>
      <c r="BA192">
        <v>0.47</v>
      </c>
      <c r="BB192">
        <v>0.54</v>
      </c>
      <c r="BC192">
        <v>0.35</v>
      </c>
      <c r="BD192">
        <v>0.35249999999999998</v>
      </c>
      <c r="BE192">
        <v>0.65</v>
      </c>
      <c r="BF192">
        <v>0.51749999999999996</v>
      </c>
      <c r="BH192">
        <v>0.45</v>
      </c>
      <c r="BI192">
        <v>0.51</v>
      </c>
      <c r="BJ192">
        <v>0.56999999999999995</v>
      </c>
      <c r="BK192">
        <v>0.34</v>
      </c>
      <c r="BL192">
        <v>0.4</v>
      </c>
      <c r="BM192">
        <v>0.23580000000000001</v>
      </c>
      <c r="BN192">
        <v>0.39560000000000001</v>
      </c>
      <c r="BO192">
        <v>0.39</v>
      </c>
      <c r="BQ192">
        <v>0.65500000000000003</v>
      </c>
      <c r="BS192">
        <v>0.59299999999999997</v>
      </c>
      <c r="BT192">
        <v>0</v>
      </c>
      <c r="BV192" s="180">
        <v>4.5999999999999999E-2</v>
      </c>
    </row>
    <row r="193" spans="1:74" x14ac:dyDescent="0.3">
      <c r="A193">
        <v>654</v>
      </c>
      <c r="B193" t="s">
        <v>413</v>
      </c>
      <c r="D193">
        <v>7361047</v>
      </c>
      <c r="E193">
        <v>512512208</v>
      </c>
      <c r="H193">
        <v>2293214</v>
      </c>
      <c r="I193">
        <v>0</v>
      </c>
      <c r="J193">
        <v>0</v>
      </c>
      <c r="K193">
        <v>0</v>
      </c>
      <c r="L193">
        <v>583280</v>
      </c>
      <c r="M193">
        <v>11831855</v>
      </c>
      <c r="N193">
        <v>0</v>
      </c>
      <c r="O193">
        <v>717162</v>
      </c>
      <c r="Q193">
        <v>0</v>
      </c>
      <c r="R193">
        <v>0</v>
      </c>
      <c r="S193">
        <v>1379453</v>
      </c>
      <c r="T193">
        <v>0</v>
      </c>
      <c r="X193">
        <v>5694183</v>
      </c>
      <c r="Y193">
        <v>0</v>
      </c>
      <c r="Z193">
        <v>18444968</v>
      </c>
      <c r="AA193">
        <v>0</v>
      </c>
      <c r="AC193">
        <v>195712</v>
      </c>
      <c r="AD193">
        <v>1333637</v>
      </c>
      <c r="AE193">
        <v>712074</v>
      </c>
      <c r="AF193">
        <v>1134523</v>
      </c>
      <c r="AG193">
        <v>195412</v>
      </c>
      <c r="AH193">
        <v>2993653</v>
      </c>
      <c r="AI193">
        <v>0</v>
      </c>
      <c r="AJ193">
        <v>0</v>
      </c>
      <c r="AK193">
        <v>0</v>
      </c>
      <c r="AL193">
        <v>1115943</v>
      </c>
      <c r="AM193">
        <v>1319118</v>
      </c>
      <c r="AN193">
        <v>289562</v>
      </c>
      <c r="AO193">
        <v>52248305</v>
      </c>
      <c r="AP193">
        <v>697983</v>
      </c>
      <c r="AQ193">
        <v>0</v>
      </c>
      <c r="AR193">
        <v>75432</v>
      </c>
      <c r="AS193">
        <v>36715123</v>
      </c>
      <c r="AT193">
        <v>900294</v>
      </c>
      <c r="AU193">
        <v>5568214</v>
      </c>
      <c r="AV193">
        <v>1232468</v>
      </c>
      <c r="AW193">
        <v>1149189</v>
      </c>
      <c r="AY193">
        <v>15683</v>
      </c>
      <c r="AZ193">
        <v>7876305</v>
      </c>
      <c r="BA193">
        <v>277415</v>
      </c>
      <c r="BB193">
        <v>1036597</v>
      </c>
      <c r="BC193">
        <v>662755</v>
      </c>
      <c r="BD193">
        <v>5567410</v>
      </c>
      <c r="BE193">
        <v>1060215</v>
      </c>
      <c r="BF193">
        <v>17562840</v>
      </c>
      <c r="BH193">
        <v>0</v>
      </c>
      <c r="BI193">
        <v>987375</v>
      </c>
      <c r="BJ193">
        <v>16251298</v>
      </c>
      <c r="BK193">
        <v>1654040</v>
      </c>
      <c r="BL193">
        <v>19372874</v>
      </c>
      <c r="BM193">
        <v>0</v>
      </c>
      <c r="BN193">
        <v>11359211</v>
      </c>
      <c r="BO193">
        <v>7848079</v>
      </c>
      <c r="BQ193">
        <v>0</v>
      </c>
      <c r="BS193">
        <v>1091883</v>
      </c>
      <c r="BT193">
        <v>616180</v>
      </c>
      <c r="BV193" s="180">
        <v>682392</v>
      </c>
    </row>
    <row r="194" spans="1:74" x14ac:dyDescent="0.3">
      <c r="A194">
        <v>655</v>
      </c>
      <c r="B194" t="s">
        <v>910</v>
      </c>
      <c r="D194">
        <v>66294</v>
      </c>
      <c r="E194">
        <v>0</v>
      </c>
      <c r="H194">
        <v>1040365</v>
      </c>
      <c r="I194">
        <v>0</v>
      </c>
      <c r="J194">
        <v>0</v>
      </c>
      <c r="K194">
        <v>0</v>
      </c>
      <c r="L194">
        <v>40371</v>
      </c>
      <c r="M194">
        <v>1745809</v>
      </c>
      <c r="N194">
        <v>0</v>
      </c>
      <c r="O194">
        <v>27650</v>
      </c>
      <c r="Q194">
        <v>0</v>
      </c>
      <c r="R194">
        <v>0</v>
      </c>
      <c r="S194">
        <v>22860</v>
      </c>
      <c r="T194">
        <v>0</v>
      </c>
      <c r="X194">
        <v>123488</v>
      </c>
      <c r="Y194">
        <v>0</v>
      </c>
      <c r="Z194">
        <v>859827</v>
      </c>
      <c r="AA194">
        <v>0</v>
      </c>
      <c r="AC194">
        <v>64559</v>
      </c>
      <c r="AD194">
        <v>100615</v>
      </c>
      <c r="AE194">
        <v>80346</v>
      </c>
      <c r="AF194">
        <v>87807</v>
      </c>
      <c r="AG194">
        <v>0</v>
      </c>
      <c r="AH194">
        <v>1849235</v>
      </c>
      <c r="AI194">
        <v>0</v>
      </c>
      <c r="AJ194">
        <v>0</v>
      </c>
      <c r="AK194">
        <v>0</v>
      </c>
      <c r="AL194">
        <v>0</v>
      </c>
      <c r="AM194">
        <v>0</v>
      </c>
      <c r="AN194">
        <v>16905</v>
      </c>
      <c r="AO194">
        <v>1739021</v>
      </c>
      <c r="AP194">
        <v>182231</v>
      </c>
      <c r="AQ194">
        <v>0</v>
      </c>
      <c r="AR194">
        <v>17480</v>
      </c>
      <c r="AS194">
        <v>4684007</v>
      </c>
      <c r="AT194">
        <v>145309</v>
      </c>
      <c r="AU194">
        <v>111011</v>
      </c>
      <c r="AV194">
        <v>30095</v>
      </c>
      <c r="AW194">
        <v>233655</v>
      </c>
      <c r="AY194">
        <v>0</v>
      </c>
      <c r="AZ194">
        <v>106963</v>
      </c>
      <c r="BA194">
        <v>4530</v>
      </c>
      <c r="BB194">
        <v>8138</v>
      </c>
      <c r="BC194">
        <v>5210</v>
      </c>
      <c r="BD194">
        <v>79051</v>
      </c>
      <c r="BE194">
        <v>111601</v>
      </c>
      <c r="BF194">
        <v>0</v>
      </c>
      <c r="BH194">
        <v>0</v>
      </c>
      <c r="BI194">
        <v>28456</v>
      </c>
      <c r="BJ194">
        <v>321211</v>
      </c>
      <c r="BK194">
        <v>62638</v>
      </c>
      <c r="BL194">
        <v>1770154</v>
      </c>
      <c r="BM194">
        <v>0</v>
      </c>
      <c r="BN194">
        <v>3669683</v>
      </c>
      <c r="BO194">
        <v>6245075</v>
      </c>
      <c r="BQ194">
        <v>0</v>
      </c>
      <c r="BS194">
        <v>0</v>
      </c>
      <c r="BT194">
        <v>47187</v>
      </c>
      <c r="BV194" s="180">
        <v>56978</v>
      </c>
    </row>
    <row r="195" spans="1:74" x14ac:dyDescent="0.3">
      <c r="A195">
        <v>656</v>
      </c>
      <c r="B195" t="s">
        <v>419</v>
      </c>
      <c r="D195">
        <v>2</v>
      </c>
      <c r="E195">
        <v>1</v>
      </c>
      <c r="H195">
        <v>2</v>
      </c>
      <c r="I195">
        <v>0</v>
      </c>
      <c r="J195">
        <v>2</v>
      </c>
      <c r="K195">
        <v>2</v>
      </c>
      <c r="L195">
        <v>2</v>
      </c>
      <c r="M195">
        <v>2</v>
      </c>
      <c r="N195">
        <v>2</v>
      </c>
      <c r="O195">
        <v>0</v>
      </c>
      <c r="Q195">
        <v>0</v>
      </c>
      <c r="R195">
        <v>2</v>
      </c>
      <c r="S195">
        <v>2</v>
      </c>
      <c r="T195">
        <v>2</v>
      </c>
      <c r="X195">
        <v>2</v>
      </c>
      <c r="Y195">
        <v>0</v>
      </c>
      <c r="Z195">
        <v>2</v>
      </c>
      <c r="AA195">
        <v>2</v>
      </c>
      <c r="AC195">
        <v>2</v>
      </c>
      <c r="AD195">
        <v>0</v>
      </c>
      <c r="AE195">
        <v>0</v>
      </c>
      <c r="AF195">
        <v>2</v>
      </c>
      <c r="AG195">
        <v>2</v>
      </c>
      <c r="AH195">
        <v>2</v>
      </c>
      <c r="AI195">
        <v>0</v>
      </c>
      <c r="AJ195">
        <v>0</v>
      </c>
      <c r="AK195">
        <v>2</v>
      </c>
      <c r="AL195">
        <v>0</v>
      </c>
      <c r="AM195">
        <v>2</v>
      </c>
      <c r="AN195">
        <v>2</v>
      </c>
      <c r="AO195">
        <v>0</v>
      </c>
      <c r="AP195">
        <v>2</v>
      </c>
      <c r="AQ195">
        <v>2</v>
      </c>
      <c r="AR195">
        <v>2</v>
      </c>
      <c r="AS195">
        <v>2</v>
      </c>
      <c r="AT195">
        <v>0</v>
      </c>
      <c r="AU195">
        <v>0</v>
      </c>
      <c r="AV195">
        <v>0</v>
      </c>
      <c r="AW195">
        <v>0</v>
      </c>
      <c r="AY195">
        <v>2</v>
      </c>
      <c r="AZ195">
        <v>2</v>
      </c>
      <c r="BA195">
        <v>2</v>
      </c>
      <c r="BB195">
        <v>2</v>
      </c>
      <c r="BC195">
        <v>0</v>
      </c>
      <c r="BD195">
        <v>2</v>
      </c>
      <c r="BE195">
        <v>2</v>
      </c>
      <c r="BF195">
        <v>2</v>
      </c>
      <c r="BH195">
        <v>2</v>
      </c>
      <c r="BI195">
        <v>0</v>
      </c>
      <c r="BJ195">
        <v>2</v>
      </c>
      <c r="BK195">
        <v>2</v>
      </c>
      <c r="BL195">
        <v>2</v>
      </c>
      <c r="BM195">
        <v>2</v>
      </c>
      <c r="BN195">
        <v>2</v>
      </c>
      <c r="BO195">
        <v>2</v>
      </c>
      <c r="BQ195">
        <v>0</v>
      </c>
      <c r="BS195">
        <v>2</v>
      </c>
      <c r="BT195">
        <v>0</v>
      </c>
      <c r="BV195" s="180">
        <v>2</v>
      </c>
    </row>
    <row r="196" spans="1:74" x14ac:dyDescent="0.3">
      <c r="A196">
        <v>657</v>
      </c>
      <c r="B196" t="s">
        <v>911</v>
      </c>
      <c r="D196">
        <v>0</v>
      </c>
      <c r="E196">
        <v>0</v>
      </c>
      <c r="H196">
        <v>0</v>
      </c>
      <c r="I196">
        <v>0</v>
      </c>
      <c r="J196">
        <v>0</v>
      </c>
      <c r="K196">
        <v>0</v>
      </c>
      <c r="L196">
        <v>1943848</v>
      </c>
      <c r="M196">
        <v>0</v>
      </c>
      <c r="N196">
        <v>0</v>
      </c>
      <c r="O196">
        <v>0</v>
      </c>
      <c r="Q196">
        <v>0</v>
      </c>
      <c r="R196">
        <v>0</v>
      </c>
      <c r="S196">
        <v>0</v>
      </c>
      <c r="T196">
        <v>0</v>
      </c>
      <c r="X196">
        <v>0</v>
      </c>
      <c r="Y196">
        <v>0</v>
      </c>
      <c r="Z196">
        <v>49283430</v>
      </c>
      <c r="AA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2963769</v>
      </c>
      <c r="AW196">
        <v>0</v>
      </c>
      <c r="AY196">
        <v>0</v>
      </c>
      <c r="AZ196">
        <v>4402366</v>
      </c>
      <c r="BA196">
        <v>0</v>
      </c>
      <c r="BB196">
        <v>0</v>
      </c>
      <c r="BC196">
        <v>0</v>
      </c>
      <c r="BD196">
        <v>0</v>
      </c>
      <c r="BE196">
        <v>3093181</v>
      </c>
      <c r="BF196">
        <v>15222094</v>
      </c>
      <c r="BH196">
        <v>0</v>
      </c>
      <c r="BI196">
        <v>0</v>
      </c>
      <c r="BJ196">
        <v>15537120</v>
      </c>
      <c r="BK196">
        <v>0</v>
      </c>
      <c r="BL196">
        <v>0</v>
      </c>
      <c r="BM196">
        <v>0</v>
      </c>
      <c r="BN196">
        <v>7237578</v>
      </c>
      <c r="BO196">
        <v>0</v>
      </c>
      <c r="BQ196">
        <v>0</v>
      </c>
      <c r="BS196">
        <v>0</v>
      </c>
      <c r="BT196">
        <v>0</v>
      </c>
      <c r="BV196" s="180">
        <v>0</v>
      </c>
    </row>
    <row r="197" spans="1:74" x14ac:dyDescent="0.3">
      <c r="A197">
        <v>658</v>
      </c>
      <c r="B197" t="s">
        <v>912</v>
      </c>
      <c r="D197">
        <v>0</v>
      </c>
      <c r="E197">
        <v>0</v>
      </c>
      <c r="H197">
        <v>0</v>
      </c>
      <c r="I197">
        <v>0</v>
      </c>
      <c r="J197">
        <v>0</v>
      </c>
      <c r="K197">
        <v>0</v>
      </c>
      <c r="L197">
        <v>523650</v>
      </c>
      <c r="M197">
        <v>0</v>
      </c>
      <c r="N197">
        <v>0</v>
      </c>
      <c r="O197">
        <v>0</v>
      </c>
      <c r="Q197">
        <v>0</v>
      </c>
      <c r="R197">
        <v>0</v>
      </c>
      <c r="S197">
        <v>0</v>
      </c>
      <c r="T197">
        <v>0</v>
      </c>
      <c r="X197">
        <v>0</v>
      </c>
      <c r="Y197">
        <v>0</v>
      </c>
      <c r="Z197">
        <v>7100099</v>
      </c>
      <c r="AA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c r="AU197">
        <v>0</v>
      </c>
      <c r="AV197">
        <v>80713</v>
      </c>
      <c r="AW197">
        <v>0</v>
      </c>
      <c r="AY197">
        <v>0</v>
      </c>
      <c r="AZ197">
        <v>0</v>
      </c>
      <c r="BA197">
        <v>0</v>
      </c>
      <c r="BB197">
        <v>0</v>
      </c>
      <c r="BC197">
        <v>0</v>
      </c>
      <c r="BD197">
        <v>0</v>
      </c>
      <c r="BE197">
        <v>215781</v>
      </c>
      <c r="BF197">
        <v>565417</v>
      </c>
      <c r="BH197">
        <v>0</v>
      </c>
      <c r="BI197">
        <v>0</v>
      </c>
      <c r="BJ197">
        <v>0</v>
      </c>
      <c r="BK197">
        <v>0</v>
      </c>
      <c r="BL197">
        <v>0</v>
      </c>
      <c r="BM197">
        <v>0</v>
      </c>
      <c r="BN197">
        <v>170827</v>
      </c>
      <c r="BO197">
        <v>0</v>
      </c>
      <c r="BQ197">
        <v>0</v>
      </c>
      <c r="BS197">
        <v>0</v>
      </c>
      <c r="BT197">
        <v>0</v>
      </c>
      <c r="BV197" s="180">
        <v>0</v>
      </c>
    </row>
    <row r="198" spans="1:74" x14ac:dyDescent="0.3">
      <c r="A198">
        <v>659</v>
      </c>
      <c r="B198" t="s">
        <v>913</v>
      </c>
      <c r="D198">
        <v>2732198</v>
      </c>
      <c r="E198">
        <v>289162578</v>
      </c>
      <c r="H198">
        <v>0</v>
      </c>
      <c r="I198">
        <v>0</v>
      </c>
      <c r="J198">
        <v>0</v>
      </c>
      <c r="K198">
        <v>0</v>
      </c>
      <c r="L198">
        <v>2178452</v>
      </c>
      <c r="M198">
        <v>6496562</v>
      </c>
      <c r="N198">
        <v>0</v>
      </c>
      <c r="O198">
        <v>0</v>
      </c>
      <c r="Q198">
        <v>0</v>
      </c>
      <c r="R198">
        <v>0</v>
      </c>
      <c r="S198">
        <v>0</v>
      </c>
      <c r="T198">
        <v>5972263</v>
      </c>
      <c r="X198">
        <v>4575058</v>
      </c>
      <c r="Y198">
        <v>0</v>
      </c>
      <c r="Z198">
        <v>44727549</v>
      </c>
      <c r="AA198">
        <v>1551662</v>
      </c>
      <c r="AC198">
        <v>0</v>
      </c>
      <c r="AD198">
        <v>391448</v>
      </c>
      <c r="AE198">
        <v>0</v>
      </c>
      <c r="AF198">
        <v>0</v>
      </c>
      <c r="AG198">
        <v>0</v>
      </c>
      <c r="AH198">
        <v>38541</v>
      </c>
      <c r="AI198">
        <v>0</v>
      </c>
      <c r="AJ198">
        <v>996432</v>
      </c>
      <c r="AK198">
        <v>0</v>
      </c>
      <c r="AL198">
        <v>0</v>
      </c>
      <c r="AM198">
        <v>0</v>
      </c>
      <c r="AN198">
        <v>0</v>
      </c>
      <c r="AO198">
        <v>7835909</v>
      </c>
      <c r="AP198">
        <v>0</v>
      </c>
      <c r="AQ198">
        <v>0</v>
      </c>
      <c r="AR198">
        <v>0</v>
      </c>
      <c r="AS198">
        <v>45594045</v>
      </c>
      <c r="AT198">
        <v>0</v>
      </c>
      <c r="AU198">
        <v>0</v>
      </c>
      <c r="AV198">
        <v>0</v>
      </c>
      <c r="AW198">
        <v>0</v>
      </c>
      <c r="AY198">
        <v>0</v>
      </c>
      <c r="AZ198">
        <v>6184415</v>
      </c>
      <c r="BA198">
        <v>0</v>
      </c>
      <c r="BB198">
        <v>0</v>
      </c>
      <c r="BC198">
        <v>0</v>
      </c>
      <c r="BD198">
        <v>12774</v>
      </c>
      <c r="BE198">
        <v>0</v>
      </c>
      <c r="BF198">
        <v>19467520</v>
      </c>
      <c r="BH198">
        <v>0</v>
      </c>
      <c r="BI198">
        <v>0</v>
      </c>
      <c r="BJ198">
        <v>12679955</v>
      </c>
      <c r="BK198">
        <v>0</v>
      </c>
      <c r="BL198">
        <v>0</v>
      </c>
      <c r="BM198">
        <v>1629936</v>
      </c>
      <c r="BN198">
        <v>4661329</v>
      </c>
      <c r="BO198">
        <v>0</v>
      </c>
      <c r="BQ198">
        <v>0</v>
      </c>
      <c r="BS198">
        <v>1547904</v>
      </c>
      <c r="BT198">
        <v>0</v>
      </c>
      <c r="BV198" s="180">
        <v>0</v>
      </c>
    </row>
    <row r="199" spans="1:74" x14ac:dyDescent="0.3">
      <c r="A199">
        <v>660</v>
      </c>
      <c r="B199" t="s">
        <v>914</v>
      </c>
      <c r="D199">
        <v>0</v>
      </c>
      <c r="E199">
        <v>70334919</v>
      </c>
      <c r="H199">
        <v>0</v>
      </c>
      <c r="I199">
        <v>0</v>
      </c>
      <c r="J199">
        <v>0</v>
      </c>
      <c r="K199">
        <v>0</v>
      </c>
      <c r="L199">
        <v>0</v>
      </c>
      <c r="M199">
        <v>0</v>
      </c>
      <c r="N199">
        <v>0</v>
      </c>
      <c r="O199">
        <v>0</v>
      </c>
      <c r="Q199">
        <v>0</v>
      </c>
      <c r="R199">
        <v>0</v>
      </c>
      <c r="S199">
        <v>0</v>
      </c>
      <c r="T199">
        <v>0</v>
      </c>
      <c r="X199">
        <v>0</v>
      </c>
      <c r="Y199">
        <v>0</v>
      </c>
      <c r="Z199">
        <v>0</v>
      </c>
      <c r="AA199">
        <v>0</v>
      </c>
      <c r="AC199">
        <v>0</v>
      </c>
      <c r="AD199">
        <v>0</v>
      </c>
      <c r="AE199">
        <v>0</v>
      </c>
      <c r="AF199">
        <v>0</v>
      </c>
      <c r="AG199">
        <v>0</v>
      </c>
      <c r="AH199">
        <v>0</v>
      </c>
      <c r="AI199">
        <v>0</v>
      </c>
      <c r="AJ199">
        <v>0</v>
      </c>
      <c r="AK199">
        <v>0</v>
      </c>
      <c r="AL199">
        <v>0</v>
      </c>
      <c r="AM199">
        <v>0</v>
      </c>
      <c r="AN199">
        <v>0</v>
      </c>
      <c r="AO199">
        <v>0</v>
      </c>
      <c r="AP199">
        <v>0</v>
      </c>
      <c r="AQ199">
        <v>0</v>
      </c>
      <c r="AR199">
        <v>0</v>
      </c>
      <c r="AS199">
        <v>4318296</v>
      </c>
      <c r="AT199">
        <v>0</v>
      </c>
      <c r="AU199">
        <v>0</v>
      </c>
      <c r="AV199">
        <v>0</v>
      </c>
      <c r="AW199">
        <v>0</v>
      </c>
      <c r="AY199">
        <v>0</v>
      </c>
      <c r="AZ199">
        <v>0</v>
      </c>
      <c r="BA199">
        <v>0</v>
      </c>
      <c r="BB199">
        <v>0</v>
      </c>
      <c r="BC199">
        <v>0</v>
      </c>
      <c r="BD199">
        <v>0</v>
      </c>
      <c r="BE199">
        <v>0</v>
      </c>
      <c r="BF199">
        <v>0</v>
      </c>
      <c r="BH199">
        <v>0</v>
      </c>
      <c r="BI199">
        <v>0</v>
      </c>
      <c r="BJ199">
        <v>0</v>
      </c>
      <c r="BK199">
        <v>0</v>
      </c>
      <c r="BL199">
        <v>0</v>
      </c>
      <c r="BM199">
        <v>0</v>
      </c>
      <c r="BN199">
        <v>0</v>
      </c>
      <c r="BO199">
        <v>0</v>
      </c>
      <c r="BQ199">
        <v>0</v>
      </c>
      <c r="BS199">
        <v>0</v>
      </c>
      <c r="BT199">
        <v>0</v>
      </c>
      <c r="BV199" s="180">
        <v>0</v>
      </c>
    </row>
    <row r="200" spans="1:74" s="558" customFormat="1" x14ac:dyDescent="0.3">
      <c r="A200">
        <v>661</v>
      </c>
      <c r="B200" t="s">
        <v>418</v>
      </c>
      <c r="C200"/>
      <c r="D200">
        <v>0</v>
      </c>
      <c r="E200">
        <v>24.3</v>
      </c>
      <c r="F200"/>
      <c r="G200"/>
      <c r="H200">
        <v>0</v>
      </c>
      <c r="I200">
        <v>0</v>
      </c>
      <c r="J200">
        <v>0</v>
      </c>
      <c r="K200">
        <v>0</v>
      </c>
      <c r="L200">
        <v>0</v>
      </c>
      <c r="M200">
        <v>0</v>
      </c>
      <c r="N200">
        <v>0</v>
      </c>
      <c r="O200">
        <v>0</v>
      </c>
      <c r="P200"/>
      <c r="Q200">
        <v>0</v>
      </c>
      <c r="R200">
        <v>0</v>
      </c>
      <c r="S200">
        <v>0</v>
      </c>
      <c r="T200">
        <v>0</v>
      </c>
      <c r="U200"/>
      <c r="V200"/>
      <c r="W200"/>
      <c r="X200">
        <v>0</v>
      </c>
      <c r="Y200">
        <v>0</v>
      </c>
      <c r="Z200">
        <v>0</v>
      </c>
      <c r="AA200">
        <v>0</v>
      </c>
      <c r="AB200"/>
      <c r="AC200">
        <v>0</v>
      </c>
      <c r="AD200">
        <v>0</v>
      </c>
      <c r="AE200">
        <v>0</v>
      </c>
      <c r="AF200">
        <v>0</v>
      </c>
      <c r="AG200">
        <v>0</v>
      </c>
      <c r="AH200">
        <v>0</v>
      </c>
      <c r="AI200">
        <v>0</v>
      </c>
      <c r="AJ200">
        <v>0</v>
      </c>
      <c r="AK200">
        <v>0</v>
      </c>
      <c r="AL200">
        <v>0</v>
      </c>
      <c r="AM200">
        <v>0</v>
      </c>
      <c r="AN200">
        <v>0</v>
      </c>
      <c r="AO200">
        <v>0</v>
      </c>
      <c r="AP200">
        <v>0</v>
      </c>
      <c r="AQ200">
        <v>0</v>
      </c>
      <c r="AR200">
        <v>0</v>
      </c>
      <c r="AS200">
        <v>9.5</v>
      </c>
      <c r="AT200">
        <v>0</v>
      </c>
      <c r="AU200">
        <v>0</v>
      </c>
      <c r="AV200">
        <v>0</v>
      </c>
      <c r="AW200">
        <v>0</v>
      </c>
      <c r="AX200"/>
      <c r="AY200">
        <v>0</v>
      </c>
      <c r="AZ200">
        <v>0</v>
      </c>
      <c r="BA200">
        <v>0</v>
      </c>
      <c r="BB200">
        <v>0</v>
      </c>
      <c r="BC200">
        <v>0</v>
      </c>
      <c r="BD200">
        <v>0</v>
      </c>
      <c r="BE200">
        <v>0</v>
      </c>
      <c r="BF200">
        <v>0</v>
      </c>
      <c r="BG200"/>
      <c r="BH200">
        <v>0</v>
      </c>
      <c r="BI200">
        <v>0</v>
      </c>
      <c r="BJ200">
        <v>0</v>
      </c>
      <c r="BK200">
        <v>0</v>
      </c>
      <c r="BL200">
        <v>0</v>
      </c>
      <c r="BM200">
        <v>0</v>
      </c>
      <c r="BN200">
        <v>0</v>
      </c>
      <c r="BO200">
        <v>0</v>
      </c>
      <c r="BP200"/>
      <c r="BQ200">
        <v>0</v>
      </c>
      <c r="BR200"/>
      <c r="BS200">
        <v>0</v>
      </c>
      <c r="BT200">
        <v>0</v>
      </c>
      <c r="BU200"/>
      <c r="BV200" s="558">
        <v>0</v>
      </c>
    </row>
    <row r="201" spans="1:74" s="551" customFormat="1" x14ac:dyDescent="0.3">
      <c r="A201">
        <v>906</v>
      </c>
      <c r="B201" t="s">
        <v>916</v>
      </c>
      <c r="C201"/>
      <c r="D201">
        <v>1</v>
      </c>
      <c r="E201">
        <v>1</v>
      </c>
      <c r="F201"/>
      <c r="G201"/>
      <c r="H201">
        <v>1</v>
      </c>
      <c r="I201">
        <v>1</v>
      </c>
      <c r="J201">
        <v>1</v>
      </c>
      <c r="K201">
        <v>1</v>
      </c>
      <c r="L201">
        <v>1</v>
      </c>
      <c r="M201">
        <v>1</v>
      </c>
      <c r="N201">
        <v>1</v>
      </c>
      <c r="O201">
        <v>1</v>
      </c>
      <c r="P201"/>
      <c r="Q201">
        <v>1</v>
      </c>
      <c r="R201">
        <v>1</v>
      </c>
      <c r="S201">
        <v>1</v>
      </c>
      <c r="T201">
        <v>1</v>
      </c>
      <c r="U201"/>
      <c r="V201"/>
      <c r="W201"/>
      <c r="X201">
        <v>1</v>
      </c>
      <c r="Y201">
        <v>1</v>
      </c>
      <c r="Z201">
        <v>1</v>
      </c>
      <c r="AA201">
        <v>1</v>
      </c>
      <c r="AB201"/>
      <c r="AC201">
        <v>1</v>
      </c>
      <c r="AD201">
        <v>1</v>
      </c>
      <c r="AE201">
        <v>1</v>
      </c>
      <c r="AF201">
        <v>1</v>
      </c>
      <c r="AG201">
        <v>1</v>
      </c>
      <c r="AH201">
        <v>1</v>
      </c>
      <c r="AI201">
        <v>1</v>
      </c>
      <c r="AJ201">
        <v>1</v>
      </c>
      <c r="AK201">
        <v>1</v>
      </c>
      <c r="AL201">
        <v>1</v>
      </c>
      <c r="AM201">
        <v>2</v>
      </c>
      <c r="AN201">
        <v>2</v>
      </c>
      <c r="AO201">
        <v>1</v>
      </c>
      <c r="AP201">
        <v>1</v>
      </c>
      <c r="AQ201">
        <v>1</v>
      </c>
      <c r="AR201">
        <v>1</v>
      </c>
      <c r="AS201">
        <v>1</v>
      </c>
      <c r="AT201">
        <v>1</v>
      </c>
      <c r="AU201">
        <v>1</v>
      </c>
      <c r="AV201">
        <v>1</v>
      </c>
      <c r="AW201">
        <v>1</v>
      </c>
      <c r="AX201"/>
      <c r="AY201">
        <v>1</v>
      </c>
      <c r="AZ201">
        <v>1</v>
      </c>
      <c r="BA201">
        <v>1</v>
      </c>
      <c r="BB201">
        <v>1</v>
      </c>
      <c r="BC201">
        <v>1</v>
      </c>
      <c r="BD201">
        <v>1</v>
      </c>
      <c r="BE201">
        <v>1</v>
      </c>
      <c r="BF201">
        <v>1</v>
      </c>
      <c r="BG201"/>
      <c r="BH201">
        <v>1</v>
      </c>
      <c r="BI201">
        <v>1</v>
      </c>
      <c r="BJ201">
        <v>1</v>
      </c>
      <c r="BK201">
        <v>1</v>
      </c>
      <c r="BL201">
        <v>1</v>
      </c>
      <c r="BM201">
        <v>1</v>
      </c>
      <c r="BN201">
        <v>1</v>
      </c>
      <c r="BO201">
        <v>1</v>
      </c>
      <c r="BP201"/>
      <c r="BQ201">
        <v>1</v>
      </c>
      <c r="BR201"/>
      <c r="BS201">
        <v>1</v>
      </c>
      <c r="BT201">
        <v>1</v>
      </c>
      <c r="BU201"/>
      <c r="BV201" s="551">
        <v>1</v>
      </c>
    </row>
    <row r="202" spans="1:74" s="551" customFormat="1" x14ac:dyDescent="0.3">
      <c r="A202">
        <v>907</v>
      </c>
      <c r="B202" t="s">
        <v>917</v>
      </c>
      <c r="C202"/>
      <c r="D202">
        <v>1</v>
      </c>
      <c r="E202">
        <v>2</v>
      </c>
      <c r="F202"/>
      <c r="G202"/>
      <c r="H202">
        <v>2</v>
      </c>
      <c r="I202">
        <v>1</v>
      </c>
      <c r="J202">
        <v>1</v>
      </c>
      <c r="K202">
        <v>1</v>
      </c>
      <c r="L202">
        <v>2</v>
      </c>
      <c r="M202">
        <v>2</v>
      </c>
      <c r="N202">
        <v>1</v>
      </c>
      <c r="O202">
        <v>2</v>
      </c>
      <c r="P202"/>
      <c r="Q202">
        <v>1</v>
      </c>
      <c r="R202">
        <v>2</v>
      </c>
      <c r="S202">
        <v>2</v>
      </c>
      <c r="T202">
        <v>2</v>
      </c>
      <c r="U202"/>
      <c r="V202"/>
      <c r="W202"/>
      <c r="X202">
        <v>2</v>
      </c>
      <c r="Y202">
        <v>1</v>
      </c>
      <c r="Z202">
        <v>2</v>
      </c>
      <c r="AA202">
        <v>2</v>
      </c>
      <c r="AB202"/>
      <c r="AC202">
        <v>2</v>
      </c>
      <c r="AD202">
        <v>2</v>
      </c>
      <c r="AE202">
        <v>1</v>
      </c>
      <c r="AF202">
        <v>2</v>
      </c>
      <c r="AG202">
        <v>2</v>
      </c>
      <c r="AH202">
        <v>2</v>
      </c>
      <c r="AI202">
        <v>1</v>
      </c>
      <c r="AJ202">
        <v>2</v>
      </c>
      <c r="AK202">
        <v>1</v>
      </c>
      <c r="AL202">
        <v>2</v>
      </c>
      <c r="AM202">
        <v>1</v>
      </c>
      <c r="AN202">
        <v>1</v>
      </c>
      <c r="AO202">
        <v>2</v>
      </c>
      <c r="AP202">
        <v>2</v>
      </c>
      <c r="AQ202">
        <v>2</v>
      </c>
      <c r="AR202">
        <v>1</v>
      </c>
      <c r="AS202">
        <v>2</v>
      </c>
      <c r="AT202">
        <v>1</v>
      </c>
      <c r="AU202">
        <v>1</v>
      </c>
      <c r="AV202">
        <v>2</v>
      </c>
      <c r="AW202">
        <v>1</v>
      </c>
      <c r="AX202"/>
      <c r="AY202">
        <v>1</v>
      </c>
      <c r="AZ202">
        <v>2</v>
      </c>
      <c r="BA202">
        <v>2</v>
      </c>
      <c r="BB202">
        <v>1</v>
      </c>
      <c r="BC202">
        <v>1</v>
      </c>
      <c r="BD202">
        <v>2</v>
      </c>
      <c r="BE202">
        <v>1</v>
      </c>
      <c r="BF202">
        <v>2</v>
      </c>
      <c r="BG202"/>
      <c r="BH202">
        <v>1</v>
      </c>
      <c r="BI202">
        <v>1</v>
      </c>
      <c r="BJ202">
        <v>2</v>
      </c>
      <c r="BK202">
        <v>1</v>
      </c>
      <c r="BL202">
        <v>2</v>
      </c>
      <c r="BM202">
        <v>2</v>
      </c>
      <c r="BN202">
        <v>2</v>
      </c>
      <c r="BO202">
        <v>1</v>
      </c>
      <c r="BP202"/>
      <c r="BQ202">
        <v>1</v>
      </c>
      <c r="BR202"/>
      <c r="BS202">
        <v>2</v>
      </c>
      <c r="BT202">
        <v>2</v>
      </c>
      <c r="BU202"/>
      <c r="BV202" s="551">
        <v>2</v>
      </c>
    </row>
    <row r="203" spans="1:74" s="553" customFormat="1" x14ac:dyDescent="0.3">
      <c r="A203">
        <v>947</v>
      </c>
      <c r="B203" t="s">
        <v>918</v>
      </c>
      <c r="C203"/>
      <c r="D203" t="s">
        <v>2053</v>
      </c>
      <c r="E203" t="s">
        <v>2054</v>
      </c>
      <c r="F203"/>
      <c r="G203"/>
      <c r="H203" t="s">
        <v>2481</v>
      </c>
      <c r="I203" t="s">
        <v>1591</v>
      </c>
      <c r="J203" t="s">
        <v>2056</v>
      </c>
      <c r="K203" t="s">
        <v>2482</v>
      </c>
      <c r="L203" t="s">
        <v>2483</v>
      </c>
      <c r="M203" t="s">
        <v>2059</v>
      </c>
      <c r="N203" t="s">
        <v>2484</v>
      </c>
      <c r="O203" t="s">
        <v>1548</v>
      </c>
      <c r="P203"/>
      <c r="Q203" t="s">
        <v>1550</v>
      </c>
      <c r="R203" t="s">
        <v>2061</v>
      </c>
      <c r="S203" t="s">
        <v>2062</v>
      </c>
      <c r="T203" t="s">
        <v>2063</v>
      </c>
      <c r="U203"/>
      <c r="V203"/>
      <c r="W203"/>
      <c r="X203" t="s">
        <v>2064</v>
      </c>
      <c r="Y203" t="s">
        <v>2065</v>
      </c>
      <c r="Z203" t="s">
        <v>1549</v>
      </c>
      <c r="AA203" t="s">
        <v>2067</v>
      </c>
      <c r="AB203"/>
      <c r="AC203" t="s">
        <v>2069</v>
      </c>
      <c r="AD203" t="s">
        <v>1980</v>
      </c>
      <c r="AE203" t="s">
        <v>2071</v>
      </c>
      <c r="AF203" t="s">
        <v>1980</v>
      </c>
      <c r="AG203" t="s">
        <v>2485</v>
      </c>
      <c r="AH203" t="s">
        <v>2073</v>
      </c>
      <c r="AI203" t="s">
        <v>2486</v>
      </c>
      <c r="AJ203" t="s">
        <v>2487</v>
      </c>
      <c r="AK203" t="s">
        <v>2076</v>
      </c>
      <c r="AL203" t="s">
        <v>2077</v>
      </c>
      <c r="AM203" t="s">
        <v>2078</v>
      </c>
      <c r="AN203" t="s">
        <v>2079</v>
      </c>
      <c r="AO203" t="s">
        <v>1017</v>
      </c>
      <c r="AP203" t="s">
        <v>2080</v>
      </c>
      <c r="AQ203" t="s">
        <v>2081</v>
      </c>
      <c r="AR203" t="s">
        <v>2082</v>
      </c>
      <c r="AS203" t="s">
        <v>2083</v>
      </c>
      <c r="AT203" t="s">
        <v>2488</v>
      </c>
      <c r="AU203" t="s">
        <v>2137</v>
      </c>
      <c r="AV203" t="s">
        <v>2086</v>
      </c>
      <c r="AW203" t="s">
        <v>2489</v>
      </c>
      <c r="AX203"/>
      <c r="AY203" t="s">
        <v>2089</v>
      </c>
      <c r="AZ203" t="s">
        <v>2086</v>
      </c>
      <c r="BA203" t="s">
        <v>2090</v>
      </c>
      <c r="BB203" t="s">
        <v>1978</v>
      </c>
      <c r="BC203" t="s">
        <v>2091</v>
      </c>
      <c r="BD203" t="s">
        <v>2092</v>
      </c>
      <c r="BE203" t="s">
        <v>2093</v>
      </c>
      <c r="BF203" t="s">
        <v>2055</v>
      </c>
      <c r="BG203"/>
      <c r="BH203" t="s">
        <v>920</v>
      </c>
      <c r="BI203" t="s">
        <v>1551</v>
      </c>
      <c r="BJ203" t="s">
        <v>2490</v>
      </c>
      <c r="BK203" t="s">
        <v>2491</v>
      </c>
      <c r="BL203" t="s">
        <v>2096</v>
      </c>
      <c r="BM203" t="s">
        <v>2097</v>
      </c>
      <c r="BN203" t="s">
        <v>2492</v>
      </c>
      <c r="BO203" t="s">
        <v>919</v>
      </c>
      <c r="BP203"/>
      <c r="BQ203" t="s">
        <v>2493</v>
      </c>
      <c r="BR203"/>
      <c r="BS203" t="s">
        <v>2100</v>
      </c>
      <c r="BT203" t="s">
        <v>2101</v>
      </c>
      <c r="BU203"/>
      <c r="BV203" s="553" t="s">
        <v>2102</v>
      </c>
    </row>
    <row r="204" spans="1:74" s="553" customFormat="1" x14ac:dyDescent="0.3">
      <c r="A204">
        <v>948</v>
      </c>
      <c r="B204" t="s">
        <v>921</v>
      </c>
      <c r="C204"/>
      <c r="D204" t="s">
        <v>2103</v>
      </c>
      <c r="E204" t="s">
        <v>2104</v>
      </c>
      <c r="F204"/>
      <c r="G204"/>
      <c r="H204" t="s">
        <v>2495</v>
      </c>
      <c r="I204" t="s">
        <v>2107</v>
      </c>
      <c r="J204" t="s">
        <v>2108</v>
      </c>
      <c r="K204" t="s">
        <v>2496</v>
      </c>
      <c r="L204" t="s">
        <v>2497</v>
      </c>
      <c r="M204" t="s">
        <v>2111</v>
      </c>
      <c r="N204" t="s">
        <v>2498</v>
      </c>
      <c r="O204" t="s">
        <v>2113</v>
      </c>
      <c r="P204"/>
      <c r="Q204" t="s">
        <v>2114</v>
      </c>
      <c r="R204" t="s">
        <v>2115</v>
      </c>
      <c r="S204" t="s">
        <v>2116</v>
      </c>
      <c r="T204" t="s">
        <v>2117</v>
      </c>
      <c r="U204"/>
      <c r="V204"/>
      <c r="W204"/>
      <c r="X204" t="s">
        <v>2119</v>
      </c>
      <c r="Y204" t="s">
        <v>1182</v>
      </c>
      <c r="Z204" t="s">
        <v>2494</v>
      </c>
      <c r="AA204" t="s">
        <v>2121</v>
      </c>
      <c r="AB204"/>
      <c r="AC204" t="s">
        <v>2123</v>
      </c>
      <c r="AD204" t="s">
        <v>1552</v>
      </c>
      <c r="AE204" t="s">
        <v>434</v>
      </c>
      <c r="AF204" t="s">
        <v>2125</v>
      </c>
      <c r="AG204" t="s">
        <v>2126</v>
      </c>
      <c r="AH204" t="s">
        <v>2127</v>
      </c>
      <c r="AI204" t="s">
        <v>2499</v>
      </c>
      <c r="AJ204" t="s">
        <v>2500</v>
      </c>
      <c r="AK204" t="s">
        <v>2130</v>
      </c>
      <c r="AL204" t="s">
        <v>2131</v>
      </c>
      <c r="AM204" t="s">
        <v>2132</v>
      </c>
      <c r="AN204" t="s">
        <v>1552</v>
      </c>
      <c r="AO204" t="s">
        <v>2133</v>
      </c>
      <c r="AP204" t="s">
        <v>2134</v>
      </c>
      <c r="AQ204" t="s">
        <v>2135</v>
      </c>
      <c r="AR204" t="s">
        <v>2136</v>
      </c>
      <c r="AS204" t="s">
        <v>2137</v>
      </c>
      <c r="AT204" t="s">
        <v>2501</v>
      </c>
      <c r="AU204" t="s">
        <v>2502</v>
      </c>
      <c r="AV204" t="s">
        <v>2139</v>
      </c>
      <c r="AW204" t="s">
        <v>2503</v>
      </c>
      <c r="AX204"/>
      <c r="AY204" t="s">
        <v>2142</v>
      </c>
      <c r="AZ204" t="s">
        <v>2504</v>
      </c>
      <c r="BA204" t="s">
        <v>2144</v>
      </c>
      <c r="BB204" t="s">
        <v>1592</v>
      </c>
      <c r="BC204" t="s">
        <v>2145</v>
      </c>
      <c r="BD204" t="s">
        <v>2505</v>
      </c>
      <c r="BE204" t="s">
        <v>2147</v>
      </c>
      <c r="BF204" t="s">
        <v>1593</v>
      </c>
      <c r="BG204"/>
      <c r="BH204" t="s">
        <v>2148</v>
      </c>
      <c r="BI204" t="s">
        <v>2149</v>
      </c>
      <c r="BJ204" t="s">
        <v>2150</v>
      </c>
      <c r="BK204" t="s">
        <v>1553</v>
      </c>
      <c r="BL204" t="s">
        <v>2152</v>
      </c>
      <c r="BM204" t="s">
        <v>2153</v>
      </c>
      <c r="BN204" t="s">
        <v>2506</v>
      </c>
      <c r="BO204" t="s">
        <v>2155</v>
      </c>
      <c r="BP204"/>
      <c r="BQ204" t="s">
        <v>2507</v>
      </c>
      <c r="BR204"/>
      <c r="BS204" t="s">
        <v>2157</v>
      </c>
      <c r="BT204" t="s">
        <v>2158</v>
      </c>
      <c r="BU204"/>
      <c r="BV204" s="553" t="s">
        <v>2107</v>
      </c>
    </row>
    <row r="205" spans="1:74" x14ac:dyDescent="0.3">
      <c r="A205">
        <v>949</v>
      </c>
      <c r="B205" t="s">
        <v>922</v>
      </c>
      <c r="D205" t="s">
        <v>410</v>
      </c>
      <c r="E205" t="s">
        <v>410</v>
      </c>
      <c r="H205" t="s">
        <v>410</v>
      </c>
      <c r="I205" t="s">
        <v>410</v>
      </c>
      <c r="J205" t="s">
        <v>410</v>
      </c>
      <c r="K205" t="s">
        <v>428</v>
      </c>
      <c r="L205" t="s">
        <v>410</v>
      </c>
      <c r="M205" t="s">
        <v>410</v>
      </c>
      <c r="N205" t="s">
        <v>410</v>
      </c>
      <c r="O205" t="s">
        <v>410</v>
      </c>
      <c r="Q205" t="s">
        <v>410</v>
      </c>
      <c r="R205" t="s">
        <v>410</v>
      </c>
      <c r="S205" t="s">
        <v>410</v>
      </c>
      <c r="T205" t="s">
        <v>410</v>
      </c>
      <c r="X205" t="s">
        <v>410</v>
      </c>
      <c r="Y205" t="s">
        <v>410</v>
      </c>
      <c r="Z205" t="s">
        <v>410</v>
      </c>
      <c r="AA205" t="s">
        <v>410</v>
      </c>
      <c r="AC205" t="s">
        <v>410</v>
      </c>
      <c r="AD205" t="s">
        <v>410</v>
      </c>
      <c r="AE205" t="s">
        <v>410</v>
      </c>
      <c r="AF205" t="s">
        <v>410</v>
      </c>
      <c r="AG205" t="s">
        <v>410</v>
      </c>
      <c r="AH205" t="s">
        <v>410</v>
      </c>
      <c r="AI205" t="s">
        <v>410</v>
      </c>
      <c r="AJ205" t="s">
        <v>410</v>
      </c>
      <c r="AK205" t="s">
        <v>410</v>
      </c>
      <c r="AL205" t="s">
        <v>410</v>
      </c>
      <c r="AM205" t="s">
        <v>410</v>
      </c>
      <c r="AN205" t="s">
        <v>410</v>
      </c>
      <c r="AO205" t="s">
        <v>410</v>
      </c>
      <c r="AP205" t="s">
        <v>410</v>
      </c>
      <c r="AQ205" t="s">
        <v>410</v>
      </c>
      <c r="AR205" t="s">
        <v>410</v>
      </c>
      <c r="AS205" t="s">
        <v>410</v>
      </c>
      <c r="AT205" t="s">
        <v>410</v>
      </c>
      <c r="AU205" t="s">
        <v>410</v>
      </c>
      <c r="AV205" t="s">
        <v>428</v>
      </c>
      <c r="AW205" t="s">
        <v>410</v>
      </c>
      <c r="AY205" t="s">
        <v>410</v>
      </c>
      <c r="AZ205" t="s">
        <v>428</v>
      </c>
      <c r="BA205" t="s">
        <v>410</v>
      </c>
      <c r="BB205" t="s">
        <v>410</v>
      </c>
      <c r="BC205" t="s">
        <v>410</v>
      </c>
      <c r="BD205" t="s">
        <v>410</v>
      </c>
      <c r="BE205" t="s">
        <v>410</v>
      </c>
      <c r="BF205" t="s">
        <v>410</v>
      </c>
      <c r="BH205" t="s">
        <v>410</v>
      </c>
      <c r="BI205" t="s">
        <v>410</v>
      </c>
      <c r="BJ205" t="s">
        <v>410</v>
      </c>
      <c r="BK205" t="s">
        <v>410</v>
      </c>
      <c r="BL205" t="s">
        <v>410</v>
      </c>
      <c r="BM205" t="s">
        <v>410</v>
      </c>
      <c r="BN205" t="s">
        <v>410</v>
      </c>
      <c r="BO205" t="s">
        <v>410</v>
      </c>
      <c r="BQ205" t="s">
        <v>410</v>
      </c>
      <c r="BS205" t="s">
        <v>410</v>
      </c>
      <c r="BT205" t="s">
        <v>410</v>
      </c>
      <c r="BV205" s="180" t="s">
        <v>410</v>
      </c>
    </row>
    <row r="206" spans="1:74" x14ac:dyDescent="0.3">
      <c r="A206">
        <v>950</v>
      </c>
      <c r="B206" t="s">
        <v>923</v>
      </c>
      <c r="D206" t="s">
        <v>50</v>
      </c>
      <c r="E206" t="s">
        <v>50</v>
      </c>
      <c r="H206" t="s">
        <v>50</v>
      </c>
      <c r="I206" t="s">
        <v>50</v>
      </c>
      <c r="J206" t="s">
        <v>50</v>
      </c>
      <c r="K206" t="s">
        <v>51</v>
      </c>
      <c r="L206" t="s">
        <v>50</v>
      </c>
      <c r="M206" t="s">
        <v>50</v>
      </c>
      <c r="N206" t="s">
        <v>50</v>
      </c>
      <c r="O206" t="s">
        <v>50</v>
      </c>
      <c r="Q206" t="s">
        <v>50</v>
      </c>
      <c r="R206" t="s">
        <v>50</v>
      </c>
      <c r="S206" t="s">
        <v>50</v>
      </c>
      <c r="T206" t="s">
        <v>50</v>
      </c>
      <c r="X206" t="s">
        <v>50</v>
      </c>
      <c r="Y206" t="s">
        <v>50</v>
      </c>
      <c r="Z206" t="s">
        <v>50</v>
      </c>
      <c r="AA206" t="s">
        <v>50</v>
      </c>
      <c r="AC206" t="s">
        <v>50</v>
      </c>
      <c r="AD206" t="s">
        <v>50</v>
      </c>
      <c r="AE206" t="s">
        <v>50</v>
      </c>
      <c r="AF206" t="s">
        <v>50</v>
      </c>
      <c r="AG206" t="s">
        <v>50</v>
      </c>
      <c r="AH206" t="s">
        <v>50</v>
      </c>
      <c r="AI206" t="s">
        <v>50</v>
      </c>
      <c r="AJ206" t="s">
        <v>50</v>
      </c>
      <c r="AK206" t="s">
        <v>50</v>
      </c>
      <c r="AL206" t="s">
        <v>50</v>
      </c>
      <c r="AM206" t="s">
        <v>50</v>
      </c>
      <c r="AN206" t="s">
        <v>50</v>
      </c>
      <c r="AO206" t="s">
        <v>50</v>
      </c>
      <c r="AP206" t="s">
        <v>50</v>
      </c>
      <c r="AQ206" t="s">
        <v>50</v>
      </c>
      <c r="AR206" t="s">
        <v>50</v>
      </c>
      <c r="AS206" t="s">
        <v>50</v>
      </c>
      <c r="AT206" t="s">
        <v>50</v>
      </c>
      <c r="AU206" t="s">
        <v>50</v>
      </c>
      <c r="AV206" t="s">
        <v>50</v>
      </c>
      <c r="AW206" t="s">
        <v>50</v>
      </c>
      <c r="AY206" t="s">
        <v>50</v>
      </c>
      <c r="AZ206" t="s">
        <v>50</v>
      </c>
      <c r="BA206" t="s">
        <v>50</v>
      </c>
      <c r="BB206" t="s">
        <v>50</v>
      </c>
      <c r="BC206" t="s">
        <v>50</v>
      </c>
      <c r="BD206" t="s">
        <v>50</v>
      </c>
      <c r="BE206" t="s">
        <v>50</v>
      </c>
      <c r="BF206" t="s">
        <v>50</v>
      </c>
      <c r="BH206" t="s">
        <v>50</v>
      </c>
      <c r="BI206" t="s">
        <v>50</v>
      </c>
      <c r="BJ206" t="s">
        <v>50</v>
      </c>
      <c r="BK206" t="s">
        <v>50</v>
      </c>
      <c r="BL206" t="s">
        <v>50</v>
      </c>
      <c r="BM206" t="s">
        <v>50</v>
      </c>
      <c r="BN206" t="s">
        <v>50</v>
      </c>
      <c r="BO206" t="s">
        <v>50</v>
      </c>
      <c r="BQ206" t="s">
        <v>50</v>
      </c>
      <c r="BS206" t="s">
        <v>50</v>
      </c>
      <c r="BT206" t="s">
        <v>50</v>
      </c>
      <c r="BV206" s="180" t="s">
        <v>50</v>
      </c>
    </row>
    <row r="207" spans="1:74" x14ac:dyDescent="0.3">
      <c r="A207">
        <v>951</v>
      </c>
      <c r="B207" t="s">
        <v>924</v>
      </c>
      <c r="D207">
        <v>2</v>
      </c>
      <c r="E207">
        <v>2</v>
      </c>
      <c r="H207">
        <v>2</v>
      </c>
      <c r="I207">
        <v>2</v>
      </c>
      <c r="J207">
        <v>2</v>
      </c>
      <c r="K207">
        <v>2</v>
      </c>
      <c r="L207">
        <v>2</v>
      </c>
      <c r="M207">
        <v>2</v>
      </c>
      <c r="N207">
        <v>2</v>
      </c>
      <c r="O207">
        <v>2</v>
      </c>
      <c r="Q207">
        <v>2</v>
      </c>
      <c r="R207">
        <v>2</v>
      </c>
      <c r="S207">
        <v>2</v>
      </c>
      <c r="T207">
        <v>2</v>
      </c>
      <c r="X207">
        <v>2</v>
      </c>
      <c r="Y207">
        <v>2</v>
      </c>
      <c r="Z207">
        <v>2</v>
      </c>
      <c r="AA207">
        <v>2</v>
      </c>
      <c r="AC207">
        <v>2</v>
      </c>
      <c r="AD207">
        <v>2</v>
      </c>
      <c r="AE207">
        <v>2</v>
      </c>
      <c r="AF207">
        <v>2</v>
      </c>
      <c r="AG207">
        <v>2</v>
      </c>
      <c r="AH207">
        <v>2</v>
      </c>
      <c r="AI207">
        <v>1</v>
      </c>
      <c r="AJ207">
        <v>2</v>
      </c>
      <c r="AK207">
        <v>2</v>
      </c>
      <c r="AL207">
        <v>2</v>
      </c>
      <c r="AM207">
        <v>2</v>
      </c>
      <c r="AN207">
        <v>2</v>
      </c>
      <c r="AO207">
        <v>2</v>
      </c>
      <c r="AP207">
        <v>2</v>
      </c>
      <c r="AQ207">
        <v>2</v>
      </c>
      <c r="AR207">
        <v>2</v>
      </c>
      <c r="AS207">
        <v>2</v>
      </c>
      <c r="AT207">
        <v>2</v>
      </c>
      <c r="AU207">
        <v>2</v>
      </c>
      <c r="AV207">
        <v>2</v>
      </c>
      <c r="AW207">
        <v>2</v>
      </c>
      <c r="AY207">
        <v>1</v>
      </c>
      <c r="AZ207">
        <v>2</v>
      </c>
      <c r="BA207">
        <v>2</v>
      </c>
      <c r="BB207">
        <v>1</v>
      </c>
      <c r="BC207">
        <v>1</v>
      </c>
      <c r="BD207">
        <v>2</v>
      </c>
      <c r="BE207">
        <v>2</v>
      </c>
      <c r="BF207">
        <v>2</v>
      </c>
      <c r="BH207">
        <v>1</v>
      </c>
      <c r="BI207">
        <v>2</v>
      </c>
      <c r="BJ207">
        <v>2</v>
      </c>
      <c r="BK207">
        <v>2</v>
      </c>
      <c r="BL207">
        <v>2</v>
      </c>
      <c r="BM207">
        <v>2</v>
      </c>
      <c r="BN207">
        <v>2</v>
      </c>
      <c r="BO207">
        <v>2</v>
      </c>
      <c r="BQ207">
        <v>2</v>
      </c>
      <c r="BS207">
        <v>2</v>
      </c>
      <c r="BT207">
        <v>2</v>
      </c>
      <c r="BV207" s="180">
        <v>2</v>
      </c>
    </row>
    <row r="208" spans="1:74" x14ac:dyDescent="0.3">
      <c r="A208">
        <v>952</v>
      </c>
      <c r="B208" t="s">
        <v>925</v>
      </c>
      <c r="I208" t="s">
        <v>2161</v>
      </c>
      <c r="J208" t="s">
        <v>1595</v>
      </c>
      <c r="K208" t="s">
        <v>2508</v>
      </c>
      <c r="M208" t="s">
        <v>2164</v>
      </c>
      <c r="N208" t="s">
        <v>2509</v>
      </c>
      <c r="O208" t="s">
        <v>1064</v>
      </c>
      <c r="Q208" t="s">
        <v>2166</v>
      </c>
      <c r="R208" t="s">
        <v>2167</v>
      </c>
      <c r="S208" t="s">
        <v>1614</v>
      </c>
      <c r="T208" t="s">
        <v>2168</v>
      </c>
      <c r="X208" t="s">
        <v>928</v>
      </c>
      <c r="Y208" t="s">
        <v>927</v>
      </c>
      <c r="Z208" t="s">
        <v>2510</v>
      </c>
      <c r="AA208" t="s">
        <v>2171</v>
      </c>
      <c r="AC208" t="s">
        <v>2511</v>
      </c>
      <c r="AD208" t="s">
        <v>2276</v>
      </c>
      <c r="AE208" t="s">
        <v>2175</v>
      </c>
      <c r="AJ208" t="s">
        <v>1989</v>
      </c>
      <c r="AL208" t="s">
        <v>2178</v>
      </c>
      <c r="AM208" t="s">
        <v>2179</v>
      </c>
      <c r="AN208" t="s">
        <v>1595</v>
      </c>
      <c r="AO208" t="s">
        <v>2180</v>
      </c>
      <c r="AQ208" t="s">
        <v>2181</v>
      </c>
      <c r="AR208" t="s">
        <v>2165</v>
      </c>
      <c r="AU208" t="s">
        <v>2512</v>
      </c>
      <c r="AV208" t="s">
        <v>926</v>
      </c>
      <c r="BA208" t="s">
        <v>2513</v>
      </c>
      <c r="BB208" t="s">
        <v>2183</v>
      </c>
      <c r="BD208" t="s">
        <v>2184</v>
      </c>
      <c r="BF208" t="s">
        <v>2186</v>
      </c>
      <c r="BH208" t="s">
        <v>2187</v>
      </c>
      <c r="BJ208" t="s">
        <v>2514</v>
      </c>
      <c r="BL208" t="s">
        <v>928</v>
      </c>
      <c r="BM208" t="s">
        <v>2515</v>
      </c>
      <c r="BN208" t="s">
        <v>2516</v>
      </c>
      <c r="BO208" t="s">
        <v>2191</v>
      </c>
      <c r="BQ208" t="s">
        <v>2517</v>
      </c>
      <c r="BS208" t="s">
        <v>928</v>
      </c>
      <c r="BV208" s="180" t="s">
        <v>2193</v>
      </c>
    </row>
    <row r="209" spans="1:74" s="553" customFormat="1" x14ac:dyDescent="0.3">
      <c r="A209">
        <v>953</v>
      </c>
      <c r="B209" t="s">
        <v>929</v>
      </c>
      <c r="C209"/>
      <c r="D209">
        <v>2</v>
      </c>
      <c r="E209">
        <v>2</v>
      </c>
      <c r="F209"/>
      <c r="G209"/>
      <c r="H209">
        <v>2</v>
      </c>
      <c r="I209">
        <v>2</v>
      </c>
      <c r="J209">
        <v>2</v>
      </c>
      <c r="K209">
        <v>2</v>
      </c>
      <c r="L209">
        <v>2</v>
      </c>
      <c r="M209">
        <v>2</v>
      </c>
      <c r="N209">
        <v>2</v>
      </c>
      <c r="O209">
        <v>2</v>
      </c>
      <c r="P209"/>
      <c r="Q209">
        <v>2</v>
      </c>
      <c r="R209">
        <v>2</v>
      </c>
      <c r="S209">
        <v>2</v>
      </c>
      <c r="T209">
        <v>2</v>
      </c>
      <c r="U209"/>
      <c r="V209"/>
      <c r="W209"/>
      <c r="X209">
        <v>2</v>
      </c>
      <c r="Y209">
        <v>2</v>
      </c>
      <c r="Z209">
        <v>2</v>
      </c>
      <c r="AA209">
        <v>2</v>
      </c>
      <c r="AB209"/>
      <c r="AC209">
        <v>2</v>
      </c>
      <c r="AD209">
        <v>2</v>
      </c>
      <c r="AE209">
        <v>2</v>
      </c>
      <c r="AF209">
        <v>2</v>
      </c>
      <c r="AG209">
        <v>2</v>
      </c>
      <c r="AH209">
        <v>2</v>
      </c>
      <c r="AI209">
        <v>2</v>
      </c>
      <c r="AJ209">
        <v>2</v>
      </c>
      <c r="AK209">
        <v>2</v>
      </c>
      <c r="AL209">
        <v>2</v>
      </c>
      <c r="AM209">
        <v>2</v>
      </c>
      <c r="AN209">
        <v>2</v>
      </c>
      <c r="AO209">
        <v>2</v>
      </c>
      <c r="AP209">
        <v>2</v>
      </c>
      <c r="AQ209">
        <v>2</v>
      </c>
      <c r="AR209">
        <v>2</v>
      </c>
      <c r="AS209">
        <v>2</v>
      </c>
      <c r="AT209">
        <v>2</v>
      </c>
      <c r="AU209">
        <v>2</v>
      </c>
      <c r="AV209">
        <v>2</v>
      </c>
      <c r="AW209">
        <v>2</v>
      </c>
      <c r="AX209"/>
      <c r="AY209">
        <v>2</v>
      </c>
      <c r="AZ209">
        <v>2</v>
      </c>
      <c r="BA209">
        <v>2</v>
      </c>
      <c r="BB209">
        <v>2</v>
      </c>
      <c r="BC209">
        <v>2</v>
      </c>
      <c r="BD209">
        <v>2</v>
      </c>
      <c r="BE209">
        <v>2</v>
      </c>
      <c r="BF209">
        <v>2</v>
      </c>
      <c r="BG209"/>
      <c r="BH209">
        <v>2</v>
      </c>
      <c r="BI209">
        <v>2</v>
      </c>
      <c r="BJ209">
        <v>2</v>
      </c>
      <c r="BK209">
        <v>2</v>
      </c>
      <c r="BL209">
        <v>2</v>
      </c>
      <c r="BM209">
        <v>2</v>
      </c>
      <c r="BN209">
        <v>2</v>
      </c>
      <c r="BO209">
        <v>2</v>
      </c>
      <c r="BP209"/>
      <c r="BQ209">
        <v>2</v>
      </c>
      <c r="BR209"/>
      <c r="BS209">
        <v>2</v>
      </c>
      <c r="BT209">
        <v>2</v>
      </c>
      <c r="BU209"/>
      <c r="BV209" s="553">
        <v>2</v>
      </c>
    </row>
    <row r="210" spans="1:74" s="558" customFormat="1" x14ac:dyDescent="0.3">
      <c r="A210">
        <v>955</v>
      </c>
      <c r="B210" t="s">
        <v>930</v>
      </c>
      <c r="C210"/>
      <c r="D210">
        <v>1</v>
      </c>
      <c r="E210">
        <v>0</v>
      </c>
      <c r="F210"/>
      <c r="G210"/>
      <c r="H210">
        <v>0</v>
      </c>
      <c r="I210">
        <v>0</v>
      </c>
      <c r="J210">
        <v>2</v>
      </c>
      <c r="K210">
        <v>0</v>
      </c>
      <c r="L210">
        <v>0</v>
      </c>
      <c r="M210">
        <v>0</v>
      </c>
      <c r="N210">
        <v>0</v>
      </c>
      <c r="O210">
        <v>0</v>
      </c>
      <c r="P210"/>
      <c r="Q210">
        <v>1</v>
      </c>
      <c r="R210">
        <v>0</v>
      </c>
      <c r="S210">
        <v>0</v>
      </c>
      <c r="T210">
        <v>0</v>
      </c>
      <c r="U210"/>
      <c r="V210"/>
      <c r="W210"/>
      <c r="X210">
        <v>0</v>
      </c>
      <c r="Y210">
        <v>0</v>
      </c>
      <c r="Z210">
        <v>0</v>
      </c>
      <c r="AA210">
        <v>0</v>
      </c>
      <c r="AB210"/>
      <c r="AC210">
        <v>1</v>
      </c>
      <c r="AD210">
        <v>0</v>
      </c>
      <c r="AE210">
        <v>1</v>
      </c>
      <c r="AF210">
        <v>1</v>
      </c>
      <c r="AG210">
        <v>0</v>
      </c>
      <c r="AH210">
        <v>0</v>
      </c>
      <c r="AI210">
        <v>0</v>
      </c>
      <c r="AJ210">
        <v>0</v>
      </c>
      <c r="AK210">
        <v>0</v>
      </c>
      <c r="AL210">
        <v>0</v>
      </c>
      <c r="AM210">
        <v>0</v>
      </c>
      <c r="AN210">
        <v>1</v>
      </c>
      <c r="AO210">
        <v>0</v>
      </c>
      <c r="AP210">
        <v>0</v>
      </c>
      <c r="AQ210">
        <v>1</v>
      </c>
      <c r="AR210">
        <v>0</v>
      </c>
      <c r="AS210">
        <v>0</v>
      </c>
      <c r="AT210">
        <v>0</v>
      </c>
      <c r="AU210">
        <v>0</v>
      </c>
      <c r="AV210">
        <v>0</v>
      </c>
      <c r="AW210">
        <v>1</v>
      </c>
      <c r="AX210"/>
      <c r="AY210">
        <v>0</v>
      </c>
      <c r="AZ210">
        <v>0</v>
      </c>
      <c r="BA210">
        <v>0</v>
      </c>
      <c r="BB210">
        <v>0</v>
      </c>
      <c r="BC210">
        <v>0</v>
      </c>
      <c r="BD210">
        <v>1</v>
      </c>
      <c r="BE210">
        <v>0</v>
      </c>
      <c r="BF210">
        <v>0</v>
      </c>
      <c r="BG210"/>
      <c r="BH210">
        <v>0</v>
      </c>
      <c r="BI210">
        <v>0</v>
      </c>
      <c r="BJ210">
        <v>0</v>
      </c>
      <c r="BK210">
        <v>1</v>
      </c>
      <c r="BL210">
        <v>0</v>
      </c>
      <c r="BM210">
        <v>0</v>
      </c>
      <c r="BN210">
        <v>0</v>
      </c>
      <c r="BO210">
        <v>0</v>
      </c>
      <c r="BP210"/>
      <c r="BQ210">
        <v>0</v>
      </c>
      <c r="BR210"/>
      <c r="BS210">
        <v>0</v>
      </c>
      <c r="BT210">
        <v>1</v>
      </c>
      <c r="BU210"/>
      <c r="BV210" s="558">
        <v>0</v>
      </c>
    </row>
    <row r="211" spans="1:74" s="553" customFormat="1" x14ac:dyDescent="0.3">
      <c r="A211">
        <v>957</v>
      </c>
      <c r="B211" t="s">
        <v>931</v>
      </c>
      <c r="C211"/>
      <c r="D211">
        <v>0</v>
      </c>
      <c r="E211">
        <v>0</v>
      </c>
      <c r="F211"/>
      <c r="G211"/>
      <c r="H211">
        <v>0</v>
      </c>
      <c r="I211">
        <v>0</v>
      </c>
      <c r="J211">
        <v>0</v>
      </c>
      <c r="K211">
        <v>0</v>
      </c>
      <c r="L211">
        <v>2</v>
      </c>
      <c r="M211">
        <v>1</v>
      </c>
      <c r="N211">
        <v>0</v>
      </c>
      <c r="O211">
        <v>0</v>
      </c>
      <c r="P211"/>
      <c r="Q211">
        <v>0</v>
      </c>
      <c r="R211">
        <v>0</v>
      </c>
      <c r="S211">
        <v>0</v>
      </c>
      <c r="T211">
        <v>0</v>
      </c>
      <c r="U211"/>
      <c r="V211"/>
      <c r="W211"/>
      <c r="X211">
        <v>0</v>
      </c>
      <c r="Y211">
        <v>0</v>
      </c>
      <c r="Z211">
        <v>3</v>
      </c>
      <c r="AA211">
        <v>0</v>
      </c>
      <c r="AB211"/>
      <c r="AC211">
        <v>0</v>
      </c>
      <c r="AD211">
        <v>0</v>
      </c>
      <c r="AE211">
        <v>0</v>
      </c>
      <c r="AF211">
        <v>0</v>
      </c>
      <c r="AG211">
        <v>4</v>
      </c>
      <c r="AH211">
        <v>0</v>
      </c>
      <c r="AI211">
        <v>0</v>
      </c>
      <c r="AJ211">
        <v>1</v>
      </c>
      <c r="AK211">
        <v>0</v>
      </c>
      <c r="AL211">
        <v>0</v>
      </c>
      <c r="AM211">
        <v>1</v>
      </c>
      <c r="AN211">
        <v>0</v>
      </c>
      <c r="AO211">
        <v>0</v>
      </c>
      <c r="AP211">
        <v>0</v>
      </c>
      <c r="AQ211">
        <v>1</v>
      </c>
      <c r="AR211">
        <v>0</v>
      </c>
      <c r="AS211">
        <v>0</v>
      </c>
      <c r="AT211">
        <v>1</v>
      </c>
      <c r="AU211">
        <v>0</v>
      </c>
      <c r="AV211">
        <v>0</v>
      </c>
      <c r="AW211">
        <v>0</v>
      </c>
      <c r="AX211"/>
      <c r="AY211">
        <v>0</v>
      </c>
      <c r="AZ211">
        <v>1</v>
      </c>
      <c r="BA211">
        <v>0</v>
      </c>
      <c r="BB211">
        <v>0</v>
      </c>
      <c r="BC211">
        <v>0</v>
      </c>
      <c r="BD211">
        <v>0</v>
      </c>
      <c r="BE211">
        <v>1</v>
      </c>
      <c r="BF211">
        <v>0</v>
      </c>
      <c r="BG211"/>
      <c r="BH211">
        <v>0</v>
      </c>
      <c r="BI211">
        <v>1</v>
      </c>
      <c r="BJ211">
        <v>0</v>
      </c>
      <c r="BK211">
        <v>2</v>
      </c>
      <c r="BL211">
        <v>0</v>
      </c>
      <c r="BM211">
        <v>0</v>
      </c>
      <c r="BN211">
        <v>2</v>
      </c>
      <c r="BO211">
        <v>0</v>
      </c>
      <c r="BP211"/>
      <c r="BQ211">
        <v>0</v>
      </c>
      <c r="BR211"/>
      <c r="BS211">
        <v>0</v>
      </c>
      <c r="BT211">
        <v>0</v>
      </c>
      <c r="BU211"/>
      <c r="BV211" s="553">
        <v>0</v>
      </c>
    </row>
    <row r="212" spans="1:74" s="558" customFormat="1" x14ac:dyDescent="0.3">
      <c r="A212">
        <v>959</v>
      </c>
      <c r="B212" t="s">
        <v>933</v>
      </c>
      <c r="C212"/>
      <c r="D212">
        <v>3</v>
      </c>
      <c r="E212">
        <v>2</v>
      </c>
      <c r="F212"/>
      <c r="G212"/>
      <c r="H212">
        <v>2</v>
      </c>
      <c r="I212">
        <v>2</v>
      </c>
      <c r="J212">
        <v>3</v>
      </c>
      <c r="K212">
        <v>3</v>
      </c>
      <c r="L212">
        <v>2</v>
      </c>
      <c r="M212">
        <v>2</v>
      </c>
      <c r="N212">
        <v>2</v>
      </c>
      <c r="O212">
        <v>2</v>
      </c>
      <c r="P212"/>
      <c r="Q212">
        <v>3</v>
      </c>
      <c r="R212">
        <v>2</v>
      </c>
      <c r="S212">
        <v>2</v>
      </c>
      <c r="T212">
        <v>2</v>
      </c>
      <c r="U212"/>
      <c r="V212"/>
      <c r="W212"/>
      <c r="X212">
        <v>2</v>
      </c>
      <c r="Y212">
        <v>2</v>
      </c>
      <c r="Z212">
        <v>2</v>
      </c>
      <c r="AA212">
        <v>2</v>
      </c>
      <c r="AB212"/>
      <c r="AC212">
        <v>2</v>
      </c>
      <c r="AD212">
        <v>2</v>
      </c>
      <c r="AE212">
        <v>2</v>
      </c>
      <c r="AF212">
        <v>2</v>
      </c>
      <c r="AG212">
        <v>3</v>
      </c>
      <c r="AH212">
        <v>3</v>
      </c>
      <c r="AI212">
        <v>3</v>
      </c>
      <c r="AJ212">
        <v>2</v>
      </c>
      <c r="AK212">
        <v>3</v>
      </c>
      <c r="AL212">
        <v>2</v>
      </c>
      <c r="AM212">
        <v>2</v>
      </c>
      <c r="AN212">
        <v>3</v>
      </c>
      <c r="AO212">
        <v>2</v>
      </c>
      <c r="AP212">
        <v>2</v>
      </c>
      <c r="AQ212">
        <v>3</v>
      </c>
      <c r="AR212">
        <v>2</v>
      </c>
      <c r="AS212">
        <v>2</v>
      </c>
      <c r="AT212">
        <v>2</v>
      </c>
      <c r="AU212">
        <v>2</v>
      </c>
      <c r="AV212">
        <v>2</v>
      </c>
      <c r="AW212">
        <v>2</v>
      </c>
      <c r="AX212"/>
      <c r="AY212">
        <v>3</v>
      </c>
      <c r="AZ212">
        <v>2</v>
      </c>
      <c r="BA212">
        <v>3</v>
      </c>
      <c r="BB212">
        <v>3</v>
      </c>
      <c r="BC212">
        <v>2</v>
      </c>
      <c r="BD212">
        <v>2</v>
      </c>
      <c r="BE212">
        <v>2</v>
      </c>
      <c r="BF212">
        <v>2</v>
      </c>
      <c r="BG212"/>
      <c r="BH212">
        <v>3</v>
      </c>
      <c r="BI212">
        <v>2</v>
      </c>
      <c r="BJ212">
        <v>2</v>
      </c>
      <c r="BK212">
        <v>2</v>
      </c>
      <c r="BL212">
        <v>2</v>
      </c>
      <c r="BM212">
        <v>2</v>
      </c>
      <c r="BN212">
        <v>2</v>
      </c>
      <c r="BO212">
        <v>2</v>
      </c>
      <c r="BP212"/>
      <c r="BQ212">
        <v>2</v>
      </c>
      <c r="BR212"/>
      <c r="BS212">
        <v>3</v>
      </c>
      <c r="BT212">
        <v>2</v>
      </c>
      <c r="BU212"/>
      <c r="BV212" s="558">
        <v>2</v>
      </c>
    </row>
    <row r="213" spans="1:74" s="553" customFormat="1" x14ac:dyDescent="0.3">
      <c r="A213">
        <v>960</v>
      </c>
      <c r="B213" t="s">
        <v>934</v>
      </c>
      <c r="C213"/>
      <c r="D213" t="s">
        <v>2194</v>
      </c>
      <c r="E213" t="s">
        <v>2518</v>
      </c>
      <c r="F213"/>
      <c r="G213"/>
      <c r="H213" t="s">
        <v>2519</v>
      </c>
      <c r="I213" t="s">
        <v>2198</v>
      </c>
      <c r="J213" t="s">
        <v>2199</v>
      </c>
      <c r="K213" t="s">
        <v>2520</v>
      </c>
      <c r="L213" t="s">
        <v>2521</v>
      </c>
      <c r="M213" t="s">
        <v>2522</v>
      </c>
      <c r="N213" t="s">
        <v>2523</v>
      </c>
      <c r="O213" t="s">
        <v>2204</v>
      </c>
      <c r="P213"/>
      <c r="Q213" t="s">
        <v>2205</v>
      </c>
      <c r="R213" t="s">
        <v>2206</v>
      </c>
      <c r="S213" t="s">
        <v>2524</v>
      </c>
      <c r="T213" t="s">
        <v>2208</v>
      </c>
      <c r="U213"/>
      <c r="V213"/>
      <c r="W213"/>
      <c r="X213" t="s">
        <v>2210</v>
      </c>
      <c r="Y213" t="s">
        <v>2211</v>
      </c>
      <c r="Z213" t="s">
        <v>2525</v>
      </c>
      <c r="AA213" t="s">
        <v>2213</v>
      </c>
      <c r="AB213"/>
      <c r="AC213" t="s">
        <v>2215</v>
      </c>
      <c r="AD213" t="s">
        <v>1980</v>
      </c>
      <c r="AE213" t="s">
        <v>2217</v>
      </c>
      <c r="AF213" t="s">
        <v>2526</v>
      </c>
      <c r="AG213" t="s">
        <v>2527</v>
      </c>
      <c r="AH213" t="s">
        <v>2528</v>
      </c>
      <c r="AI213" t="s">
        <v>2529</v>
      </c>
      <c r="AJ213" t="s">
        <v>2530</v>
      </c>
      <c r="AK213" t="s">
        <v>2222</v>
      </c>
      <c r="AL213" t="s">
        <v>2223</v>
      </c>
      <c r="AM213" t="s">
        <v>2224</v>
      </c>
      <c r="AN213" t="s">
        <v>2225</v>
      </c>
      <c r="AO213" t="s">
        <v>2226</v>
      </c>
      <c r="AP213" t="s">
        <v>2227</v>
      </c>
      <c r="AQ213" t="s">
        <v>2228</v>
      </c>
      <c r="AR213" t="s">
        <v>2229</v>
      </c>
      <c r="AS213" t="s">
        <v>2230</v>
      </c>
      <c r="AT213" t="s">
        <v>2531</v>
      </c>
      <c r="AU213" t="s">
        <v>2532</v>
      </c>
      <c r="AV213" t="s">
        <v>2233</v>
      </c>
      <c r="AW213" t="s">
        <v>2533</v>
      </c>
      <c r="AX213"/>
      <c r="AY213" t="s">
        <v>2236</v>
      </c>
      <c r="AZ213" t="s">
        <v>2534</v>
      </c>
      <c r="BA213" t="s">
        <v>2238</v>
      </c>
      <c r="BB213" t="s">
        <v>2239</v>
      </c>
      <c r="BC213" t="s">
        <v>2240</v>
      </c>
      <c r="BD213" t="s">
        <v>2535</v>
      </c>
      <c r="BE213" t="s">
        <v>2242</v>
      </c>
      <c r="BF213" t="s">
        <v>2243</v>
      </c>
      <c r="BG213"/>
      <c r="BH213" t="s">
        <v>2244</v>
      </c>
      <c r="BI213" t="s">
        <v>2245</v>
      </c>
      <c r="BJ213" t="s">
        <v>2536</v>
      </c>
      <c r="BK213" t="s">
        <v>2537</v>
      </c>
      <c r="BL213" t="s">
        <v>2248</v>
      </c>
      <c r="BM213" t="s">
        <v>2249</v>
      </c>
      <c r="BN213" t="s">
        <v>2538</v>
      </c>
      <c r="BO213" t="s">
        <v>2251</v>
      </c>
      <c r="BP213"/>
      <c r="BQ213" t="s">
        <v>2539</v>
      </c>
      <c r="BR213"/>
      <c r="BS213" t="s">
        <v>2253</v>
      </c>
      <c r="BT213" t="s">
        <v>2540</v>
      </c>
      <c r="BU213"/>
      <c r="BV213" s="553" t="s">
        <v>2255</v>
      </c>
    </row>
    <row r="214" spans="1:74" s="558" customFormat="1" x14ac:dyDescent="0.3">
      <c r="A214">
        <v>962</v>
      </c>
      <c r="B214" t="s">
        <v>935</v>
      </c>
      <c r="C214"/>
      <c r="D214" t="s">
        <v>937</v>
      </c>
      <c r="E214" t="s">
        <v>1985</v>
      </c>
      <c r="F214"/>
      <c r="G214"/>
      <c r="H214" t="s">
        <v>937</v>
      </c>
      <c r="I214" t="s">
        <v>937</v>
      </c>
      <c r="J214" t="s">
        <v>937</v>
      </c>
      <c r="K214" t="s">
        <v>1555</v>
      </c>
      <c r="L214" t="s">
        <v>936</v>
      </c>
      <c r="M214" t="s">
        <v>2256</v>
      </c>
      <c r="N214" t="s">
        <v>936</v>
      </c>
      <c r="O214" t="s">
        <v>939</v>
      </c>
      <c r="P214"/>
      <c r="Q214" t="s">
        <v>938</v>
      </c>
      <c r="R214" t="s">
        <v>937</v>
      </c>
      <c r="S214" t="s">
        <v>937</v>
      </c>
      <c r="T214" t="s">
        <v>936</v>
      </c>
      <c r="U214"/>
      <c r="V214"/>
      <c r="W214"/>
      <c r="X214" t="s">
        <v>937</v>
      </c>
      <c r="Y214" t="s">
        <v>2541</v>
      </c>
      <c r="Z214" t="s">
        <v>936</v>
      </c>
      <c r="AA214" t="s">
        <v>936</v>
      </c>
      <c r="AB214"/>
      <c r="AC214" t="s">
        <v>937</v>
      </c>
      <c r="AD214" t="s">
        <v>1552</v>
      </c>
      <c r="AE214" t="s">
        <v>937</v>
      </c>
      <c r="AF214" t="s">
        <v>2542</v>
      </c>
      <c r="AG214" t="s">
        <v>937</v>
      </c>
      <c r="AH214" t="s">
        <v>937</v>
      </c>
      <c r="AI214" t="s">
        <v>2257</v>
      </c>
      <c r="AJ214" t="s">
        <v>2543</v>
      </c>
      <c r="AK214" t="s">
        <v>937</v>
      </c>
      <c r="AL214" t="s">
        <v>937</v>
      </c>
      <c r="AM214" t="s">
        <v>936</v>
      </c>
      <c r="AN214" t="s">
        <v>938</v>
      </c>
      <c r="AO214" t="s">
        <v>936</v>
      </c>
      <c r="AP214" t="s">
        <v>937</v>
      </c>
      <c r="AQ214" t="s">
        <v>937</v>
      </c>
      <c r="AR214" t="s">
        <v>937</v>
      </c>
      <c r="AS214" t="s">
        <v>2261</v>
      </c>
      <c r="AT214" t="s">
        <v>937</v>
      </c>
      <c r="AU214" t="s">
        <v>1555</v>
      </c>
      <c r="AV214" t="s">
        <v>1057</v>
      </c>
      <c r="AW214" t="s">
        <v>2544</v>
      </c>
      <c r="AX214"/>
      <c r="AY214" t="s">
        <v>937</v>
      </c>
      <c r="AZ214" t="s">
        <v>2258</v>
      </c>
      <c r="BA214" t="s">
        <v>2545</v>
      </c>
      <c r="BB214" t="s">
        <v>938</v>
      </c>
      <c r="BC214" t="s">
        <v>937</v>
      </c>
      <c r="BD214" t="s">
        <v>936</v>
      </c>
      <c r="BE214" t="s">
        <v>937</v>
      </c>
      <c r="BF214" t="s">
        <v>1916</v>
      </c>
      <c r="BG214"/>
      <c r="BH214" t="s">
        <v>2262</v>
      </c>
      <c r="BI214" t="s">
        <v>937</v>
      </c>
      <c r="BJ214" t="s">
        <v>937</v>
      </c>
      <c r="BK214" t="s">
        <v>937</v>
      </c>
      <c r="BL214" t="s">
        <v>936</v>
      </c>
      <c r="BM214" t="s">
        <v>937</v>
      </c>
      <c r="BN214" t="s">
        <v>937</v>
      </c>
      <c r="BO214" t="s">
        <v>2546</v>
      </c>
      <c r="BP214"/>
      <c r="BQ214" t="s">
        <v>937</v>
      </c>
      <c r="BR214"/>
      <c r="BS214" t="s">
        <v>936</v>
      </c>
      <c r="BT214" t="s">
        <v>937</v>
      </c>
      <c r="BU214"/>
      <c r="BV214" s="558" t="s">
        <v>937</v>
      </c>
    </row>
    <row r="215" spans="1:74" s="553" customFormat="1" x14ac:dyDescent="0.3">
      <c r="A215">
        <v>964</v>
      </c>
      <c r="B215" t="s">
        <v>940</v>
      </c>
      <c r="C215"/>
      <c r="D215" t="s">
        <v>1988</v>
      </c>
      <c r="E215" t="s">
        <v>2415</v>
      </c>
      <c r="F215"/>
      <c r="G215"/>
      <c r="H215" t="s">
        <v>1993</v>
      </c>
      <c r="I215" t="s">
        <v>2547</v>
      </c>
      <c r="J215" t="s">
        <v>2020</v>
      </c>
      <c r="K215" t="s">
        <v>2548</v>
      </c>
      <c r="L215" t="s">
        <v>2007</v>
      </c>
      <c r="M215" t="s">
        <v>2007</v>
      </c>
      <c r="N215" t="s">
        <v>1972</v>
      </c>
      <c r="O215" t="s">
        <v>2549</v>
      </c>
      <c r="P215"/>
      <c r="Q215" t="s">
        <v>2006</v>
      </c>
      <c r="R215" t="s">
        <v>1995</v>
      </c>
      <c r="S215" t="s">
        <v>2550</v>
      </c>
      <c r="T215" t="s">
        <v>2001</v>
      </c>
      <c r="U215"/>
      <c r="V215"/>
      <c r="W215"/>
      <c r="X215" t="s">
        <v>1991</v>
      </c>
      <c r="Y215" t="s">
        <v>2551</v>
      </c>
      <c r="Z215" t="s">
        <v>2552</v>
      </c>
      <c r="AA215" t="s">
        <v>2415</v>
      </c>
      <c r="AB215"/>
      <c r="AC215" t="s">
        <v>2422</v>
      </c>
      <c r="AD215" t="s">
        <v>2553</v>
      </c>
      <c r="AE215" t="s">
        <v>2554</v>
      </c>
      <c r="AF215" t="s">
        <v>2555</v>
      </c>
      <c r="AG215" t="s">
        <v>2556</v>
      </c>
      <c r="AH215" t="s">
        <v>2554</v>
      </c>
      <c r="AI215" t="s">
        <v>2557</v>
      </c>
      <c r="AJ215" t="s">
        <v>2270</v>
      </c>
      <c r="AK215" t="s">
        <v>2004</v>
      </c>
      <c r="AL215" t="s">
        <v>2549</v>
      </c>
      <c r="AM215" t="s">
        <v>2558</v>
      </c>
      <c r="AN215" t="s">
        <v>1996</v>
      </c>
      <c r="AO215" t="s">
        <v>2548</v>
      </c>
      <c r="AP215" t="s">
        <v>2548</v>
      </c>
      <c r="AQ215" t="s">
        <v>2559</v>
      </c>
      <c r="AR215" t="s">
        <v>2560</v>
      </c>
      <c r="AS215" t="s">
        <v>1986</v>
      </c>
      <c r="AT215" t="s">
        <v>2561</v>
      </c>
      <c r="AU215" t="s">
        <v>2550</v>
      </c>
      <c r="AV215" t="s">
        <v>1989</v>
      </c>
      <c r="AW215" t="s">
        <v>2562</v>
      </c>
      <c r="AX215"/>
      <c r="AY215" t="s">
        <v>2554</v>
      </c>
      <c r="AZ215" t="s">
        <v>2563</v>
      </c>
      <c r="BA215" t="s">
        <v>2564</v>
      </c>
      <c r="BB215" t="s">
        <v>2565</v>
      </c>
      <c r="BC215" t="s">
        <v>2566</v>
      </c>
      <c r="BD215" t="s">
        <v>2567</v>
      </c>
      <c r="BE215" t="s">
        <v>2554</v>
      </c>
      <c r="BF215" t="s">
        <v>2001</v>
      </c>
      <c r="BG215"/>
      <c r="BH215" t="s">
        <v>2005</v>
      </c>
      <c r="BI215" t="s">
        <v>2561</v>
      </c>
      <c r="BJ215" t="s">
        <v>1995</v>
      </c>
      <c r="BK215" t="s">
        <v>2417</v>
      </c>
      <c r="BL215" t="s">
        <v>1990</v>
      </c>
      <c r="BM215" t="s">
        <v>2553</v>
      </c>
      <c r="BN215" t="s">
        <v>2568</v>
      </c>
      <c r="BO215" t="s">
        <v>2569</v>
      </c>
      <c r="BP215"/>
      <c r="BQ215" t="s">
        <v>2554</v>
      </c>
      <c r="BR215"/>
      <c r="BS215" t="s">
        <v>2570</v>
      </c>
      <c r="BT215" t="s">
        <v>1992</v>
      </c>
      <c r="BU215"/>
      <c r="BV215" s="553" t="s">
        <v>1997</v>
      </c>
    </row>
    <row r="216" spans="1:74" s="558" customFormat="1" x14ac:dyDescent="0.3">
      <c r="A216">
        <v>966</v>
      </c>
      <c r="B216" t="s">
        <v>941</v>
      </c>
      <c r="C216"/>
      <c r="D216" t="s">
        <v>2576</v>
      </c>
      <c r="E216" t="s">
        <v>2577</v>
      </c>
      <c r="F216"/>
      <c r="G216"/>
      <c r="H216" t="s">
        <v>2292</v>
      </c>
      <c r="I216" t="s">
        <v>2293</v>
      </c>
      <c r="J216" t="s">
        <v>2578</v>
      </c>
      <c r="K216" t="s">
        <v>2295</v>
      </c>
      <c r="L216" t="s">
        <v>2579</v>
      </c>
      <c r="M216" t="s">
        <v>2297</v>
      </c>
      <c r="N216" t="s">
        <v>2580</v>
      </c>
      <c r="O216" t="s">
        <v>2299</v>
      </c>
      <c r="P216"/>
      <c r="Q216" t="s">
        <v>2300</v>
      </c>
      <c r="R216" t="s">
        <v>2301</v>
      </c>
      <c r="S216" t="s">
        <v>2581</v>
      </c>
      <c r="T216" t="s">
        <v>2303</v>
      </c>
      <c r="U216"/>
      <c r="V216"/>
      <c r="W216"/>
      <c r="X216" t="s">
        <v>2305</v>
      </c>
      <c r="Y216" t="s">
        <v>2306</v>
      </c>
      <c r="Z216" t="s">
        <v>2582</v>
      </c>
      <c r="AA216" t="s">
        <v>2308</v>
      </c>
      <c r="AB216"/>
      <c r="AC216" t="s">
        <v>2310</v>
      </c>
      <c r="AD216" t="s">
        <v>2583</v>
      </c>
      <c r="AE216" t="s">
        <v>2312</v>
      </c>
      <c r="AF216" t="s">
        <v>2313</v>
      </c>
      <c r="AG216" t="s">
        <v>2314</v>
      </c>
      <c r="AH216" t="s">
        <v>2584</v>
      </c>
      <c r="AI216" t="s">
        <v>2316</v>
      </c>
      <c r="AJ216" t="s">
        <v>2317</v>
      </c>
      <c r="AK216" t="s">
        <v>2318</v>
      </c>
      <c r="AL216" t="s">
        <v>2319</v>
      </c>
      <c r="AM216" t="s">
        <v>2585</v>
      </c>
      <c r="AN216" t="s">
        <v>2321</v>
      </c>
      <c r="AO216" t="s">
        <v>2322</v>
      </c>
      <c r="AP216" t="s">
        <v>2586</v>
      </c>
      <c r="AQ216" t="s">
        <v>2324</v>
      </c>
      <c r="AR216" t="s">
        <v>2325</v>
      </c>
      <c r="AS216" t="s">
        <v>2326</v>
      </c>
      <c r="AT216" t="s">
        <v>2327</v>
      </c>
      <c r="AU216" t="s">
        <v>2328</v>
      </c>
      <c r="AV216" t="s">
        <v>2329</v>
      </c>
      <c r="AW216" t="s">
        <v>2330</v>
      </c>
      <c r="AX216"/>
      <c r="AY216" t="s">
        <v>2332</v>
      </c>
      <c r="AZ216" t="s">
        <v>2587</v>
      </c>
      <c r="BA216" t="s">
        <v>2334</v>
      </c>
      <c r="BB216" t="s">
        <v>2335</v>
      </c>
      <c r="BC216" t="s">
        <v>2336</v>
      </c>
      <c r="BD216" t="s">
        <v>2337</v>
      </c>
      <c r="BE216"/>
      <c r="BF216" t="s">
        <v>2338</v>
      </c>
      <c r="BG216"/>
      <c r="BH216" t="s">
        <v>2339</v>
      </c>
      <c r="BI216" t="s">
        <v>2340</v>
      </c>
      <c r="BJ216" t="s">
        <v>2588</v>
      </c>
      <c r="BK216" t="s">
        <v>2342</v>
      </c>
      <c r="BL216" t="s">
        <v>2343</v>
      </c>
      <c r="BM216" t="s">
        <v>2589</v>
      </c>
      <c r="BN216" t="s">
        <v>2590</v>
      </c>
      <c r="BO216" t="s">
        <v>2346</v>
      </c>
      <c r="BP216"/>
      <c r="BQ216" t="s">
        <v>2591</v>
      </c>
      <c r="BR216"/>
      <c r="BS216" t="s">
        <v>2348</v>
      </c>
      <c r="BT216" t="s">
        <v>2349</v>
      </c>
      <c r="BU216"/>
      <c r="BV216" s="558" t="s">
        <v>2350</v>
      </c>
    </row>
    <row r="217" spans="1:74" s="553" customFormat="1" x14ac:dyDescent="0.3">
      <c r="A217">
        <v>968</v>
      </c>
      <c r="B217" t="s">
        <v>942</v>
      </c>
      <c r="C217"/>
      <c r="D217" t="s">
        <v>2351</v>
      </c>
      <c r="E217" t="s">
        <v>2592</v>
      </c>
      <c r="F217"/>
      <c r="G217"/>
      <c r="H217" t="s">
        <v>2593</v>
      </c>
      <c r="I217" t="s">
        <v>2594</v>
      </c>
      <c r="J217" t="s">
        <v>2356</v>
      </c>
      <c r="K217" t="s">
        <v>2595</v>
      </c>
      <c r="L217" t="s">
        <v>2596</v>
      </c>
      <c r="M217" t="s">
        <v>2359</v>
      </c>
      <c r="N217" t="s">
        <v>2597</v>
      </c>
      <c r="O217" t="s">
        <v>2361</v>
      </c>
      <c r="P217"/>
      <c r="Q217" t="s">
        <v>2362</v>
      </c>
      <c r="R217" t="s">
        <v>2363</v>
      </c>
      <c r="S217" t="s">
        <v>2364</v>
      </c>
      <c r="T217" t="s">
        <v>2365</v>
      </c>
      <c r="U217"/>
      <c r="V217"/>
      <c r="W217"/>
      <c r="X217" t="s">
        <v>2367</v>
      </c>
      <c r="Y217" t="s">
        <v>2368</v>
      </c>
      <c r="Z217" t="s">
        <v>2598</v>
      </c>
      <c r="AA217" t="s">
        <v>2370</v>
      </c>
      <c r="AB217"/>
      <c r="AC217" t="s">
        <v>2372</v>
      </c>
      <c r="AD217" t="s">
        <v>2599</v>
      </c>
      <c r="AE217" t="s">
        <v>2374</v>
      </c>
      <c r="AF217" t="s">
        <v>2375</v>
      </c>
      <c r="AG217" t="s">
        <v>2376</v>
      </c>
      <c r="AH217" t="s">
        <v>2600</v>
      </c>
      <c r="AI217" t="s">
        <v>2601</v>
      </c>
      <c r="AJ217" t="s">
        <v>2602</v>
      </c>
      <c r="AK217" t="s">
        <v>2380</v>
      </c>
      <c r="AL217" t="s">
        <v>2603</v>
      </c>
      <c r="AM217" t="s">
        <v>2382</v>
      </c>
      <c r="AN217" t="s">
        <v>2604</v>
      </c>
      <c r="AO217" t="s">
        <v>2605</v>
      </c>
      <c r="AP217" t="s">
        <v>2385</v>
      </c>
      <c r="AQ217" t="s">
        <v>2386</v>
      </c>
      <c r="AR217" t="s">
        <v>2387</v>
      </c>
      <c r="AS217" t="s">
        <v>2388</v>
      </c>
      <c r="AT217" t="s">
        <v>2389</v>
      </c>
      <c r="AU217" t="s">
        <v>2606</v>
      </c>
      <c r="AV217" t="s">
        <v>2391</v>
      </c>
      <c r="AW217" t="s">
        <v>2392</v>
      </c>
      <c r="AX217"/>
      <c r="AY217" t="s">
        <v>2394</v>
      </c>
      <c r="AZ217" t="s">
        <v>2607</v>
      </c>
      <c r="BA217" t="s">
        <v>2396</v>
      </c>
      <c r="BB217" t="s">
        <v>2397</v>
      </c>
      <c r="BC217" t="s">
        <v>2608</v>
      </c>
      <c r="BD217" t="s">
        <v>2609</v>
      </c>
      <c r="BE217" t="s">
        <v>2400</v>
      </c>
      <c r="BF217" t="s">
        <v>2401</v>
      </c>
      <c r="BG217"/>
      <c r="BH217" t="s">
        <v>2402</v>
      </c>
      <c r="BI217" t="s">
        <v>2403</v>
      </c>
      <c r="BJ217" t="s">
        <v>2404</v>
      </c>
      <c r="BK217" t="s">
        <v>2405</v>
      </c>
      <c r="BL217" t="s">
        <v>2406</v>
      </c>
      <c r="BM217" t="s">
        <v>2407</v>
      </c>
      <c r="BN217" t="s">
        <v>2610</v>
      </c>
      <c r="BO217" t="s">
        <v>2409</v>
      </c>
      <c r="BP217"/>
      <c r="BQ217" t="s">
        <v>2611</v>
      </c>
      <c r="BR217"/>
      <c r="BS217" t="s">
        <v>2411</v>
      </c>
      <c r="BT217" t="s">
        <v>2412</v>
      </c>
      <c r="BU217"/>
      <c r="BV217" s="553" t="s">
        <v>2413</v>
      </c>
    </row>
    <row r="218" spans="1:74" x14ac:dyDescent="0.3">
      <c r="A218">
        <v>973</v>
      </c>
      <c r="B218" t="s">
        <v>2009</v>
      </c>
      <c r="D218">
        <v>0</v>
      </c>
      <c r="E218">
        <v>0</v>
      </c>
      <c r="H218">
        <v>0</v>
      </c>
      <c r="I218">
        <v>0</v>
      </c>
      <c r="J218">
        <v>0</v>
      </c>
      <c r="K218">
        <v>0</v>
      </c>
      <c r="L218">
        <v>0</v>
      </c>
      <c r="M218">
        <v>0</v>
      </c>
      <c r="N218">
        <v>0</v>
      </c>
      <c r="O218">
        <v>0</v>
      </c>
      <c r="Q218">
        <v>0</v>
      </c>
      <c r="R218">
        <v>0</v>
      </c>
      <c r="S218">
        <v>0</v>
      </c>
      <c r="T218">
        <v>0</v>
      </c>
      <c r="X218">
        <v>0</v>
      </c>
      <c r="Y218">
        <v>0</v>
      </c>
      <c r="Z218">
        <v>0</v>
      </c>
      <c r="AA218">
        <v>0</v>
      </c>
      <c r="AC218">
        <v>0</v>
      </c>
      <c r="AD218">
        <v>0</v>
      </c>
      <c r="AE218">
        <v>0</v>
      </c>
      <c r="AF218">
        <v>0</v>
      </c>
      <c r="AG218">
        <v>0</v>
      </c>
      <c r="AH218">
        <v>0</v>
      </c>
      <c r="AI218">
        <v>1</v>
      </c>
      <c r="AJ218">
        <v>0</v>
      </c>
      <c r="AK218">
        <v>0</v>
      </c>
      <c r="AL218">
        <v>0</v>
      </c>
      <c r="AM218">
        <v>0</v>
      </c>
      <c r="AN218">
        <v>0</v>
      </c>
      <c r="AO218">
        <v>0</v>
      </c>
      <c r="AP218">
        <v>0</v>
      </c>
      <c r="AQ218">
        <v>0</v>
      </c>
      <c r="AR218">
        <v>0</v>
      </c>
      <c r="AS218">
        <v>0</v>
      </c>
      <c r="AT218">
        <v>0</v>
      </c>
      <c r="AU218">
        <v>0</v>
      </c>
      <c r="AV218">
        <v>0</v>
      </c>
      <c r="AW218">
        <v>0</v>
      </c>
      <c r="AY218">
        <v>0</v>
      </c>
      <c r="AZ218">
        <v>0</v>
      </c>
      <c r="BA218">
        <v>0</v>
      </c>
      <c r="BB218">
        <v>0</v>
      </c>
      <c r="BC218">
        <v>0</v>
      </c>
      <c r="BD218">
        <v>0</v>
      </c>
      <c r="BE218">
        <v>0</v>
      </c>
      <c r="BF218">
        <v>0</v>
      </c>
      <c r="BH218">
        <v>0</v>
      </c>
      <c r="BI218">
        <v>0</v>
      </c>
      <c r="BJ218">
        <v>0</v>
      </c>
      <c r="BK218">
        <v>0</v>
      </c>
      <c r="BL218">
        <v>0</v>
      </c>
      <c r="BM218">
        <v>0</v>
      </c>
      <c r="BN218">
        <v>0</v>
      </c>
      <c r="BO218">
        <v>0</v>
      </c>
      <c r="BQ218">
        <v>0</v>
      </c>
      <c r="BS218">
        <v>0</v>
      </c>
      <c r="BT218">
        <v>0</v>
      </c>
      <c r="BV218" s="180">
        <v>0</v>
      </c>
    </row>
    <row r="219" spans="1:74" x14ac:dyDescent="0.3">
      <c r="A219">
        <v>974</v>
      </c>
      <c r="B219" t="s">
        <v>943</v>
      </c>
      <c r="D219">
        <v>3</v>
      </c>
      <c r="E219">
        <v>2</v>
      </c>
      <c r="H219">
        <v>3</v>
      </c>
      <c r="I219">
        <v>3</v>
      </c>
      <c r="J219">
        <v>3</v>
      </c>
      <c r="K219">
        <v>3</v>
      </c>
      <c r="L219">
        <v>2</v>
      </c>
      <c r="M219">
        <v>2</v>
      </c>
      <c r="N219">
        <v>2</v>
      </c>
      <c r="O219">
        <v>2</v>
      </c>
      <c r="Q219">
        <v>3</v>
      </c>
      <c r="R219">
        <v>2</v>
      </c>
      <c r="S219">
        <v>2</v>
      </c>
      <c r="T219">
        <v>2</v>
      </c>
      <c r="X219">
        <v>2</v>
      </c>
      <c r="Y219">
        <v>2</v>
      </c>
      <c r="Z219">
        <v>2</v>
      </c>
      <c r="AA219">
        <v>2</v>
      </c>
      <c r="AC219">
        <v>2</v>
      </c>
      <c r="AD219">
        <v>2</v>
      </c>
      <c r="AE219">
        <v>2</v>
      </c>
      <c r="AF219">
        <v>2</v>
      </c>
      <c r="AG219">
        <v>3</v>
      </c>
      <c r="AH219">
        <v>3</v>
      </c>
      <c r="AI219">
        <v>3</v>
      </c>
      <c r="AJ219">
        <v>2</v>
      </c>
      <c r="AK219">
        <v>3</v>
      </c>
      <c r="AL219">
        <v>2</v>
      </c>
      <c r="AM219">
        <v>2</v>
      </c>
      <c r="AN219">
        <v>3</v>
      </c>
      <c r="AO219">
        <v>2</v>
      </c>
      <c r="AP219">
        <v>2</v>
      </c>
      <c r="AQ219">
        <v>3</v>
      </c>
      <c r="AR219">
        <v>2</v>
      </c>
      <c r="AS219">
        <v>2</v>
      </c>
      <c r="AT219">
        <v>2</v>
      </c>
      <c r="AU219">
        <v>2</v>
      </c>
      <c r="AV219">
        <v>2</v>
      </c>
      <c r="AW219">
        <v>2</v>
      </c>
      <c r="AY219">
        <v>3</v>
      </c>
      <c r="AZ219">
        <v>2</v>
      </c>
      <c r="BA219">
        <v>3</v>
      </c>
      <c r="BB219">
        <v>3</v>
      </c>
      <c r="BC219">
        <v>2</v>
      </c>
      <c r="BD219">
        <v>2</v>
      </c>
      <c r="BE219">
        <v>2</v>
      </c>
      <c r="BF219">
        <v>2</v>
      </c>
      <c r="BH219">
        <v>3</v>
      </c>
      <c r="BI219">
        <v>2</v>
      </c>
      <c r="BJ219">
        <v>2</v>
      </c>
      <c r="BK219">
        <v>2</v>
      </c>
      <c r="BL219">
        <v>2</v>
      </c>
      <c r="BM219">
        <v>2</v>
      </c>
      <c r="BN219">
        <v>2</v>
      </c>
      <c r="BO219">
        <v>2</v>
      </c>
      <c r="BQ219">
        <v>2</v>
      </c>
      <c r="BS219">
        <v>2</v>
      </c>
      <c r="BT219">
        <v>2</v>
      </c>
      <c r="BV219" s="180">
        <v>2</v>
      </c>
    </row>
    <row r="220" spans="1:74" x14ac:dyDescent="0.3">
      <c r="A220">
        <v>975</v>
      </c>
      <c r="B220" t="s">
        <v>1884</v>
      </c>
      <c r="D220">
        <v>1</v>
      </c>
      <c r="E220">
        <v>2</v>
      </c>
      <c r="H220">
        <v>1</v>
      </c>
      <c r="I220">
        <v>1</v>
      </c>
      <c r="J220">
        <v>1</v>
      </c>
      <c r="K220">
        <v>2</v>
      </c>
      <c r="L220">
        <v>1</v>
      </c>
      <c r="M220">
        <v>1</v>
      </c>
      <c r="N220">
        <v>1</v>
      </c>
      <c r="O220">
        <v>1</v>
      </c>
      <c r="Q220">
        <v>1</v>
      </c>
      <c r="R220">
        <v>2</v>
      </c>
      <c r="S220">
        <v>1</v>
      </c>
      <c r="T220">
        <v>2</v>
      </c>
      <c r="X220">
        <v>1</v>
      </c>
      <c r="Y220">
        <v>2</v>
      </c>
      <c r="Z220">
        <v>1</v>
      </c>
      <c r="AA220">
        <v>2</v>
      </c>
      <c r="AC220">
        <v>1</v>
      </c>
      <c r="AD220">
        <v>2</v>
      </c>
      <c r="AE220">
        <v>1</v>
      </c>
      <c r="AF220">
        <v>1</v>
      </c>
      <c r="AG220">
        <v>1</v>
      </c>
      <c r="AH220">
        <v>1</v>
      </c>
      <c r="AI220">
        <v>1</v>
      </c>
      <c r="AJ220">
        <v>1</v>
      </c>
      <c r="AK220">
        <v>1</v>
      </c>
      <c r="AL220">
        <v>2</v>
      </c>
      <c r="AM220">
        <v>1</v>
      </c>
      <c r="AN220">
        <v>1</v>
      </c>
      <c r="AO220">
        <v>1</v>
      </c>
      <c r="AP220">
        <v>1</v>
      </c>
      <c r="AQ220">
        <v>1</v>
      </c>
      <c r="AR220">
        <v>1</v>
      </c>
      <c r="AS220">
        <v>2</v>
      </c>
      <c r="AT220">
        <v>1</v>
      </c>
      <c r="AU220">
        <v>2</v>
      </c>
      <c r="AV220">
        <v>1</v>
      </c>
      <c r="AW220">
        <v>1</v>
      </c>
      <c r="AY220">
        <v>2</v>
      </c>
      <c r="AZ220">
        <v>1</v>
      </c>
      <c r="BA220">
        <v>1</v>
      </c>
      <c r="BB220">
        <v>2</v>
      </c>
      <c r="BC220">
        <v>1</v>
      </c>
      <c r="BD220">
        <v>1</v>
      </c>
      <c r="BE220">
        <v>1</v>
      </c>
      <c r="BF220">
        <v>1</v>
      </c>
      <c r="BH220">
        <v>1</v>
      </c>
      <c r="BI220">
        <v>1</v>
      </c>
      <c r="BJ220">
        <v>2</v>
      </c>
      <c r="BK220">
        <v>1</v>
      </c>
      <c r="BL220">
        <v>2</v>
      </c>
      <c r="BM220">
        <v>2</v>
      </c>
      <c r="BN220">
        <v>1</v>
      </c>
      <c r="BO220">
        <v>1</v>
      </c>
      <c r="BQ220">
        <v>2</v>
      </c>
      <c r="BS220">
        <v>1</v>
      </c>
      <c r="BT220">
        <v>1</v>
      </c>
      <c r="BV220" s="180">
        <v>1</v>
      </c>
    </row>
    <row r="221" spans="1:74" x14ac:dyDescent="0.3">
      <c r="A221">
        <v>980</v>
      </c>
      <c r="B221" t="s">
        <v>583</v>
      </c>
      <c r="D221" t="s">
        <v>1974</v>
      </c>
      <c r="E221" t="s">
        <v>2016</v>
      </c>
      <c r="H221" t="s">
        <v>1917</v>
      </c>
      <c r="I221" t="s">
        <v>2612</v>
      </c>
      <c r="J221" t="s">
        <v>2012</v>
      </c>
      <c r="K221" t="s">
        <v>2016</v>
      </c>
      <c r="L221" t="s">
        <v>2014</v>
      </c>
      <c r="M221" t="s">
        <v>2021</v>
      </c>
      <c r="N221" t="s">
        <v>2003</v>
      </c>
      <c r="O221" t="s">
        <v>2048</v>
      </c>
      <c r="Q221" t="s">
        <v>2613</v>
      </c>
      <c r="R221" t="s">
        <v>2016</v>
      </c>
      <c r="S221" t="s">
        <v>2018</v>
      </c>
      <c r="T221" t="s">
        <v>2016</v>
      </c>
      <c r="X221" t="s">
        <v>1982</v>
      </c>
      <c r="Y221" t="s">
        <v>1974</v>
      </c>
      <c r="Z221" t="s">
        <v>2614</v>
      </c>
      <c r="AA221" t="s">
        <v>2016</v>
      </c>
      <c r="AC221" t="s">
        <v>1969</v>
      </c>
      <c r="AD221" t="s">
        <v>2572</v>
      </c>
      <c r="AE221" t="s">
        <v>2015</v>
      </c>
      <c r="AF221" t="s">
        <v>1971</v>
      </c>
      <c r="AG221" t="s">
        <v>2615</v>
      </c>
      <c r="AH221" t="s">
        <v>2000</v>
      </c>
      <c r="AI221" t="s">
        <v>2011</v>
      </c>
      <c r="AJ221" t="s">
        <v>2614</v>
      </c>
      <c r="AK221" t="s">
        <v>1989</v>
      </c>
      <c r="AL221" t="s">
        <v>2016</v>
      </c>
      <c r="AM221" t="s">
        <v>2616</v>
      </c>
      <c r="AN221" t="s">
        <v>1970</v>
      </c>
      <c r="AO221" t="s">
        <v>2014</v>
      </c>
      <c r="AP221" t="s">
        <v>2000</v>
      </c>
      <c r="AQ221" t="s">
        <v>2617</v>
      </c>
      <c r="AR221" t="s">
        <v>2618</v>
      </c>
      <c r="AS221" t="s">
        <v>2016</v>
      </c>
      <c r="AT221" t="s">
        <v>2575</v>
      </c>
      <c r="AU221" t="s">
        <v>2016</v>
      </c>
      <c r="AV221" t="s">
        <v>2569</v>
      </c>
      <c r="AW221" t="s">
        <v>2556</v>
      </c>
      <c r="AY221" t="s">
        <v>1917</v>
      </c>
      <c r="AZ221" t="s">
        <v>2571</v>
      </c>
      <c r="BA221" t="s">
        <v>1994</v>
      </c>
      <c r="BB221" t="s">
        <v>2016</v>
      </c>
      <c r="BC221" t="s">
        <v>2572</v>
      </c>
      <c r="BD221" t="s">
        <v>2548</v>
      </c>
      <c r="BE221" t="s">
        <v>1974</v>
      </c>
      <c r="BF221" t="s">
        <v>1993</v>
      </c>
      <c r="BH221" t="s">
        <v>2011</v>
      </c>
      <c r="BI221" t="s">
        <v>1969</v>
      </c>
      <c r="BJ221" t="s">
        <v>2017</v>
      </c>
      <c r="BK221" t="s">
        <v>2417</v>
      </c>
      <c r="BL221" t="s">
        <v>2016</v>
      </c>
      <c r="BM221" t="s">
        <v>2574</v>
      </c>
      <c r="BN221" t="s">
        <v>2010</v>
      </c>
      <c r="BO221" t="s">
        <v>2008</v>
      </c>
      <c r="BQ221" t="s">
        <v>2007</v>
      </c>
      <c r="BS221" t="s">
        <v>2559</v>
      </c>
      <c r="BT221" t="s">
        <v>2046</v>
      </c>
      <c r="BV221" s="180" t="s">
        <v>1995</v>
      </c>
    </row>
    <row r="222" spans="1:74" x14ac:dyDescent="0.3">
      <c r="A222">
        <v>984</v>
      </c>
      <c r="B222" t="s">
        <v>945</v>
      </c>
      <c r="D222">
        <v>2861774</v>
      </c>
      <c r="E222">
        <v>315668151</v>
      </c>
      <c r="H222">
        <v>1578963</v>
      </c>
      <c r="I222">
        <v>1844</v>
      </c>
      <c r="J222">
        <v>115407</v>
      </c>
      <c r="K222">
        <v>0</v>
      </c>
      <c r="L222">
        <v>1319987</v>
      </c>
      <c r="M222">
        <v>9358986</v>
      </c>
      <c r="N222">
        <v>13834</v>
      </c>
      <c r="O222">
        <v>255156</v>
      </c>
      <c r="Q222">
        <v>187615</v>
      </c>
      <c r="R222">
        <v>842588</v>
      </c>
      <c r="S222">
        <v>833878</v>
      </c>
      <c r="T222">
        <v>8575866</v>
      </c>
      <c r="X222">
        <v>4031965</v>
      </c>
      <c r="Y222">
        <v>982096</v>
      </c>
      <c r="Z222">
        <v>30921202</v>
      </c>
      <c r="AA222">
        <v>6806161</v>
      </c>
      <c r="AC222">
        <v>153654</v>
      </c>
      <c r="AD222">
        <v>573270</v>
      </c>
      <c r="AE222">
        <v>607516</v>
      </c>
      <c r="AF222">
        <v>139910</v>
      </c>
      <c r="AG222">
        <v>415175</v>
      </c>
      <c r="AH222">
        <v>5350235</v>
      </c>
      <c r="AI222">
        <v>27872</v>
      </c>
      <c r="AJ222">
        <v>1577299</v>
      </c>
      <c r="AK222">
        <v>105642</v>
      </c>
      <c r="AL222">
        <v>175407</v>
      </c>
      <c r="AM222">
        <v>2452142</v>
      </c>
      <c r="AN222">
        <v>112578</v>
      </c>
      <c r="AO222">
        <v>24232251</v>
      </c>
      <c r="AP222">
        <v>977216</v>
      </c>
      <c r="AQ222">
        <v>49776</v>
      </c>
      <c r="AR222">
        <v>73885</v>
      </c>
      <c r="AS222">
        <v>19740543</v>
      </c>
      <c r="AT222">
        <v>145830</v>
      </c>
      <c r="AU222">
        <v>588391</v>
      </c>
      <c r="AV222">
        <v>778198</v>
      </c>
      <c r="AW222">
        <v>130339</v>
      </c>
      <c r="AY222">
        <v>194440</v>
      </c>
      <c r="AZ222">
        <v>3451011</v>
      </c>
      <c r="BA222">
        <v>1143798</v>
      </c>
      <c r="BB222">
        <v>15946</v>
      </c>
      <c r="BC222">
        <v>224268</v>
      </c>
      <c r="BD222">
        <v>2691914</v>
      </c>
      <c r="BE222">
        <v>470677</v>
      </c>
      <c r="BF222">
        <v>14024256</v>
      </c>
      <c r="BH222">
        <v>119603</v>
      </c>
      <c r="BI222">
        <v>140888</v>
      </c>
      <c r="BJ222">
        <v>8098886</v>
      </c>
      <c r="BK222">
        <v>448640</v>
      </c>
      <c r="BL222">
        <v>12224926</v>
      </c>
      <c r="BM222">
        <v>4343284</v>
      </c>
      <c r="BN222">
        <v>4569573</v>
      </c>
      <c r="BO222">
        <v>711611</v>
      </c>
      <c r="BQ222">
        <v>1739054</v>
      </c>
      <c r="BS222">
        <v>1636910</v>
      </c>
      <c r="BT222">
        <v>628069</v>
      </c>
      <c r="BV222" s="180">
        <v>1582193</v>
      </c>
    </row>
    <row r="223" spans="1:74" s="553" customFormat="1" x14ac:dyDescent="0.3">
      <c r="A223">
        <v>985</v>
      </c>
      <c r="B223" t="s">
        <v>946</v>
      </c>
      <c r="C223"/>
      <c r="D223">
        <v>2879693</v>
      </c>
      <c r="E223">
        <v>313036000</v>
      </c>
      <c r="F223"/>
      <c r="G223"/>
      <c r="H223">
        <v>1455000</v>
      </c>
      <c r="I223">
        <v>2353</v>
      </c>
      <c r="J223">
        <v>85000</v>
      </c>
      <c r="K223">
        <v>0</v>
      </c>
      <c r="L223">
        <v>1277000</v>
      </c>
      <c r="M223">
        <v>8858600</v>
      </c>
      <c r="N223">
        <v>2600</v>
      </c>
      <c r="O223">
        <v>250300</v>
      </c>
      <c r="P223"/>
      <c r="Q223">
        <v>179000</v>
      </c>
      <c r="R223">
        <v>797000</v>
      </c>
      <c r="S223">
        <v>814010</v>
      </c>
      <c r="T223">
        <v>8272507</v>
      </c>
      <c r="U223"/>
      <c r="V223"/>
      <c r="W223"/>
      <c r="X223">
        <v>4029360</v>
      </c>
      <c r="Y223">
        <v>950000</v>
      </c>
      <c r="Z223">
        <v>29275000</v>
      </c>
      <c r="AA223">
        <v>6670000</v>
      </c>
      <c r="AB223"/>
      <c r="AC223">
        <v>178000</v>
      </c>
      <c r="AD223">
        <v>556685</v>
      </c>
      <c r="AE223">
        <v>511769</v>
      </c>
      <c r="AF223">
        <v>115000</v>
      </c>
      <c r="AG223">
        <v>494700</v>
      </c>
      <c r="AH223">
        <v>5244960</v>
      </c>
      <c r="AI223">
        <v>26800</v>
      </c>
      <c r="AJ223">
        <v>1529879</v>
      </c>
      <c r="AK223">
        <v>104682</v>
      </c>
      <c r="AL223">
        <v>163000</v>
      </c>
      <c r="AM223">
        <v>2406194</v>
      </c>
      <c r="AN223">
        <v>114020</v>
      </c>
      <c r="AO223">
        <v>23453199</v>
      </c>
      <c r="AP223">
        <v>969800</v>
      </c>
      <c r="AQ223">
        <v>49236</v>
      </c>
      <c r="AR223">
        <v>60084</v>
      </c>
      <c r="AS223">
        <v>18874256</v>
      </c>
      <c r="AT223">
        <v>145087</v>
      </c>
      <c r="AU223">
        <v>529750</v>
      </c>
      <c r="AV223">
        <v>743100</v>
      </c>
      <c r="AW223">
        <v>111360</v>
      </c>
      <c r="AX223"/>
      <c r="AY223">
        <v>196100</v>
      </c>
      <c r="AZ223">
        <v>3315134</v>
      </c>
      <c r="BA223">
        <v>1122231</v>
      </c>
      <c r="BB223">
        <v>16200</v>
      </c>
      <c r="BC223">
        <v>216600</v>
      </c>
      <c r="BD223">
        <v>2602948</v>
      </c>
      <c r="BE223">
        <v>440120</v>
      </c>
      <c r="BF223">
        <v>13615000</v>
      </c>
      <c r="BG223"/>
      <c r="BH223">
        <v>125000</v>
      </c>
      <c r="BI223">
        <v>142000</v>
      </c>
      <c r="BJ223">
        <v>7585000</v>
      </c>
      <c r="BK223">
        <v>435757</v>
      </c>
      <c r="BL223">
        <v>11760222</v>
      </c>
      <c r="BM223">
        <v>4269803</v>
      </c>
      <c r="BN223">
        <v>4389272</v>
      </c>
      <c r="BO223">
        <v>658700</v>
      </c>
      <c r="BP223"/>
      <c r="BQ223">
        <v>1700161</v>
      </c>
      <c r="BR223"/>
      <c r="BS223">
        <v>1642200</v>
      </c>
      <c r="BT223">
        <v>616000</v>
      </c>
      <c r="BU223"/>
      <c r="BV223" s="553">
        <v>1547500</v>
      </c>
    </row>
    <row r="224" spans="1:74" s="553" customFormat="1" x14ac:dyDescent="0.3">
      <c r="A224">
        <v>986</v>
      </c>
      <c r="B224" t="s">
        <v>584</v>
      </c>
      <c r="C224"/>
      <c r="D224">
        <v>0</v>
      </c>
      <c r="E224">
        <v>0</v>
      </c>
      <c r="F224"/>
      <c r="G224"/>
      <c r="H224">
        <v>0</v>
      </c>
      <c r="I224">
        <v>0</v>
      </c>
      <c r="J224">
        <v>0</v>
      </c>
      <c r="K224">
        <v>0</v>
      </c>
      <c r="L224">
        <v>0</v>
      </c>
      <c r="M224">
        <v>0</v>
      </c>
      <c r="N224">
        <v>0</v>
      </c>
      <c r="O224">
        <v>54305</v>
      </c>
      <c r="P224"/>
      <c r="Q224">
        <v>0</v>
      </c>
      <c r="R224">
        <v>0</v>
      </c>
      <c r="S224">
        <v>0</v>
      </c>
      <c r="T224">
        <v>0</v>
      </c>
      <c r="U224"/>
      <c r="V224"/>
      <c r="W224"/>
      <c r="X224">
        <v>0</v>
      </c>
      <c r="Y224">
        <v>0</v>
      </c>
      <c r="Z224">
        <v>0</v>
      </c>
      <c r="AA224">
        <v>0</v>
      </c>
      <c r="AB224"/>
      <c r="AC224">
        <v>0</v>
      </c>
      <c r="AD224">
        <v>0</v>
      </c>
      <c r="AE224">
        <v>0</v>
      </c>
      <c r="AF224">
        <v>0</v>
      </c>
      <c r="AG224">
        <v>0</v>
      </c>
      <c r="AH224">
        <v>0</v>
      </c>
      <c r="AI224">
        <v>0</v>
      </c>
      <c r="AJ224">
        <v>0</v>
      </c>
      <c r="AK224">
        <v>0</v>
      </c>
      <c r="AL224">
        <v>0</v>
      </c>
      <c r="AM224">
        <v>0</v>
      </c>
      <c r="AN224">
        <v>0</v>
      </c>
      <c r="AO224">
        <v>0</v>
      </c>
      <c r="AP224">
        <v>0</v>
      </c>
      <c r="AQ224">
        <v>0</v>
      </c>
      <c r="AR224">
        <v>0</v>
      </c>
      <c r="AS224">
        <v>649600</v>
      </c>
      <c r="AT224">
        <v>0</v>
      </c>
      <c r="AU224">
        <v>0</v>
      </c>
      <c r="AV224">
        <v>0</v>
      </c>
      <c r="AW224">
        <v>0</v>
      </c>
      <c r="AX224"/>
      <c r="AY224">
        <v>0</v>
      </c>
      <c r="AZ224">
        <v>0</v>
      </c>
      <c r="BA224">
        <v>0</v>
      </c>
      <c r="BB224">
        <v>0</v>
      </c>
      <c r="BC224">
        <v>29825</v>
      </c>
      <c r="BD224">
        <v>286974</v>
      </c>
      <c r="BE224">
        <v>0</v>
      </c>
      <c r="BF224">
        <v>0</v>
      </c>
      <c r="BG224"/>
      <c r="BH224">
        <v>0</v>
      </c>
      <c r="BI224">
        <v>0</v>
      </c>
      <c r="BJ224">
        <v>0</v>
      </c>
      <c r="BK224">
        <v>100935</v>
      </c>
      <c r="BL224">
        <v>753522</v>
      </c>
      <c r="BM224">
        <v>0</v>
      </c>
      <c r="BN224">
        <v>0</v>
      </c>
      <c r="BO224">
        <v>0</v>
      </c>
      <c r="BP224"/>
      <c r="BQ224">
        <v>0</v>
      </c>
      <c r="BR224"/>
      <c r="BS224">
        <v>88830</v>
      </c>
      <c r="BT224">
        <v>0</v>
      </c>
      <c r="BU224"/>
      <c r="BV224" s="553">
        <v>364106</v>
      </c>
    </row>
    <row r="225" spans="1:74" s="553" customFormat="1" x14ac:dyDescent="0.3">
      <c r="A225">
        <v>987</v>
      </c>
      <c r="B225" t="s">
        <v>947</v>
      </c>
      <c r="C225"/>
      <c r="D225">
        <v>0</v>
      </c>
      <c r="E225">
        <v>0</v>
      </c>
      <c r="F225"/>
      <c r="G225"/>
      <c r="H225">
        <v>0</v>
      </c>
      <c r="I225">
        <v>0</v>
      </c>
      <c r="J225">
        <v>0</v>
      </c>
      <c r="K225">
        <v>0</v>
      </c>
      <c r="L225">
        <v>0</v>
      </c>
      <c r="M225">
        <v>0</v>
      </c>
      <c r="N225">
        <v>0</v>
      </c>
      <c r="O225">
        <v>0</v>
      </c>
      <c r="P225"/>
      <c r="Q225">
        <v>0</v>
      </c>
      <c r="R225">
        <v>0</v>
      </c>
      <c r="S225">
        <v>0</v>
      </c>
      <c r="T225">
        <v>0</v>
      </c>
      <c r="U225"/>
      <c r="V225"/>
      <c r="W225"/>
      <c r="X225">
        <v>0</v>
      </c>
      <c r="Y225">
        <v>0</v>
      </c>
      <c r="Z225">
        <v>0</v>
      </c>
      <c r="AA225">
        <v>0</v>
      </c>
      <c r="AB225"/>
      <c r="AC225">
        <v>0</v>
      </c>
      <c r="AD225">
        <v>0</v>
      </c>
      <c r="AE225">
        <v>0</v>
      </c>
      <c r="AF225">
        <v>0</v>
      </c>
      <c r="AG225">
        <v>0</v>
      </c>
      <c r="AH225">
        <v>0</v>
      </c>
      <c r="AI225">
        <v>0</v>
      </c>
      <c r="AJ225">
        <v>0</v>
      </c>
      <c r="AK225">
        <v>0</v>
      </c>
      <c r="AL225">
        <v>0</v>
      </c>
      <c r="AM225">
        <v>0</v>
      </c>
      <c r="AN225">
        <v>0</v>
      </c>
      <c r="AO225">
        <v>0</v>
      </c>
      <c r="AP225">
        <v>0</v>
      </c>
      <c r="AQ225">
        <v>0</v>
      </c>
      <c r="AR225">
        <v>0</v>
      </c>
      <c r="AS225">
        <v>0</v>
      </c>
      <c r="AT225">
        <v>0</v>
      </c>
      <c r="AU225">
        <v>0</v>
      </c>
      <c r="AV225">
        <v>0</v>
      </c>
      <c r="AW225">
        <v>0</v>
      </c>
      <c r="AX225"/>
      <c r="AY225">
        <v>0</v>
      </c>
      <c r="AZ225">
        <v>0</v>
      </c>
      <c r="BA225">
        <v>0</v>
      </c>
      <c r="BB225">
        <v>0</v>
      </c>
      <c r="BC225">
        <v>0</v>
      </c>
      <c r="BD225">
        <v>0</v>
      </c>
      <c r="BE225">
        <v>0</v>
      </c>
      <c r="BF225">
        <v>0</v>
      </c>
      <c r="BG225"/>
      <c r="BH225">
        <v>0</v>
      </c>
      <c r="BI225">
        <v>0</v>
      </c>
      <c r="BJ225">
        <v>0</v>
      </c>
      <c r="BK225">
        <v>0</v>
      </c>
      <c r="BL225">
        <v>0</v>
      </c>
      <c r="BM225">
        <v>0</v>
      </c>
      <c r="BN225">
        <v>0</v>
      </c>
      <c r="BO225">
        <v>0</v>
      </c>
      <c r="BP225"/>
      <c r="BQ225">
        <v>0</v>
      </c>
      <c r="BR225"/>
      <c r="BS225">
        <v>0</v>
      </c>
      <c r="BT225">
        <v>0</v>
      </c>
      <c r="BU225"/>
      <c r="BV225" s="553">
        <v>0</v>
      </c>
    </row>
    <row r="226" spans="1:74" s="553" customFormat="1" x14ac:dyDescent="0.3">
      <c r="A226">
        <v>988</v>
      </c>
      <c r="B226" t="s">
        <v>948</v>
      </c>
      <c r="C226"/>
      <c r="D226">
        <v>2</v>
      </c>
      <c r="E226">
        <v>2</v>
      </c>
      <c r="F226"/>
      <c r="G226"/>
      <c r="H226">
        <v>2</v>
      </c>
      <c r="I226">
        <v>2</v>
      </c>
      <c r="J226">
        <v>2</v>
      </c>
      <c r="K226">
        <v>2</v>
      </c>
      <c r="L226">
        <v>2</v>
      </c>
      <c r="M226">
        <v>2</v>
      </c>
      <c r="N226">
        <v>2</v>
      </c>
      <c r="O226">
        <v>2</v>
      </c>
      <c r="P226"/>
      <c r="Q226">
        <v>0</v>
      </c>
      <c r="R226">
        <v>2</v>
      </c>
      <c r="S226">
        <v>2</v>
      </c>
      <c r="T226">
        <v>2</v>
      </c>
      <c r="U226"/>
      <c r="V226"/>
      <c r="W226"/>
      <c r="X226">
        <v>2</v>
      </c>
      <c r="Y226">
        <v>2</v>
      </c>
      <c r="Z226">
        <v>2</v>
      </c>
      <c r="AA226">
        <v>2</v>
      </c>
      <c r="AB226"/>
      <c r="AC226">
        <v>2</v>
      </c>
      <c r="AD226">
        <v>2</v>
      </c>
      <c r="AE226">
        <v>2</v>
      </c>
      <c r="AF226">
        <v>2</v>
      </c>
      <c r="AG226">
        <v>2</v>
      </c>
      <c r="AH226">
        <v>2</v>
      </c>
      <c r="AI226">
        <v>2</v>
      </c>
      <c r="AJ226">
        <v>2</v>
      </c>
      <c r="AK226">
        <v>2</v>
      </c>
      <c r="AL226">
        <v>2</v>
      </c>
      <c r="AM226">
        <v>2</v>
      </c>
      <c r="AN226">
        <v>2</v>
      </c>
      <c r="AO226">
        <v>2</v>
      </c>
      <c r="AP226">
        <v>2</v>
      </c>
      <c r="AQ226">
        <v>2</v>
      </c>
      <c r="AR226">
        <v>2</v>
      </c>
      <c r="AS226">
        <v>2</v>
      </c>
      <c r="AT226">
        <v>2</v>
      </c>
      <c r="AU226">
        <v>2</v>
      </c>
      <c r="AV226">
        <v>2</v>
      </c>
      <c r="AW226">
        <v>2</v>
      </c>
      <c r="AX226"/>
      <c r="AY226">
        <v>2</v>
      </c>
      <c r="AZ226">
        <v>2</v>
      </c>
      <c r="BA226">
        <v>2</v>
      </c>
      <c r="BB226">
        <v>2</v>
      </c>
      <c r="BC226">
        <v>2</v>
      </c>
      <c r="BD226">
        <v>2</v>
      </c>
      <c r="BE226">
        <v>2</v>
      </c>
      <c r="BF226">
        <v>2</v>
      </c>
      <c r="BG226"/>
      <c r="BH226">
        <v>2</v>
      </c>
      <c r="BI226">
        <v>2</v>
      </c>
      <c r="BJ226">
        <v>2</v>
      </c>
      <c r="BK226">
        <v>2</v>
      </c>
      <c r="BL226">
        <v>2</v>
      </c>
      <c r="BM226">
        <v>2</v>
      </c>
      <c r="BN226">
        <v>2</v>
      </c>
      <c r="BO226">
        <v>2</v>
      </c>
      <c r="BP226"/>
      <c r="BQ226">
        <v>2</v>
      </c>
      <c r="BR226"/>
      <c r="BS226">
        <v>2</v>
      </c>
      <c r="BT226">
        <v>2</v>
      </c>
      <c r="BU226"/>
      <c r="BV226" s="553">
        <v>2</v>
      </c>
    </row>
    <row r="227" spans="1:74" x14ac:dyDescent="0.3">
      <c r="A227">
        <v>989</v>
      </c>
      <c r="B227" t="s">
        <v>949</v>
      </c>
      <c r="D227">
        <v>3</v>
      </c>
      <c r="E227">
        <v>3</v>
      </c>
      <c r="H227">
        <v>3</v>
      </c>
      <c r="I227">
        <v>3</v>
      </c>
      <c r="J227">
        <v>3</v>
      </c>
      <c r="K227">
        <v>3</v>
      </c>
      <c r="L227">
        <v>3</v>
      </c>
      <c r="M227">
        <v>3</v>
      </c>
      <c r="N227">
        <v>3</v>
      </c>
      <c r="O227">
        <v>0</v>
      </c>
      <c r="Q227">
        <v>0</v>
      </c>
      <c r="R227">
        <v>3</v>
      </c>
      <c r="S227">
        <v>0</v>
      </c>
      <c r="T227">
        <v>3</v>
      </c>
      <c r="X227">
        <v>0</v>
      </c>
      <c r="Y227">
        <v>3</v>
      </c>
      <c r="Z227">
        <v>3</v>
      </c>
      <c r="AA227">
        <v>3</v>
      </c>
      <c r="AC227">
        <v>3</v>
      </c>
      <c r="AD227">
        <v>3</v>
      </c>
      <c r="AE227">
        <v>3</v>
      </c>
      <c r="AF227">
        <v>3</v>
      </c>
      <c r="AG227">
        <v>3</v>
      </c>
      <c r="AH227">
        <v>3</v>
      </c>
      <c r="AI227">
        <v>3</v>
      </c>
      <c r="AJ227">
        <v>3</v>
      </c>
      <c r="AK227">
        <v>3</v>
      </c>
      <c r="AL227">
        <v>0</v>
      </c>
      <c r="AM227">
        <v>3</v>
      </c>
      <c r="AN227">
        <v>3</v>
      </c>
      <c r="AO227">
        <v>3</v>
      </c>
      <c r="AP227">
        <v>3</v>
      </c>
      <c r="AQ227">
        <v>3</v>
      </c>
      <c r="AR227">
        <v>3</v>
      </c>
      <c r="AS227">
        <v>3</v>
      </c>
      <c r="AT227">
        <v>0</v>
      </c>
      <c r="AU227">
        <v>0</v>
      </c>
      <c r="AV227">
        <v>3</v>
      </c>
      <c r="AW227">
        <v>0</v>
      </c>
      <c r="AY227">
        <v>3</v>
      </c>
      <c r="AZ227">
        <v>3</v>
      </c>
      <c r="BA227">
        <v>3</v>
      </c>
      <c r="BB227">
        <v>3</v>
      </c>
      <c r="BC227">
        <v>0</v>
      </c>
      <c r="BD227">
        <v>3</v>
      </c>
      <c r="BE227">
        <v>3</v>
      </c>
      <c r="BF227">
        <v>3</v>
      </c>
      <c r="BH227">
        <v>3</v>
      </c>
      <c r="BI227">
        <v>3</v>
      </c>
      <c r="BJ227">
        <v>3</v>
      </c>
      <c r="BK227">
        <v>3</v>
      </c>
      <c r="BL227">
        <v>3</v>
      </c>
      <c r="BM227">
        <v>3</v>
      </c>
      <c r="BN227">
        <v>3</v>
      </c>
      <c r="BO227">
        <v>3</v>
      </c>
      <c r="BQ227">
        <v>3</v>
      </c>
      <c r="BS227">
        <v>3</v>
      </c>
      <c r="BT227">
        <v>0</v>
      </c>
      <c r="BV227" s="180">
        <v>3</v>
      </c>
    </row>
    <row r="228" spans="1:74" x14ac:dyDescent="0.3">
      <c r="A228">
        <v>990</v>
      </c>
      <c r="B228" t="s">
        <v>575</v>
      </c>
      <c r="D228">
        <v>0</v>
      </c>
      <c r="E228">
        <v>0</v>
      </c>
      <c r="H228">
        <v>0</v>
      </c>
      <c r="I228">
        <v>0</v>
      </c>
      <c r="J228">
        <v>0</v>
      </c>
      <c r="K228">
        <v>0</v>
      </c>
      <c r="L228">
        <v>0</v>
      </c>
      <c r="M228">
        <v>0</v>
      </c>
      <c r="N228">
        <v>0</v>
      </c>
      <c r="O228">
        <v>0</v>
      </c>
      <c r="Q228">
        <v>0</v>
      </c>
      <c r="R228">
        <v>0</v>
      </c>
      <c r="S228">
        <v>0</v>
      </c>
      <c r="T228">
        <v>0</v>
      </c>
      <c r="X228">
        <v>0</v>
      </c>
      <c r="Y228">
        <v>0</v>
      </c>
      <c r="Z228">
        <v>597420</v>
      </c>
      <c r="AA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Y228">
        <v>0</v>
      </c>
      <c r="AZ228">
        <v>0</v>
      </c>
      <c r="BA228">
        <v>0</v>
      </c>
      <c r="BB228">
        <v>0</v>
      </c>
      <c r="BC228">
        <v>0</v>
      </c>
      <c r="BD228">
        <v>0</v>
      </c>
      <c r="BE228">
        <v>0</v>
      </c>
      <c r="BF228">
        <v>0</v>
      </c>
      <c r="BH228">
        <v>0</v>
      </c>
      <c r="BI228">
        <v>0</v>
      </c>
      <c r="BJ228">
        <v>0</v>
      </c>
      <c r="BK228">
        <v>0</v>
      </c>
      <c r="BL228">
        <v>0</v>
      </c>
      <c r="BM228">
        <v>0</v>
      </c>
      <c r="BN228">
        <v>0</v>
      </c>
      <c r="BO228">
        <v>0</v>
      </c>
      <c r="BQ228">
        <v>0</v>
      </c>
      <c r="BS228">
        <v>0</v>
      </c>
      <c r="BT228">
        <v>0</v>
      </c>
      <c r="BV228" s="180">
        <v>0</v>
      </c>
    </row>
    <row r="229" spans="1:74" x14ac:dyDescent="0.3">
      <c r="A229">
        <v>991</v>
      </c>
      <c r="B229" t="s">
        <v>950</v>
      </c>
      <c r="D229">
        <v>23</v>
      </c>
      <c r="E229">
        <v>20</v>
      </c>
      <c r="H229">
        <v>23</v>
      </c>
      <c r="I229">
        <v>22</v>
      </c>
      <c r="J229">
        <v>23</v>
      </c>
      <c r="K229">
        <v>23</v>
      </c>
      <c r="L229">
        <v>23</v>
      </c>
      <c r="M229">
        <v>20</v>
      </c>
      <c r="N229">
        <v>22</v>
      </c>
      <c r="O229">
        <v>23</v>
      </c>
      <c r="Q229">
        <v>22</v>
      </c>
      <c r="R229">
        <v>23</v>
      </c>
      <c r="S229">
        <v>20</v>
      </c>
      <c r="T229">
        <v>20</v>
      </c>
      <c r="X229">
        <v>20</v>
      </c>
      <c r="Y229">
        <v>23</v>
      </c>
      <c r="Z229">
        <v>20</v>
      </c>
      <c r="AA229">
        <v>20</v>
      </c>
      <c r="AC229">
        <v>23</v>
      </c>
      <c r="AD229">
        <v>23</v>
      </c>
      <c r="AE229">
        <v>23</v>
      </c>
      <c r="AF229">
        <v>23</v>
      </c>
      <c r="AG229">
        <v>23</v>
      </c>
      <c r="AH229">
        <v>22</v>
      </c>
      <c r="AI229">
        <v>23</v>
      </c>
      <c r="AJ229">
        <v>23</v>
      </c>
      <c r="AK229">
        <v>0</v>
      </c>
      <c r="AL229">
        <v>23</v>
      </c>
      <c r="AM229">
        <v>23</v>
      </c>
      <c r="AN229">
        <v>23</v>
      </c>
      <c r="AO229">
        <v>23</v>
      </c>
      <c r="AP229">
        <v>0</v>
      </c>
      <c r="AQ229">
        <v>23</v>
      </c>
      <c r="AR229">
        <v>23</v>
      </c>
      <c r="AS229">
        <v>23</v>
      </c>
      <c r="AT229">
        <v>20</v>
      </c>
      <c r="AU229">
        <v>0</v>
      </c>
      <c r="AV229">
        <v>22</v>
      </c>
      <c r="AW229">
        <v>22</v>
      </c>
      <c r="AY229">
        <v>23</v>
      </c>
      <c r="AZ229">
        <v>23</v>
      </c>
      <c r="BA229">
        <v>23</v>
      </c>
      <c r="BB229">
        <v>23</v>
      </c>
      <c r="BC229">
        <v>22</v>
      </c>
      <c r="BD229">
        <v>20</v>
      </c>
      <c r="BE229">
        <v>20</v>
      </c>
      <c r="BF229">
        <v>23</v>
      </c>
      <c r="BH229">
        <v>20</v>
      </c>
      <c r="BI229">
        <v>20</v>
      </c>
      <c r="BJ229">
        <v>23</v>
      </c>
      <c r="BK229">
        <v>23</v>
      </c>
      <c r="BL229">
        <v>23</v>
      </c>
      <c r="BM229">
        <v>23</v>
      </c>
      <c r="BN229">
        <v>23</v>
      </c>
      <c r="BO229">
        <v>23</v>
      </c>
      <c r="BQ229">
        <v>23</v>
      </c>
      <c r="BS229">
        <v>23</v>
      </c>
      <c r="BT229">
        <v>23</v>
      </c>
      <c r="BV229" s="180">
        <v>23</v>
      </c>
    </row>
    <row r="230" spans="1:74" x14ac:dyDescent="0.3">
      <c r="A230">
        <v>995</v>
      </c>
      <c r="B230" t="s">
        <v>275</v>
      </c>
      <c r="D230">
        <v>0</v>
      </c>
      <c r="E230">
        <v>0</v>
      </c>
      <c r="F230">
        <v>0</v>
      </c>
      <c r="G230">
        <v>0</v>
      </c>
      <c r="H230">
        <v>0</v>
      </c>
      <c r="I230">
        <v>0</v>
      </c>
      <c r="J230">
        <v>0</v>
      </c>
      <c r="K230">
        <v>0</v>
      </c>
      <c r="L230">
        <v>0.08</v>
      </c>
      <c r="M230">
        <v>0</v>
      </c>
      <c r="N230">
        <v>0</v>
      </c>
      <c r="O230">
        <v>0</v>
      </c>
      <c r="P230">
        <v>0</v>
      </c>
      <c r="Q230">
        <v>0</v>
      </c>
      <c r="R230">
        <v>0</v>
      </c>
      <c r="S230">
        <v>0</v>
      </c>
      <c r="T230">
        <v>0</v>
      </c>
      <c r="U230">
        <v>0</v>
      </c>
      <c r="V230">
        <v>0</v>
      </c>
      <c r="W230">
        <v>0.08</v>
      </c>
      <c r="X230">
        <v>0</v>
      </c>
      <c r="Y230">
        <v>0</v>
      </c>
      <c r="Z230">
        <v>0.08</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0.08</v>
      </c>
      <c r="AW230">
        <v>0</v>
      </c>
      <c r="AX230">
        <v>0</v>
      </c>
      <c r="AY230">
        <v>0</v>
      </c>
      <c r="AZ230">
        <v>0.08</v>
      </c>
      <c r="BA230">
        <v>0</v>
      </c>
      <c r="BB230">
        <v>0</v>
      </c>
      <c r="BC230">
        <v>0</v>
      </c>
      <c r="BD230">
        <v>0</v>
      </c>
      <c r="BE230">
        <v>0.09</v>
      </c>
      <c r="BF230">
        <v>7.0000000000000007E-2</v>
      </c>
      <c r="BG230">
        <v>0</v>
      </c>
      <c r="BH230">
        <v>0</v>
      </c>
      <c r="BI230">
        <v>0</v>
      </c>
      <c r="BJ230">
        <v>0.08</v>
      </c>
      <c r="BK230">
        <v>0</v>
      </c>
      <c r="BL230">
        <v>0</v>
      </c>
      <c r="BM230">
        <v>0</v>
      </c>
      <c r="BN230">
        <v>0.08</v>
      </c>
      <c r="BO230">
        <v>0</v>
      </c>
      <c r="BP230">
        <v>0</v>
      </c>
      <c r="BQ230">
        <v>0</v>
      </c>
      <c r="BR230">
        <v>0</v>
      </c>
      <c r="BS230">
        <v>0</v>
      </c>
      <c r="BT230">
        <v>0</v>
      </c>
      <c r="BU230">
        <v>0</v>
      </c>
      <c r="BV230" s="180">
        <v>0</v>
      </c>
    </row>
    <row r="231" spans="1:74" x14ac:dyDescent="0.3">
      <c r="A231">
        <v>996</v>
      </c>
      <c r="B231" t="s">
        <v>276</v>
      </c>
      <c r="D231">
        <v>0.01</v>
      </c>
      <c r="E231">
        <v>0.01</v>
      </c>
      <c r="F231">
        <v>0.01</v>
      </c>
      <c r="G231">
        <v>0.01</v>
      </c>
      <c r="H231">
        <v>0.01</v>
      </c>
      <c r="I231">
        <v>0</v>
      </c>
      <c r="J231">
        <v>0</v>
      </c>
      <c r="K231">
        <v>0</v>
      </c>
      <c r="L231">
        <v>0.01</v>
      </c>
      <c r="M231">
        <v>0.01</v>
      </c>
      <c r="N231">
        <v>0</v>
      </c>
      <c r="O231">
        <v>0.01</v>
      </c>
      <c r="P231">
        <v>0.01</v>
      </c>
      <c r="Q231">
        <v>0</v>
      </c>
      <c r="R231">
        <v>0</v>
      </c>
      <c r="S231">
        <v>0.01</v>
      </c>
      <c r="T231">
        <v>0</v>
      </c>
      <c r="U231">
        <v>0.01</v>
      </c>
      <c r="V231">
        <v>0.01</v>
      </c>
      <c r="W231">
        <v>0.01</v>
      </c>
      <c r="X231">
        <v>0.01</v>
      </c>
      <c r="Y231">
        <v>0</v>
      </c>
      <c r="Z231">
        <v>0.01</v>
      </c>
      <c r="AA231">
        <v>0</v>
      </c>
      <c r="AB231">
        <v>0.01</v>
      </c>
      <c r="AC231">
        <v>0.01</v>
      </c>
      <c r="AD231">
        <v>0.01</v>
      </c>
      <c r="AE231">
        <v>0.01</v>
      </c>
      <c r="AF231">
        <v>0.01</v>
      </c>
      <c r="AG231">
        <v>0.01</v>
      </c>
      <c r="AH231">
        <v>0.01</v>
      </c>
      <c r="AI231">
        <v>0</v>
      </c>
      <c r="AJ231">
        <v>0</v>
      </c>
      <c r="AK231">
        <v>0</v>
      </c>
      <c r="AL231">
        <v>0.01</v>
      </c>
      <c r="AM231">
        <v>0.01</v>
      </c>
      <c r="AN231">
        <v>0.01</v>
      </c>
      <c r="AO231">
        <v>0.01</v>
      </c>
      <c r="AP231">
        <v>0.01</v>
      </c>
      <c r="AQ231">
        <v>0</v>
      </c>
      <c r="AR231">
        <v>0.01</v>
      </c>
      <c r="AS231">
        <v>0.01</v>
      </c>
      <c r="AT231">
        <v>0.01</v>
      </c>
      <c r="AU231">
        <v>0.01</v>
      </c>
      <c r="AV231">
        <v>0.01</v>
      </c>
      <c r="AW231">
        <v>0.01</v>
      </c>
      <c r="AX231">
        <v>0</v>
      </c>
      <c r="AY231">
        <v>0</v>
      </c>
      <c r="AZ231">
        <v>0.01</v>
      </c>
      <c r="BA231">
        <v>0.01</v>
      </c>
      <c r="BB231">
        <v>0.01</v>
      </c>
      <c r="BC231">
        <v>0.01</v>
      </c>
      <c r="BD231">
        <v>0.01</v>
      </c>
      <c r="BE231">
        <v>0.01</v>
      </c>
      <c r="BF231">
        <v>0.01</v>
      </c>
      <c r="BG231">
        <v>0.01</v>
      </c>
      <c r="BH231">
        <v>0</v>
      </c>
      <c r="BI231">
        <v>0.01</v>
      </c>
      <c r="BJ231">
        <v>0.01</v>
      </c>
      <c r="BK231">
        <v>0.01</v>
      </c>
      <c r="BL231">
        <v>0.01</v>
      </c>
      <c r="BM231">
        <v>0</v>
      </c>
      <c r="BN231">
        <v>0.01</v>
      </c>
      <c r="BO231">
        <v>0.01</v>
      </c>
      <c r="BP231">
        <v>0</v>
      </c>
      <c r="BQ231">
        <v>0</v>
      </c>
      <c r="BR231">
        <v>0</v>
      </c>
      <c r="BS231">
        <v>0.01</v>
      </c>
      <c r="BT231">
        <v>0.01</v>
      </c>
      <c r="BU231">
        <v>0.01</v>
      </c>
      <c r="BV231" s="180">
        <v>0.01</v>
      </c>
    </row>
    <row r="232" spans="1:74" x14ac:dyDescent="0.3">
      <c r="A232">
        <v>998</v>
      </c>
      <c r="B232" t="s">
        <v>277</v>
      </c>
      <c r="D232">
        <v>50</v>
      </c>
      <c r="E232">
        <v>50</v>
      </c>
      <c r="F232">
        <v>50</v>
      </c>
      <c r="G232">
        <v>50</v>
      </c>
      <c r="H232">
        <v>50</v>
      </c>
      <c r="I232">
        <v>50</v>
      </c>
      <c r="J232">
        <v>50</v>
      </c>
      <c r="K232">
        <v>50</v>
      </c>
      <c r="L232">
        <v>50</v>
      </c>
      <c r="M232">
        <v>50</v>
      </c>
      <c r="N232">
        <v>50</v>
      </c>
      <c r="O232">
        <v>50</v>
      </c>
      <c r="P232">
        <v>50</v>
      </c>
      <c r="Q232">
        <v>50</v>
      </c>
      <c r="R232">
        <v>50</v>
      </c>
      <c r="S232">
        <v>50</v>
      </c>
      <c r="T232">
        <v>50</v>
      </c>
      <c r="U232">
        <v>50</v>
      </c>
      <c r="V232">
        <v>50</v>
      </c>
      <c r="W232">
        <v>50</v>
      </c>
      <c r="X232">
        <v>50</v>
      </c>
      <c r="Y232">
        <v>50</v>
      </c>
      <c r="Z232">
        <v>50</v>
      </c>
      <c r="AA232">
        <v>50</v>
      </c>
      <c r="AB232">
        <v>50</v>
      </c>
      <c r="AC232">
        <v>50</v>
      </c>
      <c r="AD232">
        <v>50</v>
      </c>
      <c r="AE232">
        <v>50</v>
      </c>
      <c r="AF232">
        <v>50</v>
      </c>
      <c r="AG232">
        <v>50</v>
      </c>
      <c r="AH232">
        <v>50</v>
      </c>
      <c r="AI232">
        <v>50</v>
      </c>
      <c r="AJ232">
        <v>50</v>
      </c>
      <c r="AK232">
        <v>50</v>
      </c>
      <c r="AL232">
        <v>50</v>
      </c>
      <c r="AM232">
        <v>50</v>
      </c>
      <c r="AN232">
        <v>50</v>
      </c>
      <c r="AO232">
        <v>50</v>
      </c>
      <c r="AP232">
        <v>50</v>
      </c>
      <c r="AQ232">
        <v>50</v>
      </c>
      <c r="AR232">
        <v>50</v>
      </c>
      <c r="AS232">
        <v>50</v>
      </c>
      <c r="AT232">
        <v>50</v>
      </c>
      <c r="AU232">
        <v>50</v>
      </c>
      <c r="AV232">
        <v>50</v>
      </c>
      <c r="AW232">
        <v>50</v>
      </c>
      <c r="AX232">
        <v>50</v>
      </c>
      <c r="AY232">
        <v>50</v>
      </c>
      <c r="AZ232">
        <v>50</v>
      </c>
      <c r="BA232">
        <v>50</v>
      </c>
      <c r="BB232">
        <v>50</v>
      </c>
      <c r="BC232">
        <v>50</v>
      </c>
      <c r="BD232">
        <v>50</v>
      </c>
      <c r="BE232">
        <v>50</v>
      </c>
      <c r="BF232">
        <v>50</v>
      </c>
      <c r="BG232">
        <v>50</v>
      </c>
      <c r="BH232">
        <v>50</v>
      </c>
      <c r="BI232">
        <v>50</v>
      </c>
      <c r="BJ232">
        <v>50</v>
      </c>
      <c r="BK232">
        <v>50</v>
      </c>
      <c r="BL232">
        <v>50</v>
      </c>
      <c r="BM232">
        <v>50</v>
      </c>
      <c r="BN232">
        <v>50</v>
      </c>
      <c r="BO232">
        <v>50</v>
      </c>
      <c r="BP232">
        <v>50</v>
      </c>
      <c r="BQ232">
        <v>50</v>
      </c>
      <c r="BR232">
        <v>50</v>
      </c>
      <c r="BS232">
        <v>50</v>
      </c>
      <c r="BT232">
        <v>50</v>
      </c>
      <c r="BU232">
        <v>50</v>
      </c>
      <c r="BV232" s="180">
        <v>50</v>
      </c>
    </row>
    <row r="233" spans="1:74" x14ac:dyDescent="0.3">
      <c r="A233">
        <v>999</v>
      </c>
      <c r="B233" t="s">
        <v>278</v>
      </c>
      <c r="D233">
        <v>50312</v>
      </c>
      <c r="E233">
        <v>50313</v>
      </c>
      <c r="F233">
        <v>50314</v>
      </c>
      <c r="G233">
        <v>50315</v>
      </c>
      <c r="H233">
        <v>50316</v>
      </c>
      <c r="I233">
        <v>50481</v>
      </c>
      <c r="J233">
        <v>50561</v>
      </c>
      <c r="K233">
        <v>50317</v>
      </c>
      <c r="L233">
        <v>50318</v>
      </c>
      <c r="M233">
        <v>50319</v>
      </c>
      <c r="N233">
        <v>50489</v>
      </c>
      <c r="O233">
        <v>50320</v>
      </c>
      <c r="P233">
        <v>50323</v>
      </c>
      <c r="Q233">
        <v>50321</v>
      </c>
      <c r="R233">
        <v>50322</v>
      </c>
      <c r="S233">
        <v>50490</v>
      </c>
      <c r="T233">
        <v>50324</v>
      </c>
      <c r="U233">
        <v>50325</v>
      </c>
      <c r="V233">
        <v>50326</v>
      </c>
      <c r="W233">
        <v>50327</v>
      </c>
      <c r="X233">
        <v>50328</v>
      </c>
      <c r="Y233">
        <v>50329</v>
      </c>
      <c r="Z233">
        <v>50330</v>
      </c>
      <c r="AA233">
        <v>50331</v>
      </c>
      <c r="AB233">
        <v>50332</v>
      </c>
      <c r="AC233">
        <v>50333</v>
      </c>
      <c r="AD233">
        <v>50335</v>
      </c>
      <c r="AE233">
        <v>50334</v>
      </c>
      <c r="AF233">
        <v>50336</v>
      </c>
      <c r="AG233">
        <v>50337</v>
      </c>
      <c r="AH233">
        <v>50338</v>
      </c>
      <c r="AI233">
        <v>50339</v>
      </c>
      <c r="AJ233">
        <v>50443</v>
      </c>
      <c r="AK233">
        <v>50340</v>
      </c>
      <c r="AL233">
        <v>50456</v>
      </c>
      <c r="AM233">
        <v>50341</v>
      </c>
      <c r="AN233">
        <v>50342</v>
      </c>
      <c r="AO233">
        <v>50344</v>
      </c>
      <c r="AP233">
        <v>50345</v>
      </c>
      <c r="AQ233">
        <v>50503</v>
      </c>
      <c r="AR233">
        <v>50527</v>
      </c>
      <c r="AS233">
        <v>50346</v>
      </c>
      <c r="AT233">
        <v>50347</v>
      </c>
      <c r="AU233">
        <v>50529</v>
      </c>
      <c r="AV233">
        <v>50348</v>
      </c>
      <c r="AW233">
        <v>50349</v>
      </c>
      <c r="AX233">
        <v>50350</v>
      </c>
      <c r="AY233">
        <v>50541</v>
      </c>
      <c r="AZ233">
        <v>50351</v>
      </c>
      <c r="BA233">
        <v>50484</v>
      </c>
      <c r="BB233">
        <v>50352</v>
      </c>
      <c r="BC233">
        <v>50353</v>
      </c>
      <c r="BD233">
        <v>50354</v>
      </c>
      <c r="BE233">
        <v>50355</v>
      </c>
      <c r="BF233">
        <v>50356</v>
      </c>
      <c r="BG233">
        <v>50357</v>
      </c>
      <c r="BH233">
        <v>50482</v>
      </c>
      <c r="BI233">
        <v>50358</v>
      </c>
      <c r="BJ233">
        <v>50359</v>
      </c>
      <c r="BK233">
        <v>50360</v>
      </c>
      <c r="BL233">
        <v>50361</v>
      </c>
      <c r="BM233">
        <v>50362</v>
      </c>
      <c r="BN233">
        <v>50363</v>
      </c>
      <c r="BO233">
        <v>50364</v>
      </c>
      <c r="BP233">
        <v>50365</v>
      </c>
      <c r="BQ233">
        <v>50366</v>
      </c>
      <c r="BR233">
        <v>50367</v>
      </c>
      <c r="BS233">
        <v>50368</v>
      </c>
      <c r="BT233">
        <v>50369</v>
      </c>
      <c r="BU233">
        <v>50370</v>
      </c>
      <c r="BV233" s="180">
        <v>50371</v>
      </c>
    </row>
    <row r="234" spans="1:74" x14ac:dyDescent="0.3">
      <c r="A234">
        <v>1050</v>
      </c>
      <c r="B234" t="s">
        <v>1436</v>
      </c>
      <c r="D234">
        <v>42478</v>
      </c>
      <c r="E234">
        <v>0</v>
      </c>
      <c r="H234">
        <v>0</v>
      </c>
      <c r="I234">
        <v>3600</v>
      </c>
      <c r="J234">
        <v>200</v>
      </c>
      <c r="K234">
        <v>0</v>
      </c>
      <c r="L234">
        <v>74937</v>
      </c>
      <c r="M234">
        <v>0</v>
      </c>
      <c r="N234">
        <v>1104</v>
      </c>
      <c r="O234">
        <v>85976</v>
      </c>
      <c r="Q234">
        <v>54723</v>
      </c>
      <c r="R234">
        <v>39916</v>
      </c>
      <c r="S234">
        <v>184193</v>
      </c>
      <c r="T234">
        <v>481043</v>
      </c>
      <c r="X234">
        <v>338866</v>
      </c>
      <c r="Y234">
        <v>87930</v>
      </c>
      <c r="Z234">
        <v>0</v>
      </c>
      <c r="AA234">
        <v>0</v>
      </c>
      <c r="AC234">
        <v>3225</v>
      </c>
      <c r="AD234">
        <v>52000</v>
      </c>
      <c r="AE234">
        <v>0</v>
      </c>
      <c r="AF234">
        <v>82488</v>
      </c>
      <c r="AG234">
        <v>76155</v>
      </c>
      <c r="AH234">
        <v>0</v>
      </c>
      <c r="AI234">
        <v>0</v>
      </c>
      <c r="AJ234">
        <v>78048</v>
      </c>
      <c r="AK234">
        <v>9175</v>
      </c>
      <c r="AL234">
        <v>53863</v>
      </c>
      <c r="AM234">
        <v>85468</v>
      </c>
      <c r="AN234">
        <v>39644</v>
      </c>
      <c r="AO234">
        <v>1068896</v>
      </c>
      <c r="AP234">
        <v>29370</v>
      </c>
      <c r="AQ234">
        <v>8600</v>
      </c>
      <c r="AR234">
        <v>8500</v>
      </c>
      <c r="AS234">
        <v>903926</v>
      </c>
      <c r="AT234">
        <v>0</v>
      </c>
      <c r="AU234">
        <v>97070</v>
      </c>
      <c r="AV234">
        <v>20963</v>
      </c>
      <c r="AW234">
        <v>0</v>
      </c>
      <c r="AY234">
        <v>0</v>
      </c>
      <c r="AZ234">
        <v>167980</v>
      </c>
      <c r="BA234">
        <v>65726</v>
      </c>
      <c r="BB234">
        <v>275</v>
      </c>
      <c r="BC234">
        <v>630</v>
      </c>
      <c r="BD234">
        <v>44987</v>
      </c>
      <c r="BE234">
        <v>38337</v>
      </c>
      <c r="BF234">
        <v>347391</v>
      </c>
      <c r="BH234">
        <v>0</v>
      </c>
      <c r="BI234">
        <v>5088</v>
      </c>
      <c r="BJ234">
        <v>413727</v>
      </c>
      <c r="BK234">
        <v>48389</v>
      </c>
      <c r="BL234">
        <v>484069</v>
      </c>
      <c r="BM234">
        <v>130774</v>
      </c>
      <c r="BN234">
        <v>103140</v>
      </c>
      <c r="BO234">
        <v>32115</v>
      </c>
      <c r="BQ234">
        <v>54536</v>
      </c>
      <c r="BS234">
        <v>142878</v>
      </c>
      <c r="BT234">
        <v>25306</v>
      </c>
      <c r="BV234" s="180">
        <v>58705</v>
      </c>
    </row>
    <row r="235" spans="1:74" x14ac:dyDescent="0.3">
      <c r="A235">
        <v>1051</v>
      </c>
      <c r="B235" t="s">
        <v>1630</v>
      </c>
      <c r="D235">
        <v>0</v>
      </c>
      <c r="E235">
        <v>0</v>
      </c>
      <c r="H235">
        <v>0</v>
      </c>
      <c r="I235">
        <v>0</v>
      </c>
      <c r="J235">
        <v>0</v>
      </c>
      <c r="K235">
        <v>0</v>
      </c>
      <c r="L235">
        <v>0</v>
      </c>
      <c r="M235">
        <v>0</v>
      </c>
      <c r="N235">
        <v>0</v>
      </c>
      <c r="O235">
        <v>0</v>
      </c>
      <c r="Q235">
        <v>0</v>
      </c>
      <c r="R235">
        <v>0</v>
      </c>
      <c r="S235">
        <v>0</v>
      </c>
      <c r="T235">
        <v>0</v>
      </c>
      <c r="X235">
        <v>0</v>
      </c>
      <c r="Y235">
        <v>0</v>
      </c>
      <c r="Z235">
        <v>0</v>
      </c>
      <c r="AA235">
        <v>0</v>
      </c>
      <c r="AC235">
        <v>0</v>
      </c>
      <c r="AD235">
        <v>0</v>
      </c>
      <c r="AE235">
        <v>0</v>
      </c>
      <c r="AF235">
        <v>0</v>
      </c>
      <c r="AG235">
        <v>0</v>
      </c>
      <c r="AH235">
        <v>0</v>
      </c>
      <c r="AI235">
        <v>0</v>
      </c>
      <c r="AJ235">
        <v>0</v>
      </c>
      <c r="AK235">
        <v>0</v>
      </c>
      <c r="AL235">
        <v>0</v>
      </c>
      <c r="AM235">
        <v>0</v>
      </c>
      <c r="AN235">
        <v>0</v>
      </c>
      <c r="AO235">
        <v>0</v>
      </c>
      <c r="AP235">
        <v>0</v>
      </c>
      <c r="AQ235">
        <v>0</v>
      </c>
      <c r="AR235">
        <v>0</v>
      </c>
      <c r="AS235">
        <v>0</v>
      </c>
      <c r="AT235">
        <v>0</v>
      </c>
      <c r="AU235">
        <v>0</v>
      </c>
      <c r="AV235">
        <v>0</v>
      </c>
      <c r="AW235">
        <v>0</v>
      </c>
      <c r="AY235">
        <v>0</v>
      </c>
      <c r="AZ235">
        <v>0</v>
      </c>
      <c r="BA235">
        <v>0</v>
      </c>
      <c r="BB235">
        <v>0</v>
      </c>
      <c r="BC235">
        <v>0</v>
      </c>
      <c r="BD235">
        <v>0</v>
      </c>
      <c r="BE235">
        <v>0</v>
      </c>
      <c r="BF235">
        <v>237100</v>
      </c>
      <c r="BH235">
        <v>0</v>
      </c>
      <c r="BI235">
        <v>0</v>
      </c>
      <c r="BJ235">
        <v>550000</v>
      </c>
      <c r="BK235">
        <v>0</v>
      </c>
      <c r="BL235">
        <v>0</v>
      </c>
      <c r="BM235">
        <v>0</v>
      </c>
      <c r="BN235">
        <v>0</v>
      </c>
      <c r="BO235">
        <v>0</v>
      </c>
      <c r="BQ235">
        <v>0</v>
      </c>
      <c r="BS235">
        <v>0</v>
      </c>
      <c r="BT235">
        <v>0</v>
      </c>
      <c r="BV235" s="180">
        <v>0</v>
      </c>
    </row>
    <row r="236" spans="1:74" x14ac:dyDescent="0.3">
      <c r="A236">
        <v>1052</v>
      </c>
      <c r="B236" t="s">
        <v>1631</v>
      </c>
      <c r="D236">
        <v>0</v>
      </c>
      <c r="E236">
        <v>0</v>
      </c>
      <c r="H236">
        <v>0</v>
      </c>
      <c r="I236">
        <v>0</v>
      </c>
      <c r="J236">
        <v>0</v>
      </c>
      <c r="K236">
        <v>0</v>
      </c>
      <c r="L236">
        <v>0</v>
      </c>
      <c r="M236">
        <v>0</v>
      </c>
      <c r="N236">
        <v>0</v>
      </c>
      <c r="O236">
        <v>0</v>
      </c>
      <c r="Q236">
        <v>0</v>
      </c>
      <c r="R236">
        <v>0</v>
      </c>
      <c r="S236">
        <v>0</v>
      </c>
      <c r="T236">
        <v>0</v>
      </c>
      <c r="X236">
        <v>0</v>
      </c>
      <c r="Y236">
        <v>0</v>
      </c>
      <c r="Z236">
        <v>0</v>
      </c>
      <c r="AA236">
        <v>0</v>
      </c>
      <c r="AC236">
        <v>0</v>
      </c>
      <c r="AD236">
        <v>0</v>
      </c>
      <c r="AE236">
        <v>0</v>
      </c>
      <c r="AF236">
        <v>0</v>
      </c>
      <c r="AG236">
        <v>0</v>
      </c>
      <c r="AH236">
        <v>0</v>
      </c>
      <c r="AI236">
        <v>0</v>
      </c>
      <c r="AJ236">
        <v>0</v>
      </c>
      <c r="AK236">
        <v>0</v>
      </c>
      <c r="AL236">
        <v>0</v>
      </c>
      <c r="AM236">
        <v>0</v>
      </c>
      <c r="AN236">
        <v>0</v>
      </c>
      <c r="AO236">
        <v>0</v>
      </c>
      <c r="AP236">
        <v>0</v>
      </c>
      <c r="AQ236">
        <v>0</v>
      </c>
      <c r="AR236">
        <v>0</v>
      </c>
      <c r="AS236">
        <v>0</v>
      </c>
      <c r="AT236">
        <v>0</v>
      </c>
      <c r="AU236">
        <v>0</v>
      </c>
      <c r="AV236">
        <v>0</v>
      </c>
      <c r="AW236">
        <v>0</v>
      </c>
      <c r="AY236">
        <v>0</v>
      </c>
      <c r="AZ236">
        <v>0</v>
      </c>
      <c r="BA236">
        <v>0</v>
      </c>
      <c r="BB236">
        <v>0</v>
      </c>
      <c r="BC236">
        <v>0</v>
      </c>
      <c r="BD236">
        <v>0</v>
      </c>
      <c r="BE236">
        <v>0</v>
      </c>
      <c r="BF236">
        <v>0</v>
      </c>
      <c r="BH236">
        <v>0</v>
      </c>
      <c r="BI236">
        <v>0</v>
      </c>
      <c r="BJ236">
        <v>0</v>
      </c>
      <c r="BK236">
        <v>0</v>
      </c>
      <c r="BL236">
        <v>0</v>
      </c>
      <c r="BM236">
        <v>0</v>
      </c>
      <c r="BN236">
        <v>0</v>
      </c>
      <c r="BO236">
        <v>0</v>
      </c>
      <c r="BQ236">
        <v>0</v>
      </c>
      <c r="BS236">
        <v>0</v>
      </c>
      <c r="BT236">
        <v>0</v>
      </c>
      <c r="BV236" s="180">
        <v>0</v>
      </c>
    </row>
    <row r="237" spans="1:74" x14ac:dyDescent="0.3">
      <c r="A237">
        <v>1053</v>
      </c>
      <c r="B237" t="s">
        <v>1632</v>
      </c>
      <c r="D237">
        <v>0</v>
      </c>
      <c r="E237">
        <v>0</v>
      </c>
      <c r="H237">
        <v>0</v>
      </c>
      <c r="I237">
        <v>0</v>
      </c>
      <c r="J237">
        <v>0</v>
      </c>
      <c r="K237">
        <v>0</v>
      </c>
      <c r="L237">
        <v>0</v>
      </c>
      <c r="M237">
        <v>0</v>
      </c>
      <c r="N237">
        <v>0</v>
      </c>
      <c r="O237">
        <v>0</v>
      </c>
      <c r="Q237">
        <v>0</v>
      </c>
      <c r="R237">
        <v>0</v>
      </c>
      <c r="S237">
        <v>0</v>
      </c>
      <c r="T237">
        <v>0</v>
      </c>
      <c r="X237">
        <v>0</v>
      </c>
      <c r="Y237">
        <v>0</v>
      </c>
      <c r="Z237">
        <v>0</v>
      </c>
      <c r="AA237">
        <v>0</v>
      </c>
      <c r="AC237">
        <v>0</v>
      </c>
      <c r="AD237">
        <v>0</v>
      </c>
      <c r="AE237">
        <v>0</v>
      </c>
      <c r="AF237">
        <v>0</v>
      </c>
      <c r="AG237">
        <v>0</v>
      </c>
      <c r="AH237">
        <v>0</v>
      </c>
      <c r="AI237">
        <v>0</v>
      </c>
      <c r="AJ237">
        <v>0</v>
      </c>
      <c r="AK237">
        <v>0</v>
      </c>
      <c r="AL237">
        <v>0</v>
      </c>
      <c r="AM237">
        <v>0</v>
      </c>
      <c r="AN237">
        <v>0</v>
      </c>
      <c r="AO237">
        <v>0</v>
      </c>
      <c r="AP237">
        <v>0</v>
      </c>
      <c r="AQ237">
        <v>0</v>
      </c>
      <c r="AR237">
        <v>0</v>
      </c>
      <c r="AS237">
        <v>0</v>
      </c>
      <c r="AT237">
        <v>0</v>
      </c>
      <c r="AU237">
        <v>0</v>
      </c>
      <c r="AV237">
        <v>0</v>
      </c>
      <c r="AW237">
        <v>0</v>
      </c>
      <c r="AY237">
        <v>0</v>
      </c>
      <c r="AZ237">
        <v>0</v>
      </c>
      <c r="BA237">
        <v>0</v>
      </c>
      <c r="BB237">
        <v>0</v>
      </c>
      <c r="BC237">
        <v>0</v>
      </c>
      <c r="BD237">
        <v>0</v>
      </c>
      <c r="BE237">
        <v>0</v>
      </c>
      <c r="BF237">
        <v>0</v>
      </c>
      <c r="BH237">
        <v>0</v>
      </c>
      <c r="BI237">
        <v>0</v>
      </c>
      <c r="BJ237">
        <v>0</v>
      </c>
      <c r="BK237">
        <v>0</v>
      </c>
      <c r="BL237">
        <v>0</v>
      </c>
      <c r="BM237">
        <v>0</v>
      </c>
      <c r="BN237">
        <v>0</v>
      </c>
      <c r="BO237">
        <v>0</v>
      </c>
      <c r="BQ237">
        <v>0</v>
      </c>
      <c r="BS237">
        <v>0</v>
      </c>
      <c r="BT237">
        <v>0</v>
      </c>
      <c r="BV237" s="180">
        <v>0</v>
      </c>
    </row>
    <row r="238" spans="1:74" x14ac:dyDescent="0.3">
      <c r="A238">
        <v>1054</v>
      </c>
      <c r="B238" t="s">
        <v>1633</v>
      </c>
      <c r="D238">
        <v>0</v>
      </c>
      <c r="E238">
        <v>0</v>
      </c>
      <c r="H238">
        <v>0</v>
      </c>
      <c r="I238">
        <v>0</v>
      </c>
      <c r="J238">
        <v>0</v>
      </c>
      <c r="K238">
        <v>0</v>
      </c>
      <c r="L238">
        <v>0</v>
      </c>
      <c r="M238">
        <v>0</v>
      </c>
      <c r="N238">
        <v>0</v>
      </c>
      <c r="O238">
        <v>0</v>
      </c>
      <c r="Q238">
        <v>0</v>
      </c>
      <c r="R238">
        <v>0</v>
      </c>
      <c r="S238">
        <v>0</v>
      </c>
      <c r="T238">
        <v>0</v>
      </c>
      <c r="X238">
        <v>0</v>
      </c>
      <c r="Y238">
        <v>0</v>
      </c>
      <c r="Z238">
        <v>0</v>
      </c>
      <c r="AA238">
        <v>0</v>
      </c>
      <c r="AC238">
        <v>0</v>
      </c>
      <c r="AD238">
        <v>0</v>
      </c>
      <c r="AE238">
        <v>0</v>
      </c>
      <c r="AF238">
        <v>0</v>
      </c>
      <c r="AG238">
        <v>0</v>
      </c>
      <c r="AH238">
        <v>0</v>
      </c>
      <c r="AI238">
        <v>0</v>
      </c>
      <c r="AJ238">
        <v>0</v>
      </c>
      <c r="AK238">
        <v>0</v>
      </c>
      <c r="AL238">
        <v>0</v>
      </c>
      <c r="AM238">
        <v>0</v>
      </c>
      <c r="AN238">
        <v>0</v>
      </c>
      <c r="AO238">
        <v>0</v>
      </c>
      <c r="AP238">
        <v>0</v>
      </c>
      <c r="AQ238">
        <v>0</v>
      </c>
      <c r="AR238">
        <v>0</v>
      </c>
      <c r="AS238">
        <v>0</v>
      </c>
      <c r="AT238">
        <v>0</v>
      </c>
      <c r="AU238">
        <v>0</v>
      </c>
      <c r="AV238">
        <v>0</v>
      </c>
      <c r="AW238">
        <v>0</v>
      </c>
      <c r="AY238">
        <v>0</v>
      </c>
      <c r="AZ238">
        <v>0</v>
      </c>
      <c r="BA238">
        <v>0</v>
      </c>
      <c r="BB238">
        <v>0</v>
      </c>
      <c r="BC238">
        <v>0</v>
      </c>
      <c r="BD238">
        <v>0</v>
      </c>
      <c r="BE238">
        <v>0</v>
      </c>
      <c r="BF238">
        <v>0</v>
      </c>
      <c r="BH238">
        <v>0</v>
      </c>
      <c r="BI238">
        <v>0</v>
      </c>
      <c r="BJ238">
        <v>0</v>
      </c>
      <c r="BK238">
        <v>0</v>
      </c>
      <c r="BL238">
        <v>0</v>
      </c>
      <c r="BM238">
        <v>0</v>
      </c>
      <c r="BN238">
        <v>0</v>
      </c>
      <c r="BO238">
        <v>0</v>
      </c>
      <c r="BQ238">
        <v>0</v>
      </c>
      <c r="BS238">
        <v>0</v>
      </c>
      <c r="BT238">
        <v>0</v>
      </c>
      <c r="BV238" s="180">
        <v>0</v>
      </c>
    </row>
    <row r="239" spans="1:74" x14ac:dyDescent="0.3">
      <c r="A239">
        <v>1055</v>
      </c>
      <c r="B239" t="s">
        <v>1634</v>
      </c>
      <c r="D239">
        <v>2</v>
      </c>
      <c r="E239">
        <v>2</v>
      </c>
      <c r="H239">
        <v>2</v>
      </c>
      <c r="I239">
        <v>2</v>
      </c>
      <c r="J239">
        <v>2</v>
      </c>
      <c r="K239">
        <v>2</v>
      </c>
      <c r="L239">
        <v>2</v>
      </c>
      <c r="M239">
        <v>2</v>
      </c>
      <c r="N239">
        <v>2</v>
      </c>
      <c r="O239">
        <v>2</v>
      </c>
      <c r="Q239">
        <v>1</v>
      </c>
      <c r="R239">
        <v>2</v>
      </c>
      <c r="S239">
        <v>2</v>
      </c>
      <c r="T239">
        <v>2</v>
      </c>
      <c r="X239">
        <v>2</v>
      </c>
      <c r="Y239">
        <v>2</v>
      </c>
      <c r="Z239">
        <v>2</v>
      </c>
      <c r="AA239">
        <v>2</v>
      </c>
      <c r="AC239">
        <v>2</v>
      </c>
      <c r="AD239">
        <v>2</v>
      </c>
      <c r="AE239">
        <v>2</v>
      </c>
      <c r="AF239">
        <v>2</v>
      </c>
      <c r="AG239">
        <v>1</v>
      </c>
      <c r="AH239">
        <v>2</v>
      </c>
      <c r="AI239">
        <v>2</v>
      </c>
      <c r="AJ239">
        <v>1</v>
      </c>
      <c r="AK239">
        <v>2</v>
      </c>
      <c r="AL239">
        <v>2</v>
      </c>
      <c r="AM239">
        <v>2</v>
      </c>
      <c r="AN239">
        <v>2</v>
      </c>
      <c r="AO239">
        <v>2</v>
      </c>
      <c r="AP239">
        <v>2</v>
      </c>
      <c r="AQ239">
        <v>2</v>
      </c>
      <c r="AR239">
        <v>2</v>
      </c>
      <c r="AS239">
        <v>2</v>
      </c>
      <c r="AT239">
        <v>2</v>
      </c>
      <c r="AU239">
        <v>2</v>
      </c>
      <c r="AV239">
        <v>2</v>
      </c>
      <c r="AW239">
        <v>2</v>
      </c>
      <c r="AY239">
        <v>2</v>
      </c>
      <c r="AZ239">
        <v>2</v>
      </c>
      <c r="BA239">
        <v>2</v>
      </c>
      <c r="BB239">
        <v>2</v>
      </c>
      <c r="BC239">
        <v>1</v>
      </c>
      <c r="BD239">
        <v>2</v>
      </c>
      <c r="BE239">
        <v>2</v>
      </c>
      <c r="BF239">
        <v>2</v>
      </c>
      <c r="BH239">
        <v>2</v>
      </c>
      <c r="BI239">
        <v>2</v>
      </c>
      <c r="BJ239">
        <v>2</v>
      </c>
      <c r="BK239">
        <v>2</v>
      </c>
      <c r="BL239">
        <v>2</v>
      </c>
      <c r="BM239">
        <v>2</v>
      </c>
      <c r="BN239">
        <v>2</v>
      </c>
      <c r="BO239">
        <v>2</v>
      </c>
      <c r="BQ239">
        <v>2</v>
      </c>
      <c r="BS239">
        <v>2</v>
      </c>
      <c r="BT239">
        <v>2</v>
      </c>
      <c r="BV239" s="180">
        <v>2</v>
      </c>
    </row>
    <row r="240" spans="1:74" x14ac:dyDescent="0.3">
      <c r="A240">
        <v>1056</v>
      </c>
      <c r="B240" t="s">
        <v>1635</v>
      </c>
      <c r="D240">
        <v>2</v>
      </c>
      <c r="E240">
        <v>2</v>
      </c>
      <c r="H240">
        <v>2</v>
      </c>
      <c r="I240">
        <v>1</v>
      </c>
      <c r="J240">
        <v>2</v>
      </c>
      <c r="K240">
        <v>2</v>
      </c>
      <c r="L240">
        <v>2</v>
      </c>
      <c r="M240">
        <v>2</v>
      </c>
      <c r="N240">
        <v>2</v>
      </c>
      <c r="O240">
        <v>2</v>
      </c>
      <c r="Q240">
        <v>1</v>
      </c>
      <c r="R240">
        <v>2</v>
      </c>
      <c r="S240">
        <v>2</v>
      </c>
      <c r="T240">
        <v>2</v>
      </c>
      <c r="X240">
        <v>2</v>
      </c>
      <c r="Y240">
        <v>2</v>
      </c>
      <c r="Z240">
        <v>2</v>
      </c>
      <c r="AA240">
        <v>2</v>
      </c>
      <c r="AC240">
        <v>1</v>
      </c>
      <c r="AD240">
        <v>2</v>
      </c>
      <c r="AE240">
        <v>2</v>
      </c>
      <c r="AF240">
        <v>2</v>
      </c>
      <c r="AG240">
        <v>1</v>
      </c>
      <c r="AH240">
        <v>2</v>
      </c>
      <c r="AI240">
        <v>2</v>
      </c>
      <c r="AJ240">
        <v>2</v>
      </c>
      <c r="AK240">
        <v>2</v>
      </c>
      <c r="AL240">
        <v>2</v>
      </c>
      <c r="AM240">
        <v>2</v>
      </c>
      <c r="AN240">
        <v>2</v>
      </c>
      <c r="AO240">
        <v>2</v>
      </c>
      <c r="AP240">
        <v>2</v>
      </c>
      <c r="AQ240">
        <v>2</v>
      </c>
      <c r="AR240">
        <v>2</v>
      </c>
      <c r="AS240">
        <v>2</v>
      </c>
      <c r="AT240">
        <v>2</v>
      </c>
      <c r="AU240">
        <v>2</v>
      </c>
      <c r="AV240">
        <v>2</v>
      </c>
      <c r="AW240">
        <v>1</v>
      </c>
      <c r="AY240">
        <v>2</v>
      </c>
      <c r="AZ240">
        <v>2</v>
      </c>
      <c r="BA240">
        <v>2</v>
      </c>
      <c r="BB240">
        <v>2</v>
      </c>
      <c r="BC240">
        <v>2</v>
      </c>
      <c r="BD240">
        <v>2</v>
      </c>
      <c r="BE240">
        <v>2</v>
      </c>
      <c r="BF240">
        <v>2</v>
      </c>
      <c r="BH240">
        <v>2</v>
      </c>
      <c r="BI240">
        <v>2</v>
      </c>
      <c r="BJ240">
        <v>2</v>
      </c>
      <c r="BK240">
        <v>1</v>
      </c>
      <c r="BL240">
        <v>2</v>
      </c>
      <c r="BM240">
        <v>2</v>
      </c>
      <c r="BN240">
        <v>2</v>
      </c>
      <c r="BO240">
        <v>2</v>
      </c>
      <c r="BQ240">
        <v>2</v>
      </c>
      <c r="BS240">
        <v>2</v>
      </c>
      <c r="BT240">
        <v>2</v>
      </c>
      <c r="BV240" s="180">
        <v>2</v>
      </c>
    </row>
    <row r="241" spans="1:74" x14ac:dyDescent="0.3">
      <c r="A241">
        <v>1057</v>
      </c>
      <c r="B241" t="s">
        <v>1881</v>
      </c>
      <c r="D241">
        <v>2</v>
      </c>
      <c r="E241">
        <v>2</v>
      </c>
      <c r="H241">
        <v>2</v>
      </c>
      <c r="I241">
        <v>1</v>
      </c>
      <c r="J241">
        <v>2</v>
      </c>
      <c r="K241">
        <v>2</v>
      </c>
      <c r="L241">
        <v>1</v>
      </c>
      <c r="M241">
        <v>2</v>
      </c>
      <c r="N241">
        <v>2</v>
      </c>
      <c r="O241">
        <v>2</v>
      </c>
      <c r="Q241">
        <v>2</v>
      </c>
      <c r="R241">
        <v>2</v>
      </c>
      <c r="S241">
        <v>2</v>
      </c>
      <c r="T241">
        <v>2</v>
      </c>
      <c r="X241">
        <v>2</v>
      </c>
      <c r="Y241">
        <v>2</v>
      </c>
      <c r="Z241">
        <v>2</v>
      </c>
      <c r="AA241">
        <v>2</v>
      </c>
      <c r="AC241">
        <v>2</v>
      </c>
      <c r="AD241">
        <v>2</v>
      </c>
      <c r="AE241">
        <v>2</v>
      </c>
      <c r="AF241">
        <v>1</v>
      </c>
      <c r="AG241">
        <v>1</v>
      </c>
      <c r="AH241">
        <v>2</v>
      </c>
      <c r="AI241">
        <v>2</v>
      </c>
      <c r="AJ241">
        <v>2</v>
      </c>
      <c r="AK241">
        <v>2</v>
      </c>
      <c r="AL241">
        <v>2</v>
      </c>
      <c r="AM241">
        <v>1</v>
      </c>
      <c r="AN241">
        <v>2</v>
      </c>
      <c r="AO241">
        <v>2</v>
      </c>
      <c r="AP241">
        <v>1</v>
      </c>
      <c r="AQ241">
        <v>1</v>
      </c>
      <c r="AR241">
        <v>2</v>
      </c>
      <c r="AS241">
        <v>2</v>
      </c>
      <c r="AT241">
        <v>2</v>
      </c>
      <c r="AU241">
        <v>2</v>
      </c>
      <c r="AV241">
        <v>2</v>
      </c>
      <c r="AW241">
        <v>2</v>
      </c>
      <c r="AY241">
        <v>2</v>
      </c>
      <c r="AZ241">
        <v>2</v>
      </c>
      <c r="BA241">
        <v>2</v>
      </c>
      <c r="BB241">
        <v>2</v>
      </c>
      <c r="BC241">
        <v>2</v>
      </c>
      <c r="BD241">
        <v>2</v>
      </c>
      <c r="BE241">
        <v>2</v>
      </c>
      <c r="BF241">
        <v>2</v>
      </c>
      <c r="BH241">
        <v>2</v>
      </c>
      <c r="BI241">
        <v>2</v>
      </c>
      <c r="BJ241">
        <v>2</v>
      </c>
      <c r="BK241">
        <v>2</v>
      </c>
      <c r="BL241">
        <v>2</v>
      </c>
      <c r="BM241">
        <v>2</v>
      </c>
      <c r="BN241">
        <v>1</v>
      </c>
      <c r="BO241">
        <v>2</v>
      </c>
      <c r="BQ241">
        <v>2</v>
      </c>
      <c r="BS241">
        <v>2</v>
      </c>
      <c r="BT241">
        <v>1</v>
      </c>
      <c r="BV241" s="180">
        <v>2</v>
      </c>
    </row>
    <row r="242" spans="1:74" x14ac:dyDescent="0.3">
      <c r="A242">
        <v>1058</v>
      </c>
      <c r="B242" t="s">
        <v>1444</v>
      </c>
      <c r="D242">
        <v>2</v>
      </c>
      <c r="E242">
        <v>2</v>
      </c>
      <c r="H242">
        <v>2</v>
      </c>
      <c r="I242">
        <v>2</v>
      </c>
      <c r="J242">
        <v>1</v>
      </c>
      <c r="K242">
        <v>2</v>
      </c>
      <c r="L242">
        <v>2</v>
      </c>
      <c r="M242">
        <v>2</v>
      </c>
      <c r="N242">
        <v>2</v>
      </c>
      <c r="O242">
        <v>2</v>
      </c>
      <c r="Q242">
        <v>2</v>
      </c>
      <c r="R242">
        <v>2</v>
      </c>
      <c r="S242">
        <v>2</v>
      </c>
      <c r="T242">
        <v>2</v>
      </c>
      <c r="X242">
        <v>2</v>
      </c>
      <c r="Y242">
        <v>2</v>
      </c>
      <c r="Z242">
        <v>2</v>
      </c>
      <c r="AA242">
        <v>2</v>
      </c>
      <c r="AC242">
        <v>1</v>
      </c>
      <c r="AD242">
        <v>2</v>
      </c>
      <c r="AE242">
        <v>2</v>
      </c>
      <c r="AF242">
        <v>2</v>
      </c>
      <c r="AG242">
        <v>1</v>
      </c>
      <c r="AH242">
        <v>2</v>
      </c>
      <c r="AI242">
        <v>2</v>
      </c>
      <c r="AJ242">
        <v>2</v>
      </c>
      <c r="AK242">
        <v>2</v>
      </c>
      <c r="AL242">
        <v>2</v>
      </c>
      <c r="AM242">
        <v>1</v>
      </c>
      <c r="AN242">
        <v>2</v>
      </c>
      <c r="AO242">
        <v>2</v>
      </c>
      <c r="AP242">
        <v>2</v>
      </c>
      <c r="AQ242">
        <v>2</v>
      </c>
      <c r="AR242">
        <v>2</v>
      </c>
      <c r="AS242">
        <v>2</v>
      </c>
      <c r="AT242">
        <v>2</v>
      </c>
      <c r="AU242">
        <v>2</v>
      </c>
      <c r="AV242">
        <v>2</v>
      </c>
      <c r="AW242">
        <v>1</v>
      </c>
      <c r="AY242">
        <v>2</v>
      </c>
      <c r="AZ242">
        <v>2</v>
      </c>
      <c r="BA242">
        <v>2</v>
      </c>
      <c r="BB242">
        <v>2</v>
      </c>
      <c r="BC242">
        <v>0</v>
      </c>
      <c r="BD242">
        <v>2</v>
      </c>
      <c r="BE242">
        <v>2</v>
      </c>
      <c r="BF242">
        <v>2</v>
      </c>
      <c r="BH242">
        <v>2</v>
      </c>
      <c r="BI242">
        <v>2</v>
      </c>
      <c r="BJ242">
        <v>2</v>
      </c>
      <c r="BK242">
        <v>2</v>
      </c>
      <c r="BL242">
        <v>2</v>
      </c>
      <c r="BM242">
        <v>2</v>
      </c>
      <c r="BN242">
        <v>2</v>
      </c>
      <c r="BO242">
        <v>2</v>
      </c>
      <c r="BQ242">
        <v>2</v>
      </c>
      <c r="BS242">
        <v>2</v>
      </c>
      <c r="BT242">
        <v>2</v>
      </c>
      <c r="BV242" s="180">
        <v>2</v>
      </c>
    </row>
    <row r="243" spans="1:74" x14ac:dyDescent="0.3">
      <c r="A243">
        <v>1059</v>
      </c>
      <c r="B243" t="s">
        <v>1636</v>
      </c>
      <c r="D243">
        <v>1</v>
      </c>
      <c r="E243">
        <v>1</v>
      </c>
      <c r="H243">
        <v>1</v>
      </c>
      <c r="I243">
        <v>1</v>
      </c>
      <c r="J243">
        <v>1</v>
      </c>
      <c r="K243">
        <v>1</v>
      </c>
      <c r="L243">
        <v>1</v>
      </c>
      <c r="M243">
        <v>1</v>
      </c>
      <c r="N243">
        <v>1</v>
      </c>
      <c r="O243">
        <v>1</v>
      </c>
      <c r="Q243">
        <v>1</v>
      </c>
      <c r="R243">
        <v>1</v>
      </c>
      <c r="S243">
        <v>1</v>
      </c>
      <c r="T243">
        <v>1</v>
      </c>
      <c r="X243">
        <v>1</v>
      </c>
      <c r="Y243">
        <v>1</v>
      </c>
      <c r="Z243">
        <v>1</v>
      </c>
      <c r="AA243">
        <v>1</v>
      </c>
      <c r="AC243">
        <v>1</v>
      </c>
      <c r="AD243">
        <v>1</v>
      </c>
      <c r="AE243">
        <v>1</v>
      </c>
      <c r="AF243">
        <v>1</v>
      </c>
      <c r="AG243">
        <v>1</v>
      </c>
      <c r="AH243">
        <v>1</v>
      </c>
      <c r="AI243">
        <v>1</v>
      </c>
      <c r="AJ243">
        <v>1</v>
      </c>
      <c r="AK243">
        <v>1</v>
      </c>
      <c r="AL243">
        <v>1</v>
      </c>
      <c r="AM243">
        <v>1</v>
      </c>
      <c r="AN243">
        <v>1</v>
      </c>
      <c r="AO243">
        <v>1</v>
      </c>
      <c r="AP243">
        <v>1</v>
      </c>
      <c r="AQ243">
        <v>1</v>
      </c>
      <c r="AR243">
        <v>1</v>
      </c>
      <c r="AS243">
        <v>1</v>
      </c>
      <c r="AT243">
        <v>1</v>
      </c>
      <c r="AU243">
        <v>1</v>
      </c>
      <c r="AV243">
        <v>1</v>
      </c>
      <c r="AW243">
        <v>1</v>
      </c>
      <c r="AY243">
        <v>1</v>
      </c>
      <c r="AZ243">
        <v>1</v>
      </c>
      <c r="BA243">
        <v>1</v>
      </c>
      <c r="BB243">
        <v>1</v>
      </c>
      <c r="BC243">
        <v>1</v>
      </c>
      <c r="BD243">
        <v>1</v>
      </c>
      <c r="BE243">
        <v>1</v>
      </c>
      <c r="BF243">
        <v>1</v>
      </c>
      <c r="BH243">
        <v>1</v>
      </c>
      <c r="BI243">
        <v>1</v>
      </c>
      <c r="BJ243">
        <v>1</v>
      </c>
      <c r="BK243">
        <v>1</v>
      </c>
      <c r="BL243">
        <v>1</v>
      </c>
      <c r="BM243">
        <v>1</v>
      </c>
      <c r="BN243">
        <v>1</v>
      </c>
      <c r="BO243">
        <v>1</v>
      </c>
      <c r="BQ243">
        <v>1</v>
      </c>
      <c r="BS243">
        <v>1</v>
      </c>
      <c r="BT243">
        <v>1</v>
      </c>
      <c r="BV243" s="180">
        <v>1</v>
      </c>
    </row>
    <row r="244" spans="1:74" x14ac:dyDescent="0.3">
      <c r="A244">
        <v>1060</v>
      </c>
      <c r="B244" t="s">
        <v>1637</v>
      </c>
      <c r="D244">
        <v>789761</v>
      </c>
      <c r="E244">
        <v>13665311</v>
      </c>
      <c r="H244">
        <v>584548</v>
      </c>
      <c r="I244">
        <v>0</v>
      </c>
      <c r="J244">
        <v>202500</v>
      </c>
      <c r="K244">
        <v>0</v>
      </c>
      <c r="L244">
        <v>559350</v>
      </c>
      <c r="M244">
        <v>2063344</v>
      </c>
      <c r="N244">
        <v>67500</v>
      </c>
      <c r="O244">
        <v>326346</v>
      </c>
      <c r="Q244">
        <v>0</v>
      </c>
      <c r="R244">
        <v>542742</v>
      </c>
      <c r="S244">
        <v>964378</v>
      </c>
      <c r="T244">
        <v>2281874</v>
      </c>
      <c r="X244">
        <v>2809021</v>
      </c>
      <c r="Y244">
        <v>467334</v>
      </c>
      <c r="Z244">
        <v>11160942</v>
      </c>
      <c r="AA244">
        <v>0</v>
      </c>
      <c r="AC244">
        <v>158968</v>
      </c>
      <c r="AD244">
        <v>39737</v>
      </c>
      <c r="AE244">
        <v>368174</v>
      </c>
      <c r="AF244">
        <v>98000</v>
      </c>
      <c r="AG244">
        <v>158074</v>
      </c>
      <c r="AH244">
        <v>0</v>
      </c>
      <c r="AI244">
        <v>0</v>
      </c>
      <c r="AJ244">
        <v>1040228</v>
      </c>
      <c r="AK244">
        <v>0</v>
      </c>
      <c r="AL244">
        <v>95114</v>
      </c>
      <c r="AM244">
        <v>921152</v>
      </c>
      <c r="AN244">
        <v>65970</v>
      </c>
      <c r="AO244">
        <v>7227329</v>
      </c>
      <c r="AP244">
        <v>191559</v>
      </c>
      <c r="AQ244">
        <v>96884</v>
      </c>
      <c r="AR244">
        <v>133216</v>
      </c>
      <c r="AS244">
        <v>9588013</v>
      </c>
      <c r="AT244">
        <v>128754</v>
      </c>
      <c r="AU244">
        <v>1377644</v>
      </c>
      <c r="AV244">
        <v>410026</v>
      </c>
      <c r="AW244">
        <v>0</v>
      </c>
      <c r="AY244">
        <v>7800</v>
      </c>
      <c r="AZ244">
        <v>2263070</v>
      </c>
      <c r="BA244">
        <v>68838</v>
      </c>
      <c r="BB244">
        <v>0</v>
      </c>
      <c r="BC244">
        <v>38084</v>
      </c>
      <c r="BD244">
        <v>1386653</v>
      </c>
      <c r="BE244">
        <v>0</v>
      </c>
      <c r="BF244">
        <v>6382235</v>
      </c>
      <c r="BH244">
        <v>153612</v>
      </c>
      <c r="BI244">
        <v>35000</v>
      </c>
      <c r="BJ244">
        <v>0</v>
      </c>
      <c r="BK244">
        <v>481870</v>
      </c>
      <c r="BL244">
        <v>4671148</v>
      </c>
      <c r="BM244">
        <v>942708</v>
      </c>
      <c r="BN244">
        <v>0</v>
      </c>
      <c r="BO244">
        <v>0</v>
      </c>
      <c r="BQ244">
        <v>586000</v>
      </c>
      <c r="BS244">
        <v>475000</v>
      </c>
      <c r="BT244">
        <v>0</v>
      </c>
      <c r="BV244" s="180">
        <v>364106</v>
      </c>
    </row>
    <row r="245" spans="1:74" s="553" customFormat="1" x14ac:dyDescent="0.3">
      <c r="A245">
        <v>1061</v>
      </c>
      <c r="B245" t="s">
        <v>1638</v>
      </c>
      <c r="C245"/>
      <c r="D245">
        <v>0</v>
      </c>
      <c r="E245">
        <v>7713781</v>
      </c>
      <c r="F245"/>
      <c r="G245"/>
      <c r="H245">
        <v>0</v>
      </c>
      <c r="I245">
        <v>0</v>
      </c>
      <c r="J245">
        <v>0</v>
      </c>
      <c r="K245">
        <v>0</v>
      </c>
      <c r="L245">
        <v>0</v>
      </c>
      <c r="M245">
        <v>1648656</v>
      </c>
      <c r="N245">
        <v>0</v>
      </c>
      <c r="O245">
        <v>0</v>
      </c>
      <c r="P245"/>
      <c r="Q245">
        <v>0</v>
      </c>
      <c r="R245">
        <v>0</v>
      </c>
      <c r="S245">
        <v>0</v>
      </c>
      <c r="T245">
        <v>0</v>
      </c>
      <c r="U245"/>
      <c r="V245"/>
      <c r="W245"/>
      <c r="X245">
        <v>0</v>
      </c>
      <c r="Y245">
        <v>220733</v>
      </c>
      <c r="Z245">
        <v>0</v>
      </c>
      <c r="AA245">
        <v>0</v>
      </c>
      <c r="AB245"/>
      <c r="AC245">
        <v>0</v>
      </c>
      <c r="AD245">
        <v>434731</v>
      </c>
      <c r="AE245">
        <v>0</v>
      </c>
      <c r="AF245">
        <v>0</v>
      </c>
      <c r="AG245">
        <v>0</v>
      </c>
      <c r="AH245">
        <v>0</v>
      </c>
      <c r="AI245">
        <v>0</v>
      </c>
      <c r="AJ245">
        <v>0</v>
      </c>
      <c r="AK245">
        <v>131622</v>
      </c>
      <c r="AL245">
        <v>320468</v>
      </c>
      <c r="AM245">
        <v>0</v>
      </c>
      <c r="AN245">
        <v>0</v>
      </c>
      <c r="AO245">
        <v>0</v>
      </c>
      <c r="AP245">
        <v>30573</v>
      </c>
      <c r="AQ245">
        <v>0</v>
      </c>
      <c r="AR245">
        <v>0</v>
      </c>
      <c r="AS245">
        <v>0</v>
      </c>
      <c r="AT245">
        <v>0</v>
      </c>
      <c r="AU245">
        <v>276077</v>
      </c>
      <c r="AV245">
        <v>0</v>
      </c>
      <c r="AW245">
        <v>0</v>
      </c>
      <c r="AX245"/>
      <c r="AY245">
        <v>0</v>
      </c>
      <c r="AZ245">
        <v>0</v>
      </c>
      <c r="BA245">
        <v>0</v>
      </c>
      <c r="BB245">
        <v>0</v>
      </c>
      <c r="BC245">
        <v>0</v>
      </c>
      <c r="BD245">
        <v>0</v>
      </c>
      <c r="BE245">
        <v>0</v>
      </c>
      <c r="BF245">
        <v>0</v>
      </c>
      <c r="BG245"/>
      <c r="BH245">
        <v>0</v>
      </c>
      <c r="BI245">
        <v>56147</v>
      </c>
      <c r="BJ245">
        <v>0</v>
      </c>
      <c r="BK245">
        <v>0</v>
      </c>
      <c r="BL245">
        <v>0</v>
      </c>
      <c r="BM245">
        <v>0</v>
      </c>
      <c r="BN245">
        <v>1263954</v>
      </c>
      <c r="BO245">
        <v>549116</v>
      </c>
      <c r="BP245"/>
      <c r="BQ245">
        <v>451997</v>
      </c>
      <c r="BR245"/>
      <c r="BS245">
        <v>0</v>
      </c>
      <c r="BT245">
        <v>0</v>
      </c>
      <c r="BU245"/>
      <c r="BV245" s="553">
        <v>0</v>
      </c>
    </row>
    <row r="246" spans="1:74" s="553" customFormat="1" x14ac:dyDescent="0.3">
      <c r="A246">
        <v>1062</v>
      </c>
      <c r="B246" t="s">
        <v>1639</v>
      </c>
      <c r="C246"/>
      <c r="D246">
        <v>1</v>
      </c>
      <c r="E246">
        <v>1</v>
      </c>
      <c r="F246"/>
      <c r="G246"/>
      <c r="H246">
        <v>1</v>
      </c>
      <c r="I246">
        <v>0</v>
      </c>
      <c r="J246">
        <v>1</v>
      </c>
      <c r="K246">
        <v>1</v>
      </c>
      <c r="L246">
        <v>1</v>
      </c>
      <c r="M246">
        <v>1</v>
      </c>
      <c r="N246">
        <v>1</v>
      </c>
      <c r="O246">
        <v>1</v>
      </c>
      <c r="P246"/>
      <c r="Q246">
        <v>1</v>
      </c>
      <c r="R246">
        <v>1</v>
      </c>
      <c r="S246">
        <v>1</v>
      </c>
      <c r="T246">
        <v>1</v>
      </c>
      <c r="U246"/>
      <c r="V246"/>
      <c r="W246"/>
      <c r="X246">
        <v>1</v>
      </c>
      <c r="Y246">
        <v>1</v>
      </c>
      <c r="Z246">
        <v>1</v>
      </c>
      <c r="AA246">
        <v>1</v>
      </c>
      <c r="AB246"/>
      <c r="AC246">
        <v>1</v>
      </c>
      <c r="AD246">
        <v>1</v>
      </c>
      <c r="AE246">
        <v>1</v>
      </c>
      <c r="AF246">
        <v>1</v>
      </c>
      <c r="AG246">
        <v>1</v>
      </c>
      <c r="AH246">
        <v>2</v>
      </c>
      <c r="AI246">
        <v>0</v>
      </c>
      <c r="AJ246">
        <v>1</v>
      </c>
      <c r="AK246">
        <v>1</v>
      </c>
      <c r="AL246">
        <v>1</v>
      </c>
      <c r="AM246">
        <v>1</v>
      </c>
      <c r="AN246">
        <v>1</v>
      </c>
      <c r="AO246">
        <v>1</v>
      </c>
      <c r="AP246">
        <v>1</v>
      </c>
      <c r="AQ246">
        <v>1</v>
      </c>
      <c r="AR246">
        <v>1</v>
      </c>
      <c r="AS246">
        <v>1</v>
      </c>
      <c r="AT246">
        <v>1</v>
      </c>
      <c r="AU246">
        <v>1</v>
      </c>
      <c r="AV246">
        <v>1</v>
      </c>
      <c r="AW246">
        <v>1</v>
      </c>
      <c r="AX246"/>
      <c r="AY246">
        <v>1</v>
      </c>
      <c r="AZ246">
        <v>1</v>
      </c>
      <c r="BA246">
        <v>3</v>
      </c>
      <c r="BB246">
        <v>1</v>
      </c>
      <c r="BC246">
        <v>0</v>
      </c>
      <c r="BD246">
        <v>1</v>
      </c>
      <c r="BE246">
        <v>1</v>
      </c>
      <c r="BF246">
        <v>1</v>
      </c>
      <c r="BG246"/>
      <c r="BH246">
        <v>1</v>
      </c>
      <c r="BI246">
        <v>1</v>
      </c>
      <c r="BJ246">
        <v>1</v>
      </c>
      <c r="BK246">
        <v>1</v>
      </c>
      <c r="BL246">
        <v>1</v>
      </c>
      <c r="BM246">
        <v>1</v>
      </c>
      <c r="BN246">
        <v>1</v>
      </c>
      <c r="BO246">
        <v>1</v>
      </c>
      <c r="BP246"/>
      <c r="BQ246">
        <v>1</v>
      </c>
      <c r="BR246"/>
      <c r="BS246">
        <v>1</v>
      </c>
      <c r="BT246">
        <v>1</v>
      </c>
      <c r="BU246"/>
      <c r="BV246" s="553">
        <v>1</v>
      </c>
    </row>
    <row r="247" spans="1:74" s="553" customFormat="1" x14ac:dyDescent="0.3">
      <c r="A247">
        <v>1063</v>
      </c>
      <c r="B247" t="s">
        <v>1640</v>
      </c>
      <c r="C247"/>
      <c r="D247">
        <v>1</v>
      </c>
      <c r="E247">
        <v>1</v>
      </c>
      <c r="F247"/>
      <c r="G247"/>
      <c r="H247">
        <v>1</v>
      </c>
      <c r="I247">
        <v>0</v>
      </c>
      <c r="J247">
        <v>1</v>
      </c>
      <c r="K247">
        <v>1</v>
      </c>
      <c r="L247">
        <v>1</v>
      </c>
      <c r="M247">
        <v>1</v>
      </c>
      <c r="N247">
        <v>1</v>
      </c>
      <c r="O247">
        <v>1</v>
      </c>
      <c r="P247"/>
      <c r="Q247">
        <v>1</v>
      </c>
      <c r="R247">
        <v>1</v>
      </c>
      <c r="S247">
        <v>1</v>
      </c>
      <c r="T247">
        <v>1</v>
      </c>
      <c r="U247"/>
      <c r="V247"/>
      <c r="W247"/>
      <c r="X247">
        <v>1</v>
      </c>
      <c r="Y247">
        <v>1</v>
      </c>
      <c r="Z247">
        <v>1</v>
      </c>
      <c r="AA247">
        <v>1</v>
      </c>
      <c r="AB247"/>
      <c r="AC247">
        <v>1</v>
      </c>
      <c r="AD247">
        <v>1</v>
      </c>
      <c r="AE247">
        <v>1</v>
      </c>
      <c r="AF247">
        <v>1</v>
      </c>
      <c r="AG247">
        <v>1</v>
      </c>
      <c r="AH247">
        <v>2</v>
      </c>
      <c r="AI247">
        <v>0</v>
      </c>
      <c r="AJ247">
        <v>1</v>
      </c>
      <c r="AK247">
        <v>1</v>
      </c>
      <c r="AL247">
        <v>1</v>
      </c>
      <c r="AM247">
        <v>1</v>
      </c>
      <c r="AN247">
        <v>1</v>
      </c>
      <c r="AO247">
        <v>1</v>
      </c>
      <c r="AP247">
        <v>1</v>
      </c>
      <c r="AQ247">
        <v>1</v>
      </c>
      <c r="AR247">
        <v>1</v>
      </c>
      <c r="AS247">
        <v>1</v>
      </c>
      <c r="AT247">
        <v>1</v>
      </c>
      <c r="AU247">
        <v>1</v>
      </c>
      <c r="AV247">
        <v>1</v>
      </c>
      <c r="AW247">
        <v>1</v>
      </c>
      <c r="AX247"/>
      <c r="AY247">
        <v>1</v>
      </c>
      <c r="AZ247">
        <v>1</v>
      </c>
      <c r="BA247">
        <v>1</v>
      </c>
      <c r="BB247">
        <v>1</v>
      </c>
      <c r="BC247">
        <v>0</v>
      </c>
      <c r="BD247">
        <v>1</v>
      </c>
      <c r="BE247">
        <v>1</v>
      </c>
      <c r="BF247">
        <v>1</v>
      </c>
      <c r="BG247"/>
      <c r="BH247">
        <v>1</v>
      </c>
      <c r="BI247">
        <v>1</v>
      </c>
      <c r="BJ247">
        <v>1</v>
      </c>
      <c r="BK247">
        <v>1</v>
      </c>
      <c r="BL247">
        <v>1</v>
      </c>
      <c r="BM247">
        <v>1</v>
      </c>
      <c r="BN247">
        <v>1</v>
      </c>
      <c r="BO247">
        <v>1</v>
      </c>
      <c r="BP247"/>
      <c r="BQ247">
        <v>1</v>
      </c>
      <c r="BR247"/>
      <c r="BS247">
        <v>1</v>
      </c>
      <c r="BT247">
        <v>1</v>
      </c>
      <c r="BU247"/>
      <c r="BV247" s="553">
        <v>1</v>
      </c>
    </row>
    <row r="248" spans="1:74" s="553" customFormat="1" x14ac:dyDescent="0.3">
      <c r="A248">
        <v>1066</v>
      </c>
      <c r="B248" t="s">
        <v>1643</v>
      </c>
      <c r="C248"/>
      <c r="D248" t="s">
        <v>2025</v>
      </c>
      <c r="E248" t="s">
        <v>2022</v>
      </c>
      <c r="F248"/>
      <c r="G248"/>
      <c r="H248" t="s">
        <v>2621</v>
      </c>
      <c r="I248" t="s">
        <v>2622</v>
      </c>
      <c r="J248" t="s">
        <v>2623</v>
      </c>
      <c r="K248" t="s">
        <v>2624</v>
      </c>
      <c r="L248" t="s">
        <v>2032</v>
      </c>
      <c r="M248" t="s">
        <v>2032</v>
      </c>
      <c r="N248" t="s">
        <v>2625</v>
      </c>
      <c r="O248" t="s">
        <v>2626</v>
      </c>
      <c r="P248"/>
      <c r="Q248" t="s">
        <v>2035</v>
      </c>
      <c r="R248" t="s">
        <v>2026</v>
      </c>
      <c r="S248" t="s">
        <v>2627</v>
      </c>
      <c r="T248" t="s">
        <v>2028</v>
      </c>
      <c r="U248"/>
      <c r="V248"/>
      <c r="W248"/>
      <c r="X248" t="s">
        <v>2628</v>
      </c>
      <c r="Y248" t="s">
        <v>2031</v>
      </c>
      <c r="Z248" t="s">
        <v>2027</v>
      </c>
      <c r="AA248" t="s">
        <v>2629</v>
      </c>
      <c r="AB248"/>
      <c r="AC248" t="s">
        <v>2630</v>
      </c>
      <c r="AD248" t="s">
        <v>2627</v>
      </c>
      <c r="AE248" t="s">
        <v>2022</v>
      </c>
      <c r="AF248" t="s">
        <v>2631</v>
      </c>
      <c r="AG248" t="s">
        <v>2632</v>
      </c>
      <c r="AH248" t="s">
        <v>2029</v>
      </c>
      <c r="AI248" t="s">
        <v>2633</v>
      </c>
      <c r="AJ248" t="s">
        <v>2634</v>
      </c>
      <c r="AK248" t="s">
        <v>2023</v>
      </c>
      <c r="AL248" t="s">
        <v>2627</v>
      </c>
      <c r="AM248" t="s">
        <v>2444</v>
      </c>
      <c r="AN248" t="s">
        <v>2635</v>
      </c>
      <c r="AO248" t="s">
        <v>2030</v>
      </c>
      <c r="AP248" t="s">
        <v>2028</v>
      </c>
      <c r="AQ248" t="s">
        <v>2438</v>
      </c>
      <c r="AR248" t="s">
        <v>2636</v>
      </c>
      <c r="AS248" t="s">
        <v>2621</v>
      </c>
      <c r="AT248" t="s">
        <v>2637</v>
      </c>
      <c r="AU248" t="s">
        <v>2034</v>
      </c>
      <c r="AV248" t="s">
        <v>2638</v>
      </c>
      <c r="AW248" t="s">
        <v>2639</v>
      </c>
      <c r="AX248"/>
      <c r="AY248" t="s">
        <v>2029</v>
      </c>
      <c r="AZ248" t="s">
        <v>2640</v>
      </c>
      <c r="BA248" t="s">
        <v>2641</v>
      </c>
      <c r="BB248" t="s">
        <v>2642</v>
      </c>
      <c r="BC248" t="s">
        <v>2022</v>
      </c>
      <c r="BD248" t="s">
        <v>2025</v>
      </c>
      <c r="BE248" t="s">
        <v>2036</v>
      </c>
      <c r="BF248" t="s">
        <v>2643</v>
      </c>
      <c r="BG248"/>
      <c r="BH248" t="s">
        <v>2033</v>
      </c>
      <c r="BI248" t="s">
        <v>2637</v>
      </c>
      <c r="BJ248" t="s">
        <v>2023</v>
      </c>
      <c r="BK248" t="s">
        <v>2024</v>
      </c>
      <c r="BL248" t="s">
        <v>2032</v>
      </c>
      <c r="BM248" t="s">
        <v>2644</v>
      </c>
      <c r="BN248" t="s">
        <v>2631</v>
      </c>
      <c r="BO248" t="s">
        <v>2645</v>
      </c>
      <c r="BP248"/>
      <c r="BQ248" t="s">
        <v>2029</v>
      </c>
      <c r="BR248"/>
      <c r="BS248" t="s">
        <v>2646</v>
      </c>
      <c r="BT248" t="s">
        <v>2034</v>
      </c>
      <c r="BU248"/>
      <c r="BV248" s="553" t="s">
        <v>2031</v>
      </c>
    </row>
    <row r="249" spans="1:74" s="553" customFormat="1" x14ac:dyDescent="0.3">
      <c r="A249">
        <v>1067</v>
      </c>
      <c r="B249" t="s">
        <v>2037</v>
      </c>
      <c r="C249"/>
      <c r="D249">
        <v>1</v>
      </c>
      <c r="E249">
        <v>1</v>
      </c>
      <c r="F249"/>
      <c r="G249"/>
      <c r="H249">
        <v>1</v>
      </c>
      <c r="I249">
        <v>1</v>
      </c>
      <c r="J249">
        <v>1</v>
      </c>
      <c r="K249">
        <v>1</v>
      </c>
      <c r="L249">
        <v>1</v>
      </c>
      <c r="M249">
        <v>1</v>
      </c>
      <c r="N249">
        <v>1</v>
      </c>
      <c r="O249">
        <v>1</v>
      </c>
      <c r="P249"/>
      <c r="Q249">
        <v>1</v>
      </c>
      <c r="R249">
        <v>1</v>
      </c>
      <c r="S249">
        <v>1</v>
      </c>
      <c r="T249">
        <v>1</v>
      </c>
      <c r="U249"/>
      <c r="V249"/>
      <c r="W249"/>
      <c r="X249">
        <v>1</v>
      </c>
      <c r="Y249">
        <v>1</v>
      </c>
      <c r="Z249">
        <v>2</v>
      </c>
      <c r="AA249">
        <v>1</v>
      </c>
      <c r="AB249"/>
      <c r="AC249">
        <v>1</v>
      </c>
      <c r="AD249">
        <v>1</v>
      </c>
      <c r="AE249">
        <v>1</v>
      </c>
      <c r="AF249">
        <v>1</v>
      </c>
      <c r="AG249">
        <v>1</v>
      </c>
      <c r="AH249">
        <v>1</v>
      </c>
      <c r="AI249">
        <v>1</v>
      </c>
      <c r="AJ249">
        <v>1</v>
      </c>
      <c r="AK249">
        <v>1</v>
      </c>
      <c r="AL249">
        <v>1</v>
      </c>
      <c r="AM249">
        <v>1</v>
      </c>
      <c r="AN249">
        <v>2</v>
      </c>
      <c r="AO249">
        <v>1</v>
      </c>
      <c r="AP249">
        <v>1</v>
      </c>
      <c r="AQ249">
        <v>1</v>
      </c>
      <c r="AR249">
        <v>1</v>
      </c>
      <c r="AS249">
        <v>1</v>
      </c>
      <c r="AT249">
        <v>1</v>
      </c>
      <c r="AU249">
        <v>1</v>
      </c>
      <c r="AV249">
        <v>1</v>
      </c>
      <c r="AW249">
        <v>1</v>
      </c>
      <c r="AX249"/>
      <c r="AY249">
        <v>1</v>
      </c>
      <c r="AZ249">
        <v>1</v>
      </c>
      <c r="BA249">
        <v>1</v>
      </c>
      <c r="BB249">
        <v>1</v>
      </c>
      <c r="BC249">
        <v>1</v>
      </c>
      <c r="BD249">
        <v>1</v>
      </c>
      <c r="BE249">
        <v>1</v>
      </c>
      <c r="BF249">
        <v>1</v>
      </c>
      <c r="BG249"/>
      <c r="BH249">
        <v>1</v>
      </c>
      <c r="BI249">
        <v>1</v>
      </c>
      <c r="BJ249">
        <v>1</v>
      </c>
      <c r="BK249">
        <v>1</v>
      </c>
      <c r="BL249">
        <v>1</v>
      </c>
      <c r="BM249">
        <v>1</v>
      </c>
      <c r="BN249">
        <v>1</v>
      </c>
      <c r="BO249">
        <v>1</v>
      </c>
      <c r="BP249"/>
      <c r="BQ249">
        <v>1</v>
      </c>
      <c r="BR249"/>
      <c r="BS249">
        <v>1</v>
      </c>
      <c r="BT249">
        <v>1</v>
      </c>
      <c r="BU249"/>
      <c r="BV249" s="553">
        <v>1</v>
      </c>
    </row>
    <row r="250" spans="1:74" s="558" customFormat="1" x14ac:dyDescent="0.3">
      <c r="A250">
        <v>1068</v>
      </c>
      <c r="B250" t="s">
        <v>2038</v>
      </c>
      <c r="C250"/>
      <c r="D250">
        <v>2</v>
      </c>
      <c r="E250">
        <v>2</v>
      </c>
      <c r="F250"/>
      <c r="G250"/>
      <c r="H250">
        <v>2</v>
      </c>
      <c r="I250">
        <v>2</v>
      </c>
      <c r="J250">
        <v>2</v>
      </c>
      <c r="K250">
        <v>2</v>
      </c>
      <c r="L250">
        <v>2</v>
      </c>
      <c r="M250">
        <v>2</v>
      </c>
      <c r="N250">
        <v>2</v>
      </c>
      <c r="O250">
        <v>2</v>
      </c>
      <c r="P250"/>
      <c r="Q250">
        <v>2</v>
      </c>
      <c r="R250">
        <v>2</v>
      </c>
      <c r="S250">
        <v>2</v>
      </c>
      <c r="T250">
        <v>2</v>
      </c>
      <c r="U250"/>
      <c r="V250"/>
      <c r="W250"/>
      <c r="X250">
        <v>2</v>
      </c>
      <c r="Y250">
        <v>2</v>
      </c>
      <c r="Z250">
        <v>1</v>
      </c>
      <c r="AA250">
        <v>2</v>
      </c>
      <c r="AB250"/>
      <c r="AC250">
        <v>2</v>
      </c>
      <c r="AD250">
        <v>2</v>
      </c>
      <c r="AE250">
        <v>2</v>
      </c>
      <c r="AF250">
        <v>2</v>
      </c>
      <c r="AG250">
        <v>2</v>
      </c>
      <c r="AH250">
        <v>2</v>
      </c>
      <c r="AI250">
        <v>2</v>
      </c>
      <c r="AJ250">
        <v>2</v>
      </c>
      <c r="AK250">
        <v>2</v>
      </c>
      <c r="AL250">
        <v>2</v>
      </c>
      <c r="AM250">
        <v>2</v>
      </c>
      <c r="AN250">
        <v>2</v>
      </c>
      <c r="AO250">
        <v>2</v>
      </c>
      <c r="AP250">
        <v>2</v>
      </c>
      <c r="AQ250">
        <v>2</v>
      </c>
      <c r="AR250">
        <v>2</v>
      </c>
      <c r="AS250">
        <v>1</v>
      </c>
      <c r="AT250">
        <v>2</v>
      </c>
      <c r="AU250">
        <v>2</v>
      </c>
      <c r="AV250">
        <v>2</v>
      </c>
      <c r="AW250">
        <v>2</v>
      </c>
      <c r="AX250"/>
      <c r="AY250">
        <v>2</v>
      </c>
      <c r="AZ250">
        <v>2</v>
      </c>
      <c r="BA250">
        <v>2</v>
      </c>
      <c r="BB250">
        <v>2</v>
      </c>
      <c r="BC250">
        <v>2</v>
      </c>
      <c r="BD250">
        <v>2</v>
      </c>
      <c r="BE250">
        <v>2</v>
      </c>
      <c r="BF250">
        <v>2</v>
      </c>
      <c r="BG250"/>
      <c r="BH250">
        <v>2</v>
      </c>
      <c r="BI250">
        <v>2</v>
      </c>
      <c r="BJ250">
        <v>2</v>
      </c>
      <c r="BK250">
        <v>2</v>
      </c>
      <c r="BL250">
        <v>2</v>
      </c>
      <c r="BM250">
        <v>2</v>
      </c>
      <c r="BN250">
        <v>2</v>
      </c>
      <c r="BO250">
        <v>2</v>
      </c>
      <c r="BP250"/>
      <c r="BQ250">
        <v>2</v>
      </c>
      <c r="BR250"/>
      <c r="BS250">
        <v>2</v>
      </c>
      <c r="BT250">
        <v>2</v>
      </c>
      <c r="BU250"/>
      <c r="BV250" s="558">
        <v>2</v>
      </c>
    </row>
    <row r="251" spans="1:74" s="558" customFormat="1" x14ac:dyDescent="0.3">
      <c r="A251">
        <v>1069</v>
      </c>
      <c r="B251" t="s">
        <v>1573</v>
      </c>
      <c r="C251"/>
      <c r="D251">
        <v>3</v>
      </c>
      <c r="E251">
        <v>3</v>
      </c>
      <c r="F251"/>
      <c r="G251"/>
      <c r="H251">
        <v>2</v>
      </c>
      <c r="I251">
        <v>2</v>
      </c>
      <c r="J251">
        <v>3</v>
      </c>
      <c r="K251">
        <v>3</v>
      </c>
      <c r="L251">
        <v>3</v>
      </c>
      <c r="M251">
        <v>3</v>
      </c>
      <c r="N251">
        <v>2</v>
      </c>
      <c r="O251">
        <v>3</v>
      </c>
      <c r="P251"/>
      <c r="Q251">
        <v>3</v>
      </c>
      <c r="R251">
        <v>3</v>
      </c>
      <c r="S251">
        <v>2</v>
      </c>
      <c r="T251">
        <v>3</v>
      </c>
      <c r="U251"/>
      <c r="V251"/>
      <c r="W251"/>
      <c r="X251">
        <v>2</v>
      </c>
      <c r="Y251">
        <v>3</v>
      </c>
      <c r="Z251">
        <v>1</v>
      </c>
      <c r="AA251">
        <v>3</v>
      </c>
      <c r="AB251"/>
      <c r="AC251">
        <v>3</v>
      </c>
      <c r="AD251">
        <v>3</v>
      </c>
      <c r="AE251">
        <v>2</v>
      </c>
      <c r="AF251">
        <v>3</v>
      </c>
      <c r="AG251">
        <v>3</v>
      </c>
      <c r="AH251">
        <v>3</v>
      </c>
      <c r="AI251">
        <v>3</v>
      </c>
      <c r="AJ251">
        <v>3</v>
      </c>
      <c r="AK251">
        <v>3</v>
      </c>
      <c r="AL251">
        <v>2</v>
      </c>
      <c r="AM251">
        <v>3</v>
      </c>
      <c r="AN251">
        <v>3</v>
      </c>
      <c r="AO251">
        <v>3</v>
      </c>
      <c r="AP251">
        <v>3</v>
      </c>
      <c r="AQ251">
        <v>3</v>
      </c>
      <c r="AR251">
        <v>3</v>
      </c>
      <c r="AS251">
        <v>1</v>
      </c>
      <c r="AT251">
        <v>2</v>
      </c>
      <c r="AU251">
        <v>3</v>
      </c>
      <c r="AV251">
        <v>3</v>
      </c>
      <c r="AW251">
        <v>3</v>
      </c>
      <c r="AX251"/>
      <c r="AY251">
        <v>2</v>
      </c>
      <c r="AZ251">
        <v>3</v>
      </c>
      <c r="BA251">
        <v>3</v>
      </c>
      <c r="BB251">
        <v>3</v>
      </c>
      <c r="BC251">
        <v>3</v>
      </c>
      <c r="BD251">
        <v>2</v>
      </c>
      <c r="BE251">
        <v>2</v>
      </c>
      <c r="BF251">
        <v>3</v>
      </c>
      <c r="BG251"/>
      <c r="BH251">
        <v>3</v>
      </c>
      <c r="BI251">
        <v>3</v>
      </c>
      <c r="BJ251">
        <v>3</v>
      </c>
      <c r="BK251">
        <v>3</v>
      </c>
      <c r="BL251">
        <v>3</v>
      </c>
      <c r="BM251">
        <v>3</v>
      </c>
      <c r="BN251">
        <v>2</v>
      </c>
      <c r="BO251">
        <v>3</v>
      </c>
      <c r="BP251"/>
      <c r="BQ251">
        <v>3</v>
      </c>
      <c r="BR251"/>
      <c r="BS251">
        <v>3</v>
      </c>
      <c r="BT251">
        <v>2</v>
      </c>
      <c r="BU251"/>
      <c r="BV251" s="558">
        <v>3</v>
      </c>
    </row>
    <row r="252" spans="1:74" s="558" customFormat="1" x14ac:dyDescent="0.3">
      <c r="A252">
        <v>1070</v>
      </c>
      <c r="B252" t="s">
        <v>2039</v>
      </c>
      <c r="C252"/>
      <c r="D252">
        <v>2</v>
      </c>
      <c r="E252">
        <v>1</v>
      </c>
      <c r="F252"/>
      <c r="G252"/>
      <c r="H252">
        <v>2</v>
      </c>
      <c r="I252">
        <v>2</v>
      </c>
      <c r="J252">
        <v>2</v>
      </c>
      <c r="K252">
        <v>2</v>
      </c>
      <c r="L252">
        <v>2</v>
      </c>
      <c r="M252">
        <v>2</v>
      </c>
      <c r="N252">
        <v>2</v>
      </c>
      <c r="O252">
        <v>2</v>
      </c>
      <c r="P252"/>
      <c r="Q252">
        <v>2</v>
      </c>
      <c r="R252">
        <v>2</v>
      </c>
      <c r="S252">
        <v>2</v>
      </c>
      <c r="T252">
        <v>2</v>
      </c>
      <c r="U252"/>
      <c r="V252"/>
      <c r="W252"/>
      <c r="X252">
        <v>2</v>
      </c>
      <c r="Y252">
        <v>2</v>
      </c>
      <c r="Z252">
        <v>2</v>
      </c>
      <c r="AA252">
        <v>2</v>
      </c>
      <c r="AB252"/>
      <c r="AC252">
        <v>2</v>
      </c>
      <c r="AD252">
        <v>2</v>
      </c>
      <c r="AE252">
        <v>2</v>
      </c>
      <c r="AF252">
        <v>2</v>
      </c>
      <c r="AG252">
        <v>2</v>
      </c>
      <c r="AH252">
        <v>2</v>
      </c>
      <c r="AI252">
        <v>2</v>
      </c>
      <c r="AJ252">
        <v>2</v>
      </c>
      <c r="AK252">
        <v>2</v>
      </c>
      <c r="AL252">
        <v>1</v>
      </c>
      <c r="AM252">
        <v>2</v>
      </c>
      <c r="AN252">
        <v>2</v>
      </c>
      <c r="AO252">
        <v>2</v>
      </c>
      <c r="AP252">
        <v>2</v>
      </c>
      <c r="AQ252">
        <v>2</v>
      </c>
      <c r="AR252">
        <v>2</v>
      </c>
      <c r="AS252">
        <v>1</v>
      </c>
      <c r="AT252">
        <v>2</v>
      </c>
      <c r="AU252">
        <v>2</v>
      </c>
      <c r="AV252">
        <v>2</v>
      </c>
      <c r="AW252">
        <v>2</v>
      </c>
      <c r="AX252"/>
      <c r="AY252">
        <v>2</v>
      </c>
      <c r="AZ252">
        <v>2</v>
      </c>
      <c r="BA252">
        <v>2</v>
      </c>
      <c r="BB252">
        <v>2</v>
      </c>
      <c r="BC252">
        <v>2</v>
      </c>
      <c r="BD252">
        <v>2</v>
      </c>
      <c r="BE252">
        <v>2</v>
      </c>
      <c r="BF252">
        <v>2</v>
      </c>
      <c r="BG252"/>
      <c r="BH252">
        <v>2</v>
      </c>
      <c r="BI252">
        <v>2</v>
      </c>
      <c r="BJ252">
        <v>2</v>
      </c>
      <c r="BK252">
        <v>2</v>
      </c>
      <c r="BL252">
        <v>2</v>
      </c>
      <c r="BM252">
        <v>2</v>
      </c>
      <c r="BN252">
        <v>2</v>
      </c>
      <c r="BO252">
        <v>2</v>
      </c>
      <c r="BP252"/>
      <c r="BQ252">
        <v>2</v>
      </c>
      <c r="BR252"/>
      <c r="BS252">
        <v>2</v>
      </c>
      <c r="BT252">
        <v>2</v>
      </c>
      <c r="BU252"/>
      <c r="BV252" s="558">
        <v>2</v>
      </c>
    </row>
    <row r="253" spans="1:74" s="558" customFormat="1" x14ac:dyDescent="0.3">
      <c r="A253">
        <v>1071</v>
      </c>
      <c r="B253" t="s">
        <v>2040</v>
      </c>
      <c r="C253"/>
      <c r="D253">
        <v>0</v>
      </c>
      <c r="E253">
        <v>13665311</v>
      </c>
      <c r="F253"/>
      <c r="G253"/>
      <c r="H253">
        <v>584548</v>
      </c>
      <c r="I253">
        <v>0</v>
      </c>
      <c r="J253">
        <v>101250</v>
      </c>
      <c r="K253">
        <v>624125</v>
      </c>
      <c r="L253">
        <v>0</v>
      </c>
      <c r="M253">
        <v>25000</v>
      </c>
      <c r="N253">
        <v>0</v>
      </c>
      <c r="O253">
        <v>287873</v>
      </c>
      <c r="P253"/>
      <c r="Q253">
        <v>0</v>
      </c>
      <c r="R253">
        <v>542742</v>
      </c>
      <c r="S253">
        <v>482193</v>
      </c>
      <c r="T253">
        <v>2281874</v>
      </c>
      <c r="U253"/>
      <c r="V253"/>
      <c r="W253"/>
      <c r="X253">
        <v>2091616</v>
      </c>
      <c r="Y253">
        <v>0</v>
      </c>
      <c r="Z253">
        <v>10000000</v>
      </c>
      <c r="AA253">
        <v>2709247</v>
      </c>
      <c r="AB253"/>
      <c r="AC253">
        <v>0</v>
      </c>
      <c r="AD253">
        <v>0</v>
      </c>
      <c r="AE253">
        <v>0</v>
      </c>
      <c r="AF253">
        <v>0</v>
      </c>
      <c r="AG253">
        <v>0</v>
      </c>
      <c r="AH253">
        <v>0</v>
      </c>
      <c r="AI253">
        <v>33782</v>
      </c>
      <c r="AJ253">
        <v>1040228</v>
      </c>
      <c r="AK253">
        <v>0</v>
      </c>
      <c r="AL253">
        <v>0</v>
      </c>
      <c r="AM253">
        <v>672715</v>
      </c>
      <c r="AN253">
        <v>30726</v>
      </c>
      <c r="AO253">
        <v>5691543</v>
      </c>
      <c r="AP253">
        <v>0</v>
      </c>
      <c r="AQ253">
        <v>96884</v>
      </c>
      <c r="AR253">
        <v>133216</v>
      </c>
      <c r="AS253">
        <v>9093331</v>
      </c>
      <c r="AT253">
        <v>65456</v>
      </c>
      <c r="AU253">
        <v>1138692</v>
      </c>
      <c r="AV253">
        <v>410026</v>
      </c>
      <c r="AW253">
        <v>0</v>
      </c>
      <c r="AX253"/>
      <c r="AY253">
        <v>0</v>
      </c>
      <c r="AZ253">
        <v>0</v>
      </c>
      <c r="BA253">
        <v>0</v>
      </c>
      <c r="BB253">
        <v>32314</v>
      </c>
      <c r="BC253">
        <v>0</v>
      </c>
      <c r="BD253">
        <v>1257622</v>
      </c>
      <c r="BE253">
        <v>0</v>
      </c>
      <c r="BF253">
        <v>6382235</v>
      </c>
      <c r="BG253"/>
      <c r="BH253">
        <v>117865</v>
      </c>
      <c r="BI253">
        <v>35000</v>
      </c>
      <c r="BJ253">
        <v>0</v>
      </c>
      <c r="BK253">
        <v>240935</v>
      </c>
      <c r="BL253">
        <v>4671148</v>
      </c>
      <c r="BM253">
        <v>471354</v>
      </c>
      <c r="BN253">
        <v>0</v>
      </c>
      <c r="BO253">
        <v>0</v>
      </c>
      <c r="BP253"/>
      <c r="BQ253">
        <v>586000</v>
      </c>
      <c r="BR253"/>
      <c r="BS253">
        <v>475000</v>
      </c>
      <c r="BT253">
        <v>0</v>
      </c>
      <c r="BU253"/>
      <c r="BV253" s="558">
        <v>364106</v>
      </c>
    </row>
    <row r="254" spans="1:74" s="551" customFormat="1" x14ac:dyDescent="0.3">
      <c r="A254">
        <v>1075</v>
      </c>
      <c r="B254" t="s">
        <v>2041</v>
      </c>
      <c r="C254"/>
      <c r="D254">
        <v>0</v>
      </c>
      <c r="E254">
        <v>0</v>
      </c>
      <c r="F254"/>
      <c r="G254"/>
      <c r="H254">
        <v>0</v>
      </c>
      <c r="I254">
        <v>0</v>
      </c>
      <c r="J254">
        <v>0</v>
      </c>
      <c r="K254">
        <v>0</v>
      </c>
      <c r="L254">
        <v>320</v>
      </c>
      <c r="M254">
        <v>0</v>
      </c>
      <c r="N254">
        <v>0</v>
      </c>
      <c r="O254">
        <v>0</v>
      </c>
      <c r="P254"/>
      <c r="Q254">
        <v>0</v>
      </c>
      <c r="R254">
        <v>0</v>
      </c>
      <c r="S254">
        <v>0</v>
      </c>
      <c r="T254">
        <v>0</v>
      </c>
      <c r="U254"/>
      <c r="V254"/>
      <c r="W254"/>
      <c r="X254">
        <v>0</v>
      </c>
      <c r="Y254">
        <v>0</v>
      </c>
      <c r="Z254">
        <v>0</v>
      </c>
      <c r="AA254">
        <v>0</v>
      </c>
      <c r="AB254"/>
      <c r="AC254">
        <v>0</v>
      </c>
      <c r="AD254">
        <v>0</v>
      </c>
      <c r="AE254">
        <v>0</v>
      </c>
      <c r="AF254">
        <v>98000</v>
      </c>
      <c r="AG254">
        <v>0</v>
      </c>
      <c r="AH254">
        <v>0</v>
      </c>
      <c r="AI254">
        <v>0</v>
      </c>
      <c r="AJ254">
        <v>0</v>
      </c>
      <c r="AK254">
        <v>0</v>
      </c>
      <c r="AL254">
        <v>0</v>
      </c>
      <c r="AM254">
        <v>0</v>
      </c>
      <c r="AN254">
        <v>0</v>
      </c>
      <c r="AO254">
        <v>0</v>
      </c>
      <c r="AP254">
        <v>0</v>
      </c>
      <c r="AQ254">
        <v>0</v>
      </c>
      <c r="AR254">
        <v>0</v>
      </c>
      <c r="AS254">
        <v>0</v>
      </c>
      <c r="AT254">
        <v>0</v>
      </c>
      <c r="AU254">
        <v>0</v>
      </c>
      <c r="AV254">
        <v>0</v>
      </c>
      <c r="AW254">
        <v>0</v>
      </c>
      <c r="AX254"/>
      <c r="AY254">
        <v>0</v>
      </c>
      <c r="AZ254">
        <v>0</v>
      </c>
      <c r="BA254">
        <v>0</v>
      </c>
      <c r="BB254">
        <v>0</v>
      </c>
      <c r="BC254">
        <v>0</v>
      </c>
      <c r="BD254">
        <v>0</v>
      </c>
      <c r="BE254">
        <v>0</v>
      </c>
      <c r="BF254">
        <v>2678873</v>
      </c>
      <c r="BG254"/>
      <c r="BH254">
        <v>0</v>
      </c>
      <c r="BI254">
        <v>0</v>
      </c>
      <c r="BJ254">
        <v>0</v>
      </c>
      <c r="BK254">
        <v>0</v>
      </c>
      <c r="BL254">
        <v>0</v>
      </c>
      <c r="BM254">
        <v>0</v>
      </c>
      <c r="BN254">
        <v>0</v>
      </c>
      <c r="BO254">
        <v>0</v>
      </c>
      <c r="BP254"/>
      <c r="BQ254">
        <v>0</v>
      </c>
      <c r="BR254"/>
      <c r="BS254">
        <v>0</v>
      </c>
      <c r="BT254">
        <v>0</v>
      </c>
      <c r="BU254"/>
      <c r="BV254" s="551">
        <v>364106</v>
      </c>
    </row>
    <row r="255" spans="1:74" s="551" customFormat="1" x14ac:dyDescent="0.3">
      <c r="A255">
        <v>1076</v>
      </c>
      <c r="B255" t="s">
        <v>2042</v>
      </c>
      <c r="C255"/>
      <c r="D255">
        <v>0</v>
      </c>
      <c r="E255">
        <v>0</v>
      </c>
      <c r="F255"/>
      <c r="G255"/>
      <c r="H255">
        <v>0</v>
      </c>
      <c r="I255">
        <v>0</v>
      </c>
      <c r="J255">
        <v>0</v>
      </c>
      <c r="K255">
        <v>0</v>
      </c>
      <c r="L255">
        <v>0</v>
      </c>
      <c r="M255">
        <v>0</v>
      </c>
      <c r="N255">
        <v>0</v>
      </c>
      <c r="O255">
        <v>0</v>
      </c>
      <c r="P255"/>
      <c r="Q255">
        <v>0</v>
      </c>
      <c r="R255">
        <v>0</v>
      </c>
      <c r="S255">
        <v>0</v>
      </c>
      <c r="T255">
        <v>0</v>
      </c>
      <c r="U255"/>
      <c r="V255"/>
      <c r="W255"/>
      <c r="X255">
        <v>0</v>
      </c>
      <c r="Y255">
        <v>0</v>
      </c>
      <c r="Z255">
        <v>0</v>
      </c>
      <c r="AA255">
        <v>0</v>
      </c>
      <c r="AB255"/>
      <c r="AC255">
        <v>0</v>
      </c>
      <c r="AD255">
        <v>2528</v>
      </c>
      <c r="AE255">
        <v>0</v>
      </c>
      <c r="AF255">
        <v>0</v>
      </c>
      <c r="AG255">
        <v>0</v>
      </c>
      <c r="AH255">
        <v>0</v>
      </c>
      <c r="AI255">
        <v>0</v>
      </c>
      <c r="AJ255">
        <v>0</v>
      </c>
      <c r="AK255">
        <v>0</v>
      </c>
      <c r="AL255">
        <v>0</v>
      </c>
      <c r="AM255">
        <v>0</v>
      </c>
      <c r="AN255">
        <v>0</v>
      </c>
      <c r="AO255">
        <v>0</v>
      </c>
      <c r="AP255">
        <v>0</v>
      </c>
      <c r="AQ255">
        <v>0</v>
      </c>
      <c r="AR255">
        <v>0</v>
      </c>
      <c r="AS255">
        <v>0</v>
      </c>
      <c r="AT255">
        <v>0</v>
      </c>
      <c r="AU255">
        <v>0</v>
      </c>
      <c r="AV255">
        <v>0</v>
      </c>
      <c r="AW255">
        <v>0</v>
      </c>
      <c r="AX255"/>
      <c r="AY255">
        <v>0</v>
      </c>
      <c r="AZ255">
        <v>0</v>
      </c>
      <c r="BA255">
        <v>0</v>
      </c>
      <c r="BB255">
        <v>3250</v>
      </c>
      <c r="BC255">
        <v>0</v>
      </c>
      <c r="BD255">
        <v>0</v>
      </c>
      <c r="BE255">
        <v>0</v>
      </c>
      <c r="BF255">
        <v>0</v>
      </c>
      <c r="BG255"/>
      <c r="BH255">
        <v>0</v>
      </c>
      <c r="BI255">
        <v>0</v>
      </c>
      <c r="BJ255">
        <v>117640</v>
      </c>
      <c r="BK255">
        <v>0</v>
      </c>
      <c r="BL255">
        <v>0</v>
      </c>
      <c r="BM255">
        <v>0</v>
      </c>
      <c r="BN255">
        <v>0</v>
      </c>
      <c r="BO255">
        <v>0</v>
      </c>
      <c r="BP255"/>
      <c r="BQ255">
        <v>0</v>
      </c>
      <c r="BR255"/>
      <c r="BS255">
        <v>0</v>
      </c>
      <c r="BT255">
        <v>0</v>
      </c>
      <c r="BU255"/>
      <c r="BV255" s="551">
        <v>0</v>
      </c>
    </row>
    <row r="256" spans="1:74" s="558" customFormat="1" x14ac:dyDescent="0.3">
      <c r="A256">
        <v>1077</v>
      </c>
      <c r="B256" t="s">
        <v>2043</v>
      </c>
      <c r="C256"/>
      <c r="D256">
        <v>0</v>
      </c>
      <c r="E256">
        <v>95890000</v>
      </c>
      <c r="F256"/>
      <c r="G256"/>
      <c r="H256">
        <v>0</v>
      </c>
      <c r="I256">
        <v>0</v>
      </c>
      <c r="J256">
        <v>0</v>
      </c>
      <c r="K256">
        <v>0</v>
      </c>
      <c r="L256">
        <v>0</v>
      </c>
      <c r="M256">
        <v>0</v>
      </c>
      <c r="N256">
        <v>0</v>
      </c>
      <c r="O256">
        <v>0</v>
      </c>
      <c r="P256"/>
      <c r="Q256">
        <v>0</v>
      </c>
      <c r="R256">
        <v>0</v>
      </c>
      <c r="S256">
        <v>0</v>
      </c>
      <c r="T256">
        <v>0</v>
      </c>
      <c r="U256"/>
      <c r="V256"/>
      <c r="W256"/>
      <c r="X256">
        <v>0</v>
      </c>
      <c r="Y256">
        <v>0</v>
      </c>
      <c r="Z256">
        <v>0</v>
      </c>
      <c r="AA256">
        <v>0</v>
      </c>
      <c r="AB256"/>
      <c r="AC256">
        <v>0</v>
      </c>
      <c r="AD256">
        <v>0</v>
      </c>
      <c r="AE256">
        <v>0</v>
      </c>
      <c r="AF256">
        <v>0</v>
      </c>
      <c r="AG256">
        <v>0</v>
      </c>
      <c r="AH256">
        <v>0</v>
      </c>
      <c r="AI256">
        <v>0</v>
      </c>
      <c r="AJ256">
        <v>0</v>
      </c>
      <c r="AK256">
        <v>0</v>
      </c>
      <c r="AL256">
        <v>0</v>
      </c>
      <c r="AM256">
        <v>0</v>
      </c>
      <c r="AN256">
        <v>0</v>
      </c>
      <c r="AO256">
        <v>413000</v>
      </c>
      <c r="AP256">
        <v>0</v>
      </c>
      <c r="AQ256">
        <v>0</v>
      </c>
      <c r="AR256">
        <v>0</v>
      </c>
      <c r="AS256">
        <v>2073384</v>
      </c>
      <c r="AT256">
        <v>0</v>
      </c>
      <c r="AU256">
        <v>0</v>
      </c>
      <c r="AV256">
        <v>0</v>
      </c>
      <c r="AW256">
        <v>0</v>
      </c>
      <c r="AX256"/>
      <c r="AY256">
        <v>0</v>
      </c>
      <c r="AZ256">
        <v>0</v>
      </c>
      <c r="BA256">
        <v>0</v>
      </c>
      <c r="BB256">
        <v>0</v>
      </c>
      <c r="BC256">
        <v>0</v>
      </c>
      <c r="BD256">
        <v>0</v>
      </c>
      <c r="BE256">
        <v>0</v>
      </c>
      <c r="BF256">
        <v>547829</v>
      </c>
      <c r="BG256"/>
      <c r="BH256">
        <v>0</v>
      </c>
      <c r="BI256">
        <v>0</v>
      </c>
      <c r="BJ256">
        <v>2401130</v>
      </c>
      <c r="BK256">
        <v>0</v>
      </c>
      <c r="BL256">
        <v>1079360</v>
      </c>
      <c r="BM256">
        <v>0</v>
      </c>
      <c r="BN256">
        <v>0</v>
      </c>
      <c r="BO256">
        <v>0</v>
      </c>
      <c r="BP256"/>
      <c r="BQ256">
        <v>0</v>
      </c>
      <c r="BR256"/>
      <c r="BS256">
        <v>0</v>
      </c>
      <c r="BT256">
        <v>15000</v>
      </c>
      <c r="BU256"/>
      <c r="BV256" s="558">
        <v>36286</v>
      </c>
    </row>
    <row r="257" spans="1:74" s="558" customFormat="1" x14ac:dyDescent="0.3">
      <c r="A257">
        <v>1078</v>
      </c>
      <c r="B257" t="s">
        <v>2044</v>
      </c>
      <c r="C257"/>
      <c r="D257">
        <v>3</v>
      </c>
      <c r="E257">
        <v>3</v>
      </c>
      <c r="F257"/>
      <c r="G257"/>
      <c r="H257">
        <v>3</v>
      </c>
      <c r="I257">
        <v>2</v>
      </c>
      <c r="J257">
        <v>3</v>
      </c>
      <c r="K257">
        <v>3</v>
      </c>
      <c r="L257">
        <v>3</v>
      </c>
      <c r="M257">
        <v>3</v>
      </c>
      <c r="N257">
        <v>3</v>
      </c>
      <c r="O257">
        <v>3</v>
      </c>
      <c r="P257"/>
      <c r="Q257">
        <v>3</v>
      </c>
      <c r="R257">
        <v>3</v>
      </c>
      <c r="S257">
        <v>3</v>
      </c>
      <c r="T257">
        <v>3</v>
      </c>
      <c r="U257"/>
      <c r="V257"/>
      <c r="W257"/>
      <c r="X257">
        <v>3</v>
      </c>
      <c r="Y257">
        <v>3</v>
      </c>
      <c r="Z257">
        <v>3</v>
      </c>
      <c r="AA257">
        <v>3</v>
      </c>
      <c r="AB257"/>
      <c r="AC257">
        <v>3</v>
      </c>
      <c r="AD257">
        <v>3</v>
      </c>
      <c r="AE257">
        <v>3</v>
      </c>
      <c r="AF257">
        <v>3</v>
      </c>
      <c r="AG257">
        <v>3</v>
      </c>
      <c r="AH257">
        <v>3</v>
      </c>
      <c r="AI257">
        <v>3</v>
      </c>
      <c r="AJ257">
        <v>3</v>
      </c>
      <c r="AK257">
        <v>3</v>
      </c>
      <c r="AL257">
        <v>2</v>
      </c>
      <c r="AM257">
        <v>3</v>
      </c>
      <c r="AN257">
        <v>3</v>
      </c>
      <c r="AO257">
        <v>3</v>
      </c>
      <c r="AP257">
        <v>3</v>
      </c>
      <c r="AQ257">
        <v>3</v>
      </c>
      <c r="AR257">
        <v>3</v>
      </c>
      <c r="AS257">
        <v>3</v>
      </c>
      <c r="AT257">
        <v>3</v>
      </c>
      <c r="AU257">
        <v>3</v>
      </c>
      <c r="AV257">
        <v>3</v>
      </c>
      <c r="AW257">
        <v>0</v>
      </c>
      <c r="AX257"/>
      <c r="AY257">
        <v>3</v>
      </c>
      <c r="AZ257">
        <v>3</v>
      </c>
      <c r="BA257">
        <v>3</v>
      </c>
      <c r="BB257">
        <v>3</v>
      </c>
      <c r="BC257">
        <v>3</v>
      </c>
      <c r="BD257">
        <v>3</v>
      </c>
      <c r="BE257">
        <v>3</v>
      </c>
      <c r="BF257">
        <v>3</v>
      </c>
      <c r="BG257"/>
      <c r="BH257">
        <v>3</v>
      </c>
      <c r="BI257">
        <v>3</v>
      </c>
      <c r="BJ257">
        <v>3</v>
      </c>
      <c r="BK257">
        <v>3</v>
      </c>
      <c r="BL257">
        <v>3</v>
      </c>
      <c r="BM257">
        <v>3</v>
      </c>
      <c r="BN257">
        <v>3</v>
      </c>
      <c r="BO257">
        <v>3</v>
      </c>
      <c r="BP257"/>
      <c r="BQ257">
        <v>3</v>
      </c>
      <c r="BR257"/>
      <c r="BS257">
        <v>3</v>
      </c>
      <c r="BT257">
        <v>0</v>
      </c>
      <c r="BU257"/>
      <c r="BV257" s="558">
        <v>3</v>
      </c>
    </row>
    <row r="258" spans="1:74" s="560" customFormat="1" x14ac:dyDescent="0.3">
      <c r="A258">
        <v>1079</v>
      </c>
      <c r="B258" t="s">
        <v>1944</v>
      </c>
      <c r="C258"/>
      <c r="D258" t="s">
        <v>2567</v>
      </c>
      <c r="E258" t="s">
        <v>1986</v>
      </c>
      <c r="F258"/>
      <c r="G258"/>
      <c r="H258" t="s">
        <v>1993</v>
      </c>
      <c r="I258" t="s">
        <v>2547</v>
      </c>
      <c r="J258" t="s">
        <v>2647</v>
      </c>
      <c r="K258" t="s">
        <v>2573</v>
      </c>
      <c r="L258" t="s">
        <v>2007</v>
      </c>
      <c r="M258" t="s">
        <v>2007</v>
      </c>
      <c r="N258" t="s">
        <v>2648</v>
      </c>
      <c r="O258" t="s">
        <v>2551</v>
      </c>
      <c r="P258"/>
      <c r="Q258" t="s">
        <v>2006</v>
      </c>
      <c r="R258" t="s">
        <v>1990</v>
      </c>
      <c r="S258" t="s">
        <v>2549</v>
      </c>
      <c r="T258" t="s">
        <v>2001</v>
      </c>
      <c r="U258"/>
      <c r="V258"/>
      <c r="W258"/>
      <c r="X258" t="s">
        <v>1991</v>
      </c>
      <c r="Y258" t="s">
        <v>2048</v>
      </c>
      <c r="Z258" t="s">
        <v>2045</v>
      </c>
      <c r="AA258" t="s">
        <v>2548</v>
      </c>
      <c r="AB258"/>
      <c r="AC258" t="s">
        <v>2649</v>
      </c>
      <c r="AD258" t="s">
        <v>1994</v>
      </c>
      <c r="AE258" t="s">
        <v>1986</v>
      </c>
      <c r="AF258" t="s">
        <v>2019</v>
      </c>
      <c r="AG258" t="s">
        <v>2650</v>
      </c>
      <c r="AH258" t="s">
        <v>1986</v>
      </c>
      <c r="AI258" t="s">
        <v>2619</v>
      </c>
      <c r="AJ258" t="s">
        <v>2270</v>
      </c>
      <c r="AK258" t="s">
        <v>2002</v>
      </c>
      <c r="AL258" t="s">
        <v>2549</v>
      </c>
      <c r="AM258" t="s">
        <v>2555</v>
      </c>
      <c r="AN258" t="s">
        <v>2552</v>
      </c>
      <c r="AO258" t="s">
        <v>1998</v>
      </c>
      <c r="AP258" t="s">
        <v>2548</v>
      </c>
      <c r="AQ258" t="s">
        <v>2559</v>
      </c>
      <c r="AR258" t="s">
        <v>2560</v>
      </c>
      <c r="AS258" t="s">
        <v>1986</v>
      </c>
      <c r="AT258" t="s">
        <v>2561</v>
      </c>
      <c r="AU258" t="s">
        <v>2550</v>
      </c>
      <c r="AV258" t="s">
        <v>2620</v>
      </c>
      <c r="AW258" t="s">
        <v>2562</v>
      </c>
      <c r="AX258"/>
      <c r="AY258" t="s">
        <v>2554</v>
      </c>
      <c r="AZ258" t="s">
        <v>2563</v>
      </c>
      <c r="BA258" t="s">
        <v>2553</v>
      </c>
      <c r="BB258" t="s">
        <v>2565</v>
      </c>
      <c r="BC258" t="s">
        <v>1986</v>
      </c>
      <c r="BD258" t="s">
        <v>1988</v>
      </c>
      <c r="BE258" t="s">
        <v>1986</v>
      </c>
      <c r="BF258" t="s">
        <v>1982</v>
      </c>
      <c r="BG258"/>
      <c r="BH258" t="s">
        <v>1999</v>
      </c>
      <c r="BI258" t="s">
        <v>2561</v>
      </c>
      <c r="BJ258" t="s">
        <v>2002</v>
      </c>
      <c r="BK258" t="s">
        <v>1987</v>
      </c>
      <c r="BL258" t="s">
        <v>2007</v>
      </c>
      <c r="BM258" t="s">
        <v>2651</v>
      </c>
      <c r="BN258" t="s">
        <v>2568</v>
      </c>
      <c r="BO258" t="s">
        <v>2569</v>
      </c>
      <c r="BP258"/>
      <c r="BQ258" t="s">
        <v>2554</v>
      </c>
      <c r="BR258"/>
      <c r="BS258" t="s">
        <v>2652</v>
      </c>
      <c r="BT258" t="s">
        <v>2047</v>
      </c>
      <c r="BU258"/>
      <c r="BV258" s="560" t="s">
        <v>2048</v>
      </c>
    </row>
    <row r="259" spans="1:74" s="560" customFormat="1" x14ac:dyDescent="0.3">
      <c r="A259">
        <v>9000</v>
      </c>
      <c r="B259" t="s">
        <v>951</v>
      </c>
      <c r="C259" t="s">
        <v>349</v>
      </c>
      <c r="D259">
        <v>324252479.91000003</v>
      </c>
      <c r="E259">
        <v>32234875165.362999</v>
      </c>
      <c r="F259">
        <v>50364.01</v>
      </c>
      <c r="G259">
        <v>50365.01</v>
      </c>
      <c r="H259">
        <v>128112276.84</v>
      </c>
      <c r="I259">
        <v>807636.41</v>
      </c>
      <c r="J259">
        <v>19761228.859999999</v>
      </c>
      <c r="K259">
        <v>82159037</v>
      </c>
      <c r="L259">
        <v>242328098.22999999</v>
      </c>
      <c r="M259">
        <v>898232316.55739999</v>
      </c>
      <c r="N259">
        <v>9190458.4409999996</v>
      </c>
      <c r="O259">
        <v>47217788.100000001</v>
      </c>
      <c r="P259">
        <v>50373.01</v>
      </c>
      <c r="Q259">
        <v>16814745.809999999</v>
      </c>
      <c r="R259">
        <v>37427295.880000003</v>
      </c>
      <c r="S259">
        <v>89448968.109999999</v>
      </c>
      <c r="T259">
        <v>325991329.861</v>
      </c>
      <c r="U259">
        <v>50375.01</v>
      </c>
      <c r="V259">
        <v>50376.01</v>
      </c>
      <c r="W259">
        <v>50377.09</v>
      </c>
      <c r="X259">
        <v>439174041.38999999</v>
      </c>
      <c r="Y259">
        <v>48662547.490000002</v>
      </c>
      <c r="Z259">
        <v>3631510069.8850002</v>
      </c>
      <c r="AA259">
        <v>484879167.19</v>
      </c>
      <c r="AB259">
        <v>50382.01</v>
      </c>
      <c r="AC259">
        <v>41464825.729999997</v>
      </c>
      <c r="AD259">
        <v>76950870.959999993</v>
      </c>
      <c r="AE259">
        <v>73363467.349999994</v>
      </c>
      <c r="AF259">
        <v>45460872.509999998</v>
      </c>
      <c r="AG259">
        <v>42390879.390000001</v>
      </c>
      <c r="AH259">
        <v>399850224.31</v>
      </c>
      <c r="AI259">
        <v>4831874.49</v>
      </c>
      <c r="AJ259">
        <v>96340852.930000007</v>
      </c>
      <c r="AK259">
        <v>7181534</v>
      </c>
      <c r="AL259">
        <v>51827030.590000004</v>
      </c>
      <c r="AM259">
        <v>172070266.15000001</v>
      </c>
      <c r="AN259">
        <v>23675716.190000001</v>
      </c>
      <c r="AO259">
        <v>2327965231.8295999</v>
      </c>
      <c r="AP259">
        <v>64850499.119999997</v>
      </c>
      <c r="AQ259">
        <v>8869254.0299999993</v>
      </c>
      <c r="AR259">
        <v>17066253.68</v>
      </c>
      <c r="AS259">
        <v>2612978532.1500001</v>
      </c>
      <c r="AT259">
        <v>38816513.229999997</v>
      </c>
      <c r="AU259">
        <v>171893505.97</v>
      </c>
      <c r="AV259">
        <v>141646255.035</v>
      </c>
      <c r="AW259">
        <v>61861284.850000001</v>
      </c>
      <c r="AX259">
        <v>50400</v>
      </c>
      <c r="AY259">
        <v>9963359.9949999992</v>
      </c>
      <c r="AZ259">
        <v>405670558.45999998</v>
      </c>
      <c r="BA259">
        <v>52702709.689999998</v>
      </c>
      <c r="BB259">
        <v>23825207.059999999</v>
      </c>
      <c r="BC259">
        <v>37972620.340000004</v>
      </c>
      <c r="BD259">
        <v>284792676.22250003</v>
      </c>
      <c r="BE259">
        <v>127822379.7</v>
      </c>
      <c r="BF259">
        <v>1983931788.9175</v>
      </c>
      <c r="BG259">
        <v>50407.01</v>
      </c>
      <c r="BH259">
        <v>8639156.3900000006</v>
      </c>
      <c r="BI259">
        <v>22140959.68</v>
      </c>
      <c r="BJ259">
        <v>1082980583.51</v>
      </c>
      <c r="BK259">
        <v>86239068.150000006</v>
      </c>
      <c r="BL259">
        <v>999054604.11000001</v>
      </c>
      <c r="BM259">
        <v>263083475.11579999</v>
      </c>
      <c r="BN259">
        <v>568096054.23559999</v>
      </c>
      <c r="BO259">
        <v>160266518.96000001</v>
      </c>
      <c r="BP259">
        <v>50415</v>
      </c>
      <c r="BQ259">
        <v>94301227.375</v>
      </c>
      <c r="BR259">
        <v>50417</v>
      </c>
      <c r="BS259">
        <v>169957630.553</v>
      </c>
      <c r="BT259">
        <v>56594991.350000001</v>
      </c>
      <c r="BU259">
        <v>50420.01</v>
      </c>
      <c r="BV259" s="560">
        <v>165624189.97600001</v>
      </c>
    </row>
    <row r="260" spans="1:74" s="560" customFormat="1" x14ac:dyDescent="0.3">
      <c r="A260">
        <v>9001</v>
      </c>
      <c r="B260" t="s">
        <v>952</v>
      </c>
      <c r="C260" t="s">
        <v>953</v>
      </c>
      <c r="D260">
        <v>18991778</v>
      </c>
      <c r="E260">
        <v>2631648285</v>
      </c>
      <c r="F260">
        <v>0</v>
      </c>
      <c r="G260">
        <v>0</v>
      </c>
      <c r="H260">
        <v>10206856</v>
      </c>
      <c r="I260">
        <v>81951</v>
      </c>
      <c r="J260">
        <v>3134446</v>
      </c>
      <c r="K260">
        <v>13365624</v>
      </c>
      <c r="L260">
        <v>9607354</v>
      </c>
      <c r="M260">
        <v>58033588</v>
      </c>
      <c r="N260">
        <v>1151279</v>
      </c>
      <c r="O260">
        <v>2322556</v>
      </c>
      <c r="P260">
        <v>0</v>
      </c>
      <c r="Q260">
        <v>2542565</v>
      </c>
      <c r="R260">
        <v>3986128</v>
      </c>
      <c r="S260">
        <v>8531723</v>
      </c>
      <c r="T260">
        <v>37528081</v>
      </c>
      <c r="U260">
        <v>0</v>
      </c>
      <c r="V260">
        <v>0</v>
      </c>
      <c r="W260">
        <v>0</v>
      </c>
      <c r="X260">
        <v>40538550</v>
      </c>
      <c r="Y260">
        <v>6108449</v>
      </c>
      <c r="Z260">
        <v>263067790</v>
      </c>
      <c r="AA260">
        <v>92087836</v>
      </c>
      <c r="AB260">
        <v>0</v>
      </c>
      <c r="AC260">
        <v>1615833</v>
      </c>
      <c r="AD260">
        <v>3233028</v>
      </c>
      <c r="AE260">
        <v>4750493</v>
      </c>
      <c r="AF260">
        <v>1440836</v>
      </c>
      <c r="AG260">
        <v>1591920</v>
      </c>
      <c r="AH260">
        <v>17118007</v>
      </c>
      <c r="AI260">
        <v>739889</v>
      </c>
      <c r="AJ260">
        <v>11028563</v>
      </c>
      <c r="AK260">
        <v>889882</v>
      </c>
      <c r="AL260">
        <v>3545340</v>
      </c>
      <c r="AM260">
        <v>13190969</v>
      </c>
      <c r="AN260">
        <v>1510007</v>
      </c>
      <c r="AO260">
        <v>128066597</v>
      </c>
      <c r="AP260">
        <v>4099191</v>
      </c>
      <c r="AQ260">
        <v>932243</v>
      </c>
      <c r="AR260">
        <v>1648786</v>
      </c>
      <c r="AS260">
        <v>142380151</v>
      </c>
      <c r="AT260">
        <v>1081529</v>
      </c>
      <c r="AU260">
        <v>13064109</v>
      </c>
      <c r="AV260">
        <v>4960616</v>
      </c>
      <c r="AW260">
        <v>1905244</v>
      </c>
      <c r="AX260">
        <v>0</v>
      </c>
      <c r="AY260">
        <v>1143691</v>
      </c>
      <c r="AZ260">
        <v>19209318</v>
      </c>
      <c r="BA260">
        <v>4959819</v>
      </c>
      <c r="BB260">
        <v>256534</v>
      </c>
      <c r="BC260">
        <v>17654808</v>
      </c>
      <c r="BD260">
        <v>30569268</v>
      </c>
      <c r="BE260">
        <v>3047879</v>
      </c>
      <c r="BF260">
        <v>122214788</v>
      </c>
      <c r="BG260">
        <v>0</v>
      </c>
      <c r="BH260">
        <v>874731</v>
      </c>
      <c r="BI260">
        <v>933264</v>
      </c>
      <c r="BJ260">
        <v>62346058</v>
      </c>
      <c r="BK260">
        <v>4192587</v>
      </c>
      <c r="BL260">
        <v>79965867</v>
      </c>
      <c r="BM260">
        <v>36583031</v>
      </c>
      <c r="BN260">
        <v>33744363</v>
      </c>
      <c r="BO260">
        <v>6232805</v>
      </c>
      <c r="BP260">
        <v>0</v>
      </c>
      <c r="BQ260">
        <v>13335148</v>
      </c>
      <c r="BR260">
        <v>0</v>
      </c>
      <c r="BS260">
        <v>10220878</v>
      </c>
      <c r="BT260">
        <v>4073714</v>
      </c>
      <c r="BU260">
        <v>0</v>
      </c>
      <c r="BV260" s="560">
        <v>9655597</v>
      </c>
    </row>
    <row r="261" spans="1:74" s="558" customFormat="1" x14ac:dyDescent="0.3">
      <c r="A261">
        <v>9002</v>
      </c>
      <c r="B261" t="s">
        <v>954</v>
      </c>
      <c r="C261" t="s">
        <v>955</v>
      </c>
      <c r="D261">
        <v>686364</v>
      </c>
      <c r="E261">
        <v>187317512</v>
      </c>
      <c r="F261">
        <v>0</v>
      </c>
      <c r="G261">
        <v>0</v>
      </c>
      <c r="H261">
        <v>94093</v>
      </c>
      <c r="I261">
        <v>0</v>
      </c>
      <c r="J261">
        <v>4812</v>
      </c>
      <c r="K261">
        <v>20919</v>
      </c>
      <c r="L261">
        <v>429901</v>
      </c>
      <c r="M261">
        <v>4326067</v>
      </c>
      <c r="N261">
        <v>1931</v>
      </c>
      <c r="O261">
        <v>47407</v>
      </c>
      <c r="P261">
        <v>0</v>
      </c>
      <c r="Q261">
        <v>224291</v>
      </c>
      <c r="R261">
        <v>86705</v>
      </c>
      <c r="S261">
        <v>60919</v>
      </c>
      <c r="T261">
        <v>1944141</v>
      </c>
      <c r="U261">
        <v>0</v>
      </c>
      <c r="V261">
        <v>0</v>
      </c>
      <c r="W261">
        <v>0</v>
      </c>
      <c r="X261">
        <v>645349</v>
      </c>
      <c r="Y261">
        <v>330735</v>
      </c>
      <c r="Z261">
        <v>14033634</v>
      </c>
      <c r="AA261">
        <v>2395269</v>
      </c>
      <c r="AB261">
        <v>0</v>
      </c>
      <c r="AC261">
        <v>21841</v>
      </c>
      <c r="AD261">
        <v>478635</v>
      </c>
      <c r="AE261">
        <v>41177</v>
      </c>
      <c r="AF261">
        <v>37609</v>
      </c>
      <c r="AG261">
        <v>77870</v>
      </c>
      <c r="AH261">
        <v>1219537</v>
      </c>
      <c r="AI261">
        <v>4043</v>
      </c>
      <c r="AJ261">
        <v>262373</v>
      </c>
      <c r="AK261">
        <v>133422</v>
      </c>
      <c r="AL261">
        <v>366171</v>
      </c>
      <c r="AM261">
        <v>2124248</v>
      </c>
      <c r="AN261">
        <v>10674</v>
      </c>
      <c r="AO261">
        <v>6281463</v>
      </c>
      <c r="AP261">
        <v>69971</v>
      </c>
      <c r="AQ261">
        <v>1376</v>
      </c>
      <c r="AR261">
        <v>17744</v>
      </c>
      <c r="AS261">
        <v>7261947</v>
      </c>
      <c r="AT261">
        <v>7540</v>
      </c>
      <c r="AU261">
        <v>344967</v>
      </c>
      <c r="AV261">
        <v>37958</v>
      </c>
      <c r="AW261">
        <v>38194</v>
      </c>
      <c r="AX261">
        <v>0</v>
      </c>
      <c r="AY261">
        <v>18626</v>
      </c>
      <c r="AZ261">
        <v>494864</v>
      </c>
      <c r="BA261">
        <v>196115</v>
      </c>
      <c r="BB261">
        <v>837</v>
      </c>
      <c r="BC261">
        <v>0</v>
      </c>
      <c r="BD261">
        <v>2264594</v>
      </c>
      <c r="BE261">
        <v>176124</v>
      </c>
      <c r="BF261">
        <v>7466420</v>
      </c>
      <c r="BG261">
        <v>0</v>
      </c>
      <c r="BH261">
        <v>6495</v>
      </c>
      <c r="BI261">
        <v>70263</v>
      </c>
      <c r="BJ261">
        <v>4618719</v>
      </c>
      <c r="BK261">
        <v>98706</v>
      </c>
      <c r="BL261">
        <v>3545994</v>
      </c>
      <c r="BM261">
        <v>1313231</v>
      </c>
      <c r="BN261">
        <v>7534595</v>
      </c>
      <c r="BO261">
        <v>630736</v>
      </c>
      <c r="BP261">
        <v>0</v>
      </c>
      <c r="BQ261">
        <v>417164</v>
      </c>
      <c r="BR261">
        <v>0</v>
      </c>
      <c r="BS261">
        <v>1206640</v>
      </c>
      <c r="BT261">
        <v>91544</v>
      </c>
      <c r="BU261">
        <v>0</v>
      </c>
      <c r="BV261" s="558">
        <v>187848</v>
      </c>
    </row>
    <row r="262" spans="1:74" s="180" customFormat="1" x14ac:dyDescent="0.3">
      <c r="A262">
        <v>9003</v>
      </c>
      <c r="B262" t="s">
        <v>956</v>
      </c>
      <c r="C262" t="s">
        <v>957</v>
      </c>
      <c r="D262">
        <v>6525745</v>
      </c>
      <c r="E262">
        <v>1209536862</v>
      </c>
      <c r="F262">
        <v>0</v>
      </c>
      <c r="G262">
        <v>0</v>
      </c>
      <c r="H262">
        <v>3886086</v>
      </c>
      <c r="I262">
        <v>0</v>
      </c>
      <c r="J262">
        <v>4812</v>
      </c>
      <c r="K262">
        <v>82419</v>
      </c>
      <c r="L262">
        <v>7667252</v>
      </c>
      <c r="M262">
        <v>27002530</v>
      </c>
      <c r="N262">
        <v>1931</v>
      </c>
      <c r="O262">
        <v>228990</v>
      </c>
      <c r="P262">
        <v>0</v>
      </c>
      <c r="Q262">
        <v>693953</v>
      </c>
      <c r="R262">
        <v>739036</v>
      </c>
      <c r="S262">
        <v>1004738</v>
      </c>
      <c r="T262">
        <v>26330902</v>
      </c>
      <c r="U262">
        <v>0</v>
      </c>
      <c r="V262">
        <v>0</v>
      </c>
      <c r="W262">
        <v>0</v>
      </c>
      <c r="X262">
        <v>16120201</v>
      </c>
      <c r="Y262">
        <v>1700463</v>
      </c>
      <c r="Z262">
        <v>141420172</v>
      </c>
      <c r="AA262">
        <v>15688759</v>
      </c>
      <c r="AB262">
        <v>0</v>
      </c>
      <c r="AC262">
        <v>89487</v>
      </c>
      <c r="AD262">
        <v>1431267</v>
      </c>
      <c r="AE262">
        <v>374039</v>
      </c>
      <c r="AF262">
        <v>205210</v>
      </c>
      <c r="AG262">
        <v>1368288</v>
      </c>
      <c r="AH262">
        <v>13118465</v>
      </c>
      <c r="AI262">
        <v>4043</v>
      </c>
      <c r="AJ262">
        <v>2962439</v>
      </c>
      <c r="AK262">
        <v>133422</v>
      </c>
      <c r="AL262">
        <v>1321364</v>
      </c>
      <c r="AM262">
        <v>5989775</v>
      </c>
      <c r="AN262">
        <v>77544</v>
      </c>
      <c r="AO262">
        <v>45433925</v>
      </c>
      <c r="AP262">
        <v>653189</v>
      </c>
      <c r="AQ262">
        <v>1376</v>
      </c>
      <c r="AR262">
        <v>367551</v>
      </c>
      <c r="AS262">
        <v>89858446</v>
      </c>
      <c r="AT262">
        <v>7540</v>
      </c>
      <c r="AU262">
        <v>730414</v>
      </c>
      <c r="AV262">
        <v>871561</v>
      </c>
      <c r="AW262">
        <v>568971</v>
      </c>
      <c r="AX262">
        <v>0</v>
      </c>
      <c r="AY262">
        <v>18626</v>
      </c>
      <c r="AZ262">
        <v>10357761</v>
      </c>
      <c r="BA262">
        <v>1803610</v>
      </c>
      <c r="BB262">
        <v>837</v>
      </c>
      <c r="BC262">
        <v>0</v>
      </c>
      <c r="BD262">
        <v>6680685</v>
      </c>
      <c r="BE262">
        <v>1147713</v>
      </c>
      <c r="BF262">
        <v>55680353</v>
      </c>
      <c r="BG262">
        <v>0</v>
      </c>
      <c r="BH262">
        <v>160181</v>
      </c>
      <c r="BI262">
        <v>70263</v>
      </c>
      <c r="BJ262">
        <v>29269614</v>
      </c>
      <c r="BK262">
        <v>829507</v>
      </c>
      <c r="BL262">
        <v>19843668</v>
      </c>
      <c r="BM262">
        <v>9121350</v>
      </c>
      <c r="BN262">
        <v>18076592</v>
      </c>
      <c r="BO262">
        <v>962094</v>
      </c>
      <c r="BP262">
        <v>0</v>
      </c>
      <c r="BQ262">
        <v>4311451</v>
      </c>
      <c r="BR262">
        <v>0</v>
      </c>
      <c r="BS262">
        <v>4929466</v>
      </c>
      <c r="BT262">
        <v>1199082</v>
      </c>
      <c r="BU262">
        <v>0</v>
      </c>
      <c r="BV262" s="180">
        <v>1725549</v>
      </c>
    </row>
    <row r="263" spans="1:74" s="180" customFormat="1" x14ac:dyDescent="0.3">
      <c r="A263">
        <v>9004</v>
      </c>
      <c r="B263" t="s">
        <v>958</v>
      </c>
      <c r="C263" t="s">
        <v>959</v>
      </c>
      <c r="D263" t="s">
        <v>960</v>
      </c>
      <c r="E263" t="s">
        <v>960</v>
      </c>
      <c r="F263" t="s">
        <v>960</v>
      </c>
      <c r="G263" t="s">
        <v>960</v>
      </c>
      <c r="H263" t="s">
        <v>960</v>
      </c>
      <c r="I263" t="s">
        <v>349</v>
      </c>
      <c r="J263" t="s">
        <v>349</v>
      </c>
      <c r="K263" t="s">
        <v>349</v>
      </c>
      <c r="L263" t="s">
        <v>960</v>
      </c>
      <c r="M263" t="s">
        <v>960</v>
      </c>
      <c r="N263" t="s">
        <v>349</v>
      </c>
      <c r="O263" t="s">
        <v>960</v>
      </c>
      <c r="P263" t="s">
        <v>960</v>
      </c>
      <c r="Q263" t="s">
        <v>349</v>
      </c>
      <c r="R263" t="s">
        <v>349</v>
      </c>
      <c r="S263" t="s">
        <v>960</v>
      </c>
      <c r="T263" t="s">
        <v>349</v>
      </c>
      <c r="U263" t="s">
        <v>960</v>
      </c>
      <c r="V263" t="s">
        <v>960</v>
      </c>
      <c r="W263" t="s">
        <v>960</v>
      </c>
      <c r="X263" t="s">
        <v>960</v>
      </c>
      <c r="Y263" t="s">
        <v>349</v>
      </c>
      <c r="Z263" t="s">
        <v>960</v>
      </c>
      <c r="AA263" t="s">
        <v>349</v>
      </c>
      <c r="AB263" t="s">
        <v>960</v>
      </c>
      <c r="AC263" t="s">
        <v>960</v>
      </c>
      <c r="AD263" t="s">
        <v>960</v>
      </c>
      <c r="AE263" t="s">
        <v>960</v>
      </c>
      <c r="AF263" t="s">
        <v>960</v>
      </c>
      <c r="AG263" t="s">
        <v>960</v>
      </c>
      <c r="AH263" t="s">
        <v>960</v>
      </c>
      <c r="AI263" t="s">
        <v>349</v>
      </c>
      <c r="AJ263" t="s">
        <v>349</v>
      </c>
      <c r="AK263" t="s">
        <v>349</v>
      </c>
      <c r="AL263" t="s">
        <v>960</v>
      </c>
      <c r="AM263" t="s">
        <v>960</v>
      </c>
      <c r="AN263" t="s">
        <v>960</v>
      </c>
      <c r="AO263" t="s">
        <v>960</v>
      </c>
      <c r="AP263" t="s">
        <v>960</v>
      </c>
      <c r="AQ263" t="s">
        <v>349</v>
      </c>
      <c r="AR263" t="s">
        <v>960</v>
      </c>
      <c r="AS263" t="s">
        <v>960</v>
      </c>
      <c r="AT263" t="s">
        <v>960</v>
      </c>
      <c r="AU263" t="s">
        <v>960</v>
      </c>
      <c r="AV263" t="s">
        <v>960</v>
      </c>
      <c r="AW263" t="s">
        <v>960</v>
      </c>
      <c r="AX263" t="s">
        <v>349</v>
      </c>
      <c r="AY263" t="s">
        <v>349</v>
      </c>
      <c r="AZ263" t="s">
        <v>960</v>
      </c>
      <c r="BA263" t="s">
        <v>960</v>
      </c>
      <c r="BB263" t="s">
        <v>960</v>
      </c>
      <c r="BC263" t="s">
        <v>960</v>
      </c>
      <c r="BD263" t="s">
        <v>960</v>
      </c>
      <c r="BE263" t="s">
        <v>960</v>
      </c>
      <c r="BF263" t="s">
        <v>960</v>
      </c>
      <c r="BG263" t="s">
        <v>960</v>
      </c>
      <c r="BH263" t="s">
        <v>349</v>
      </c>
      <c r="BI263" t="s">
        <v>960</v>
      </c>
      <c r="BJ263" t="s">
        <v>960</v>
      </c>
      <c r="BK263" t="s">
        <v>960</v>
      </c>
      <c r="BL263" t="s">
        <v>960</v>
      </c>
      <c r="BM263" t="s">
        <v>349</v>
      </c>
      <c r="BN263" t="s">
        <v>960</v>
      </c>
      <c r="BO263" t="s">
        <v>960</v>
      </c>
      <c r="BP263" t="s">
        <v>349</v>
      </c>
      <c r="BQ263" t="s">
        <v>349</v>
      </c>
      <c r="BR263" t="s">
        <v>349</v>
      </c>
      <c r="BS263" t="s">
        <v>960</v>
      </c>
      <c r="BT263" t="s">
        <v>960</v>
      </c>
      <c r="BU263" t="s">
        <v>960</v>
      </c>
      <c r="BV263" s="180" t="s">
        <v>960</v>
      </c>
    </row>
    <row r="264" spans="1:74" s="180" customFormat="1" x14ac:dyDescent="0.3">
      <c r="A264">
        <v>9005</v>
      </c>
      <c r="B264" t="s">
        <v>961</v>
      </c>
      <c r="C264" t="s">
        <v>962</v>
      </c>
      <c r="D264">
        <v>9615186</v>
      </c>
      <c r="E264">
        <v>529188715</v>
      </c>
      <c r="F264">
        <v>0</v>
      </c>
      <c r="G264">
        <v>0</v>
      </c>
      <c r="H264">
        <v>3299080</v>
      </c>
      <c r="I264">
        <v>71960</v>
      </c>
      <c r="J264">
        <v>1764559</v>
      </c>
      <c r="K264">
        <v>9048433</v>
      </c>
      <c r="L264">
        <v>1300034</v>
      </c>
      <c r="M264">
        <v>9124250</v>
      </c>
      <c r="N264">
        <v>890861</v>
      </c>
      <c r="O264">
        <v>1523734</v>
      </c>
      <c r="P264">
        <v>0</v>
      </c>
      <c r="Q264">
        <v>898410</v>
      </c>
      <c r="R264">
        <v>1990658</v>
      </c>
      <c r="S264">
        <v>1154956</v>
      </c>
      <c r="T264">
        <v>8969893</v>
      </c>
      <c r="U264">
        <v>0</v>
      </c>
      <c r="V264">
        <v>0</v>
      </c>
      <c r="W264">
        <v>0</v>
      </c>
      <c r="X264">
        <v>5906633</v>
      </c>
      <c r="Y264">
        <v>2178737</v>
      </c>
      <c r="Z264">
        <v>32219277</v>
      </c>
      <c r="AA264">
        <v>10490893</v>
      </c>
      <c r="AB264">
        <v>0</v>
      </c>
      <c r="AC264">
        <v>640560</v>
      </c>
      <c r="AD264">
        <v>902903</v>
      </c>
      <c r="AE264">
        <v>2382163</v>
      </c>
      <c r="AF264">
        <v>542880</v>
      </c>
      <c r="AG264">
        <v>173785</v>
      </c>
      <c r="AH264">
        <v>1389362</v>
      </c>
      <c r="AI264">
        <v>372425</v>
      </c>
      <c r="AJ264">
        <v>4877809</v>
      </c>
      <c r="AK264">
        <v>623959</v>
      </c>
      <c r="AL264">
        <v>941323</v>
      </c>
      <c r="AM264">
        <v>1858358</v>
      </c>
      <c r="AN264">
        <v>734551</v>
      </c>
      <c r="AO264">
        <v>28581023</v>
      </c>
      <c r="AP264">
        <v>1832036</v>
      </c>
      <c r="AQ264">
        <v>844588</v>
      </c>
      <c r="AR264">
        <v>947747</v>
      </c>
      <c r="AS264">
        <v>32409715</v>
      </c>
      <c r="AT264">
        <v>355347</v>
      </c>
      <c r="AU264">
        <v>7181625</v>
      </c>
      <c r="AV264">
        <v>772190</v>
      </c>
      <c r="AW264">
        <v>465150</v>
      </c>
      <c r="AX264">
        <v>0</v>
      </c>
      <c r="AY264">
        <v>656941</v>
      </c>
      <c r="AZ264">
        <v>5436198</v>
      </c>
      <c r="BA264">
        <v>795464</v>
      </c>
      <c r="BB264">
        <v>195879</v>
      </c>
      <c r="BC264">
        <v>1530024</v>
      </c>
      <c r="BD264">
        <v>8247751</v>
      </c>
      <c r="BE264">
        <v>1363473</v>
      </c>
      <c r="BF264">
        <v>16183299</v>
      </c>
      <c r="BG264">
        <v>0</v>
      </c>
      <c r="BH264">
        <v>536048</v>
      </c>
      <c r="BI264">
        <v>507488</v>
      </c>
      <c r="BJ264">
        <v>15138846</v>
      </c>
      <c r="BK264">
        <v>1741217</v>
      </c>
      <c r="BL264">
        <v>17580811</v>
      </c>
      <c r="BM264">
        <v>10454672</v>
      </c>
      <c r="BN264">
        <v>7616310</v>
      </c>
      <c r="BO264">
        <v>2485981</v>
      </c>
      <c r="BP264">
        <v>0</v>
      </c>
      <c r="BQ264">
        <v>1555441</v>
      </c>
      <c r="BR264">
        <v>0</v>
      </c>
      <c r="BS264">
        <v>1234939</v>
      </c>
      <c r="BT264">
        <v>1778962</v>
      </c>
      <c r="BU264">
        <v>0</v>
      </c>
      <c r="BV264" s="180">
        <v>4525437</v>
      </c>
    </row>
    <row r="265" spans="1:74" s="180" customFormat="1" x14ac:dyDescent="0.3">
      <c r="A265">
        <v>9006</v>
      </c>
      <c r="B265" t="s">
        <v>963</v>
      </c>
      <c r="C265" t="s">
        <v>964</v>
      </c>
      <c r="D265">
        <v>6616043</v>
      </c>
      <c r="E265">
        <v>556837982</v>
      </c>
      <c r="F265">
        <v>0</v>
      </c>
      <c r="G265">
        <v>0</v>
      </c>
      <c r="H265">
        <v>2493716</v>
      </c>
      <c r="I265">
        <v>39073</v>
      </c>
      <c r="J265">
        <v>243456</v>
      </c>
      <c r="K265">
        <v>955955</v>
      </c>
      <c r="L265">
        <v>4575777</v>
      </c>
      <c r="M265">
        <v>21170737</v>
      </c>
      <c r="N265">
        <v>176468</v>
      </c>
      <c r="O265">
        <v>493842</v>
      </c>
      <c r="P265">
        <v>0</v>
      </c>
      <c r="Q265">
        <v>427415</v>
      </c>
      <c r="R265">
        <v>1671167</v>
      </c>
      <c r="S265">
        <v>2657890</v>
      </c>
      <c r="T265">
        <v>18285396</v>
      </c>
      <c r="U265">
        <v>0</v>
      </c>
      <c r="V265">
        <v>0</v>
      </c>
      <c r="W265">
        <v>0</v>
      </c>
      <c r="X265">
        <v>10865817</v>
      </c>
      <c r="Y265">
        <v>1803052</v>
      </c>
      <c r="Z265">
        <v>83773170</v>
      </c>
      <c r="AA265">
        <v>13448236</v>
      </c>
      <c r="AB265">
        <v>0</v>
      </c>
      <c r="AC265">
        <v>316161</v>
      </c>
      <c r="AD265">
        <v>1080098</v>
      </c>
      <c r="AE265">
        <v>1541428</v>
      </c>
      <c r="AF265">
        <v>589497</v>
      </c>
      <c r="AG265">
        <v>1510627</v>
      </c>
      <c r="AH265">
        <v>11406404</v>
      </c>
      <c r="AI265">
        <v>237061</v>
      </c>
      <c r="AJ265">
        <v>2402044</v>
      </c>
      <c r="AK265">
        <v>218674</v>
      </c>
      <c r="AL265">
        <v>940410</v>
      </c>
      <c r="AM265">
        <v>6575218</v>
      </c>
      <c r="AN265">
        <v>377007</v>
      </c>
      <c r="AO265">
        <v>46815923</v>
      </c>
      <c r="AP265">
        <v>1603370</v>
      </c>
      <c r="AQ265">
        <v>116751</v>
      </c>
      <c r="AR265">
        <v>210767</v>
      </c>
      <c r="AS265">
        <v>43716837</v>
      </c>
      <c r="AT265">
        <v>366634</v>
      </c>
      <c r="AU265">
        <v>2837411</v>
      </c>
      <c r="AV265">
        <v>2503026</v>
      </c>
      <c r="AW265">
        <v>397965</v>
      </c>
      <c r="AX265">
        <v>0</v>
      </c>
      <c r="AY265">
        <v>343789</v>
      </c>
      <c r="AZ265">
        <v>8384993</v>
      </c>
      <c r="BA265">
        <v>2558527</v>
      </c>
      <c r="BB265">
        <v>59176</v>
      </c>
      <c r="BC265">
        <v>349540</v>
      </c>
      <c r="BD265">
        <v>6674654</v>
      </c>
      <c r="BE265">
        <v>1548222</v>
      </c>
      <c r="BF265">
        <v>32980722</v>
      </c>
      <c r="BG265">
        <v>0</v>
      </c>
      <c r="BH265">
        <v>206631</v>
      </c>
      <c r="BI265">
        <v>260181</v>
      </c>
      <c r="BJ265">
        <v>14329028</v>
      </c>
      <c r="BK265">
        <v>1329736</v>
      </c>
      <c r="BL265">
        <v>23770820</v>
      </c>
      <c r="BM265">
        <v>8532191</v>
      </c>
      <c r="BN265">
        <v>9613393</v>
      </c>
      <c r="BO265">
        <v>2240431</v>
      </c>
      <c r="BP265">
        <v>0</v>
      </c>
      <c r="BQ265">
        <v>4512880</v>
      </c>
      <c r="BR265">
        <v>0</v>
      </c>
      <c r="BS265">
        <v>5152761</v>
      </c>
      <c r="BT265">
        <v>1335913</v>
      </c>
      <c r="BU265">
        <v>0</v>
      </c>
      <c r="BV265" s="180">
        <v>2564492</v>
      </c>
    </row>
    <row r="266" spans="1:74" s="180" customFormat="1" x14ac:dyDescent="0.3">
      <c r="A266">
        <v>9007</v>
      </c>
      <c r="B266" t="s">
        <v>1532</v>
      </c>
      <c r="C266" t="s">
        <v>965</v>
      </c>
      <c r="D266">
        <v>1.4533</v>
      </c>
      <c r="E266">
        <v>0.95030000000000003</v>
      </c>
      <c r="F266">
        <v>0</v>
      </c>
      <c r="G266">
        <v>0</v>
      </c>
      <c r="H266">
        <v>1.323</v>
      </c>
      <c r="I266">
        <v>1.8416999999999999</v>
      </c>
      <c r="J266">
        <v>7.2480000000000002</v>
      </c>
      <c r="K266">
        <v>9.4652999999999992</v>
      </c>
      <c r="L266">
        <v>0.28410000000000002</v>
      </c>
      <c r="M266">
        <v>0.43099999999999999</v>
      </c>
      <c r="N266">
        <v>5.0483000000000002</v>
      </c>
      <c r="O266">
        <v>3.0855000000000001</v>
      </c>
      <c r="P266">
        <v>0</v>
      </c>
      <c r="Q266">
        <v>2.1019999999999999</v>
      </c>
      <c r="R266">
        <v>1.1912</v>
      </c>
      <c r="S266">
        <v>0.4345</v>
      </c>
      <c r="T266">
        <v>0.49049999999999999</v>
      </c>
      <c r="U266">
        <v>0</v>
      </c>
      <c r="V266">
        <v>0</v>
      </c>
      <c r="W266">
        <v>0</v>
      </c>
      <c r="X266">
        <v>0.54359999999999997</v>
      </c>
      <c r="Y266">
        <v>1.2083999999999999</v>
      </c>
      <c r="Z266">
        <v>0.3846</v>
      </c>
      <c r="AA266">
        <v>0.78010000000000002</v>
      </c>
      <c r="AB266">
        <v>0</v>
      </c>
      <c r="AC266">
        <v>2.0261</v>
      </c>
      <c r="AD266">
        <v>0.83589999999999998</v>
      </c>
      <c r="AE266">
        <v>1.5454000000000001</v>
      </c>
      <c r="AF266">
        <v>0.92090000000000005</v>
      </c>
      <c r="AG266">
        <v>0.115</v>
      </c>
      <c r="AH266">
        <v>0.12180000000000001</v>
      </c>
      <c r="AI266">
        <v>1.571</v>
      </c>
      <c r="AJ266">
        <v>2.0306999999999999</v>
      </c>
      <c r="AK266">
        <v>2.8534000000000002</v>
      </c>
      <c r="AL266">
        <v>1.0009999999999999</v>
      </c>
      <c r="AM266">
        <v>0.28260000000000002</v>
      </c>
      <c r="AN266">
        <v>1.9483999999999999</v>
      </c>
      <c r="AO266">
        <v>0.61050000000000004</v>
      </c>
      <c r="AP266">
        <v>1.1426000000000001</v>
      </c>
      <c r="AQ266">
        <v>7.2340999999999998</v>
      </c>
      <c r="AR266">
        <v>4.4966999999999997</v>
      </c>
      <c r="AS266">
        <v>0.74139999999999995</v>
      </c>
      <c r="AT266">
        <v>0.96919999999999995</v>
      </c>
      <c r="AU266">
        <v>2.5310000000000001</v>
      </c>
      <c r="AV266">
        <v>0.3085</v>
      </c>
      <c r="AW266">
        <v>1.1688000000000001</v>
      </c>
      <c r="AX266">
        <v>0</v>
      </c>
      <c r="AY266">
        <v>1.9109</v>
      </c>
      <c r="AZ266">
        <v>0.64829999999999999</v>
      </c>
      <c r="BA266">
        <v>0.31090000000000001</v>
      </c>
      <c r="BB266">
        <v>3.3100999999999998</v>
      </c>
      <c r="BC266">
        <v>4.3773</v>
      </c>
      <c r="BD266">
        <v>1.2357</v>
      </c>
      <c r="BE266">
        <v>0.88070000000000004</v>
      </c>
      <c r="BF266">
        <v>0.49070000000000003</v>
      </c>
      <c r="BG266">
        <v>0</v>
      </c>
      <c r="BH266">
        <v>2.5941999999999998</v>
      </c>
      <c r="BI266">
        <v>1.9504999999999999</v>
      </c>
      <c r="BJ266">
        <v>1.0565</v>
      </c>
      <c r="BK266">
        <v>1.3093999999999999</v>
      </c>
      <c r="BL266">
        <v>0.73960000000000004</v>
      </c>
      <c r="BM266">
        <v>1.2253000000000001</v>
      </c>
      <c r="BN266">
        <v>0.7923</v>
      </c>
      <c r="BO266">
        <v>1.1095999999999999</v>
      </c>
      <c r="BP266">
        <v>0</v>
      </c>
      <c r="BQ266">
        <v>0.34470000000000001</v>
      </c>
      <c r="BR266">
        <v>0</v>
      </c>
      <c r="BS266">
        <v>0.2397</v>
      </c>
      <c r="BT266">
        <v>1.3315999999999999</v>
      </c>
      <c r="BU266">
        <v>0</v>
      </c>
      <c r="BV266" s="180">
        <v>1.7646999999999999</v>
      </c>
    </row>
    <row r="267" spans="1:74" s="180" customFormat="1" x14ac:dyDescent="0.3">
      <c r="A267">
        <v>9008</v>
      </c>
      <c r="B267" t="s">
        <v>966</v>
      </c>
      <c r="C267" t="s">
        <v>349</v>
      </c>
      <c r="D267">
        <v>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s="180">
        <v>0</v>
      </c>
    </row>
    <row r="268" spans="1:74" s="180" customFormat="1" x14ac:dyDescent="0.3">
      <c r="A268">
        <v>9010</v>
      </c>
      <c r="B268" t="s">
        <v>967</v>
      </c>
      <c r="C268" t="s">
        <v>968</v>
      </c>
      <c r="D268">
        <v>10.17</v>
      </c>
      <c r="E268">
        <v>23.14</v>
      </c>
      <c r="F268">
        <v>0</v>
      </c>
      <c r="G268">
        <v>0</v>
      </c>
      <c r="H268">
        <v>71.16</v>
      </c>
      <c r="I268">
        <v>0</v>
      </c>
      <c r="J268">
        <v>0</v>
      </c>
      <c r="K268">
        <v>0</v>
      </c>
      <c r="L268">
        <v>2.5</v>
      </c>
      <c r="M268">
        <v>5.19</v>
      </c>
      <c r="N268">
        <v>0</v>
      </c>
      <c r="O268">
        <v>16.329999999999998</v>
      </c>
      <c r="P268">
        <v>0</v>
      </c>
      <c r="Q268">
        <v>0</v>
      </c>
      <c r="R268">
        <v>0</v>
      </c>
      <c r="S268">
        <v>2.9</v>
      </c>
      <c r="T268">
        <v>0</v>
      </c>
      <c r="U268">
        <v>0</v>
      </c>
      <c r="V268">
        <v>0</v>
      </c>
      <c r="W268">
        <v>0</v>
      </c>
      <c r="X268">
        <v>13.59</v>
      </c>
      <c r="Y268">
        <v>0</v>
      </c>
      <c r="Z268">
        <v>11.48</v>
      </c>
      <c r="AA268">
        <v>0</v>
      </c>
      <c r="AB268">
        <v>0</v>
      </c>
      <c r="AC268">
        <v>1.17</v>
      </c>
      <c r="AD268">
        <v>23.86</v>
      </c>
      <c r="AE268">
        <v>1.49</v>
      </c>
      <c r="AF268">
        <v>19.100000000000001</v>
      </c>
      <c r="AG268">
        <v>1.42</v>
      </c>
      <c r="AH268">
        <v>0.9</v>
      </c>
      <c r="AI268">
        <v>0</v>
      </c>
      <c r="AJ268">
        <v>0</v>
      </c>
      <c r="AK268">
        <v>0</v>
      </c>
      <c r="AL268">
        <v>9.99</v>
      </c>
      <c r="AM268">
        <v>8</v>
      </c>
      <c r="AN268">
        <v>51.02</v>
      </c>
      <c r="AO268">
        <v>5.83</v>
      </c>
      <c r="AP268">
        <v>3.22</v>
      </c>
      <c r="AQ268">
        <v>0</v>
      </c>
      <c r="AR268">
        <v>3.32</v>
      </c>
      <c r="AS268">
        <v>2.4500000000000002</v>
      </c>
      <c r="AT268">
        <v>11.27</v>
      </c>
      <c r="AU268">
        <v>51.85</v>
      </c>
      <c r="AV268">
        <v>11.21</v>
      </c>
      <c r="AW268">
        <v>17.14</v>
      </c>
      <c r="AX268">
        <v>0</v>
      </c>
      <c r="AY268">
        <v>0</v>
      </c>
      <c r="AZ268">
        <v>9.15</v>
      </c>
      <c r="BA268">
        <v>6.67</v>
      </c>
      <c r="BB268">
        <v>89.74</v>
      </c>
      <c r="BC268">
        <v>114.14</v>
      </c>
      <c r="BD268">
        <v>55.78</v>
      </c>
      <c r="BE268">
        <v>3.87</v>
      </c>
      <c r="BF268">
        <v>5.47</v>
      </c>
      <c r="BG268">
        <v>0</v>
      </c>
      <c r="BH268">
        <v>0</v>
      </c>
      <c r="BI268">
        <v>40.770000000000003</v>
      </c>
      <c r="BJ268">
        <v>9.98</v>
      </c>
      <c r="BK268">
        <v>16.13</v>
      </c>
      <c r="BL268">
        <v>23.57</v>
      </c>
      <c r="BM268">
        <v>0</v>
      </c>
      <c r="BN268">
        <v>18.09</v>
      </c>
      <c r="BO268">
        <v>7.29</v>
      </c>
      <c r="BP268">
        <v>0</v>
      </c>
      <c r="BQ268">
        <v>0</v>
      </c>
      <c r="BR268">
        <v>0</v>
      </c>
      <c r="BS268">
        <v>2.0499999999999998</v>
      </c>
      <c r="BT268">
        <v>11.41</v>
      </c>
      <c r="BU268">
        <v>0</v>
      </c>
      <c r="BV268" s="180">
        <v>2.97</v>
      </c>
    </row>
    <row r="269" spans="1:74" s="180" customFormat="1" x14ac:dyDescent="0.3">
      <c r="A269">
        <v>9011</v>
      </c>
      <c r="B269" t="s">
        <v>1659</v>
      </c>
      <c r="C269" t="s">
        <v>969</v>
      </c>
      <c r="D269">
        <v>317161</v>
      </c>
      <c r="E269">
        <v>104367101</v>
      </c>
      <c r="F269">
        <v>0</v>
      </c>
      <c r="G269">
        <v>0</v>
      </c>
      <c r="H269">
        <v>18846</v>
      </c>
      <c r="I269">
        <v>0</v>
      </c>
      <c r="J269">
        <v>0</v>
      </c>
      <c r="K269">
        <v>0</v>
      </c>
      <c r="L269">
        <v>-224608</v>
      </c>
      <c r="M269">
        <v>424216</v>
      </c>
      <c r="N269">
        <v>0</v>
      </c>
      <c r="O269">
        <v>32376</v>
      </c>
      <c r="P269">
        <v>0</v>
      </c>
      <c r="Q269">
        <v>0</v>
      </c>
      <c r="R269">
        <v>0</v>
      </c>
      <c r="S269">
        <v>58253</v>
      </c>
      <c r="T269">
        <v>0</v>
      </c>
      <c r="U269">
        <v>0</v>
      </c>
      <c r="V269">
        <v>0</v>
      </c>
      <c r="W269">
        <v>0</v>
      </c>
      <c r="X269">
        <v>1000964</v>
      </c>
      <c r="Y269">
        <v>0</v>
      </c>
      <c r="Z269">
        <v>-1320937</v>
      </c>
      <c r="AA269">
        <v>0</v>
      </c>
      <c r="AB269">
        <v>0</v>
      </c>
      <c r="AC269">
        <v>-5568</v>
      </c>
      <c r="AD269">
        <v>245505</v>
      </c>
      <c r="AE269">
        <v>185198</v>
      </c>
      <c r="AF269">
        <v>323954</v>
      </c>
      <c r="AG269">
        <v>-114442</v>
      </c>
      <c r="AH269">
        <v>-1552606</v>
      </c>
      <c r="AI269">
        <v>0</v>
      </c>
      <c r="AJ269">
        <v>0</v>
      </c>
      <c r="AK269">
        <v>0</v>
      </c>
      <c r="AL269">
        <v>38918</v>
      </c>
      <c r="AM269">
        <v>192502</v>
      </c>
      <c r="AN269">
        <v>-135324</v>
      </c>
      <c r="AO269">
        <v>6166009</v>
      </c>
      <c r="AP269">
        <v>-187919</v>
      </c>
      <c r="AQ269">
        <v>0</v>
      </c>
      <c r="AR269">
        <v>-18322</v>
      </c>
      <c r="AS269">
        <v>2993729</v>
      </c>
      <c r="AT269">
        <v>32497</v>
      </c>
      <c r="AU269">
        <v>199719</v>
      </c>
      <c r="AV269">
        <v>361456</v>
      </c>
      <c r="AW269">
        <v>182082</v>
      </c>
      <c r="AX269">
        <v>0</v>
      </c>
      <c r="AY269">
        <v>0</v>
      </c>
      <c r="AZ269">
        <v>1440834</v>
      </c>
      <c r="BA269">
        <v>48346</v>
      </c>
      <c r="BB269">
        <v>253683</v>
      </c>
      <c r="BC269">
        <v>55203</v>
      </c>
      <c r="BD269">
        <v>1105700</v>
      </c>
      <c r="BE269">
        <v>82519</v>
      </c>
      <c r="BF269">
        <v>-44539</v>
      </c>
      <c r="BG269">
        <v>0</v>
      </c>
      <c r="BH269">
        <v>0</v>
      </c>
      <c r="BI269">
        <v>67935</v>
      </c>
      <c r="BJ269">
        <v>3420542</v>
      </c>
      <c r="BK269">
        <v>233362</v>
      </c>
      <c r="BL269">
        <v>2838416</v>
      </c>
      <c r="BM269">
        <v>0</v>
      </c>
      <c r="BN269">
        <v>2837333</v>
      </c>
      <c r="BO269">
        <v>-207882</v>
      </c>
      <c r="BP269">
        <v>0</v>
      </c>
      <c r="BQ269">
        <v>0</v>
      </c>
      <c r="BR269">
        <v>0</v>
      </c>
      <c r="BS269">
        <v>-48504</v>
      </c>
      <c r="BT269">
        <v>-20889</v>
      </c>
      <c r="BU269">
        <v>0</v>
      </c>
      <c r="BV269" s="180">
        <v>330598</v>
      </c>
    </row>
    <row r="270" spans="1:74" s="180" customFormat="1" x14ac:dyDescent="0.3">
      <c r="A270">
        <v>9012</v>
      </c>
      <c r="B270" t="s">
        <v>1660</v>
      </c>
      <c r="C270" t="s">
        <v>969</v>
      </c>
      <c r="D270">
        <v>2.4927999999999999</v>
      </c>
      <c r="E270">
        <v>2.4001000000000001</v>
      </c>
      <c r="F270">
        <v>0</v>
      </c>
      <c r="G270">
        <v>0</v>
      </c>
      <c r="H270">
        <v>1.4E-3</v>
      </c>
      <c r="I270">
        <v>0</v>
      </c>
      <c r="J270">
        <v>0</v>
      </c>
      <c r="K270">
        <v>0</v>
      </c>
      <c r="L270">
        <v>9.6600000000000005E-2</v>
      </c>
      <c r="M270">
        <v>0.86660000000000004</v>
      </c>
      <c r="N270">
        <v>0</v>
      </c>
      <c r="O270">
        <v>2.3313000000000001</v>
      </c>
      <c r="P270">
        <v>0</v>
      </c>
      <c r="Q270">
        <v>0</v>
      </c>
      <c r="R270">
        <v>0</v>
      </c>
      <c r="S270">
        <v>0.95860000000000001</v>
      </c>
      <c r="T270">
        <v>0</v>
      </c>
      <c r="U270">
        <v>0</v>
      </c>
      <c r="V270">
        <v>0</v>
      </c>
      <c r="W270">
        <v>0</v>
      </c>
      <c r="X270">
        <v>0.71399999999999997</v>
      </c>
      <c r="Y270">
        <v>0</v>
      </c>
      <c r="Z270">
        <v>0.48809999999999998</v>
      </c>
      <c r="AA270">
        <v>0</v>
      </c>
      <c r="AB270">
        <v>0</v>
      </c>
      <c r="AC270">
        <v>0.4582</v>
      </c>
      <c r="AD270">
        <v>1.2391000000000001</v>
      </c>
      <c r="AE270">
        <v>1.1852</v>
      </c>
      <c r="AF270">
        <v>1.9904999999999999</v>
      </c>
      <c r="AG270">
        <v>6.0499999999999998E-2</v>
      </c>
      <c r="AH270">
        <v>0</v>
      </c>
      <c r="AI270">
        <v>0</v>
      </c>
      <c r="AJ270">
        <v>0</v>
      </c>
      <c r="AK270">
        <v>0</v>
      </c>
      <c r="AL270">
        <v>1.4069</v>
      </c>
      <c r="AM270">
        <v>0.95140000000000002</v>
      </c>
      <c r="AN270">
        <v>0.3674</v>
      </c>
      <c r="AO270">
        <v>1.7093</v>
      </c>
      <c r="AP270">
        <v>0.33689999999999998</v>
      </c>
      <c r="AQ270">
        <v>0</v>
      </c>
      <c r="AR270">
        <v>0.83609999999999995</v>
      </c>
      <c r="AS270">
        <v>0.91149999999999998</v>
      </c>
      <c r="AT270">
        <v>2.9468999999999999</v>
      </c>
      <c r="AU270">
        <v>5.8089000000000004</v>
      </c>
      <c r="AV270">
        <v>0.75900000000000001</v>
      </c>
      <c r="AW270">
        <v>1.4692000000000001</v>
      </c>
      <c r="AX270">
        <v>0</v>
      </c>
      <c r="AY270">
        <v>0</v>
      </c>
      <c r="AZ270">
        <v>1.4489000000000001</v>
      </c>
      <c r="BA270">
        <v>0.97030000000000005</v>
      </c>
      <c r="BB270">
        <v>2.6979000000000002</v>
      </c>
      <c r="BC270">
        <v>15.0023</v>
      </c>
      <c r="BD270">
        <v>0.52470000000000006</v>
      </c>
      <c r="BE270">
        <v>0.38579999999999998</v>
      </c>
      <c r="BF270">
        <v>1.0603</v>
      </c>
      <c r="BG270">
        <v>0</v>
      </c>
      <c r="BH270">
        <v>0</v>
      </c>
      <c r="BI270">
        <v>8.3843999999999994</v>
      </c>
      <c r="BJ270">
        <v>2.0047000000000001</v>
      </c>
      <c r="BK270">
        <v>1.1254</v>
      </c>
      <c r="BL270">
        <v>2.2149000000000001</v>
      </c>
      <c r="BM270">
        <v>0</v>
      </c>
      <c r="BN270">
        <v>1.8951</v>
      </c>
      <c r="BO270">
        <v>0.68600000000000005</v>
      </c>
      <c r="BP270">
        <v>0</v>
      </c>
      <c r="BQ270">
        <v>0</v>
      </c>
      <c r="BR270">
        <v>0</v>
      </c>
      <c r="BS270">
        <v>0.5917</v>
      </c>
      <c r="BT270">
        <v>0.39910000000000001</v>
      </c>
      <c r="BU270">
        <v>0</v>
      </c>
      <c r="BV270" s="180">
        <v>0.15859999999999999</v>
      </c>
    </row>
    <row r="271" spans="1:74" s="180" customFormat="1" x14ac:dyDescent="0.3">
      <c r="A271">
        <v>9013</v>
      </c>
      <c r="B271" t="s">
        <v>970</v>
      </c>
      <c r="C271" t="s">
        <v>971</v>
      </c>
      <c r="D271">
        <v>10.17</v>
      </c>
      <c r="E271">
        <v>23.14</v>
      </c>
      <c r="F271">
        <v>0</v>
      </c>
      <c r="G271">
        <v>0</v>
      </c>
      <c r="H271">
        <v>71.16</v>
      </c>
      <c r="I271">
        <v>0</v>
      </c>
      <c r="J271">
        <v>0</v>
      </c>
      <c r="K271">
        <v>0</v>
      </c>
      <c r="L271">
        <v>2.5</v>
      </c>
      <c r="M271">
        <v>5.19</v>
      </c>
      <c r="N271">
        <v>0</v>
      </c>
      <c r="O271">
        <v>16.329999999999998</v>
      </c>
      <c r="P271">
        <v>0</v>
      </c>
      <c r="Q271">
        <v>0</v>
      </c>
      <c r="R271">
        <v>0</v>
      </c>
      <c r="S271">
        <v>2.9</v>
      </c>
      <c r="T271">
        <v>0</v>
      </c>
      <c r="U271">
        <v>0</v>
      </c>
      <c r="V271">
        <v>0</v>
      </c>
      <c r="W271">
        <v>0</v>
      </c>
      <c r="X271">
        <v>13.59</v>
      </c>
      <c r="Y271">
        <v>0</v>
      </c>
      <c r="Z271">
        <v>11.48</v>
      </c>
      <c r="AA271">
        <v>0</v>
      </c>
      <c r="AB271">
        <v>0</v>
      </c>
      <c r="AC271">
        <v>1.17</v>
      </c>
      <c r="AD271">
        <v>23.86</v>
      </c>
      <c r="AE271">
        <v>1.49</v>
      </c>
      <c r="AF271">
        <v>19.100000000000001</v>
      </c>
      <c r="AG271">
        <v>1.42</v>
      </c>
      <c r="AH271">
        <v>0.9</v>
      </c>
      <c r="AI271">
        <v>0</v>
      </c>
      <c r="AJ271">
        <v>0</v>
      </c>
      <c r="AK271">
        <v>0</v>
      </c>
      <c r="AL271">
        <v>9.99</v>
      </c>
      <c r="AM271">
        <v>8</v>
      </c>
      <c r="AN271">
        <v>51.02</v>
      </c>
      <c r="AO271">
        <v>5.83</v>
      </c>
      <c r="AP271">
        <v>3.22</v>
      </c>
      <c r="AQ271">
        <v>0</v>
      </c>
      <c r="AR271">
        <v>3.32</v>
      </c>
      <c r="AS271">
        <v>2.4500000000000002</v>
      </c>
      <c r="AT271">
        <v>11.27</v>
      </c>
      <c r="AU271">
        <v>51.85</v>
      </c>
      <c r="AV271">
        <v>11.21</v>
      </c>
      <c r="AW271">
        <v>17.14</v>
      </c>
      <c r="AX271">
        <v>0</v>
      </c>
      <c r="AY271">
        <v>0</v>
      </c>
      <c r="AZ271">
        <v>9.15</v>
      </c>
      <c r="BA271">
        <v>6.67</v>
      </c>
      <c r="BB271">
        <v>89.74</v>
      </c>
      <c r="BC271">
        <v>114.14</v>
      </c>
      <c r="BD271">
        <v>55.78</v>
      </c>
      <c r="BE271">
        <v>3.87</v>
      </c>
      <c r="BF271">
        <v>5.47</v>
      </c>
      <c r="BG271">
        <v>0</v>
      </c>
      <c r="BH271">
        <v>0</v>
      </c>
      <c r="BI271">
        <v>40.770000000000003</v>
      </c>
      <c r="BJ271">
        <v>9.98</v>
      </c>
      <c r="BK271">
        <v>16.13</v>
      </c>
      <c r="BL271">
        <v>23.57</v>
      </c>
      <c r="BM271">
        <v>0</v>
      </c>
      <c r="BN271">
        <v>18.09</v>
      </c>
      <c r="BO271">
        <v>7.29</v>
      </c>
      <c r="BP271">
        <v>0</v>
      </c>
      <c r="BQ271">
        <v>0</v>
      </c>
      <c r="BR271">
        <v>0</v>
      </c>
      <c r="BS271">
        <v>2.0499999999999998</v>
      </c>
      <c r="BT271">
        <v>11.41</v>
      </c>
      <c r="BU271">
        <v>0</v>
      </c>
      <c r="BV271" s="180">
        <v>2.97</v>
      </c>
    </row>
    <row r="272" spans="1:74" s="180" customFormat="1" x14ac:dyDescent="0.3">
      <c r="A272">
        <v>9014</v>
      </c>
      <c r="B272" t="s">
        <v>972</v>
      </c>
      <c r="C272" t="s">
        <v>973</v>
      </c>
      <c r="D272">
        <v>0</v>
      </c>
      <c r="E272">
        <v>0</v>
      </c>
      <c r="F272">
        <v>0</v>
      </c>
      <c r="G272">
        <v>0</v>
      </c>
      <c r="H272">
        <v>0</v>
      </c>
      <c r="I272">
        <v>0</v>
      </c>
      <c r="J272">
        <v>0</v>
      </c>
      <c r="K272">
        <v>0</v>
      </c>
      <c r="L272">
        <v>2.17</v>
      </c>
      <c r="M272">
        <v>0</v>
      </c>
      <c r="N272">
        <v>0</v>
      </c>
      <c r="O272">
        <v>0</v>
      </c>
      <c r="P272">
        <v>0</v>
      </c>
      <c r="Q272">
        <v>0</v>
      </c>
      <c r="R272">
        <v>0</v>
      </c>
      <c r="S272">
        <v>0</v>
      </c>
      <c r="T272">
        <v>0</v>
      </c>
      <c r="U272">
        <v>0</v>
      </c>
      <c r="V272">
        <v>0</v>
      </c>
      <c r="W272">
        <v>0</v>
      </c>
      <c r="X272">
        <v>0</v>
      </c>
      <c r="Y272">
        <v>0</v>
      </c>
      <c r="Z272">
        <v>5.56</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8.3000000000000007</v>
      </c>
      <c r="AW272">
        <v>0</v>
      </c>
      <c r="AX272">
        <v>0</v>
      </c>
      <c r="AY272">
        <v>0</v>
      </c>
      <c r="AZ272">
        <v>5.13</v>
      </c>
      <c r="BA272">
        <v>0</v>
      </c>
      <c r="BB272">
        <v>0</v>
      </c>
      <c r="BC272">
        <v>0</v>
      </c>
      <c r="BD272">
        <v>0</v>
      </c>
      <c r="BE272">
        <v>20.420000000000002</v>
      </c>
      <c r="BF272">
        <v>6.19</v>
      </c>
      <c r="BG272">
        <v>0</v>
      </c>
      <c r="BH272">
        <v>0</v>
      </c>
      <c r="BI272">
        <v>0</v>
      </c>
      <c r="BJ272">
        <v>5.92</v>
      </c>
      <c r="BK272">
        <v>0</v>
      </c>
      <c r="BL272">
        <v>0</v>
      </c>
      <c r="BM272">
        <v>0</v>
      </c>
      <c r="BN272">
        <v>7.79</v>
      </c>
      <c r="BO272">
        <v>0</v>
      </c>
      <c r="BP272">
        <v>0</v>
      </c>
      <c r="BQ272">
        <v>0</v>
      </c>
      <c r="BR272">
        <v>0</v>
      </c>
      <c r="BS272">
        <v>0</v>
      </c>
      <c r="BT272">
        <v>0</v>
      </c>
      <c r="BU272">
        <v>0</v>
      </c>
      <c r="BV272" s="180">
        <v>0</v>
      </c>
    </row>
    <row r="273" spans="1:74" s="180" customFormat="1" x14ac:dyDescent="0.3">
      <c r="A273">
        <v>9015</v>
      </c>
      <c r="B273" t="s">
        <v>1661</v>
      </c>
      <c r="C273" t="s">
        <v>349</v>
      </c>
      <c r="D273">
        <v>0</v>
      </c>
      <c r="E273">
        <v>0</v>
      </c>
      <c r="F273">
        <v>0</v>
      </c>
      <c r="G273">
        <v>0</v>
      </c>
      <c r="H273">
        <v>0</v>
      </c>
      <c r="I273">
        <v>0</v>
      </c>
      <c r="J273">
        <v>0</v>
      </c>
      <c r="K273">
        <v>0</v>
      </c>
      <c r="L273">
        <v>242791</v>
      </c>
      <c r="M273">
        <v>0</v>
      </c>
      <c r="N273">
        <v>0</v>
      </c>
      <c r="O273">
        <v>0</v>
      </c>
      <c r="P273">
        <v>0</v>
      </c>
      <c r="Q273">
        <v>0</v>
      </c>
      <c r="R273">
        <v>0</v>
      </c>
      <c r="S273">
        <v>0</v>
      </c>
      <c r="T273">
        <v>0</v>
      </c>
      <c r="U273">
        <v>0</v>
      </c>
      <c r="V273">
        <v>0</v>
      </c>
      <c r="W273">
        <v>0</v>
      </c>
      <c r="X273">
        <v>0</v>
      </c>
      <c r="Y273">
        <v>0</v>
      </c>
      <c r="Z273">
        <v>-3619701</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559827</v>
      </c>
      <c r="AW273">
        <v>0</v>
      </c>
      <c r="AX273">
        <v>0</v>
      </c>
      <c r="AY273">
        <v>0</v>
      </c>
      <c r="AZ273">
        <v>848266</v>
      </c>
      <c r="BA273">
        <v>0</v>
      </c>
      <c r="BB273">
        <v>0</v>
      </c>
      <c r="BC273">
        <v>0</v>
      </c>
      <c r="BD273">
        <v>0</v>
      </c>
      <c r="BE273">
        <v>351337</v>
      </c>
      <c r="BF273">
        <v>4531995</v>
      </c>
      <c r="BG273">
        <v>0</v>
      </c>
      <c r="BH273">
        <v>0</v>
      </c>
      <c r="BI273">
        <v>0</v>
      </c>
      <c r="BJ273">
        <v>790424</v>
      </c>
      <c r="BK273">
        <v>0</v>
      </c>
      <c r="BL273">
        <v>0</v>
      </c>
      <c r="BM273">
        <v>0</v>
      </c>
      <c r="BN273">
        <v>-20930</v>
      </c>
      <c r="BO273">
        <v>0</v>
      </c>
      <c r="BP273">
        <v>0</v>
      </c>
      <c r="BQ273">
        <v>0</v>
      </c>
      <c r="BR273">
        <v>0</v>
      </c>
      <c r="BS273">
        <v>0</v>
      </c>
      <c r="BT273">
        <v>0</v>
      </c>
      <c r="BU273">
        <v>0</v>
      </c>
      <c r="BV273" s="180">
        <v>0</v>
      </c>
    </row>
    <row r="274" spans="1:74" s="180" customFormat="1" x14ac:dyDescent="0.3">
      <c r="A274">
        <v>9016</v>
      </c>
      <c r="B274" t="s">
        <v>1662</v>
      </c>
      <c r="C274" t="s">
        <v>349</v>
      </c>
      <c r="D274">
        <v>0</v>
      </c>
      <c r="E274">
        <v>0</v>
      </c>
      <c r="F274">
        <v>0</v>
      </c>
      <c r="G274">
        <v>0</v>
      </c>
      <c r="H274">
        <v>0</v>
      </c>
      <c r="I274">
        <v>0</v>
      </c>
      <c r="J274">
        <v>0</v>
      </c>
      <c r="K274">
        <v>0</v>
      </c>
      <c r="L274">
        <v>0.1303</v>
      </c>
      <c r="M274">
        <v>0</v>
      </c>
      <c r="N274">
        <v>0</v>
      </c>
      <c r="O274">
        <v>0</v>
      </c>
      <c r="P274">
        <v>0</v>
      </c>
      <c r="Q274">
        <v>0</v>
      </c>
      <c r="R274">
        <v>0</v>
      </c>
      <c r="S274">
        <v>0</v>
      </c>
      <c r="T274">
        <v>0</v>
      </c>
      <c r="U274">
        <v>0</v>
      </c>
      <c r="V274">
        <v>0</v>
      </c>
      <c r="W274">
        <v>0</v>
      </c>
      <c r="X274">
        <v>0</v>
      </c>
      <c r="Y274">
        <v>0</v>
      </c>
      <c r="Z274">
        <v>0.40060000000000001</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0.79830000000000001</v>
      </c>
      <c r="AW274">
        <v>0</v>
      </c>
      <c r="AX274">
        <v>0</v>
      </c>
      <c r="AY274">
        <v>0</v>
      </c>
      <c r="AZ274">
        <v>0.4829</v>
      </c>
      <c r="BA274">
        <v>0</v>
      </c>
      <c r="BB274">
        <v>0</v>
      </c>
      <c r="BC274">
        <v>0</v>
      </c>
      <c r="BD274">
        <v>0</v>
      </c>
      <c r="BE274">
        <v>0.92210000000000003</v>
      </c>
      <c r="BF274">
        <v>0.59830000000000005</v>
      </c>
      <c r="BG274">
        <v>0</v>
      </c>
      <c r="BH274">
        <v>0</v>
      </c>
      <c r="BI274">
        <v>0</v>
      </c>
      <c r="BJ274">
        <v>0.76280000000000003</v>
      </c>
      <c r="BK274">
        <v>0</v>
      </c>
      <c r="BL274">
        <v>0</v>
      </c>
      <c r="BM274">
        <v>0</v>
      </c>
      <c r="BN274">
        <v>0.8236</v>
      </c>
      <c r="BO274">
        <v>0</v>
      </c>
      <c r="BP274">
        <v>0</v>
      </c>
      <c r="BQ274">
        <v>0</v>
      </c>
      <c r="BR274">
        <v>0</v>
      </c>
      <c r="BS274">
        <v>0</v>
      </c>
      <c r="BT274">
        <v>0</v>
      </c>
      <c r="BU274">
        <v>0</v>
      </c>
      <c r="BV274" s="180">
        <v>0</v>
      </c>
    </row>
    <row r="275" spans="1:74" s="180" customFormat="1" x14ac:dyDescent="0.3">
      <c r="A275">
        <v>9017</v>
      </c>
      <c r="B275" t="s">
        <v>974</v>
      </c>
      <c r="C275" t="s">
        <v>975</v>
      </c>
      <c r="D275">
        <v>0</v>
      </c>
      <c r="E275">
        <v>0</v>
      </c>
      <c r="F275">
        <v>0</v>
      </c>
      <c r="G275">
        <v>0</v>
      </c>
      <c r="H275">
        <v>0</v>
      </c>
      <c r="I275">
        <v>0</v>
      </c>
      <c r="J275">
        <v>0</v>
      </c>
      <c r="K275">
        <v>0</v>
      </c>
      <c r="L275">
        <v>2.17</v>
      </c>
      <c r="M275">
        <v>0</v>
      </c>
      <c r="N275">
        <v>0</v>
      </c>
      <c r="O275">
        <v>0</v>
      </c>
      <c r="P275">
        <v>0</v>
      </c>
      <c r="Q275">
        <v>0</v>
      </c>
      <c r="R275">
        <v>0</v>
      </c>
      <c r="S275">
        <v>0</v>
      </c>
      <c r="T275">
        <v>0</v>
      </c>
      <c r="U275">
        <v>0</v>
      </c>
      <c r="V275">
        <v>0</v>
      </c>
      <c r="W275">
        <v>0</v>
      </c>
      <c r="X275">
        <v>0</v>
      </c>
      <c r="Y275">
        <v>0</v>
      </c>
      <c r="Z275">
        <v>5.56</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8.3000000000000007</v>
      </c>
      <c r="AW275">
        <v>0</v>
      </c>
      <c r="AX275">
        <v>0</v>
      </c>
      <c r="AY275">
        <v>0</v>
      </c>
      <c r="AZ275">
        <v>5.13</v>
      </c>
      <c r="BA275">
        <v>0</v>
      </c>
      <c r="BB275">
        <v>0</v>
      </c>
      <c r="BC275">
        <v>0</v>
      </c>
      <c r="BD275">
        <v>0</v>
      </c>
      <c r="BE275">
        <v>20.420000000000002</v>
      </c>
      <c r="BF275">
        <v>6.19</v>
      </c>
      <c r="BG275">
        <v>0</v>
      </c>
      <c r="BH275">
        <v>0</v>
      </c>
      <c r="BI275">
        <v>0</v>
      </c>
      <c r="BJ275">
        <v>5.92</v>
      </c>
      <c r="BK275">
        <v>0</v>
      </c>
      <c r="BL275">
        <v>0</v>
      </c>
      <c r="BM275">
        <v>0</v>
      </c>
      <c r="BN275">
        <v>7.79</v>
      </c>
      <c r="BO275">
        <v>0</v>
      </c>
      <c r="BP275">
        <v>0</v>
      </c>
      <c r="BQ275">
        <v>0</v>
      </c>
      <c r="BR275">
        <v>0</v>
      </c>
      <c r="BS275">
        <v>0</v>
      </c>
      <c r="BT275">
        <v>0</v>
      </c>
      <c r="BU275">
        <v>0</v>
      </c>
      <c r="BV275" s="180">
        <v>0</v>
      </c>
    </row>
    <row r="276" spans="1:74" x14ac:dyDescent="0.3">
      <c r="A276">
        <v>9018</v>
      </c>
      <c r="B276" t="s">
        <v>976</v>
      </c>
      <c r="C276" t="s">
        <v>977</v>
      </c>
      <c r="D276">
        <v>612749</v>
      </c>
      <c r="E276">
        <v>170443579</v>
      </c>
      <c r="F276">
        <v>0</v>
      </c>
      <c r="G276">
        <v>0</v>
      </c>
      <c r="H276">
        <v>94093</v>
      </c>
      <c r="I276">
        <v>0</v>
      </c>
      <c r="J276">
        <v>4812</v>
      </c>
      <c r="K276">
        <v>20919</v>
      </c>
      <c r="L276">
        <v>421928</v>
      </c>
      <c r="M276">
        <v>4251922</v>
      </c>
      <c r="N276">
        <v>1931</v>
      </c>
      <c r="O276">
        <v>33455</v>
      </c>
      <c r="P276">
        <v>0</v>
      </c>
      <c r="Q276">
        <v>24640</v>
      </c>
      <c r="R276">
        <v>33431</v>
      </c>
      <c r="S276">
        <v>50919</v>
      </c>
      <c r="T276">
        <v>1891374</v>
      </c>
      <c r="U276">
        <v>0</v>
      </c>
      <c r="V276">
        <v>0</v>
      </c>
      <c r="W276">
        <v>0</v>
      </c>
      <c r="X276">
        <v>407371</v>
      </c>
      <c r="Y276">
        <v>76910</v>
      </c>
      <c r="Z276">
        <v>12243642</v>
      </c>
      <c r="AA276">
        <v>1556613</v>
      </c>
      <c r="AB276">
        <v>0</v>
      </c>
      <c r="AC276">
        <v>21633</v>
      </c>
      <c r="AD276">
        <v>474922</v>
      </c>
      <c r="AE276">
        <v>31295</v>
      </c>
      <c r="AF276">
        <v>36809</v>
      </c>
      <c r="AG276">
        <v>105784</v>
      </c>
      <c r="AH276">
        <v>1131504</v>
      </c>
      <c r="AI276">
        <v>4043</v>
      </c>
      <c r="AJ276">
        <v>242381</v>
      </c>
      <c r="AK276">
        <v>1800</v>
      </c>
      <c r="AL276">
        <v>360679</v>
      </c>
      <c r="AM276">
        <v>2105070</v>
      </c>
      <c r="AN276">
        <v>7471</v>
      </c>
      <c r="AO276">
        <v>5516097</v>
      </c>
      <c r="AP276">
        <v>69971</v>
      </c>
      <c r="AQ276">
        <v>1376</v>
      </c>
      <c r="AR276">
        <v>17744</v>
      </c>
      <c r="AS276">
        <v>5961392</v>
      </c>
      <c r="AT276">
        <v>7540</v>
      </c>
      <c r="AU276">
        <v>67832</v>
      </c>
      <c r="AV276">
        <v>37958</v>
      </c>
      <c r="AW276">
        <v>23318</v>
      </c>
      <c r="AX276">
        <v>0</v>
      </c>
      <c r="AY276">
        <v>18626</v>
      </c>
      <c r="AZ276">
        <v>383233</v>
      </c>
      <c r="BA276">
        <v>196115</v>
      </c>
      <c r="BB276">
        <v>837</v>
      </c>
      <c r="BC276">
        <v>0</v>
      </c>
      <c r="BD276">
        <v>2088027</v>
      </c>
      <c r="BE276">
        <v>176124</v>
      </c>
      <c r="BF276">
        <v>7197592</v>
      </c>
      <c r="BG276">
        <v>0</v>
      </c>
      <c r="BH276">
        <v>6495</v>
      </c>
      <c r="BI276">
        <v>70263</v>
      </c>
      <c r="BJ276">
        <v>1024285</v>
      </c>
      <c r="BK276">
        <v>219913</v>
      </c>
      <c r="BL276">
        <v>2339149</v>
      </c>
      <c r="BM276">
        <v>1288231</v>
      </c>
      <c r="BN276">
        <v>7466930</v>
      </c>
      <c r="BO276">
        <v>630736</v>
      </c>
      <c r="BP276">
        <v>0</v>
      </c>
      <c r="BQ276">
        <v>417164</v>
      </c>
      <c r="BR276">
        <v>0</v>
      </c>
      <c r="BS276">
        <v>281413</v>
      </c>
      <c r="BT276">
        <v>71544</v>
      </c>
      <c r="BU276">
        <v>0</v>
      </c>
      <c r="BV276">
        <v>155848</v>
      </c>
    </row>
    <row r="277" spans="1:74" x14ac:dyDescent="0.3">
      <c r="A277">
        <v>9019</v>
      </c>
      <c r="B277" t="s">
        <v>978</v>
      </c>
      <c r="C277" t="s">
        <v>979</v>
      </c>
      <c r="D277">
        <v>612749</v>
      </c>
      <c r="E277">
        <v>170443579</v>
      </c>
      <c r="F277">
        <v>0</v>
      </c>
      <c r="G277">
        <v>0</v>
      </c>
      <c r="H277">
        <v>94093</v>
      </c>
      <c r="I277">
        <v>0</v>
      </c>
      <c r="J277">
        <v>4812</v>
      </c>
      <c r="K277">
        <v>20919</v>
      </c>
      <c r="L277">
        <v>421928</v>
      </c>
      <c r="M277">
        <v>4251922</v>
      </c>
      <c r="N277">
        <v>1931</v>
      </c>
      <c r="O277">
        <v>33455</v>
      </c>
      <c r="P277">
        <v>0</v>
      </c>
      <c r="Q277">
        <v>24640</v>
      </c>
      <c r="R277">
        <v>33431</v>
      </c>
      <c r="S277">
        <v>50919</v>
      </c>
      <c r="T277">
        <v>1891374</v>
      </c>
      <c r="U277">
        <v>0</v>
      </c>
      <c r="V277">
        <v>0</v>
      </c>
      <c r="W277">
        <v>0</v>
      </c>
      <c r="X277">
        <v>407371</v>
      </c>
      <c r="Y277">
        <v>76910</v>
      </c>
      <c r="Z277">
        <v>12243642</v>
      </c>
      <c r="AA277">
        <v>1556613</v>
      </c>
      <c r="AB277">
        <v>0</v>
      </c>
      <c r="AC277">
        <v>21841</v>
      </c>
      <c r="AD277">
        <v>474922</v>
      </c>
      <c r="AE277">
        <v>31295</v>
      </c>
      <c r="AF277">
        <v>36809</v>
      </c>
      <c r="AG277">
        <v>105784</v>
      </c>
      <c r="AH277">
        <v>1131504</v>
      </c>
      <c r="AI277">
        <v>4043</v>
      </c>
      <c r="AJ277">
        <v>242381</v>
      </c>
      <c r="AK277">
        <v>1800</v>
      </c>
      <c r="AL277">
        <v>360679</v>
      </c>
      <c r="AM277">
        <v>2105070</v>
      </c>
      <c r="AN277">
        <v>7471</v>
      </c>
      <c r="AO277">
        <v>5516097</v>
      </c>
      <c r="AP277">
        <v>69971</v>
      </c>
      <c r="AQ277">
        <v>1376</v>
      </c>
      <c r="AR277">
        <v>17744</v>
      </c>
      <c r="AS277">
        <v>5961392</v>
      </c>
      <c r="AT277">
        <v>7540</v>
      </c>
      <c r="AU277">
        <v>67832</v>
      </c>
      <c r="AV277">
        <v>37958</v>
      </c>
      <c r="AW277">
        <v>23318</v>
      </c>
      <c r="AX277">
        <v>0</v>
      </c>
      <c r="AY277">
        <v>18626</v>
      </c>
      <c r="AZ277">
        <v>383233</v>
      </c>
      <c r="BA277">
        <v>196115</v>
      </c>
      <c r="BB277">
        <v>837</v>
      </c>
      <c r="BC277">
        <v>0</v>
      </c>
      <c r="BD277">
        <v>2088027</v>
      </c>
      <c r="BE277">
        <v>176124</v>
      </c>
      <c r="BF277">
        <v>7197592</v>
      </c>
      <c r="BG277">
        <v>0</v>
      </c>
      <c r="BH277">
        <v>6495</v>
      </c>
      <c r="BI277">
        <v>70263</v>
      </c>
      <c r="BJ277">
        <v>1024285</v>
      </c>
      <c r="BK277">
        <v>219913</v>
      </c>
      <c r="BL277">
        <v>2339149</v>
      </c>
      <c r="BM277">
        <v>1288231</v>
      </c>
      <c r="BN277">
        <v>7466930</v>
      </c>
      <c r="BO277">
        <v>630736</v>
      </c>
      <c r="BP277">
        <v>0</v>
      </c>
      <c r="BQ277">
        <v>417164</v>
      </c>
      <c r="BR277">
        <v>0</v>
      </c>
      <c r="BS277">
        <v>281413</v>
      </c>
      <c r="BT277">
        <v>71544</v>
      </c>
      <c r="BU277">
        <v>0</v>
      </c>
      <c r="BV277">
        <v>155848</v>
      </c>
    </row>
    <row r="278" spans="1:74" s="784" customFormat="1" ht="43.2" x14ac:dyDescent="0.3">
      <c r="A278" s="785"/>
      <c r="B278" s="784" t="s">
        <v>1867</v>
      </c>
      <c r="C278" s="924" t="s">
        <v>1665</v>
      </c>
      <c r="D278" s="784">
        <f>(D106+D135-D3-D4-D5-D8+D191)/(D132+D109+D11-D133-D108-D234)</f>
        <v>1.4627049401656482</v>
      </c>
      <c r="E278" s="784">
        <f t="shared" ref="E278:BP278" si="0">(E106+E135-E3-E4-E5-E8+E191)/(E132+E109+E11-E133-E108-E234)</f>
        <v>0.95034593922510124</v>
      </c>
      <c r="F278" s="784" t="e">
        <f t="shared" si="0"/>
        <v>#DIV/0!</v>
      </c>
      <c r="G278" s="784" t="e">
        <f t="shared" si="0"/>
        <v>#DIV/0!</v>
      </c>
      <c r="H278" s="784">
        <f t="shared" si="0"/>
        <v>1.322957385684657</v>
      </c>
      <c r="I278" s="784">
        <f t="shared" si="0"/>
        <v>2.0285851210780028</v>
      </c>
      <c r="J278" s="784">
        <f t="shared" si="0"/>
        <v>7.253917683428158</v>
      </c>
      <c r="K278" s="784">
        <f t="shared" si="0"/>
        <v>9.4653336192603206</v>
      </c>
      <c r="L278" s="784">
        <f t="shared" si="0"/>
        <v>0.28884252717270553</v>
      </c>
      <c r="M278" s="784">
        <f t="shared" si="0"/>
        <v>0.43098405124016231</v>
      </c>
      <c r="N278" s="784">
        <f t="shared" si="0"/>
        <v>5.080067744805091</v>
      </c>
      <c r="O278" s="784">
        <f t="shared" si="0"/>
        <v>3.7358691334899206</v>
      </c>
      <c r="P278" s="784" t="e">
        <f t="shared" si="0"/>
        <v>#DIV/0!</v>
      </c>
      <c r="Q278" s="784">
        <f t="shared" si="0"/>
        <v>2.4105964174170631</v>
      </c>
      <c r="R278" s="784">
        <f t="shared" si="0"/>
        <v>1.220325995202455</v>
      </c>
      <c r="S278" s="784">
        <f t="shared" si="0"/>
        <v>0.46689469243807952</v>
      </c>
      <c r="T278" s="784">
        <f t="shared" si="0"/>
        <v>0.50380336763711664</v>
      </c>
      <c r="U278" s="784" t="e">
        <f t="shared" si="0"/>
        <v>#DIV/0!</v>
      </c>
      <c r="V278" s="784" t="e">
        <f t="shared" si="0"/>
        <v>#DIV/0!</v>
      </c>
      <c r="W278" s="784" t="e">
        <f t="shared" si="0"/>
        <v>#DIV/0!</v>
      </c>
      <c r="X278" s="784">
        <f t="shared" si="0"/>
        <v>0.56109627564524622</v>
      </c>
      <c r="Y278" s="784">
        <f t="shared" si="0"/>
        <v>1.2703102169991405</v>
      </c>
      <c r="Z278" s="784">
        <f t="shared" si="0"/>
        <v>0.38460138251900938</v>
      </c>
      <c r="AA278" s="784">
        <f t="shared" si="0"/>
        <v>0.78009435586942411</v>
      </c>
      <c r="AB278" s="784" t="e">
        <f t="shared" si="0"/>
        <v>#DIV/0!</v>
      </c>
      <c r="AC278" s="784">
        <f t="shared" si="0"/>
        <v>2.0469361147327247</v>
      </c>
      <c r="AD278" s="784">
        <f t="shared" si="0"/>
        <v>0.87822658929401676</v>
      </c>
      <c r="AE278" s="784">
        <f t="shared" si="0"/>
        <v>1.5454260594721259</v>
      </c>
      <c r="AF278" s="784">
        <f t="shared" si="0"/>
        <v>1.070750223368816</v>
      </c>
      <c r="AG278" s="784">
        <f t="shared" si="0"/>
        <v>0.12114910573367761</v>
      </c>
      <c r="AH278" s="784">
        <f t="shared" si="0"/>
        <v>0.12180543491182673</v>
      </c>
      <c r="AI278" s="784">
        <f t="shared" si="0"/>
        <v>1.5710091495437883</v>
      </c>
      <c r="AJ278" s="784">
        <f t="shared" si="0"/>
        <v>2.0988887244212124</v>
      </c>
      <c r="AK278" s="784">
        <f t="shared" si="0"/>
        <v>2.9783387987532159</v>
      </c>
      <c r="AL278" s="784">
        <f t="shared" si="0"/>
        <v>1.0617857823668684</v>
      </c>
      <c r="AM278" s="784">
        <f t="shared" si="0"/>
        <v>0.28635278708733003</v>
      </c>
      <c r="AN278" s="784">
        <f t="shared" si="0"/>
        <v>2.1773312426081106</v>
      </c>
      <c r="AO278" s="784">
        <f t="shared" si="0"/>
        <v>0.62476241352252249</v>
      </c>
      <c r="AP278" s="784">
        <f t="shared" si="0"/>
        <v>1.1639364675984751</v>
      </c>
      <c r="AQ278" s="784">
        <f t="shared" si="0"/>
        <v>7.8093406440994535</v>
      </c>
      <c r="AR278" s="784">
        <f t="shared" si="0"/>
        <v>4.685623458102409</v>
      </c>
      <c r="AS278" s="784">
        <f t="shared" si="0"/>
        <v>0.75700797359936589</v>
      </c>
      <c r="AT278" s="784">
        <f t="shared" si="0"/>
        <v>0.96921453002176561</v>
      </c>
      <c r="AU278" s="784">
        <f t="shared" si="0"/>
        <v>2.6207048684816963</v>
      </c>
      <c r="AV278" s="784">
        <f t="shared" si="0"/>
        <v>0.31110813867335357</v>
      </c>
      <c r="AW278" s="784">
        <f t="shared" si="0"/>
        <v>1.1688213787644641</v>
      </c>
      <c r="AX278" s="784" t="e">
        <f t="shared" si="0"/>
        <v>#DIV/0!</v>
      </c>
      <c r="AY278" s="784">
        <f t="shared" si="0"/>
        <v>1.9108842924002805</v>
      </c>
      <c r="AZ278" s="784">
        <f t="shared" si="0"/>
        <v>0.66157836186945307</v>
      </c>
      <c r="BA278" s="784">
        <f t="shared" si="0"/>
        <v>0.3191044932989035</v>
      </c>
      <c r="BB278" s="784">
        <f t="shared" si="0"/>
        <v>3.325563233221847</v>
      </c>
      <c r="BC278" s="784">
        <f t="shared" si="0"/>
        <v>4.3851537645811245</v>
      </c>
      <c r="BD278" s="784">
        <f t="shared" si="0"/>
        <v>1.2440671605376259</v>
      </c>
      <c r="BE278" s="784">
        <f t="shared" si="0"/>
        <v>0.90303102554168035</v>
      </c>
      <c r="BF278" s="784">
        <f t="shared" si="0"/>
        <v>0.49591318152596803</v>
      </c>
      <c r="BG278" s="784" t="e">
        <f t="shared" si="0"/>
        <v>#DIV/0!</v>
      </c>
      <c r="BH278" s="784">
        <f t="shared" si="0"/>
        <v>2.5942283587651418</v>
      </c>
      <c r="BI278" s="784">
        <f t="shared" si="0"/>
        <v>1.9894234651676055</v>
      </c>
      <c r="BJ278" s="784">
        <f t="shared" si="0"/>
        <v>1.0879280297278513</v>
      </c>
      <c r="BK278" s="784">
        <f t="shared" si="0"/>
        <v>1.3588957557944881</v>
      </c>
      <c r="BL278" s="784">
        <f t="shared" si="0"/>
        <v>0.75497054097413585</v>
      </c>
      <c r="BM278" s="784">
        <f t="shared" si="0"/>
        <v>1.2443938921255784</v>
      </c>
      <c r="BN278" s="784">
        <f t="shared" si="0"/>
        <v>0.80085251149469949</v>
      </c>
      <c r="BO278" s="784">
        <f t="shared" si="0"/>
        <v>1.1257360812492414</v>
      </c>
      <c r="BP278" s="784" t="e">
        <f t="shared" si="0"/>
        <v>#DIV/0!</v>
      </c>
      <c r="BQ278" s="784">
        <f t="shared" ref="BQ278:BR278" si="1">(BQ106+BQ135-BQ3-BQ4-BQ5-BQ8+BQ191)/(BQ132+BQ109+BQ11-BQ133-BQ108-BQ234)</f>
        <v>0.34888312790578746</v>
      </c>
      <c r="BR278" s="784" t="e">
        <f t="shared" si="1"/>
        <v>#DIV/0!</v>
      </c>
      <c r="BS278" s="784">
        <f t="shared" ref="BS278:BV278" si="2">(BS106+BS135-BS3-BS4-BS5-BS8+BS191)/(BS132+BS109+BS11-BS133-BS108-BS234)</f>
        <v>0.24650056697930869</v>
      </c>
      <c r="BT278" s="784">
        <f t="shared" si="2"/>
        <v>1.3573573161138313</v>
      </c>
      <c r="BU278" s="784" t="e">
        <f t="shared" si="2"/>
        <v>#DIV/0!</v>
      </c>
      <c r="BV278" s="784">
        <f t="shared" si="2"/>
        <v>1.8059942844304004</v>
      </c>
    </row>
    <row r="279" spans="1:74" s="566" customFormat="1" ht="25.2" customHeight="1" x14ac:dyDescent="0.3">
      <c r="A279" s="565" t="s">
        <v>1875</v>
      </c>
      <c r="B279" s="566" t="s">
        <v>1876</v>
      </c>
      <c r="D279" s="970">
        <f t="shared" ref="D279:AI279" si="3">1-((D123+D124+D125+D126)/(D115+D116+D117+D118))</f>
        <v>0.33161594291145269</v>
      </c>
      <c r="E279" s="970">
        <f t="shared" si="3"/>
        <v>0.64832634256749699</v>
      </c>
      <c r="F279" s="970" t="e">
        <f t="shared" si="3"/>
        <v>#DIV/0!</v>
      </c>
      <c r="G279" s="970" t="e">
        <f t="shared" si="3"/>
        <v>#DIV/0!</v>
      </c>
      <c r="H279" s="970">
        <f t="shared" si="3"/>
        <v>0.4393167541553884</v>
      </c>
      <c r="I279" s="970" t="e">
        <f t="shared" si="3"/>
        <v>#DIV/0!</v>
      </c>
      <c r="J279" s="970" t="e">
        <f t="shared" si="3"/>
        <v>#DIV/0!</v>
      </c>
      <c r="K279" s="970" t="e">
        <f t="shared" si="3"/>
        <v>#DIV/0!</v>
      </c>
      <c r="L279" s="970">
        <f t="shared" si="3"/>
        <v>0.35911079512441946</v>
      </c>
      <c r="M279" s="970">
        <f t="shared" si="3"/>
        <v>0.52977132605627841</v>
      </c>
      <c r="N279" s="970" t="e">
        <f t="shared" si="3"/>
        <v>#DIV/0!</v>
      </c>
      <c r="O279" s="970">
        <f t="shared" si="3"/>
        <v>0.66338264876558473</v>
      </c>
      <c r="P279" s="970" t="e">
        <f t="shared" si="3"/>
        <v>#DIV/0!</v>
      </c>
      <c r="Q279" s="970" t="e">
        <f t="shared" si="3"/>
        <v>#DIV/0!</v>
      </c>
      <c r="R279" s="970" t="e">
        <f t="shared" si="3"/>
        <v>#DIV/0!</v>
      </c>
      <c r="S279" s="970">
        <f t="shared" si="3"/>
        <v>0.14543725468504964</v>
      </c>
      <c r="T279" s="970" t="e">
        <f t="shared" si="3"/>
        <v>#DIV/0!</v>
      </c>
      <c r="U279" s="970" t="e">
        <f t="shared" si="3"/>
        <v>#DIV/0!</v>
      </c>
      <c r="V279" s="970" t="e">
        <f t="shared" si="3"/>
        <v>#DIV/0!</v>
      </c>
      <c r="W279" s="970" t="e">
        <f t="shared" si="3"/>
        <v>#DIV/0!</v>
      </c>
      <c r="X279" s="970">
        <f t="shared" si="3"/>
        <v>0.27989291791983617</v>
      </c>
      <c r="Y279" s="970" t="e">
        <f t="shared" si="3"/>
        <v>#DIV/0!</v>
      </c>
      <c r="Z279" s="970">
        <f t="shared" si="3"/>
        <v>0.44317134719734574</v>
      </c>
      <c r="AA279" s="970" t="e">
        <f t="shared" si="3"/>
        <v>#DIV/0!</v>
      </c>
      <c r="AB279" s="970" t="e">
        <f t="shared" si="3"/>
        <v>#DIV/0!</v>
      </c>
      <c r="AC279" s="970">
        <f t="shared" si="3"/>
        <v>0.45702519107650141</v>
      </c>
      <c r="AD279" s="970">
        <f t="shared" si="3"/>
        <v>0.59003809467321622</v>
      </c>
      <c r="AE279" s="970">
        <f t="shared" si="3"/>
        <v>0.33160046703364954</v>
      </c>
      <c r="AF279" s="970">
        <f t="shared" si="3"/>
        <v>0.58317559145941189</v>
      </c>
      <c r="AG279" s="970">
        <f t="shared" si="3"/>
        <v>0.43102546808908782</v>
      </c>
      <c r="AH279" s="970">
        <f t="shared" si="3"/>
        <v>0.43359683058571585</v>
      </c>
      <c r="AI279" s="970" t="e">
        <f t="shared" si="3"/>
        <v>#DIV/0!</v>
      </c>
      <c r="AJ279" s="970" t="e">
        <f t="shared" ref="AJ279:BR279" si="4">1-((AJ123+AJ124+AJ125+AJ126)/(AJ115+AJ116+AJ117+AJ118))</f>
        <v>#DIV/0!</v>
      </c>
      <c r="AK279" s="970" t="e">
        <f t="shared" si="4"/>
        <v>#DIV/0!</v>
      </c>
      <c r="AL279" s="970">
        <f t="shared" si="4"/>
        <v>0.50083835750353289</v>
      </c>
      <c r="AM279" s="970">
        <f t="shared" si="4"/>
        <v>0.5606055669213218</v>
      </c>
      <c r="AN279" s="970">
        <f t="shared" si="4"/>
        <v>0.30547540807450979</v>
      </c>
      <c r="AO279" s="970">
        <f t="shared" si="4"/>
        <v>0.4968441809902584</v>
      </c>
      <c r="AP279" s="970">
        <f t="shared" si="4"/>
        <v>0.717563213799713</v>
      </c>
      <c r="AQ279" s="970" t="e">
        <f t="shared" si="4"/>
        <v>#DIV/0!</v>
      </c>
      <c r="AR279" s="970">
        <f t="shared" si="4"/>
        <v>0.75802415465289963</v>
      </c>
      <c r="AS279" s="970">
        <f t="shared" si="4"/>
        <v>0.62426255929260188</v>
      </c>
      <c r="AT279" s="970">
        <f t="shared" si="4"/>
        <v>0.71392756368514254</v>
      </c>
      <c r="AU279" s="970">
        <f t="shared" si="4"/>
        <v>0.61341391005514723</v>
      </c>
      <c r="AV279" s="970">
        <f t="shared" si="4"/>
        <v>0.33216675447808952</v>
      </c>
      <c r="AW279" s="970">
        <f t="shared" si="4"/>
        <v>0.6757950057450679</v>
      </c>
      <c r="AX279" s="970" t="e">
        <f t="shared" si="4"/>
        <v>#DIV/0!</v>
      </c>
      <c r="AY279" s="970" t="e">
        <f t="shared" si="4"/>
        <v>#DIV/0!</v>
      </c>
      <c r="AZ279" s="970">
        <f t="shared" si="4"/>
        <v>0.39081461532973594</v>
      </c>
      <c r="BA279" s="970">
        <f t="shared" si="4"/>
        <v>0.60083496072218712</v>
      </c>
      <c r="BB279" s="970">
        <f t="shared" si="4"/>
        <v>0.55111014537151481</v>
      </c>
      <c r="BC279" s="970">
        <f t="shared" si="4"/>
        <v>0.35681908786690475</v>
      </c>
      <c r="BD279" s="970">
        <f t="shared" si="4"/>
        <v>0.6094141603828267</v>
      </c>
      <c r="BE279" s="970">
        <f t="shared" si="4"/>
        <v>0.63267312083075622</v>
      </c>
      <c r="BF279" s="970">
        <f t="shared" si="4"/>
        <v>0.70785344457647215</v>
      </c>
      <c r="BG279" s="970" t="e">
        <f t="shared" si="4"/>
        <v>#DIV/0!</v>
      </c>
      <c r="BH279" s="970" t="e">
        <f t="shared" si="4"/>
        <v>#DIV/0!</v>
      </c>
      <c r="BI279" s="970">
        <f t="shared" si="4"/>
        <v>0.5398711075201339</v>
      </c>
      <c r="BJ279" s="970">
        <f t="shared" si="4"/>
        <v>0.6624400071770804</v>
      </c>
      <c r="BK279" s="970">
        <f t="shared" si="4"/>
        <v>0.40742993117913229</v>
      </c>
      <c r="BL279" s="970">
        <f t="shared" si="4"/>
        <v>0.49719486950552105</v>
      </c>
      <c r="BM279" s="970" t="e">
        <f t="shared" si="4"/>
        <v>#DIV/0!</v>
      </c>
      <c r="BN279" s="970">
        <f t="shared" si="4"/>
        <v>0.56361255730770488</v>
      </c>
      <c r="BO279" s="970">
        <f t="shared" si="4"/>
        <v>0.6727959113030294</v>
      </c>
      <c r="BP279" s="970" t="e">
        <f t="shared" si="4"/>
        <v>#DIV/0!</v>
      </c>
      <c r="BQ279" s="970" t="e">
        <f t="shared" si="4"/>
        <v>#DIV/0!</v>
      </c>
      <c r="BR279" s="970" t="e">
        <f t="shared" si="4"/>
        <v>#DIV/0!</v>
      </c>
      <c r="BS279" s="970">
        <f t="shared" ref="BS279:BV279" si="5">1-((BS123+BS124+BS125+BS126)/(BS115+BS116+BS117+BS118))</f>
        <v>0.60183218871978283</v>
      </c>
      <c r="BT279" s="970">
        <f t="shared" si="5"/>
        <v>0.67870852904191847</v>
      </c>
      <c r="BU279" s="970" t="e">
        <f t="shared" si="5"/>
        <v>#DIV/0!</v>
      </c>
      <c r="BV279" s="970">
        <f t="shared" si="5"/>
        <v>0.52721335530391389</v>
      </c>
    </row>
    <row r="280" spans="1:74" s="180" customFormat="1" x14ac:dyDescent="0.3">
      <c r="A280" s="155"/>
    </row>
    <row r="281" spans="1:74" s="180" customFormat="1" x14ac:dyDescent="0.3">
      <c r="A281" s="155"/>
    </row>
    <row r="282" spans="1:74" s="180" customFormat="1" x14ac:dyDescent="0.3">
      <c r="A282" s="155"/>
    </row>
    <row r="283" spans="1:74" s="180" customFormat="1" x14ac:dyDescent="0.3">
      <c r="A283" s="155"/>
    </row>
    <row r="284" spans="1:74" s="180" customFormat="1" x14ac:dyDescent="0.3">
      <c r="A284" s="155"/>
    </row>
    <row r="285" spans="1:74" x14ac:dyDescent="0.3">
      <c r="A285" s="552">
        <f>A201</f>
        <v>906</v>
      </c>
      <c r="B285" s="552" t="str">
        <f t="shared" ref="B285:BM285" si="6">B201</f>
        <v>TD-Was a Unmodified Audit Opinion issued?</v>
      </c>
      <c r="C285" s="552">
        <f t="shared" si="6"/>
        <v>0</v>
      </c>
      <c r="D285" s="552">
        <f t="shared" si="6"/>
        <v>1</v>
      </c>
      <c r="E285" s="552">
        <f t="shared" si="6"/>
        <v>1</v>
      </c>
      <c r="F285" s="552">
        <f t="shared" si="6"/>
        <v>0</v>
      </c>
      <c r="G285" s="552">
        <f t="shared" si="6"/>
        <v>0</v>
      </c>
      <c r="H285" s="552">
        <f t="shared" si="6"/>
        <v>1</v>
      </c>
      <c r="I285" s="552">
        <f t="shared" si="6"/>
        <v>1</v>
      </c>
      <c r="J285" s="552">
        <f t="shared" si="6"/>
        <v>1</v>
      </c>
      <c r="K285" s="552">
        <f t="shared" si="6"/>
        <v>1</v>
      </c>
      <c r="L285" s="552">
        <f t="shared" si="6"/>
        <v>1</v>
      </c>
      <c r="M285" s="552">
        <f t="shared" si="6"/>
        <v>1</v>
      </c>
      <c r="N285" s="552">
        <f t="shared" si="6"/>
        <v>1</v>
      </c>
      <c r="O285" s="552">
        <f t="shared" si="6"/>
        <v>1</v>
      </c>
      <c r="P285" s="552">
        <f t="shared" si="6"/>
        <v>0</v>
      </c>
      <c r="Q285" s="552">
        <f t="shared" si="6"/>
        <v>1</v>
      </c>
      <c r="R285" s="552">
        <f t="shared" si="6"/>
        <v>1</v>
      </c>
      <c r="S285" s="552">
        <f t="shared" si="6"/>
        <v>1</v>
      </c>
      <c r="T285" s="552">
        <f t="shared" si="6"/>
        <v>1</v>
      </c>
      <c r="U285" s="552">
        <f t="shared" si="6"/>
        <v>0</v>
      </c>
      <c r="V285" s="552">
        <f t="shared" si="6"/>
        <v>0</v>
      </c>
      <c r="W285" s="552">
        <f t="shared" si="6"/>
        <v>0</v>
      </c>
      <c r="X285" s="552">
        <f t="shared" si="6"/>
        <v>1</v>
      </c>
      <c r="Y285" s="552">
        <f t="shared" si="6"/>
        <v>1</v>
      </c>
      <c r="Z285" s="552">
        <f t="shared" si="6"/>
        <v>1</v>
      </c>
      <c r="AA285" s="552">
        <f t="shared" si="6"/>
        <v>1</v>
      </c>
      <c r="AB285" s="552">
        <f t="shared" si="6"/>
        <v>0</v>
      </c>
      <c r="AC285" s="552">
        <f t="shared" si="6"/>
        <v>1</v>
      </c>
      <c r="AD285" s="552">
        <f t="shared" si="6"/>
        <v>1</v>
      </c>
      <c r="AE285" s="552">
        <f t="shared" si="6"/>
        <v>1</v>
      </c>
      <c r="AF285" s="552">
        <f t="shared" si="6"/>
        <v>1</v>
      </c>
      <c r="AG285" s="552">
        <f t="shared" si="6"/>
        <v>1</v>
      </c>
      <c r="AH285" s="552">
        <f t="shared" si="6"/>
        <v>1</v>
      </c>
      <c r="AI285" s="552">
        <f t="shared" si="6"/>
        <v>1</v>
      </c>
      <c r="AJ285" s="552">
        <f t="shared" si="6"/>
        <v>1</v>
      </c>
      <c r="AK285" s="552">
        <f t="shared" si="6"/>
        <v>1</v>
      </c>
      <c r="AL285" s="552">
        <f t="shared" si="6"/>
        <v>1</v>
      </c>
      <c r="AM285" s="552">
        <f t="shared" si="6"/>
        <v>2</v>
      </c>
      <c r="AN285" s="552">
        <f t="shared" si="6"/>
        <v>2</v>
      </c>
      <c r="AO285" s="552">
        <f t="shared" si="6"/>
        <v>1</v>
      </c>
      <c r="AP285" s="552">
        <f t="shared" si="6"/>
        <v>1</v>
      </c>
      <c r="AQ285" s="552">
        <f t="shared" si="6"/>
        <v>1</v>
      </c>
      <c r="AR285" s="552">
        <f t="shared" si="6"/>
        <v>1</v>
      </c>
      <c r="AS285" s="552">
        <f t="shared" si="6"/>
        <v>1</v>
      </c>
      <c r="AT285" s="552">
        <f t="shared" si="6"/>
        <v>1</v>
      </c>
      <c r="AU285" s="552">
        <f t="shared" si="6"/>
        <v>1</v>
      </c>
      <c r="AV285" s="552">
        <f t="shared" si="6"/>
        <v>1</v>
      </c>
      <c r="AW285" s="552">
        <f t="shared" si="6"/>
        <v>1</v>
      </c>
      <c r="AX285" s="552">
        <f t="shared" si="6"/>
        <v>0</v>
      </c>
      <c r="AY285" s="552">
        <f t="shared" si="6"/>
        <v>1</v>
      </c>
      <c r="AZ285" s="552">
        <f t="shared" si="6"/>
        <v>1</v>
      </c>
      <c r="BA285" s="552">
        <f t="shared" si="6"/>
        <v>1</v>
      </c>
      <c r="BB285" s="552">
        <f t="shared" si="6"/>
        <v>1</v>
      </c>
      <c r="BC285" s="552">
        <f t="shared" si="6"/>
        <v>1</v>
      </c>
      <c r="BD285" s="552">
        <f t="shared" si="6"/>
        <v>1</v>
      </c>
      <c r="BE285" s="552">
        <f t="shared" si="6"/>
        <v>1</v>
      </c>
      <c r="BF285" s="552">
        <f t="shared" si="6"/>
        <v>1</v>
      </c>
      <c r="BG285" s="552">
        <f t="shared" si="6"/>
        <v>0</v>
      </c>
      <c r="BH285" s="552">
        <f t="shared" si="6"/>
        <v>1</v>
      </c>
      <c r="BI285" s="552">
        <f t="shared" si="6"/>
        <v>1</v>
      </c>
      <c r="BJ285" s="552">
        <f t="shared" si="6"/>
        <v>1</v>
      </c>
      <c r="BK285" s="552">
        <f t="shared" si="6"/>
        <v>1</v>
      </c>
      <c r="BL285" s="552">
        <f t="shared" si="6"/>
        <v>1</v>
      </c>
      <c r="BM285" s="552">
        <f t="shared" si="6"/>
        <v>1</v>
      </c>
      <c r="BN285" s="552">
        <f t="shared" ref="BN285:BR285" si="7">BN201</f>
        <v>1</v>
      </c>
      <c r="BO285" s="552">
        <f t="shared" si="7"/>
        <v>1</v>
      </c>
      <c r="BP285" s="552">
        <f t="shared" si="7"/>
        <v>0</v>
      </c>
      <c r="BQ285" s="552">
        <f t="shared" si="7"/>
        <v>1</v>
      </c>
      <c r="BR285" s="552">
        <f t="shared" si="7"/>
        <v>0</v>
      </c>
      <c r="BS285" s="552">
        <f t="shared" ref="BS285:BV285" si="8">BS201</f>
        <v>1</v>
      </c>
      <c r="BT285" s="552">
        <f t="shared" si="8"/>
        <v>1</v>
      </c>
      <c r="BU285" s="552">
        <f t="shared" si="8"/>
        <v>0</v>
      </c>
      <c r="BV285" s="552">
        <f t="shared" si="8"/>
        <v>1</v>
      </c>
    </row>
    <row r="286" spans="1:74" x14ac:dyDescent="0.3">
      <c r="A286" s="552">
        <f>A202</f>
        <v>907</v>
      </c>
      <c r="B286" s="552" t="str">
        <f t="shared" ref="B286:BM286" si="9">B202</f>
        <v>TD-Was there a finding for lack of segregation of duties at this unit?</v>
      </c>
      <c r="C286" s="552">
        <f t="shared" si="9"/>
        <v>0</v>
      </c>
      <c r="D286" s="552">
        <f t="shared" si="9"/>
        <v>1</v>
      </c>
      <c r="E286" s="552">
        <f t="shared" si="9"/>
        <v>2</v>
      </c>
      <c r="F286" s="552">
        <f t="shared" si="9"/>
        <v>0</v>
      </c>
      <c r="G286" s="552">
        <f t="shared" si="9"/>
        <v>0</v>
      </c>
      <c r="H286" s="552">
        <f t="shared" si="9"/>
        <v>2</v>
      </c>
      <c r="I286" s="552">
        <f t="shared" si="9"/>
        <v>1</v>
      </c>
      <c r="J286" s="552">
        <f t="shared" si="9"/>
        <v>1</v>
      </c>
      <c r="K286" s="552">
        <f t="shared" si="9"/>
        <v>1</v>
      </c>
      <c r="L286" s="552">
        <f t="shared" si="9"/>
        <v>2</v>
      </c>
      <c r="M286" s="552">
        <f t="shared" si="9"/>
        <v>2</v>
      </c>
      <c r="N286" s="552">
        <f t="shared" si="9"/>
        <v>1</v>
      </c>
      <c r="O286" s="552">
        <f t="shared" si="9"/>
        <v>2</v>
      </c>
      <c r="P286" s="552">
        <f t="shared" si="9"/>
        <v>0</v>
      </c>
      <c r="Q286" s="552">
        <f t="shared" si="9"/>
        <v>1</v>
      </c>
      <c r="R286" s="552">
        <f t="shared" si="9"/>
        <v>2</v>
      </c>
      <c r="S286" s="552">
        <f t="shared" si="9"/>
        <v>2</v>
      </c>
      <c r="T286" s="552">
        <f t="shared" si="9"/>
        <v>2</v>
      </c>
      <c r="U286" s="552">
        <f t="shared" si="9"/>
        <v>0</v>
      </c>
      <c r="V286" s="552">
        <f t="shared" si="9"/>
        <v>0</v>
      </c>
      <c r="W286" s="552">
        <f t="shared" si="9"/>
        <v>0</v>
      </c>
      <c r="X286" s="552">
        <f t="shared" si="9"/>
        <v>2</v>
      </c>
      <c r="Y286" s="552">
        <f t="shared" si="9"/>
        <v>1</v>
      </c>
      <c r="Z286" s="552">
        <f t="shared" si="9"/>
        <v>2</v>
      </c>
      <c r="AA286" s="552">
        <f t="shared" si="9"/>
        <v>2</v>
      </c>
      <c r="AB286" s="552">
        <f t="shared" si="9"/>
        <v>0</v>
      </c>
      <c r="AC286" s="552">
        <f t="shared" si="9"/>
        <v>2</v>
      </c>
      <c r="AD286" s="552">
        <f t="shared" si="9"/>
        <v>2</v>
      </c>
      <c r="AE286" s="552">
        <f t="shared" si="9"/>
        <v>1</v>
      </c>
      <c r="AF286" s="552">
        <f t="shared" si="9"/>
        <v>2</v>
      </c>
      <c r="AG286" s="552">
        <f t="shared" si="9"/>
        <v>2</v>
      </c>
      <c r="AH286" s="552">
        <f t="shared" si="9"/>
        <v>2</v>
      </c>
      <c r="AI286" s="552">
        <f t="shared" si="9"/>
        <v>1</v>
      </c>
      <c r="AJ286" s="552">
        <f t="shared" si="9"/>
        <v>2</v>
      </c>
      <c r="AK286" s="552">
        <f t="shared" si="9"/>
        <v>1</v>
      </c>
      <c r="AL286" s="552">
        <f t="shared" si="9"/>
        <v>2</v>
      </c>
      <c r="AM286" s="552">
        <f t="shared" si="9"/>
        <v>1</v>
      </c>
      <c r="AN286" s="552">
        <f t="shared" si="9"/>
        <v>1</v>
      </c>
      <c r="AO286" s="552">
        <f t="shared" si="9"/>
        <v>2</v>
      </c>
      <c r="AP286" s="552">
        <f t="shared" si="9"/>
        <v>2</v>
      </c>
      <c r="AQ286" s="552">
        <f t="shared" si="9"/>
        <v>2</v>
      </c>
      <c r="AR286" s="552">
        <f t="shared" si="9"/>
        <v>1</v>
      </c>
      <c r="AS286" s="552">
        <f t="shared" si="9"/>
        <v>2</v>
      </c>
      <c r="AT286" s="552">
        <f t="shared" si="9"/>
        <v>1</v>
      </c>
      <c r="AU286" s="552">
        <f t="shared" si="9"/>
        <v>1</v>
      </c>
      <c r="AV286" s="552">
        <f t="shared" si="9"/>
        <v>2</v>
      </c>
      <c r="AW286" s="552">
        <f t="shared" si="9"/>
        <v>1</v>
      </c>
      <c r="AX286" s="552">
        <f t="shared" si="9"/>
        <v>0</v>
      </c>
      <c r="AY286" s="552">
        <f t="shared" si="9"/>
        <v>1</v>
      </c>
      <c r="AZ286" s="552">
        <f t="shared" si="9"/>
        <v>2</v>
      </c>
      <c r="BA286" s="552">
        <f t="shared" si="9"/>
        <v>2</v>
      </c>
      <c r="BB286" s="552">
        <f t="shared" si="9"/>
        <v>1</v>
      </c>
      <c r="BC286" s="552">
        <f t="shared" si="9"/>
        <v>1</v>
      </c>
      <c r="BD286" s="552">
        <f t="shared" si="9"/>
        <v>2</v>
      </c>
      <c r="BE286" s="552">
        <f t="shared" si="9"/>
        <v>1</v>
      </c>
      <c r="BF286" s="552">
        <f t="shared" si="9"/>
        <v>2</v>
      </c>
      <c r="BG286" s="552">
        <f t="shared" si="9"/>
        <v>0</v>
      </c>
      <c r="BH286" s="552">
        <f t="shared" si="9"/>
        <v>1</v>
      </c>
      <c r="BI286" s="552">
        <f t="shared" si="9"/>
        <v>1</v>
      </c>
      <c r="BJ286" s="552">
        <f t="shared" si="9"/>
        <v>2</v>
      </c>
      <c r="BK286" s="552">
        <f t="shared" si="9"/>
        <v>1</v>
      </c>
      <c r="BL286" s="552">
        <f t="shared" si="9"/>
        <v>2</v>
      </c>
      <c r="BM286" s="552">
        <f t="shared" si="9"/>
        <v>2</v>
      </c>
      <c r="BN286" s="552">
        <f t="shared" ref="BN286:BR286" si="10">BN202</f>
        <v>2</v>
      </c>
      <c r="BO286" s="552">
        <f t="shared" si="10"/>
        <v>1</v>
      </c>
      <c r="BP286" s="552">
        <f t="shared" si="10"/>
        <v>0</v>
      </c>
      <c r="BQ286" s="552">
        <f t="shared" si="10"/>
        <v>1</v>
      </c>
      <c r="BR286" s="552">
        <f t="shared" si="10"/>
        <v>0</v>
      </c>
      <c r="BS286" s="552">
        <f t="shared" ref="BS286:BV286" si="11">BS202</f>
        <v>2</v>
      </c>
      <c r="BT286" s="552">
        <f t="shared" si="11"/>
        <v>2</v>
      </c>
      <c r="BU286" s="552">
        <f t="shared" si="11"/>
        <v>0</v>
      </c>
      <c r="BV286" s="552">
        <f t="shared" si="11"/>
        <v>2</v>
      </c>
    </row>
    <row r="287" spans="1:74" x14ac:dyDescent="0.3">
      <c r="A287" s="552">
        <f>A239</f>
        <v>1055</v>
      </c>
      <c r="B287" s="552" t="str">
        <f t="shared" ref="B287:BM287" si="12">B239</f>
        <v>Did your audit disclose as a finding bank reconciliations or subsidiary ledger reconciliations not performed timely? (Yes or No)</v>
      </c>
      <c r="C287" s="552">
        <f t="shared" si="12"/>
        <v>0</v>
      </c>
      <c r="D287" s="552">
        <f t="shared" si="12"/>
        <v>2</v>
      </c>
      <c r="E287" s="552">
        <f t="shared" si="12"/>
        <v>2</v>
      </c>
      <c r="F287" s="552">
        <f t="shared" si="12"/>
        <v>0</v>
      </c>
      <c r="G287" s="552">
        <f t="shared" si="12"/>
        <v>0</v>
      </c>
      <c r="H287" s="552">
        <f t="shared" si="12"/>
        <v>2</v>
      </c>
      <c r="I287" s="552">
        <f t="shared" si="12"/>
        <v>2</v>
      </c>
      <c r="J287" s="552">
        <f t="shared" si="12"/>
        <v>2</v>
      </c>
      <c r="K287" s="552">
        <f t="shared" si="12"/>
        <v>2</v>
      </c>
      <c r="L287" s="552">
        <f t="shared" si="12"/>
        <v>2</v>
      </c>
      <c r="M287" s="552">
        <f t="shared" si="12"/>
        <v>2</v>
      </c>
      <c r="N287" s="552">
        <f t="shared" si="12"/>
        <v>2</v>
      </c>
      <c r="O287" s="552">
        <f t="shared" si="12"/>
        <v>2</v>
      </c>
      <c r="P287" s="552">
        <f t="shared" si="12"/>
        <v>0</v>
      </c>
      <c r="Q287" s="552">
        <f t="shared" si="12"/>
        <v>1</v>
      </c>
      <c r="R287" s="552">
        <f t="shared" si="12"/>
        <v>2</v>
      </c>
      <c r="S287" s="552">
        <f t="shared" si="12"/>
        <v>2</v>
      </c>
      <c r="T287" s="552">
        <f t="shared" si="12"/>
        <v>2</v>
      </c>
      <c r="U287" s="552">
        <f t="shared" si="12"/>
        <v>0</v>
      </c>
      <c r="V287" s="552">
        <f t="shared" si="12"/>
        <v>0</v>
      </c>
      <c r="W287" s="552">
        <f t="shared" si="12"/>
        <v>0</v>
      </c>
      <c r="X287" s="552">
        <f t="shared" si="12"/>
        <v>2</v>
      </c>
      <c r="Y287" s="552">
        <f t="shared" si="12"/>
        <v>2</v>
      </c>
      <c r="Z287" s="552">
        <f t="shared" si="12"/>
        <v>2</v>
      </c>
      <c r="AA287" s="552">
        <f t="shared" si="12"/>
        <v>2</v>
      </c>
      <c r="AB287" s="552">
        <f t="shared" si="12"/>
        <v>0</v>
      </c>
      <c r="AC287" s="552">
        <f t="shared" si="12"/>
        <v>2</v>
      </c>
      <c r="AD287" s="552">
        <f t="shared" si="12"/>
        <v>2</v>
      </c>
      <c r="AE287" s="552">
        <f t="shared" si="12"/>
        <v>2</v>
      </c>
      <c r="AF287" s="552">
        <f t="shared" si="12"/>
        <v>2</v>
      </c>
      <c r="AG287" s="552">
        <f t="shared" si="12"/>
        <v>1</v>
      </c>
      <c r="AH287" s="552">
        <f t="shared" si="12"/>
        <v>2</v>
      </c>
      <c r="AI287" s="552">
        <f t="shared" si="12"/>
        <v>2</v>
      </c>
      <c r="AJ287" s="552">
        <f t="shared" si="12"/>
        <v>1</v>
      </c>
      <c r="AK287" s="552">
        <f t="shared" si="12"/>
        <v>2</v>
      </c>
      <c r="AL287" s="552">
        <f t="shared" si="12"/>
        <v>2</v>
      </c>
      <c r="AM287" s="552">
        <f t="shared" si="12"/>
        <v>2</v>
      </c>
      <c r="AN287" s="552">
        <f t="shared" si="12"/>
        <v>2</v>
      </c>
      <c r="AO287" s="552">
        <f t="shared" si="12"/>
        <v>2</v>
      </c>
      <c r="AP287" s="552">
        <f t="shared" si="12"/>
        <v>2</v>
      </c>
      <c r="AQ287" s="552">
        <f t="shared" si="12"/>
        <v>2</v>
      </c>
      <c r="AR287" s="552">
        <f t="shared" si="12"/>
        <v>2</v>
      </c>
      <c r="AS287" s="552">
        <f t="shared" si="12"/>
        <v>2</v>
      </c>
      <c r="AT287" s="552">
        <f t="shared" si="12"/>
        <v>2</v>
      </c>
      <c r="AU287" s="552">
        <f t="shared" si="12"/>
        <v>2</v>
      </c>
      <c r="AV287" s="552">
        <f t="shared" si="12"/>
        <v>2</v>
      </c>
      <c r="AW287" s="552">
        <f t="shared" si="12"/>
        <v>2</v>
      </c>
      <c r="AX287" s="552">
        <f t="shared" si="12"/>
        <v>0</v>
      </c>
      <c r="AY287" s="552">
        <f t="shared" si="12"/>
        <v>2</v>
      </c>
      <c r="AZ287" s="552">
        <f t="shared" si="12"/>
        <v>2</v>
      </c>
      <c r="BA287" s="552">
        <f t="shared" si="12"/>
        <v>2</v>
      </c>
      <c r="BB287" s="552">
        <f t="shared" si="12"/>
        <v>2</v>
      </c>
      <c r="BC287" s="552">
        <f t="shared" si="12"/>
        <v>1</v>
      </c>
      <c r="BD287" s="552">
        <f t="shared" si="12"/>
        <v>2</v>
      </c>
      <c r="BE287" s="552">
        <f t="shared" si="12"/>
        <v>2</v>
      </c>
      <c r="BF287" s="552">
        <f t="shared" si="12"/>
        <v>2</v>
      </c>
      <c r="BG287" s="552">
        <f t="shared" si="12"/>
        <v>0</v>
      </c>
      <c r="BH287" s="552">
        <f t="shared" si="12"/>
        <v>2</v>
      </c>
      <c r="BI287" s="552">
        <f t="shared" si="12"/>
        <v>2</v>
      </c>
      <c r="BJ287" s="552">
        <f t="shared" si="12"/>
        <v>2</v>
      </c>
      <c r="BK287" s="552">
        <f t="shared" si="12"/>
        <v>2</v>
      </c>
      <c r="BL287" s="552">
        <f t="shared" si="12"/>
        <v>2</v>
      </c>
      <c r="BM287" s="552">
        <f t="shared" si="12"/>
        <v>2</v>
      </c>
      <c r="BN287" s="552">
        <f t="shared" ref="BN287:BR287" si="13">BN239</f>
        <v>2</v>
      </c>
      <c r="BO287" s="552">
        <f t="shared" si="13"/>
        <v>2</v>
      </c>
      <c r="BP287" s="552">
        <f t="shared" si="13"/>
        <v>0</v>
      </c>
      <c r="BQ287" s="552">
        <f t="shared" si="13"/>
        <v>2</v>
      </c>
      <c r="BR287" s="552">
        <f t="shared" si="13"/>
        <v>0</v>
      </c>
      <c r="BS287" s="552">
        <f t="shared" ref="BS287:BV287" si="14">BS239</f>
        <v>2</v>
      </c>
      <c r="BT287" s="552">
        <f t="shared" si="14"/>
        <v>2</v>
      </c>
      <c r="BU287" s="552">
        <f t="shared" si="14"/>
        <v>0</v>
      </c>
      <c r="BV287" s="552">
        <f t="shared" si="14"/>
        <v>2</v>
      </c>
    </row>
    <row r="288" spans="1:74" x14ac:dyDescent="0.3">
      <c r="A288" s="552">
        <f>A240</f>
        <v>1056</v>
      </c>
      <c r="B288" s="552" t="str">
        <f t="shared" ref="B288:BM288" si="15">B240</f>
        <v>Did your audit disclose as a finding that the unitGÇÖs records were not completed by the agreed upon time? (Yes or No)</v>
      </c>
      <c r="C288" s="552">
        <f t="shared" si="15"/>
        <v>0</v>
      </c>
      <c r="D288" s="552">
        <f t="shared" si="15"/>
        <v>2</v>
      </c>
      <c r="E288" s="552">
        <f t="shared" si="15"/>
        <v>2</v>
      </c>
      <c r="F288" s="552">
        <f t="shared" si="15"/>
        <v>0</v>
      </c>
      <c r="G288" s="552">
        <f t="shared" si="15"/>
        <v>0</v>
      </c>
      <c r="H288" s="552">
        <f t="shared" si="15"/>
        <v>2</v>
      </c>
      <c r="I288" s="552">
        <f t="shared" si="15"/>
        <v>1</v>
      </c>
      <c r="J288" s="552">
        <f t="shared" si="15"/>
        <v>2</v>
      </c>
      <c r="K288" s="552">
        <f t="shared" si="15"/>
        <v>2</v>
      </c>
      <c r="L288" s="552">
        <f t="shared" si="15"/>
        <v>2</v>
      </c>
      <c r="M288" s="552">
        <f t="shared" si="15"/>
        <v>2</v>
      </c>
      <c r="N288" s="552">
        <f t="shared" si="15"/>
        <v>2</v>
      </c>
      <c r="O288" s="552">
        <f t="shared" si="15"/>
        <v>2</v>
      </c>
      <c r="P288" s="552">
        <f t="shared" si="15"/>
        <v>0</v>
      </c>
      <c r="Q288" s="552">
        <f t="shared" si="15"/>
        <v>1</v>
      </c>
      <c r="R288" s="552">
        <f t="shared" si="15"/>
        <v>2</v>
      </c>
      <c r="S288" s="552">
        <f t="shared" si="15"/>
        <v>2</v>
      </c>
      <c r="T288" s="552">
        <f t="shared" si="15"/>
        <v>2</v>
      </c>
      <c r="U288" s="552">
        <f t="shared" si="15"/>
        <v>0</v>
      </c>
      <c r="V288" s="552">
        <f t="shared" si="15"/>
        <v>0</v>
      </c>
      <c r="W288" s="552">
        <f t="shared" si="15"/>
        <v>0</v>
      </c>
      <c r="X288" s="552">
        <f t="shared" si="15"/>
        <v>2</v>
      </c>
      <c r="Y288" s="552">
        <f t="shared" si="15"/>
        <v>2</v>
      </c>
      <c r="Z288" s="552">
        <f t="shared" si="15"/>
        <v>2</v>
      </c>
      <c r="AA288" s="552">
        <f t="shared" si="15"/>
        <v>2</v>
      </c>
      <c r="AB288" s="552">
        <f t="shared" si="15"/>
        <v>0</v>
      </c>
      <c r="AC288" s="552">
        <f t="shared" si="15"/>
        <v>1</v>
      </c>
      <c r="AD288" s="552">
        <f t="shared" si="15"/>
        <v>2</v>
      </c>
      <c r="AE288" s="552">
        <f t="shared" si="15"/>
        <v>2</v>
      </c>
      <c r="AF288" s="552">
        <f t="shared" si="15"/>
        <v>2</v>
      </c>
      <c r="AG288" s="552">
        <f t="shared" si="15"/>
        <v>1</v>
      </c>
      <c r="AH288" s="552">
        <f t="shared" si="15"/>
        <v>2</v>
      </c>
      <c r="AI288" s="552">
        <f t="shared" si="15"/>
        <v>2</v>
      </c>
      <c r="AJ288" s="552">
        <f t="shared" si="15"/>
        <v>2</v>
      </c>
      <c r="AK288" s="552">
        <f t="shared" si="15"/>
        <v>2</v>
      </c>
      <c r="AL288" s="552">
        <f t="shared" si="15"/>
        <v>2</v>
      </c>
      <c r="AM288" s="552">
        <f t="shared" si="15"/>
        <v>2</v>
      </c>
      <c r="AN288" s="552">
        <f t="shared" si="15"/>
        <v>2</v>
      </c>
      <c r="AO288" s="552">
        <f t="shared" si="15"/>
        <v>2</v>
      </c>
      <c r="AP288" s="552">
        <f t="shared" si="15"/>
        <v>2</v>
      </c>
      <c r="AQ288" s="552">
        <f t="shared" si="15"/>
        <v>2</v>
      </c>
      <c r="AR288" s="552">
        <f t="shared" si="15"/>
        <v>2</v>
      </c>
      <c r="AS288" s="552">
        <f t="shared" si="15"/>
        <v>2</v>
      </c>
      <c r="AT288" s="552">
        <f t="shared" si="15"/>
        <v>2</v>
      </c>
      <c r="AU288" s="552">
        <f t="shared" si="15"/>
        <v>2</v>
      </c>
      <c r="AV288" s="552">
        <f t="shared" si="15"/>
        <v>2</v>
      </c>
      <c r="AW288" s="552">
        <f t="shared" si="15"/>
        <v>1</v>
      </c>
      <c r="AX288" s="552">
        <f t="shared" si="15"/>
        <v>0</v>
      </c>
      <c r="AY288" s="552">
        <f t="shared" si="15"/>
        <v>2</v>
      </c>
      <c r="AZ288" s="552">
        <f t="shared" si="15"/>
        <v>2</v>
      </c>
      <c r="BA288" s="552">
        <f t="shared" si="15"/>
        <v>2</v>
      </c>
      <c r="BB288" s="552">
        <f t="shared" si="15"/>
        <v>2</v>
      </c>
      <c r="BC288" s="552">
        <f t="shared" si="15"/>
        <v>2</v>
      </c>
      <c r="BD288" s="552">
        <f t="shared" si="15"/>
        <v>2</v>
      </c>
      <c r="BE288" s="552">
        <f t="shared" si="15"/>
        <v>2</v>
      </c>
      <c r="BF288" s="552">
        <f t="shared" si="15"/>
        <v>2</v>
      </c>
      <c r="BG288" s="552">
        <f t="shared" si="15"/>
        <v>0</v>
      </c>
      <c r="BH288" s="552">
        <f t="shared" si="15"/>
        <v>2</v>
      </c>
      <c r="BI288" s="552">
        <f t="shared" si="15"/>
        <v>2</v>
      </c>
      <c r="BJ288" s="552">
        <f t="shared" si="15"/>
        <v>2</v>
      </c>
      <c r="BK288" s="552">
        <f t="shared" si="15"/>
        <v>1</v>
      </c>
      <c r="BL288" s="552">
        <f t="shared" si="15"/>
        <v>2</v>
      </c>
      <c r="BM288" s="552">
        <f t="shared" si="15"/>
        <v>2</v>
      </c>
      <c r="BN288" s="552">
        <f t="shared" ref="BN288:BR288" si="16">BN240</f>
        <v>2</v>
      </c>
      <c r="BO288" s="552">
        <f t="shared" si="16"/>
        <v>2</v>
      </c>
      <c r="BP288" s="552">
        <f t="shared" si="16"/>
        <v>0</v>
      </c>
      <c r="BQ288" s="552">
        <f t="shared" si="16"/>
        <v>2</v>
      </c>
      <c r="BR288" s="552">
        <f t="shared" si="16"/>
        <v>0</v>
      </c>
      <c r="BS288" s="552">
        <f t="shared" ref="BS288:BV288" si="17">BS240</f>
        <v>2</v>
      </c>
      <c r="BT288" s="552">
        <f t="shared" si="17"/>
        <v>2</v>
      </c>
      <c r="BU288" s="552">
        <f t="shared" si="17"/>
        <v>0</v>
      </c>
      <c r="BV288" s="552">
        <f t="shared" si="17"/>
        <v>2</v>
      </c>
    </row>
    <row r="289" spans="1:74" x14ac:dyDescent="0.3">
      <c r="A289" s="552">
        <f>A241</f>
        <v>1057</v>
      </c>
      <c r="B289" s="552" t="str">
        <f t="shared" ref="B289:BM289" si="18">B241</f>
        <v>Did your audit disclose any budget violations at the adopted ordinance level? (Yes or No)</v>
      </c>
      <c r="C289" s="552">
        <f t="shared" si="18"/>
        <v>0</v>
      </c>
      <c r="D289" s="552">
        <f t="shared" si="18"/>
        <v>2</v>
      </c>
      <c r="E289" s="552">
        <f t="shared" si="18"/>
        <v>2</v>
      </c>
      <c r="F289" s="552">
        <f t="shared" si="18"/>
        <v>0</v>
      </c>
      <c r="G289" s="552">
        <f t="shared" si="18"/>
        <v>0</v>
      </c>
      <c r="H289" s="552">
        <f t="shared" si="18"/>
        <v>2</v>
      </c>
      <c r="I289" s="552">
        <f t="shared" si="18"/>
        <v>1</v>
      </c>
      <c r="J289" s="552">
        <f t="shared" si="18"/>
        <v>2</v>
      </c>
      <c r="K289" s="552">
        <f t="shared" si="18"/>
        <v>2</v>
      </c>
      <c r="L289" s="552">
        <f t="shared" si="18"/>
        <v>1</v>
      </c>
      <c r="M289" s="552">
        <f t="shared" si="18"/>
        <v>2</v>
      </c>
      <c r="N289" s="552">
        <f t="shared" si="18"/>
        <v>2</v>
      </c>
      <c r="O289" s="552">
        <f t="shared" si="18"/>
        <v>2</v>
      </c>
      <c r="P289" s="552">
        <f t="shared" si="18"/>
        <v>0</v>
      </c>
      <c r="Q289" s="552">
        <f t="shared" si="18"/>
        <v>2</v>
      </c>
      <c r="R289" s="552">
        <f t="shared" si="18"/>
        <v>2</v>
      </c>
      <c r="S289" s="552">
        <f t="shared" si="18"/>
        <v>2</v>
      </c>
      <c r="T289" s="552">
        <f t="shared" si="18"/>
        <v>2</v>
      </c>
      <c r="U289" s="552">
        <f t="shared" si="18"/>
        <v>0</v>
      </c>
      <c r="V289" s="552">
        <f t="shared" si="18"/>
        <v>0</v>
      </c>
      <c r="W289" s="552">
        <f t="shared" si="18"/>
        <v>0</v>
      </c>
      <c r="X289" s="552">
        <f t="shared" si="18"/>
        <v>2</v>
      </c>
      <c r="Y289" s="552">
        <f t="shared" si="18"/>
        <v>2</v>
      </c>
      <c r="Z289" s="552">
        <f t="shared" si="18"/>
        <v>2</v>
      </c>
      <c r="AA289" s="552">
        <f t="shared" si="18"/>
        <v>2</v>
      </c>
      <c r="AB289" s="552">
        <f t="shared" si="18"/>
        <v>0</v>
      </c>
      <c r="AC289" s="552">
        <f t="shared" si="18"/>
        <v>2</v>
      </c>
      <c r="AD289" s="552">
        <f t="shared" si="18"/>
        <v>2</v>
      </c>
      <c r="AE289" s="552">
        <f t="shared" si="18"/>
        <v>2</v>
      </c>
      <c r="AF289" s="552">
        <f t="shared" si="18"/>
        <v>1</v>
      </c>
      <c r="AG289" s="552">
        <f t="shared" si="18"/>
        <v>1</v>
      </c>
      <c r="AH289" s="552">
        <f t="shared" si="18"/>
        <v>2</v>
      </c>
      <c r="AI289" s="552">
        <f t="shared" si="18"/>
        <v>2</v>
      </c>
      <c r="AJ289" s="552">
        <f t="shared" si="18"/>
        <v>2</v>
      </c>
      <c r="AK289" s="552">
        <f t="shared" si="18"/>
        <v>2</v>
      </c>
      <c r="AL289" s="552">
        <f t="shared" si="18"/>
        <v>2</v>
      </c>
      <c r="AM289" s="552">
        <f t="shared" si="18"/>
        <v>1</v>
      </c>
      <c r="AN289" s="552">
        <f t="shared" si="18"/>
        <v>2</v>
      </c>
      <c r="AO289" s="552">
        <f t="shared" si="18"/>
        <v>2</v>
      </c>
      <c r="AP289" s="552">
        <f t="shared" si="18"/>
        <v>1</v>
      </c>
      <c r="AQ289" s="552">
        <f t="shared" si="18"/>
        <v>1</v>
      </c>
      <c r="AR289" s="552">
        <f t="shared" si="18"/>
        <v>2</v>
      </c>
      <c r="AS289" s="552">
        <f t="shared" si="18"/>
        <v>2</v>
      </c>
      <c r="AT289" s="552">
        <f t="shared" si="18"/>
        <v>2</v>
      </c>
      <c r="AU289" s="552">
        <f t="shared" si="18"/>
        <v>2</v>
      </c>
      <c r="AV289" s="552">
        <f t="shared" si="18"/>
        <v>2</v>
      </c>
      <c r="AW289" s="552">
        <f t="shared" si="18"/>
        <v>2</v>
      </c>
      <c r="AX289" s="552">
        <f t="shared" si="18"/>
        <v>0</v>
      </c>
      <c r="AY289" s="552">
        <f t="shared" si="18"/>
        <v>2</v>
      </c>
      <c r="AZ289" s="552">
        <f t="shared" si="18"/>
        <v>2</v>
      </c>
      <c r="BA289" s="552">
        <f t="shared" si="18"/>
        <v>2</v>
      </c>
      <c r="BB289" s="552">
        <f t="shared" si="18"/>
        <v>2</v>
      </c>
      <c r="BC289" s="552">
        <f t="shared" si="18"/>
        <v>2</v>
      </c>
      <c r="BD289" s="552">
        <f t="shared" si="18"/>
        <v>2</v>
      </c>
      <c r="BE289" s="552">
        <f t="shared" si="18"/>
        <v>2</v>
      </c>
      <c r="BF289" s="552">
        <f t="shared" si="18"/>
        <v>2</v>
      </c>
      <c r="BG289" s="552">
        <f t="shared" si="18"/>
        <v>0</v>
      </c>
      <c r="BH289" s="552">
        <f t="shared" si="18"/>
        <v>2</v>
      </c>
      <c r="BI289" s="552">
        <f t="shared" si="18"/>
        <v>2</v>
      </c>
      <c r="BJ289" s="552">
        <f t="shared" si="18"/>
        <v>2</v>
      </c>
      <c r="BK289" s="552">
        <f t="shared" si="18"/>
        <v>2</v>
      </c>
      <c r="BL289" s="552">
        <f t="shared" si="18"/>
        <v>2</v>
      </c>
      <c r="BM289" s="552">
        <f t="shared" si="18"/>
        <v>2</v>
      </c>
      <c r="BN289" s="552">
        <f t="shared" ref="BN289:BR289" si="19">BN241</f>
        <v>1</v>
      </c>
      <c r="BO289" s="552">
        <f t="shared" si="19"/>
        <v>2</v>
      </c>
      <c r="BP289" s="552">
        <f t="shared" si="19"/>
        <v>0</v>
      </c>
      <c r="BQ289" s="552">
        <f t="shared" si="19"/>
        <v>2</v>
      </c>
      <c r="BR289" s="552">
        <f t="shared" si="19"/>
        <v>0</v>
      </c>
      <c r="BS289" s="552">
        <f t="shared" ref="BS289:BV289" si="20">BS241</f>
        <v>2</v>
      </c>
      <c r="BT289" s="552">
        <f t="shared" si="20"/>
        <v>1</v>
      </c>
      <c r="BU289" s="552">
        <f t="shared" si="20"/>
        <v>0</v>
      </c>
      <c r="BV289" s="552">
        <f t="shared" si="20"/>
        <v>2</v>
      </c>
    </row>
    <row r="290" spans="1:74" x14ac:dyDescent="0.3">
      <c r="A290" s="552">
        <f>A242</f>
        <v>1058</v>
      </c>
      <c r="B290" s="552" t="str">
        <f t="shared" ref="B290:BM290" si="21">B242</f>
        <v>Did your audit disclose as a finding any statutory violations? (not including budget violations) (Yes or No)</v>
      </c>
      <c r="C290" s="552">
        <f t="shared" si="21"/>
        <v>0</v>
      </c>
      <c r="D290" s="552">
        <f t="shared" si="21"/>
        <v>2</v>
      </c>
      <c r="E290" s="552">
        <f t="shared" si="21"/>
        <v>2</v>
      </c>
      <c r="F290" s="552">
        <f t="shared" si="21"/>
        <v>0</v>
      </c>
      <c r="G290" s="552">
        <f t="shared" si="21"/>
        <v>0</v>
      </c>
      <c r="H290" s="552">
        <f t="shared" si="21"/>
        <v>2</v>
      </c>
      <c r="I290" s="552">
        <f t="shared" si="21"/>
        <v>2</v>
      </c>
      <c r="J290" s="552">
        <f t="shared" si="21"/>
        <v>1</v>
      </c>
      <c r="K290" s="552">
        <f t="shared" si="21"/>
        <v>2</v>
      </c>
      <c r="L290" s="552">
        <f t="shared" si="21"/>
        <v>2</v>
      </c>
      <c r="M290" s="552">
        <f t="shared" si="21"/>
        <v>2</v>
      </c>
      <c r="N290" s="552">
        <f t="shared" si="21"/>
        <v>2</v>
      </c>
      <c r="O290" s="552">
        <f t="shared" si="21"/>
        <v>2</v>
      </c>
      <c r="P290" s="552">
        <f t="shared" si="21"/>
        <v>0</v>
      </c>
      <c r="Q290" s="552">
        <f t="shared" si="21"/>
        <v>2</v>
      </c>
      <c r="R290" s="552">
        <f t="shared" si="21"/>
        <v>2</v>
      </c>
      <c r="S290" s="552">
        <f t="shared" si="21"/>
        <v>2</v>
      </c>
      <c r="T290" s="552">
        <f t="shared" si="21"/>
        <v>2</v>
      </c>
      <c r="U290" s="552">
        <f t="shared" si="21"/>
        <v>0</v>
      </c>
      <c r="V290" s="552">
        <f t="shared" si="21"/>
        <v>0</v>
      </c>
      <c r="W290" s="552">
        <f t="shared" si="21"/>
        <v>0</v>
      </c>
      <c r="X290" s="552">
        <f t="shared" si="21"/>
        <v>2</v>
      </c>
      <c r="Y290" s="552">
        <f t="shared" si="21"/>
        <v>2</v>
      </c>
      <c r="Z290" s="552">
        <f t="shared" si="21"/>
        <v>2</v>
      </c>
      <c r="AA290" s="552">
        <f t="shared" si="21"/>
        <v>2</v>
      </c>
      <c r="AB290" s="552">
        <f t="shared" si="21"/>
        <v>0</v>
      </c>
      <c r="AC290" s="552">
        <f t="shared" si="21"/>
        <v>1</v>
      </c>
      <c r="AD290" s="552">
        <f t="shared" si="21"/>
        <v>2</v>
      </c>
      <c r="AE290" s="552">
        <f t="shared" si="21"/>
        <v>2</v>
      </c>
      <c r="AF290" s="552">
        <f t="shared" si="21"/>
        <v>2</v>
      </c>
      <c r="AG290" s="552">
        <f t="shared" si="21"/>
        <v>1</v>
      </c>
      <c r="AH290" s="552">
        <f t="shared" si="21"/>
        <v>2</v>
      </c>
      <c r="AI290" s="552">
        <f t="shared" si="21"/>
        <v>2</v>
      </c>
      <c r="AJ290" s="552">
        <f t="shared" si="21"/>
        <v>2</v>
      </c>
      <c r="AK290" s="552">
        <f t="shared" si="21"/>
        <v>2</v>
      </c>
      <c r="AL290" s="552">
        <f t="shared" si="21"/>
        <v>2</v>
      </c>
      <c r="AM290" s="552">
        <f t="shared" si="21"/>
        <v>1</v>
      </c>
      <c r="AN290" s="552">
        <f t="shared" si="21"/>
        <v>2</v>
      </c>
      <c r="AO290" s="552">
        <f t="shared" si="21"/>
        <v>2</v>
      </c>
      <c r="AP290" s="552">
        <f t="shared" si="21"/>
        <v>2</v>
      </c>
      <c r="AQ290" s="552">
        <f t="shared" si="21"/>
        <v>2</v>
      </c>
      <c r="AR290" s="552">
        <f t="shared" si="21"/>
        <v>2</v>
      </c>
      <c r="AS290" s="552">
        <f t="shared" si="21"/>
        <v>2</v>
      </c>
      <c r="AT290" s="552">
        <f t="shared" si="21"/>
        <v>2</v>
      </c>
      <c r="AU290" s="552">
        <f t="shared" si="21"/>
        <v>2</v>
      </c>
      <c r="AV290" s="552">
        <f t="shared" si="21"/>
        <v>2</v>
      </c>
      <c r="AW290" s="552">
        <f t="shared" si="21"/>
        <v>1</v>
      </c>
      <c r="AX290" s="552">
        <f t="shared" si="21"/>
        <v>0</v>
      </c>
      <c r="AY290" s="552">
        <f t="shared" si="21"/>
        <v>2</v>
      </c>
      <c r="AZ290" s="552">
        <f t="shared" si="21"/>
        <v>2</v>
      </c>
      <c r="BA290" s="552">
        <f t="shared" si="21"/>
        <v>2</v>
      </c>
      <c r="BB290" s="552">
        <f t="shared" si="21"/>
        <v>2</v>
      </c>
      <c r="BC290" s="552">
        <f t="shared" si="21"/>
        <v>0</v>
      </c>
      <c r="BD290" s="552">
        <f t="shared" si="21"/>
        <v>2</v>
      </c>
      <c r="BE290" s="552">
        <f t="shared" si="21"/>
        <v>2</v>
      </c>
      <c r="BF290" s="552">
        <f t="shared" si="21"/>
        <v>2</v>
      </c>
      <c r="BG290" s="552">
        <f t="shared" si="21"/>
        <v>0</v>
      </c>
      <c r="BH290" s="552">
        <f t="shared" si="21"/>
        <v>2</v>
      </c>
      <c r="BI290" s="552">
        <f t="shared" si="21"/>
        <v>2</v>
      </c>
      <c r="BJ290" s="552">
        <f t="shared" si="21"/>
        <v>2</v>
      </c>
      <c r="BK290" s="552">
        <f t="shared" si="21"/>
        <v>2</v>
      </c>
      <c r="BL290" s="552">
        <f t="shared" si="21"/>
        <v>2</v>
      </c>
      <c r="BM290" s="552">
        <f t="shared" si="21"/>
        <v>2</v>
      </c>
      <c r="BN290" s="552">
        <f t="shared" ref="BN290:BR290" si="22">BN242</f>
        <v>2</v>
      </c>
      <c r="BO290" s="552">
        <f t="shared" si="22"/>
        <v>2</v>
      </c>
      <c r="BP290" s="552">
        <f t="shared" si="22"/>
        <v>0</v>
      </c>
      <c r="BQ290" s="552">
        <f t="shared" si="22"/>
        <v>2</v>
      </c>
      <c r="BR290" s="552">
        <f t="shared" si="22"/>
        <v>0</v>
      </c>
      <c r="BS290" s="552">
        <f t="shared" ref="BS290:BV290" si="23">BS242</f>
        <v>2</v>
      </c>
      <c r="BT290" s="552">
        <f t="shared" si="23"/>
        <v>2</v>
      </c>
      <c r="BU290" s="552">
        <f t="shared" si="23"/>
        <v>0</v>
      </c>
      <c r="BV290" s="552">
        <f t="shared" si="23"/>
        <v>2</v>
      </c>
    </row>
    <row r="291" spans="1:74" x14ac:dyDescent="0.3">
      <c r="A291" s="552">
        <f>A243</f>
        <v>1059</v>
      </c>
      <c r="B291" s="552" t="str">
        <f t="shared" ref="B291:BM291" si="24">B243</f>
        <v>Did the unit have a board-appointed finance officer the entire fiscal year? (Yes or No)?</v>
      </c>
      <c r="C291" s="552">
        <f t="shared" si="24"/>
        <v>0</v>
      </c>
      <c r="D291" s="552">
        <f t="shared" si="24"/>
        <v>1</v>
      </c>
      <c r="E291" s="552">
        <f t="shared" si="24"/>
        <v>1</v>
      </c>
      <c r="F291" s="552">
        <f t="shared" si="24"/>
        <v>0</v>
      </c>
      <c r="G291" s="552">
        <f t="shared" si="24"/>
        <v>0</v>
      </c>
      <c r="H291" s="552">
        <f t="shared" si="24"/>
        <v>1</v>
      </c>
      <c r="I291" s="552">
        <f t="shared" si="24"/>
        <v>1</v>
      </c>
      <c r="J291" s="552">
        <f t="shared" si="24"/>
        <v>1</v>
      </c>
      <c r="K291" s="552">
        <f t="shared" si="24"/>
        <v>1</v>
      </c>
      <c r="L291" s="552">
        <f t="shared" si="24"/>
        <v>1</v>
      </c>
      <c r="M291" s="552">
        <f t="shared" si="24"/>
        <v>1</v>
      </c>
      <c r="N291" s="552">
        <f t="shared" si="24"/>
        <v>1</v>
      </c>
      <c r="O291" s="552">
        <f t="shared" si="24"/>
        <v>1</v>
      </c>
      <c r="P291" s="552">
        <f t="shared" si="24"/>
        <v>0</v>
      </c>
      <c r="Q291" s="552">
        <f t="shared" si="24"/>
        <v>1</v>
      </c>
      <c r="R291" s="552">
        <f t="shared" si="24"/>
        <v>1</v>
      </c>
      <c r="S291" s="552">
        <f t="shared" si="24"/>
        <v>1</v>
      </c>
      <c r="T291" s="552">
        <f t="shared" si="24"/>
        <v>1</v>
      </c>
      <c r="U291" s="552">
        <f t="shared" si="24"/>
        <v>0</v>
      </c>
      <c r="V291" s="552">
        <f t="shared" si="24"/>
        <v>0</v>
      </c>
      <c r="W291" s="552">
        <f t="shared" si="24"/>
        <v>0</v>
      </c>
      <c r="X291" s="552">
        <f t="shared" si="24"/>
        <v>1</v>
      </c>
      <c r="Y291" s="552">
        <f t="shared" si="24"/>
        <v>1</v>
      </c>
      <c r="Z291" s="552">
        <f t="shared" si="24"/>
        <v>1</v>
      </c>
      <c r="AA291" s="552">
        <f t="shared" si="24"/>
        <v>1</v>
      </c>
      <c r="AB291" s="552">
        <f t="shared" si="24"/>
        <v>0</v>
      </c>
      <c r="AC291" s="552">
        <f t="shared" si="24"/>
        <v>1</v>
      </c>
      <c r="AD291" s="552">
        <f t="shared" si="24"/>
        <v>1</v>
      </c>
      <c r="AE291" s="552">
        <f t="shared" si="24"/>
        <v>1</v>
      </c>
      <c r="AF291" s="552">
        <f t="shared" si="24"/>
        <v>1</v>
      </c>
      <c r="AG291" s="552">
        <f t="shared" si="24"/>
        <v>1</v>
      </c>
      <c r="AH291" s="552">
        <f t="shared" si="24"/>
        <v>1</v>
      </c>
      <c r="AI291" s="552">
        <f t="shared" si="24"/>
        <v>1</v>
      </c>
      <c r="AJ291" s="552">
        <f t="shared" si="24"/>
        <v>1</v>
      </c>
      <c r="AK291" s="552">
        <f t="shared" si="24"/>
        <v>1</v>
      </c>
      <c r="AL291" s="552">
        <f t="shared" si="24"/>
        <v>1</v>
      </c>
      <c r="AM291" s="552">
        <f t="shared" si="24"/>
        <v>1</v>
      </c>
      <c r="AN291" s="552">
        <f t="shared" si="24"/>
        <v>1</v>
      </c>
      <c r="AO291" s="552">
        <f t="shared" si="24"/>
        <v>1</v>
      </c>
      <c r="AP291" s="552">
        <f t="shared" si="24"/>
        <v>1</v>
      </c>
      <c r="AQ291" s="552">
        <f t="shared" si="24"/>
        <v>1</v>
      </c>
      <c r="AR291" s="552">
        <f t="shared" si="24"/>
        <v>1</v>
      </c>
      <c r="AS291" s="552">
        <f t="shared" si="24"/>
        <v>1</v>
      </c>
      <c r="AT291" s="552">
        <f t="shared" si="24"/>
        <v>1</v>
      </c>
      <c r="AU291" s="552">
        <f t="shared" si="24"/>
        <v>1</v>
      </c>
      <c r="AV291" s="552">
        <f t="shared" si="24"/>
        <v>1</v>
      </c>
      <c r="AW291" s="552">
        <f t="shared" si="24"/>
        <v>1</v>
      </c>
      <c r="AX291" s="552">
        <f t="shared" si="24"/>
        <v>0</v>
      </c>
      <c r="AY291" s="552">
        <f t="shared" si="24"/>
        <v>1</v>
      </c>
      <c r="AZ291" s="552">
        <f t="shared" si="24"/>
        <v>1</v>
      </c>
      <c r="BA291" s="552">
        <f t="shared" si="24"/>
        <v>1</v>
      </c>
      <c r="BB291" s="552">
        <f t="shared" si="24"/>
        <v>1</v>
      </c>
      <c r="BC291" s="552">
        <f t="shared" si="24"/>
        <v>1</v>
      </c>
      <c r="BD291" s="552">
        <f t="shared" si="24"/>
        <v>1</v>
      </c>
      <c r="BE291" s="552">
        <f t="shared" si="24"/>
        <v>1</v>
      </c>
      <c r="BF291" s="552">
        <f t="shared" si="24"/>
        <v>1</v>
      </c>
      <c r="BG291" s="552">
        <f t="shared" si="24"/>
        <v>0</v>
      </c>
      <c r="BH291" s="552">
        <f t="shared" si="24"/>
        <v>1</v>
      </c>
      <c r="BI291" s="552">
        <f t="shared" si="24"/>
        <v>1</v>
      </c>
      <c r="BJ291" s="552">
        <f t="shared" si="24"/>
        <v>1</v>
      </c>
      <c r="BK291" s="552">
        <f t="shared" si="24"/>
        <v>1</v>
      </c>
      <c r="BL291" s="552">
        <f t="shared" si="24"/>
        <v>1</v>
      </c>
      <c r="BM291" s="552">
        <f t="shared" si="24"/>
        <v>1</v>
      </c>
      <c r="BN291" s="552">
        <f t="shared" ref="BN291:BR291" si="25">BN243</f>
        <v>1</v>
      </c>
      <c r="BO291" s="552">
        <f t="shared" si="25"/>
        <v>1</v>
      </c>
      <c r="BP291" s="552">
        <f t="shared" si="25"/>
        <v>0</v>
      </c>
      <c r="BQ291" s="552">
        <f t="shared" si="25"/>
        <v>1</v>
      </c>
      <c r="BR291" s="552">
        <f t="shared" si="25"/>
        <v>0</v>
      </c>
      <c r="BS291" s="552">
        <f t="shared" ref="BS291:BV291" si="26">BS243</f>
        <v>1</v>
      </c>
      <c r="BT291" s="552">
        <f t="shared" si="26"/>
        <v>1</v>
      </c>
      <c r="BU291" s="552">
        <f t="shared" si="26"/>
        <v>0</v>
      </c>
      <c r="BV291" s="552">
        <f t="shared" si="26"/>
        <v>1</v>
      </c>
    </row>
    <row r="292" spans="1:74" x14ac:dyDescent="0.3">
      <c r="A292" s="552">
        <f>A257</f>
        <v>1078</v>
      </c>
      <c r="B292" s="552" t="str">
        <f t="shared" ref="B292:BM292" si="27">B257</f>
        <v>If the answer to 1059 is "No" then was the unit without a board-appointed interim or permanent finance officer for more than 2 weeks at any time in the fiscal year? (Note:  Please include a noncompliance finding related to GS 159-24, GS 159-25(a)(2) or GS</v>
      </c>
      <c r="C292" s="552">
        <f t="shared" si="27"/>
        <v>0</v>
      </c>
      <c r="D292" s="552">
        <f t="shared" si="27"/>
        <v>3</v>
      </c>
      <c r="E292" s="552">
        <f t="shared" si="27"/>
        <v>3</v>
      </c>
      <c r="F292" s="552">
        <f t="shared" si="27"/>
        <v>0</v>
      </c>
      <c r="G292" s="552">
        <f t="shared" si="27"/>
        <v>0</v>
      </c>
      <c r="H292" s="552">
        <f t="shared" si="27"/>
        <v>3</v>
      </c>
      <c r="I292" s="552">
        <f t="shared" si="27"/>
        <v>2</v>
      </c>
      <c r="J292" s="552">
        <f t="shared" si="27"/>
        <v>3</v>
      </c>
      <c r="K292" s="552">
        <f t="shared" si="27"/>
        <v>3</v>
      </c>
      <c r="L292" s="552">
        <f t="shared" si="27"/>
        <v>3</v>
      </c>
      <c r="M292" s="552">
        <f t="shared" si="27"/>
        <v>3</v>
      </c>
      <c r="N292" s="552">
        <f t="shared" si="27"/>
        <v>3</v>
      </c>
      <c r="O292" s="552">
        <f t="shared" si="27"/>
        <v>3</v>
      </c>
      <c r="P292" s="552">
        <f t="shared" si="27"/>
        <v>0</v>
      </c>
      <c r="Q292" s="552">
        <f t="shared" si="27"/>
        <v>3</v>
      </c>
      <c r="R292" s="552">
        <f t="shared" si="27"/>
        <v>3</v>
      </c>
      <c r="S292" s="552">
        <f t="shared" si="27"/>
        <v>3</v>
      </c>
      <c r="T292" s="552">
        <f t="shared" si="27"/>
        <v>3</v>
      </c>
      <c r="U292" s="552">
        <f t="shared" si="27"/>
        <v>0</v>
      </c>
      <c r="V292" s="552">
        <f t="shared" si="27"/>
        <v>0</v>
      </c>
      <c r="W292" s="552">
        <f t="shared" si="27"/>
        <v>0</v>
      </c>
      <c r="X292" s="552">
        <f t="shared" si="27"/>
        <v>3</v>
      </c>
      <c r="Y292" s="552">
        <f t="shared" si="27"/>
        <v>3</v>
      </c>
      <c r="Z292" s="552">
        <f t="shared" si="27"/>
        <v>3</v>
      </c>
      <c r="AA292" s="552">
        <f t="shared" si="27"/>
        <v>3</v>
      </c>
      <c r="AB292" s="552">
        <f t="shared" si="27"/>
        <v>0</v>
      </c>
      <c r="AC292" s="552">
        <f t="shared" si="27"/>
        <v>3</v>
      </c>
      <c r="AD292" s="552">
        <f t="shared" si="27"/>
        <v>3</v>
      </c>
      <c r="AE292" s="552">
        <f t="shared" si="27"/>
        <v>3</v>
      </c>
      <c r="AF292" s="552">
        <f t="shared" si="27"/>
        <v>3</v>
      </c>
      <c r="AG292" s="552">
        <f t="shared" si="27"/>
        <v>3</v>
      </c>
      <c r="AH292" s="552">
        <f t="shared" si="27"/>
        <v>3</v>
      </c>
      <c r="AI292" s="552">
        <f t="shared" si="27"/>
        <v>3</v>
      </c>
      <c r="AJ292" s="552">
        <f t="shared" si="27"/>
        <v>3</v>
      </c>
      <c r="AK292" s="552">
        <f t="shared" si="27"/>
        <v>3</v>
      </c>
      <c r="AL292" s="552">
        <f t="shared" si="27"/>
        <v>2</v>
      </c>
      <c r="AM292" s="552">
        <f t="shared" si="27"/>
        <v>3</v>
      </c>
      <c r="AN292" s="552">
        <f t="shared" si="27"/>
        <v>3</v>
      </c>
      <c r="AO292" s="552">
        <f t="shared" si="27"/>
        <v>3</v>
      </c>
      <c r="AP292" s="552">
        <f t="shared" si="27"/>
        <v>3</v>
      </c>
      <c r="AQ292" s="552">
        <f t="shared" si="27"/>
        <v>3</v>
      </c>
      <c r="AR292" s="552">
        <f t="shared" si="27"/>
        <v>3</v>
      </c>
      <c r="AS292" s="552">
        <f t="shared" si="27"/>
        <v>3</v>
      </c>
      <c r="AT292" s="552">
        <f t="shared" si="27"/>
        <v>3</v>
      </c>
      <c r="AU292" s="552">
        <f t="shared" si="27"/>
        <v>3</v>
      </c>
      <c r="AV292" s="552">
        <f t="shared" si="27"/>
        <v>3</v>
      </c>
      <c r="AW292" s="552">
        <f t="shared" si="27"/>
        <v>0</v>
      </c>
      <c r="AX292" s="552">
        <f t="shared" si="27"/>
        <v>0</v>
      </c>
      <c r="AY292" s="552">
        <f t="shared" si="27"/>
        <v>3</v>
      </c>
      <c r="AZ292" s="552">
        <f t="shared" si="27"/>
        <v>3</v>
      </c>
      <c r="BA292" s="552">
        <f t="shared" si="27"/>
        <v>3</v>
      </c>
      <c r="BB292" s="552">
        <f t="shared" si="27"/>
        <v>3</v>
      </c>
      <c r="BC292" s="552">
        <f t="shared" si="27"/>
        <v>3</v>
      </c>
      <c r="BD292" s="552">
        <f t="shared" si="27"/>
        <v>3</v>
      </c>
      <c r="BE292" s="552">
        <f t="shared" si="27"/>
        <v>3</v>
      </c>
      <c r="BF292" s="552">
        <f t="shared" si="27"/>
        <v>3</v>
      </c>
      <c r="BG292" s="552">
        <f t="shared" si="27"/>
        <v>0</v>
      </c>
      <c r="BH292" s="552">
        <f t="shared" si="27"/>
        <v>3</v>
      </c>
      <c r="BI292" s="552">
        <f t="shared" si="27"/>
        <v>3</v>
      </c>
      <c r="BJ292" s="552">
        <f t="shared" si="27"/>
        <v>3</v>
      </c>
      <c r="BK292" s="552">
        <f t="shared" si="27"/>
        <v>3</v>
      </c>
      <c r="BL292" s="552">
        <f t="shared" si="27"/>
        <v>3</v>
      </c>
      <c r="BM292" s="552">
        <f t="shared" si="27"/>
        <v>3</v>
      </c>
      <c r="BN292" s="552">
        <f t="shared" ref="BN292:BR292" si="28">BN257</f>
        <v>3</v>
      </c>
      <c r="BO292" s="552">
        <f t="shared" si="28"/>
        <v>3</v>
      </c>
      <c r="BP292" s="552">
        <f t="shared" si="28"/>
        <v>0</v>
      </c>
      <c r="BQ292" s="552">
        <f t="shared" si="28"/>
        <v>3</v>
      </c>
      <c r="BR292" s="552">
        <f t="shared" si="28"/>
        <v>0</v>
      </c>
      <c r="BS292" s="552">
        <f t="shared" ref="BS292:BV292" si="29">BS257</f>
        <v>3</v>
      </c>
      <c r="BT292" s="552">
        <f t="shared" si="29"/>
        <v>0</v>
      </c>
      <c r="BU292" s="552">
        <f t="shared" si="29"/>
        <v>0</v>
      </c>
      <c r="BV292" s="552">
        <f t="shared" si="29"/>
        <v>3</v>
      </c>
    </row>
    <row r="293" spans="1:74" x14ac:dyDescent="0.3">
      <c r="A293" s="552">
        <f>A249</f>
        <v>1067</v>
      </c>
      <c r="B293" s="552" t="str">
        <f t="shared" ref="B293:BM293" si="30">B249</f>
        <v>Was the finance officer or interim finance officer bonded pursuant to G.S. 159-29 which requires that the finance officer give a true accounting and faithful performance bond in an amount not less than the greater of (1) $50,000 or (2) an amount equal to</v>
      </c>
      <c r="C293" s="552">
        <f t="shared" si="30"/>
        <v>0</v>
      </c>
      <c r="D293" s="552">
        <f t="shared" si="30"/>
        <v>1</v>
      </c>
      <c r="E293" s="552">
        <f t="shared" si="30"/>
        <v>1</v>
      </c>
      <c r="F293" s="552">
        <f t="shared" si="30"/>
        <v>0</v>
      </c>
      <c r="G293" s="552">
        <f t="shared" si="30"/>
        <v>0</v>
      </c>
      <c r="H293" s="552">
        <f t="shared" si="30"/>
        <v>1</v>
      </c>
      <c r="I293" s="552">
        <f t="shared" si="30"/>
        <v>1</v>
      </c>
      <c r="J293" s="552">
        <f t="shared" si="30"/>
        <v>1</v>
      </c>
      <c r="K293" s="552">
        <f t="shared" si="30"/>
        <v>1</v>
      </c>
      <c r="L293" s="552">
        <f t="shared" si="30"/>
        <v>1</v>
      </c>
      <c r="M293" s="552">
        <f t="shared" si="30"/>
        <v>1</v>
      </c>
      <c r="N293" s="552">
        <f t="shared" si="30"/>
        <v>1</v>
      </c>
      <c r="O293" s="552">
        <f t="shared" si="30"/>
        <v>1</v>
      </c>
      <c r="P293" s="552">
        <f t="shared" si="30"/>
        <v>0</v>
      </c>
      <c r="Q293" s="552">
        <f t="shared" si="30"/>
        <v>1</v>
      </c>
      <c r="R293" s="552">
        <f t="shared" si="30"/>
        <v>1</v>
      </c>
      <c r="S293" s="552">
        <f t="shared" si="30"/>
        <v>1</v>
      </c>
      <c r="T293" s="552">
        <f t="shared" si="30"/>
        <v>1</v>
      </c>
      <c r="U293" s="552">
        <f t="shared" si="30"/>
        <v>0</v>
      </c>
      <c r="V293" s="552">
        <f t="shared" si="30"/>
        <v>0</v>
      </c>
      <c r="W293" s="552">
        <f t="shared" si="30"/>
        <v>0</v>
      </c>
      <c r="X293" s="552">
        <f t="shared" si="30"/>
        <v>1</v>
      </c>
      <c r="Y293" s="552">
        <f t="shared" si="30"/>
        <v>1</v>
      </c>
      <c r="Z293" s="552">
        <f t="shared" si="30"/>
        <v>2</v>
      </c>
      <c r="AA293" s="552">
        <f t="shared" si="30"/>
        <v>1</v>
      </c>
      <c r="AB293" s="552">
        <f t="shared" si="30"/>
        <v>0</v>
      </c>
      <c r="AC293" s="552">
        <f t="shared" si="30"/>
        <v>1</v>
      </c>
      <c r="AD293" s="552">
        <f t="shared" si="30"/>
        <v>1</v>
      </c>
      <c r="AE293" s="552">
        <f t="shared" si="30"/>
        <v>1</v>
      </c>
      <c r="AF293" s="552">
        <f t="shared" si="30"/>
        <v>1</v>
      </c>
      <c r="AG293" s="552">
        <f t="shared" si="30"/>
        <v>1</v>
      </c>
      <c r="AH293" s="552">
        <f t="shared" si="30"/>
        <v>1</v>
      </c>
      <c r="AI293" s="552">
        <f t="shared" si="30"/>
        <v>1</v>
      </c>
      <c r="AJ293" s="552">
        <f t="shared" si="30"/>
        <v>1</v>
      </c>
      <c r="AK293" s="552">
        <f t="shared" si="30"/>
        <v>1</v>
      </c>
      <c r="AL293" s="552">
        <f t="shared" si="30"/>
        <v>1</v>
      </c>
      <c r="AM293" s="552">
        <f t="shared" si="30"/>
        <v>1</v>
      </c>
      <c r="AN293" s="552">
        <f t="shared" si="30"/>
        <v>2</v>
      </c>
      <c r="AO293" s="552">
        <f t="shared" si="30"/>
        <v>1</v>
      </c>
      <c r="AP293" s="552">
        <f t="shared" si="30"/>
        <v>1</v>
      </c>
      <c r="AQ293" s="552">
        <f t="shared" si="30"/>
        <v>1</v>
      </c>
      <c r="AR293" s="552">
        <f t="shared" si="30"/>
        <v>1</v>
      </c>
      <c r="AS293" s="552">
        <f t="shared" si="30"/>
        <v>1</v>
      </c>
      <c r="AT293" s="552">
        <f t="shared" si="30"/>
        <v>1</v>
      </c>
      <c r="AU293" s="552">
        <f t="shared" si="30"/>
        <v>1</v>
      </c>
      <c r="AV293" s="552">
        <f t="shared" si="30"/>
        <v>1</v>
      </c>
      <c r="AW293" s="552">
        <f t="shared" si="30"/>
        <v>1</v>
      </c>
      <c r="AX293" s="552">
        <f t="shared" si="30"/>
        <v>0</v>
      </c>
      <c r="AY293" s="552">
        <f t="shared" si="30"/>
        <v>1</v>
      </c>
      <c r="AZ293" s="552">
        <f t="shared" si="30"/>
        <v>1</v>
      </c>
      <c r="BA293" s="552">
        <f t="shared" si="30"/>
        <v>1</v>
      </c>
      <c r="BB293" s="552">
        <f t="shared" si="30"/>
        <v>1</v>
      </c>
      <c r="BC293" s="552">
        <f t="shared" si="30"/>
        <v>1</v>
      </c>
      <c r="BD293" s="552">
        <f t="shared" si="30"/>
        <v>1</v>
      </c>
      <c r="BE293" s="552">
        <f t="shared" si="30"/>
        <v>1</v>
      </c>
      <c r="BF293" s="552">
        <f t="shared" si="30"/>
        <v>1</v>
      </c>
      <c r="BG293" s="552">
        <f t="shared" si="30"/>
        <v>0</v>
      </c>
      <c r="BH293" s="552">
        <f t="shared" si="30"/>
        <v>1</v>
      </c>
      <c r="BI293" s="552">
        <f t="shared" si="30"/>
        <v>1</v>
      </c>
      <c r="BJ293" s="552">
        <f t="shared" si="30"/>
        <v>1</v>
      </c>
      <c r="BK293" s="552">
        <f t="shared" si="30"/>
        <v>1</v>
      </c>
      <c r="BL293" s="552">
        <f t="shared" si="30"/>
        <v>1</v>
      </c>
      <c r="BM293" s="552">
        <f t="shared" si="30"/>
        <v>1</v>
      </c>
      <c r="BN293" s="552">
        <f t="shared" ref="BN293:BR293" si="31">BN249</f>
        <v>1</v>
      </c>
      <c r="BO293" s="552">
        <f t="shared" si="31"/>
        <v>1</v>
      </c>
      <c r="BP293" s="552">
        <f t="shared" si="31"/>
        <v>0</v>
      </c>
      <c r="BQ293" s="552">
        <f t="shared" si="31"/>
        <v>1</v>
      </c>
      <c r="BR293" s="552">
        <f t="shared" si="31"/>
        <v>0</v>
      </c>
      <c r="BS293" s="552">
        <f t="shared" ref="BS293:BV293" si="32">BS249</f>
        <v>1</v>
      </c>
      <c r="BT293" s="552">
        <f t="shared" si="32"/>
        <v>1</v>
      </c>
      <c r="BU293" s="552">
        <f t="shared" si="32"/>
        <v>0</v>
      </c>
      <c r="BV293" s="552">
        <f t="shared" si="32"/>
        <v>1</v>
      </c>
    </row>
    <row r="294" spans="1:74" x14ac:dyDescent="0.3">
      <c r="A294" s="552">
        <f>A207</f>
        <v>951</v>
      </c>
      <c r="B294" s="552" t="str">
        <f t="shared" ref="B294:BM294" si="33">B207</f>
        <v>TD-Is there a finding for lack of technical skills, knowledge and experience (SKE) at this unit?</v>
      </c>
      <c r="C294" s="552">
        <f t="shared" si="33"/>
        <v>0</v>
      </c>
      <c r="D294" s="552">
        <f t="shared" si="33"/>
        <v>2</v>
      </c>
      <c r="E294" s="552">
        <f t="shared" si="33"/>
        <v>2</v>
      </c>
      <c r="F294" s="552">
        <f t="shared" si="33"/>
        <v>0</v>
      </c>
      <c r="G294" s="552">
        <f t="shared" si="33"/>
        <v>0</v>
      </c>
      <c r="H294" s="552">
        <f t="shared" si="33"/>
        <v>2</v>
      </c>
      <c r="I294" s="552">
        <f t="shared" si="33"/>
        <v>2</v>
      </c>
      <c r="J294" s="552">
        <f t="shared" si="33"/>
        <v>2</v>
      </c>
      <c r="K294" s="552">
        <f t="shared" si="33"/>
        <v>2</v>
      </c>
      <c r="L294" s="552">
        <f t="shared" si="33"/>
        <v>2</v>
      </c>
      <c r="M294" s="552">
        <f t="shared" si="33"/>
        <v>2</v>
      </c>
      <c r="N294" s="552">
        <f t="shared" si="33"/>
        <v>2</v>
      </c>
      <c r="O294" s="552">
        <f t="shared" si="33"/>
        <v>2</v>
      </c>
      <c r="P294" s="552">
        <f t="shared" si="33"/>
        <v>0</v>
      </c>
      <c r="Q294" s="552">
        <f t="shared" si="33"/>
        <v>2</v>
      </c>
      <c r="R294" s="552">
        <f t="shared" si="33"/>
        <v>2</v>
      </c>
      <c r="S294" s="552">
        <f t="shared" si="33"/>
        <v>2</v>
      </c>
      <c r="T294" s="552">
        <f t="shared" si="33"/>
        <v>2</v>
      </c>
      <c r="U294" s="552">
        <f t="shared" si="33"/>
        <v>0</v>
      </c>
      <c r="V294" s="552">
        <f t="shared" si="33"/>
        <v>0</v>
      </c>
      <c r="W294" s="552">
        <f t="shared" si="33"/>
        <v>0</v>
      </c>
      <c r="X294" s="552">
        <f t="shared" si="33"/>
        <v>2</v>
      </c>
      <c r="Y294" s="552">
        <f t="shared" si="33"/>
        <v>2</v>
      </c>
      <c r="Z294" s="552">
        <f t="shared" si="33"/>
        <v>2</v>
      </c>
      <c r="AA294" s="552">
        <f t="shared" si="33"/>
        <v>2</v>
      </c>
      <c r="AB294" s="552">
        <f t="shared" si="33"/>
        <v>0</v>
      </c>
      <c r="AC294" s="552">
        <f t="shared" si="33"/>
        <v>2</v>
      </c>
      <c r="AD294" s="552">
        <f t="shared" si="33"/>
        <v>2</v>
      </c>
      <c r="AE294" s="552">
        <f t="shared" si="33"/>
        <v>2</v>
      </c>
      <c r="AF294" s="552">
        <f t="shared" si="33"/>
        <v>2</v>
      </c>
      <c r="AG294" s="552">
        <f t="shared" si="33"/>
        <v>2</v>
      </c>
      <c r="AH294" s="552">
        <f t="shared" si="33"/>
        <v>2</v>
      </c>
      <c r="AI294" s="552">
        <f t="shared" si="33"/>
        <v>1</v>
      </c>
      <c r="AJ294" s="552">
        <f t="shared" si="33"/>
        <v>2</v>
      </c>
      <c r="AK294" s="552">
        <f t="shared" si="33"/>
        <v>2</v>
      </c>
      <c r="AL294" s="552">
        <f t="shared" si="33"/>
        <v>2</v>
      </c>
      <c r="AM294" s="552">
        <f t="shared" si="33"/>
        <v>2</v>
      </c>
      <c r="AN294" s="552">
        <f t="shared" si="33"/>
        <v>2</v>
      </c>
      <c r="AO294" s="552">
        <f t="shared" si="33"/>
        <v>2</v>
      </c>
      <c r="AP294" s="552">
        <f t="shared" si="33"/>
        <v>2</v>
      </c>
      <c r="AQ294" s="552">
        <f t="shared" si="33"/>
        <v>2</v>
      </c>
      <c r="AR294" s="552">
        <f t="shared" si="33"/>
        <v>2</v>
      </c>
      <c r="AS294" s="552">
        <f t="shared" si="33"/>
        <v>2</v>
      </c>
      <c r="AT294" s="552">
        <f t="shared" si="33"/>
        <v>2</v>
      </c>
      <c r="AU294" s="552">
        <f t="shared" si="33"/>
        <v>2</v>
      </c>
      <c r="AV294" s="552">
        <f t="shared" si="33"/>
        <v>2</v>
      </c>
      <c r="AW294" s="552">
        <f t="shared" si="33"/>
        <v>2</v>
      </c>
      <c r="AX294" s="552">
        <f t="shared" si="33"/>
        <v>0</v>
      </c>
      <c r="AY294" s="552">
        <f t="shared" si="33"/>
        <v>1</v>
      </c>
      <c r="AZ294" s="552">
        <f t="shared" si="33"/>
        <v>2</v>
      </c>
      <c r="BA294" s="552">
        <f t="shared" si="33"/>
        <v>2</v>
      </c>
      <c r="BB294" s="552">
        <f t="shared" si="33"/>
        <v>1</v>
      </c>
      <c r="BC294" s="552">
        <f t="shared" si="33"/>
        <v>1</v>
      </c>
      <c r="BD294" s="552">
        <f t="shared" si="33"/>
        <v>2</v>
      </c>
      <c r="BE294" s="552">
        <f t="shared" si="33"/>
        <v>2</v>
      </c>
      <c r="BF294" s="552">
        <f t="shared" si="33"/>
        <v>2</v>
      </c>
      <c r="BG294" s="552">
        <f t="shared" si="33"/>
        <v>0</v>
      </c>
      <c r="BH294" s="552">
        <f t="shared" si="33"/>
        <v>1</v>
      </c>
      <c r="BI294" s="552">
        <f t="shared" si="33"/>
        <v>2</v>
      </c>
      <c r="BJ294" s="552">
        <f t="shared" si="33"/>
        <v>2</v>
      </c>
      <c r="BK294" s="552">
        <f t="shared" si="33"/>
        <v>2</v>
      </c>
      <c r="BL294" s="552">
        <f t="shared" si="33"/>
        <v>2</v>
      </c>
      <c r="BM294" s="552">
        <f t="shared" si="33"/>
        <v>2</v>
      </c>
      <c r="BN294" s="552">
        <f t="shared" ref="BN294:BR294" si="34">BN207</f>
        <v>2</v>
      </c>
      <c r="BO294" s="552">
        <f t="shared" si="34"/>
        <v>2</v>
      </c>
      <c r="BP294" s="552">
        <f t="shared" si="34"/>
        <v>0</v>
      </c>
      <c r="BQ294" s="552">
        <f t="shared" si="34"/>
        <v>2</v>
      </c>
      <c r="BR294" s="552">
        <f t="shared" si="34"/>
        <v>0</v>
      </c>
      <c r="BS294" s="552">
        <f t="shared" ref="BS294:BV294" si="35">BS207</f>
        <v>2</v>
      </c>
      <c r="BT294" s="552">
        <f t="shared" si="35"/>
        <v>2</v>
      </c>
      <c r="BU294" s="552">
        <f t="shared" si="35"/>
        <v>0</v>
      </c>
      <c r="BV294" s="552">
        <f t="shared" si="35"/>
        <v>2</v>
      </c>
    </row>
    <row r="295" spans="1:74" x14ac:dyDescent="0.3">
      <c r="A295" s="552">
        <f>A209</f>
        <v>953</v>
      </c>
      <c r="B295" s="552" t="str">
        <f t="shared" ref="B295:BM295" si="36">B209</f>
        <v>TD-Is there is a going concern finding noted in the audit report?</v>
      </c>
      <c r="C295" s="552">
        <f t="shared" si="36"/>
        <v>0</v>
      </c>
      <c r="D295" s="552">
        <f t="shared" si="36"/>
        <v>2</v>
      </c>
      <c r="E295" s="552">
        <f t="shared" si="36"/>
        <v>2</v>
      </c>
      <c r="F295" s="552">
        <f t="shared" si="36"/>
        <v>0</v>
      </c>
      <c r="G295" s="552">
        <f t="shared" si="36"/>
        <v>0</v>
      </c>
      <c r="H295" s="552">
        <f t="shared" si="36"/>
        <v>2</v>
      </c>
      <c r="I295" s="552">
        <f t="shared" si="36"/>
        <v>2</v>
      </c>
      <c r="J295" s="552">
        <f t="shared" si="36"/>
        <v>2</v>
      </c>
      <c r="K295" s="552">
        <f t="shared" si="36"/>
        <v>2</v>
      </c>
      <c r="L295" s="552">
        <f t="shared" si="36"/>
        <v>2</v>
      </c>
      <c r="M295" s="552">
        <f t="shared" si="36"/>
        <v>2</v>
      </c>
      <c r="N295" s="552">
        <f t="shared" si="36"/>
        <v>2</v>
      </c>
      <c r="O295" s="552">
        <f t="shared" si="36"/>
        <v>2</v>
      </c>
      <c r="P295" s="552">
        <f t="shared" si="36"/>
        <v>0</v>
      </c>
      <c r="Q295" s="552">
        <f t="shared" si="36"/>
        <v>2</v>
      </c>
      <c r="R295" s="552">
        <f t="shared" si="36"/>
        <v>2</v>
      </c>
      <c r="S295" s="552">
        <f t="shared" si="36"/>
        <v>2</v>
      </c>
      <c r="T295" s="552">
        <f t="shared" si="36"/>
        <v>2</v>
      </c>
      <c r="U295" s="552">
        <f t="shared" si="36"/>
        <v>0</v>
      </c>
      <c r="V295" s="552">
        <f t="shared" si="36"/>
        <v>0</v>
      </c>
      <c r="W295" s="552">
        <f t="shared" si="36"/>
        <v>0</v>
      </c>
      <c r="X295" s="552">
        <f t="shared" si="36"/>
        <v>2</v>
      </c>
      <c r="Y295" s="552">
        <f t="shared" si="36"/>
        <v>2</v>
      </c>
      <c r="Z295" s="552">
        <f t="shared" si="36"/>
        <v>2</v>
      </c>
      <c r="AA295" s="552">
        <f t="shared" si="36"/>
        <v>2</v>
      </c>
      <c r="AB295" s="552">
        <f t="shared" si="36"/>
        <v>0</v>
      </c>
      <c r="AC295" s="552">
        <f t="shared" si="36"/>
        <v>2</v>
      </c>
      <c r="AD295" s="552">
        <f t="shared" si="36"/>
        <v>2</v>
      </c>
      <c r="AE295" s="552">
        <f t="shared" si="36"/>
        <v>2</v>
      </c>
      <c r="AF295" s="552">
        <f t="shared" si="36"/>
        <v>2</v>
      </c>
      <c r="AG295" s="552">
        <f t="shared" si="36"/>
        <v>2</v>
      </c>
      <c r="AH295" s="552">
        <f t="shared" si="36"/>
        <v>2</v>
      </c>
      <c r="AI295" s="552">
        <f t="shared" si="36"/>
        <v>2</v>
      </c>
      <c r="AJ295" s="552">
        <f t="shared" si="36"/>
        <v>2</v>
      </c>
      <c r="AK295" s="552">
        <f t="shared" si="36"/>
        <v>2</v>
      </c>
      <c r="AL295" s="552">
        <f t="shared" si="36"/>
        <v>2</v>
      </c>
      <c r="AM295" s="552">
        <f t="shared" si="36"/>
        <v>2</v>
      </c>
      <c r="AN295" s="552">
        <f t="shared" si="36"/>
        <v>2</v>
      </c>
      <c r="AO295" s="552">
        <f t="shared" si="36"/>
        <v>2</v>
      </c>
      <c r="AP295" s="552">
        <f t="shared" si="36"/>
        <v>2</v>
      </c>
      <c r="AQ295" s="552">
        <f t="shared" si="36"/>
        <v>2</v>
      </c>
      <c r="AR295" s="552">
        <f t="shared" si="36"/>
        <v>2</v>
      </c>
      <c r="AS295" s="552">
        <f t="shared" si="36"/>
        <v>2</v>
      </c>
      <c r="AT295" s="552">
        <f t="shared" si="36"/>
        <v>2</v>
      </c>
      <c r="AU295" s="552">
        <f t="shared" si="36"/>
        <v>2</v>
      </c>
      <c r="AV295" s="552">
        <f t="shared" si="36"/>
        <v>2</v>
      </c>
      <c r="AW295" s="552">
        <f t="shared" si="36"/>
        <v>2</v>
      </c>
      <c r="AX295" s="552">
        <f t="shared" si="36"/>
        <v>0</v>
      </c>
      <c r="AY295" s="552">
        <f t="shared" si="36"/>
        <v>2</v>
      </c>
      <c r="AZ295" s="552">
        <f t="shared" si="36"/>
        <v>2</v>
      </c>
      <c r="BA295" s="552">
        <f t="shared" si="36"/>
        <v>2</v>
      </c>
      <c r="BB295" s="552">
        <f t="shared" si="36"/>
        <v>2</v>
      </c>
      <c r="BC295" s="552">
        <f t="shared" si="36"/>
        <v>2</v>
      </c>
      <c r="BD295" s="552">
        <f t="shared" si="36"/>
        <v>2</v>
      </c>
      <c r="BE295" s="552">
        <f t="shared" si="36"/>
        <v>2</v>
      </c>
      <c r="BF295" s="552">
        <f t="shared" si="36"/>
        <v>2</v>
      </c>
      <c r="BG295" s="552">
        <f t="shared" si="36"/>
        <v>0</v>
      </c>
      <c r="BH295" s="552">
        <f t="shared" si="36"/>
        <v>2</v>
      </c>
      <c r="BI295" s="552">
        <f t="shared" si="36"/>
        <v>2</v>
      </c>
      <c r="BJ295" s="552">
        <f t="shared" si="36"/>
        <v>2</v>
      </c>
      <c r="BK295" s="552">
        <f t="shared" si="36"/>
        <v>2</v>
      </c>
      <c r="BL295" s="552">
        <f t="shared" si="36"/>
        <v>2</v>
      </c>
      <c r="BM295" s="552">
        <f t="shared" si="36"/>
        <v>2</v>
      </c>
      <c r="BN295" s="552">
        <f t="shared" ref="BN295:BR295" si="37">BN209</f>
        <v>2</v>
      </c>
      <c r="BO295" s="552">
        <f t="shared" si="37"/>
        <v>2</v>
      </c>
      <c r="BP295" s="552">
        <f t="shared" si="37"/>
        <v>0</v>
      </c>
      <c r="BQ295" s="552">
        <f t="shared" si="37"/>
        <v>2</v>
      </c>
      <c r="BR295" s="552">
        <f t="shared" si="37"/>
        <v>0</v>
      </c>
      <c r="BS295" s="552">
        <f t="shared" ref="BS295:BV295" si="38">BS209</f>
        <v>2</v>
      </c>
      <c r="BT295" s="552">
        <f t="shared" si="38"/>
        <v>2</v>
      </c>
      <c r="BU295" s="552">
        <f t="shared" si="38"/>
        <v>0</v>
      </c>
      <c r="BV295" s="552">
        <f t="shared" si="38"/>
        <v>2</v>
      </c>
    </row>
    <row r="296" spans="1:74" x14ac:dyDescent="0.3">
      <c r="A296" s="552">
        <f>A210</f>
        <v>955</v>
      </c>
      <c r="B296" s="552" t="str">
        <f t="shared" ref="B296:BM296" si="39">B210</f>
        <v>TD-Number of significant deficiency findings (other than in Questions 10-13 )</v>
      </c>
      <c r="C296" s="552">
        <f t="shared" si="39"/>
        <v>0</v>
      </c>
      <c r="D296" s="552">
        <f t="shared" si="39"/>
        <v>1</v>
      </c>
      <c r="E296" s="552">
        <f t="shared" si="39"/>
        <v>0</v>
      </c>
      <c r="F296" s="552">
        <f t="shared" si="39"/>
        <v>0</v>
      </c>
      <c r="G296" s="552">
        <f t="shared" si="39"/>
        <v>0</v>
      </c>
      <c r="H296" s="552">
        <f t="shared" si="39"/>
        <v>0</v>
      </c>
      <c r="I296" s="552">
        <f t="shared" si="39"/>
        <v>0</v>
      </c>
      <c r="J296" s="552">
        <f t="shared" si="39"/>
        <v>2</v>
      </c>
      <c r="K296" s="552">
        <f t="shared" si="39"/>
        <v>0</v>
      </c>
      <c r="L296" s="552">
        <f t="shared" si="39"/>
        <v>0</v>
      </c>
      <c r="M296" s="552">
        <f t="shared" si="39"/>
        <v>0</v>
      </c>
      <c r="N296" s="552">
        <f t="shared" si="39"/>
        <v>0</v>
      </c>
      <c r="O296" s="552">
        <f t="shared" si="39"/>
        <v>0</v>
      </c>
      <c r="P296" s="552">
        <f t="shared" si="39"/>
        <v>0</v>
      </c>
      <c r="Q296" s="552">
        <f t="shared" si="39"/>
        <v>1</v>
      </c>
      <c r="R296" s="552">
        <f t="shared" si="39"/>
        <v>0</v>
      </c>
      <c r="S296" s="552">
        <f t="shared" si="39"/>
        <v>0</v>
      </c>
      <c r="T296" s="552">
        <f t="shared" si="39"/>
        <v>0</v>
      </c>
      <c r="U296" s="552">
        <f t="shared" si="39"/>
        <v>0</v>
      </c>
      <c r="V296" s="552">
        <f t="shared" si="39"/>
        <v>0</v>
      </c>
      <c r="W296" s="552">
        <f t="shared" si="39"/>
        <v>0</v>
      </c>
      <c r="X296" s="552">
        <f t="shared" si="39"/>
        <v>0</v>
      </c>
      <c r="Y296" s="552">
        <f t="shared" si="39"/>
        <v>0</v>
      </c>
      <c r="Z296" s="552">
        <f t="shared" si="39"/>
        <v>0</v>
      </c>
      <c r="AA296" s="552">
        <f t="shared" si="39"/>
        <v>0</v>
      </c>
      <c r="AB296" s="552">
        <f t="shared" si="39"/>
        <v>0</v>
      </c>
      <c r="AC296" s="552">
        <f t="shared" si="39"/>
        <v>1</v>
      </c>
      <c r="AD296" s="552">
        <f t="shared" si="39"/>
        <v>0</v>
      </c>
      <c r="AE296" s="552">
        <f t="shared" si="39"/>
        <v>1</v>
      </c>
      <c r="AF296" s="552">
        <f t="shared" si="39"/>
        <v>1</v>
      </c>
      <c r="AG296" s="552">
        <f t="shared" si="39"/>
        <v>0</v>
      </c>
      <c r="AH296" s="552">
        <f t="shared" si="39"/>
        <v>0</v>
      </c>
      <c r="AI296" s="552">
        <f t="shared" si="39"/>
        <v>0</v>
      </c>
      <c r="AJ296" s="552">
        <f t="shared" si="39"/>
        <v>0</v>
      </c>
      <c r="AK296" s="552">
        <f t="shared" si="39"/>
        <v>0</v>
      </c>
      <c r="AL296" s="552">
        <f t="shared" si="39"/>
        <v>0</v>
      </c>
      <c r="AM296" s="552">
        <f t="shared" si="39"/>
        <v>0</v>
      </c>
      <c r="AN296" s="552">
        <f t="shared" si="39"/>
        <v>1</v>
      </c>
      <c r="AO296" s="552">
        <f t="shared" si="39"/>
        <v>0</v>
      </c>
      <c r="AP296" s="552">
        <f t="shared" si="39"/>
        <v>0</v>
      </c>
      <c r="AQ296" s="552">
        <f t="shared" si="39"/>
        <v>1</v>
      </c>
      <c r="AR296" s="552">
        <f t="shared" si="39"/>
        <v>0</v>
      </c>
      <c r="AS296" s="552">
        <f t="shared" si="39"/>
        <v>0</v>
      </c>
      <c r="AT296" s="552">
        <f t="shared" si="39"/>
        <v>0</v>
      </c>
      <c r="AU296" s="552">
        <f t="shared" si="39"/>
        <v>0</v>
      </c>
      <c r="AV296" s="552">
        <f t="shared" si="39"/>
        <v>0</v>
      </c>
      <c r="AW296" s="552">
        <f t="shared" si="39"/>
        <v>1</v>
      </c>
      <c r="AX296" s="552">
        <f t="shared" si="39"/>
        <v>0</v>
      </c>
      <c r="AY296" s="552">
        <f t="shared" si="39"/>
        <v>0</v>
      </c>
      <c r="AZ296" s="552">
        <f t="shared" si="39"/>
        <v>0</v>
      </c>
      <c r="BA296" s="552">
        <f t="shared" si="39"/>
        <v>0</v>
      </c>
      <c r="BB296" s="552">
        <f t="shared" si="39"/>
        <v>0</v>
      </c>
      <c r="BC296" s="552">
        <f t="shared" si="39"/>
        <v>0</v>
      </c>
      <c r="BD296" s="552">
        <f t="shared" si="39"/>
        <v>1</v>
      </c>
      <c r="BE296" s="552">
        <f t="shared" si="39"/>
        <v>0</v>
      </c>
      <c r="BF296" s="552">
        <f t="shared" si="39"/>
        <v>0</v>
      </c>
      <c r="BG296" s="552">
        <f t="shared" si="39"/>
        <v>0</v>
      </c>
      <c r="BH296" s="552">
        <f t="shared" si="39"/>
        <v>0</v>
      </c>
      <c r="BI296" s="552">
        <f t="shared" si="39"/>
        <v>0</v>
      </c>
      <c r="BJ296" s="552">
        <f t="shared" si="39"/>
        <v>0</v>
      </c>
      <c r="BK296" s="552">
        <f t="shared" si="39"/>
        <v>1</v>
      </c>
      <c r="BL296" s="552">
        <f t="shared" si="39"/>
        <v>0</v>
      </c>
      <c r="BM296" s="552">
        <f t="shared" si="39"/>
        <v>0</v>
      </c>
      <c r="BN296" s="552">
        <f t="shared" ref="BN296:BR296" si="40">BN210</f>
        <v>0</v>
      </c>
      <c r="BO296" s="552">
        <f t="shared" si="40"/>
        <v>0</v>
      </c>
      <c r="BP296" s="552">
        <f t="shared" si="40"/>
        <v>0</v>
      </c>
      <c r="BQ296" s="552">
        <f t="shared" si="40"/>
        <v>0</v>
      </c>
      <c r="BR296" s="552">
        <f t="shared" si="40"/>
        <v>0</v>
      </c>
      <c r="BS296" s="552">
        <f t="shared" ref="BS296:BV296" si="41">BS210</f>
        <v>0</v>
      </c>
      <c r="BT296" s="552">
        <f t="shared" si="41"/>
        <v>1</v>
      </c>
      <c r="BU296" s="552">
        <f t="shared" si="41"/>
        <v>0</v>
      </c>
      <c r="BV296" s="552">
        <f t="shared" si="41"/>
        <v>0</v>
      </c>
    </row>
    <row r="297" spans="1:74" x14ac:dyDescent="0.3">
      <c r="A297" s="552">
        <f>A211</f>
        <v>957</v>
      </c>
      <c r="B297" s="552" t="str">
        <f t="shared" ref="B297:BM297" si="42">B211</f>
        <v>TD-Number of material weaknesses findings (other than in Questions 10-13)</v>
      </c>
      <c r="C297" s="552">
        <f t="shared" si="42"/>
        <v>0</v>
      </c>
      <c r="D297" s="552">
        <f t="shared" si="42"/>
        <v>0</v>
      </c>
      <c r="E297" s="552">
        <f t="shared" si="42"/>
        <v>0</v>
      </c>
      <c r="F297" s="552">
        <f t="shared" si="42"/>
        <v>0</v>
      </c>
      <c r="G297" s="552">
        <f t="shared" si="42"/>
        <v>0</v>
      </c>
      <c r="H297" s="552">
        <f t="shared" si="42"/>
        <v>0</v>
      </c>
      <c r="I297" s="552">
        <f t="shared" si="42"/>
        <v>0</v>
      </c>
      <c r="J297" s="552">
        <f t="shared" si="42"/>
        <v>0</v>
      </c>
      <c r="K297" s="552">
        <f t="shared" si="42"/>
        <v>0</v>
      </c>
      <c r="L297" s="552">
        <f t="shared" si="42"/>
        <v>2</v>
      </c>
      <c r="M297" s="552">
        <f t="shared" si="42"/>
        <v>1</v>
      </c>
      <c r="N297" s="552">
        <f t="shared" si="42"/>
        <v>0</v>
      </c>
      <c r="O297" s="552">
        <f t="shared" si="42"/>
        <v>0</v>
      </c>
      <c r="P297" s="552">
        <f t="shared" si="42"/>
        <v>0</v>
      </c>
      <c r="Q297" s="552">
        <f t="shared" si="42"/>
        <v>0</v>
      </c>
      <c r="R297" s="552">
        <f t="shared" si="42"/>
        <v>0</v>
      </c>
      <c r="S297" s="552">
        <f t="shared" si="42"/>
        <v>0</v>
      </c>
      <c r="T297" s="552">
        <f t="shared" si="42"/>
        <v>0</v>
      </c>
      <c r="U297" s="552">
        <f t="shared" si="42"/>
        <v>0</v>
      </c>
      <c r="V297" s="552">
        <f t="shared" si="42"/>
        <v>0</v>
      </c>
      <c r="W297" s="552">
        <f t="shared" si="42"/>
        <v>0</v>
      </c>
      <c r="X297" s="552">
        <f t="shared" si="42"/>
        <v>0</v>
      </c>
      <c r="Y297" s="552">
        <f t="shared" si="42"/>
        <v>0</v>
      </c>
      <c r="Z297" s="552">
        <f t="shared" si="42"/>
        <v>3</v>
      </c>
      <c r="AA297" s="552">
        <f t="shared" si="42"/>
        <v>0</v>
      </c>
      <c r="AB297" s="552">
        <f t="shared" si="42"/>
        <v>0</v>
      </c>
      <c r="AC297" s="552">
        <f t="shared" si="42"/>
        <v>0</v>
      </c>
      <c r="AD297" s="552">
        <f t="shared" si="42"/>
        <v>0</v>
      </c>
      <c r="AE297" s="552">
        <f t="shared" si="42"/>
        <v>0</v>
      </c>
      <c r="AF297" s="552">
        <f t="shared" si="42"/>
        <v>0</v>
      </c>
      <c r="AG297" s="552">
        <f t="shared" si="42"/>
        <v>4</v>
      </c>
      <c r="AH297" s="552">
        <f t="shared" si="42"/>
        <v>0</v>
      </c>
      <c r="AI297" s="552">
        <f t="shared" si="42"/>
        <v>0</v>
      </c>
      <c r="AJ297" s="552">
        <f t="shared" si="42"/>
        <v>1</v>
      </c>
      <c r="AK297" s="552">
        <f t="shared" si="42"/>
        <v>0</v>
      </c>
      <c r="AL297" s="552">
        <f t="shared" si="42"/>
        <v>0</v>
      </c>
      <c r="AM297" s="552">
        <f t="shared" si="42"/>
        <v>1</v>
      </c>
      <c r="AN297" s="552">
        <f t="shared" si="42"/>
        <v>0</v>
      </c>
      <c r="AO297" s="552">
        <f t="shared" si="42"/>
        <v>0</v>
      </c>
      <c r="AP297" s="552">
        <f t="shared" si="42"/>
        <v>0</v>
      </c>
      <c r="AQ297" s="552">
        <f t="shared" si="42"/>
        <v>1</v>
      </c>
      <c r="AR297" s="552">
        <f t="shared" si="42"/>
        <v>0</v>
      </c>
      <c r="AS297" s="552">
        <f t="shared" si="42"/>
        <v>0</v>
      </c>
      <c r="AT297" s="552">
        <f t="shared" si="42"/>
        <v>1</v>
      </c>
      <c r="AU297" s="552">
        <f t="shared" si="42"/>
        <v>0</v>
      </c>
      <c r="AV297" s="552">
        <f t="shared" si="42"/>
        <v>0</v>
      </c>
      <c r="AW297" s="552">
        <f t="shared" si="42"/>
        <v>0</v>
      </c>
      <c r="AX297" s="552">
        <f t="shared" si="42"/>
        <v>0</v>
      </c>
      <c r="AY297" s="552">
        <f t="shared" si="42"/>
        <v>0</v>
      </c>
      <c r="AZ297" s="552">
        <f t="shared" si="42"/>
        <v>1</v>
      </c>
      <c r="BA297" s="552">
        <f t="shared" si="42"/>
        <v>0</v>
      </c>
      <c r="BB297" s="552">
        <f t="shared" si="42"/>
        <v>0</v>
      </c>
      <c r="BC297" s="552">
        <f t="shared" si="42"/>
        <v>0</v>
      </c>
      <c r="BD297" s="552">
        <f t="shared" si="42"/>
        <v>0</v>
      </c>
      <c r="BE297" s="552">
        <f t="shared" si="42"/>
        <v>1</v>
      </c>
      <c r="BF297" s="552">
        <f t="shared" si="42"/>
        <v>0</v>
      </c>
      <c r="BG297" s="552">
        <f t="shared" si="42"/>
        <v>0</v>
      </c>
      <c r="BH297" s="552">
        <f t="shared" si="42"/>
        <v>0</v>
      </c>
      <c r="BI297" s="552">
        <f t="shared" si="42"/>
        <v>1</v>
      </c>
      <c r="BJ297" s="552">
        <f t="shared" si="42"/>
        <v>0</v>
      </c>
      <c r="BK297" s="552">
        <f t="shared" si="42"/>
        <v>2</v>
      </c>
      <c r="BL297" s="552">
        <f t="shared" si="42"/>
        <v>0</v>
      </c>
      <c r="BM297" s="552">
        <f t="shared" si="42"/>
        <v>0</v>
      </c>
      <c r="BN297" s="552">
        <f t="shared" ref="BN297:BR297" si="43">BN211</f>
        <v>2</v>
      </c>
      <c r="BO297" s="552">
        <f t="shared" si="43"/>
        <v>0</v>
      </c>
      <c r="BP297" s="552">
        <f t="shared" si="43"/>
        <v>0</v>
      </c>
      <c r="BQ297" s="552">
        <f t="shared" si="43"/>
        <v>0</v>
      </c>
      <c r="BR297" s="552">
        <f t="shared" si="43"/>
        <v>0</v>
      </c>
      <c r="BS297" s="552">
        <f t="shared" ref="BS297:BV297" si="44">BS211</f>
        <v>0</v>
      </c>
      <c r="BT297" s="552">
        <f t="shared" si="44"/>
        <v>0</v>
      </c>
      <c r="BU297" s="552">
        <f t="shared" si="44"/>
        <v>0</v>
      </c>
      <c r="BV297" s="552">
        <f t="shared" si="44"/>
        <v>0</v>
      </c>
    </row>
    <row r="298" spans="1:74" x14ac:dyDescent="0.3">
      <c r="A298" s="552">
        <f>A218</f>
        <v>973</v>
      </c>
      <c r="B298" s="552" t="str">
        <f t="shared" ref="B298:BM298" si="45">B218</f>
        <v>Were there any issues or other matters presented to the Governing Board regarding internal controls (not already listed as a material weakness or significant deficiency?</v>
      </c>
      <c r="C298" s="552">
        <f t="shared" si="45"/>
        <v>0</v>
      </c>
      <c r="D298" s="552">
        <f t="shared" si="45"/>
        <v>0</v>
      </c>
      <c r="E298" s="552">
        <f t="shared" si="45"/>
        <v>0</v>
      </c>
      <c r="F298" s="552">
        <f t="shared" si="45"/>
        <v>0</v>
      </c>
      <c r="G298" s="552">
        <f t="shared" si="45"/>
        <v>0</v>
      </c>
      <c r="H298" s="552">
        <f t="shared" si="45"/>
        <v>0</v>
      </c>
      <c r="I298" s="552">
        <f t="shared" si="45"/>
        <v>0</v>
      </c>
      <c r="J298" s="552">
        <f t="shared" si="45"/>
        <v>0</v>
      </c>
      <c r="K298" s="552">
        <f t="shared" si="45"/>
        <v>0</v>
      </c>
      <c r="L298" s="552">
        <f t="shared" si="45"/>
        <v>0</v>
      </c>
      <c r="M298" s="552">
        <f t="shared" si="45"/>
        <v>0</v>
      </c>
      <c r="N298" s="552">
        <f t="shared" si="45"/>
        <v>0</v>
      </c>
      <c r="O298" s="552">
        <f t="shared" si="45"/>
        <v>0</v>
      </c>
      <c r="P298" s="552">
        <f t="shared" si="45"/>
        <v>0</v>
      </c>
      <c r="Q298" s="552">
        <f t="shared" si="45"/>
        <v>0</v>
      </c>
      <c r="R298" s="552">
        <f t="shared" si="45"/>
        <v>0</v>
      </c>
      <c r="S298" s="552">
        <f t="shared" si="45"/>
        <v>0</v>
      </c>
      <c r="T298" s="552">
        <f t="shared" si="45"/>
        <v>0</v>
      </c>
      <c r="U298" s="552">
        <f t="shared" si="45"/>
        <v>0</v>
      </c>
      <c r="V298" s="552">
        <f t="shared" si="45"/>
        <v>0</v>
      </c>
      <c r="W298" s="552">
        <f t="shared" si="45"/>
        <v>0</v>
      </c>
      <c r="X298" s="552">
        <f t="shared" si="45"/>
        <v>0</v>
      </c>
      <c r="Y298" s="552">
        <f t="shared" si="45"/>
        <v>0</v>
      </c>
      <c r="Z298" s="552">
        <f t="shared" si="45"/>
        <v>0</v>
      </c>
      <c r="AA298" s="552">
        <f t="shared" si="45"/>
        <v>0</v>
      </c>
      <c r="AB298" s="552">
        <f t="shared" si="45"/>
        <v>0</v>
      </c>
      <c r="AC298" s="552">
        <f t="shared" si="45"/>
        <v>0</v>
      </c>
      <c r="AD298" s="552">
        <f t="shared" si="45"/>
        <v>0</v>
      </c>
      <c r="AE298" s="552">
        <f t="shared" si="45"/>
        <v>0</v>
      </c>
      <c r="AF298" s="552">
        <f t="shared" si="45"/>
        <v>0</v>
      </c>
      <c r="AG298" s="552">
        <f t="shared" si="45"/>
        <v>0</v>
      </c>
      <c r="AH298" s="552">
        <f t="shared" si="45"/>
        <v>0</v>
      </c>
      <c r="AI298" s="552">
        <f t="shared" si="45"/>
        <v>1</v>
      </c>
      <c r="AJ298" s="552">
        <f t="shared" si="45"/>
        <v>0</v>
      </c>
      <c r="AK298" s="552">
        <f t="shared" si="45"/>
        <v>0</v>
      </c>
      <c r="AL298" s="552">
        <f t="shared" si="45"/>
        <v>0</v>
      </c>
      <c r="AM298" s="552">
        <f t="shared" si="45"/>
        <v>0</v>
      </c>
      <c r="AN298" s="552">
        <f t="shared" si="45"/>
        <v>0</v>
      </c>
      <c r="AO298" s="552">
        <f t="shared" si="45"/>
        <v>0</v>
      </c>
      <c r="AP298" s="552">
        <f t="shared" si="45"/>
        <v>0</v>
      </c>
      <c r="AQ298" s="552">
        <f t="shared" si="45"/>
        <v>0</v>
      </c>
      <c r="AR298" s="552">
        <f t="shared" si="45"/>
        <v>0</v>
      </c>
      <c r="AS298" s="552">
        <f t="shared" si="45"/>
        <v>0</v>
      </c>
      <c r="AT298" s="552">
        <f t="shared" si="45"/>
        <v>0</v>
      </c>
      <c r="AU298" s="552">
        <f t="shared" si="45"/>
        <v>0</v>
      </c>
      <c r="AV298" s="552">
        <f t="shared" si="45"/>
        <v>0</v>
      </c>
      <c r="AW298" s="552">
        <f t="shared" si="45"/>
        <v>0</v>
      </c>
      <c r="AX298" s="552">
        <f t="shared" si="45"/>
        <v>0</v>
      </c>
      <c r="AY298" s="552">
        <f t="shared" si="45"/>
        <v>0</v>
      </c>
      <c r="AZ298" s="552">
        <f t="shared" si="45"/>
        <v>0</v>
      </c>
      <c r="BA298" s="552">
        <f t="shared" si="45"/>
        <v>0</v>
      </c>
      <c r="BB298" s="552">
        <f t="shared" si="45"/>
        <v>0</v>
      </c>
      <c r="BC298" s="552">
        <f t="shared" si="45"/>
        <v>0</v>
      </c>
      <c r="BD298" s="552">
        <f t="shared" si="45"/>
        <v>0</v>
      </c>
      <c r="BE298" s="552">
        <f t="shared" si="45"/>
        <v>0</v>
      </c>
      <c r="BF298" s="552">
        <f t="shared" si="45"/>
        <v>0</v>
      </c>
      <c r="BG298" s="552">
        <f t="shared" si="45"/>
        <v>0</v>
      </c>
      <c r="BH298" s="552">
        <f t="shared" si="45"/>
        <v>0</v>
      </c>
      <c r="BI298" s="552">
        <f t="shared" si="45"/>
        <v>0</v>
      </c>
      <c r="BJ298" s="552">
        <f t="shared" si="45"/>
        <v>0</v>
      </c>
      <c r="BK298" s="552">
        <f t="shared" si="45"/>
        <v>0</v>
      </c>
      <c r="BL298" s="552">
        <f t="shared" si="45"/>
        <v>0</v>
      </c>
      <c r="BM298" s="552">
        <f t="shared" si="45"/>
        <v>0</v>
      </c>
      <c r="BN298" s="552">
        <f t="shared" ref="BN298:BR298" si="46">BN218</f>
        <v>0</v>
      </c>
      <c r="BO298" s="552">
        <f t="shared" si="46"/>
        <v>0</v>
      </c>
      <c r="BP298" s="552">
        <f t="shared" si="46"/>
        <v>0</v>
      </c>
      <c r="BQ298" s="552">
        <f t="shared" si="46"/>
        <v>0</v>
      </c>
      <c r="BR298" s="552">
        <f t="shared" si="46"/>
        <v>0</v>
      </c>
      <c r="BS298" s="552">
        <f t="shared" ref="BS298:BV298" si="47">BS218</f>
        <v>0</v>
      </c>
      <c r="BT298" s="552">
        <f t="shared" si="47"/>
        <v>0</v>
      </c>
      <c r="BU298" s="552">
        <f t="shared" si="47"/>
        <v>0</v>
      </c>
      <c r="BV298" s="552">
        <f t="shared" si="47"/>
        <v>0</v>
      </c>
    </row>
    <row r="299" spans="1:74" x14ac:dyDescent="0.3">
      <c r="A299" s="552">
        <f>A212</f>
        <v>959</v>
      </c>
      <c r="B299" s="552" t="str">
        <f t="shared" ref="B299:BM299" si="48">B212</f>
        <v>TD-Did unit have their debt service payments restructured in this fiscal year? (does not include refinancings designed to take advantage of lower interest rates)</v>
      </c>
      <c r="C299" s="552">
        <f t="shared" si="48"/>
        <v>0</v>
      </c>
      <c r="D299" s="552">
        <f t="shared" si="48"/>
        <v>3</v>
      </c>
      <c r="E299" s="552">
        <f t="shared" si="48"/>
        <v>2</v>
      </c>
      <c r="F299" s="552">
        <f t="shared" si="48"/>
        <v>0</v>
      </c>
      <c r="G299" s="552">
        <f t="shared" si="48"/>
        <v>0</v>
      </c>
      <c r="H299" s="552">
        <f t="shared" si="48"/>
        <v>2</v>
      </c>
      <c r="I299" s="552">
        <f t="shared" si="48"/>
        <v>2</v>
      </c>
      <c r="J299" s="552">
        <f t="shared" si="48"/>
        <v>3</v>
      </c>
      <c r="K299" s="552">
        <f t="shared" si="48"/>
        <v>3</v>
      </c>
      <c r="L299" s="552">
        <f t="shared" si="48"/>
        <v>2</v>
      </c>
      <c r="M299" s="552">
        <f t="shared" si="48"/>
        <v>2</v>
      </c>
      <c r="N299" s="552">
        <f t="shared" si="48"/>
        <v>2</v>
      </c>
      <c r="O299" s="552">
        <f t="shared" si="48"/>
        <v>2</v>
      </c>
      <c r="P299" s="552">
        <f t="shared" si="48"/>
        <v>0</v>
      </c>
      <c r="Q299" s="552">
        <f t="shared" si="48"/>
        <v>3</v>
      </c>
      <c r="R299" s="552">
        <f t="shared" si="48"/>
        <v>2</v>
      </c>
      <c r="S299" s="552">
        <f t="shared" si="48"/>
        <v>2</v>
      </c>
      <c r="T299" s="552">
        <f t="shared" si="48"/>
        <v>2</v>
      </c>
      <c r="U299" s="552">
        <f t="shared" si="48"/>
        <v>0</v>
      </c>
      <c r="V299" s="552">
        <f t="shared" si="48"/>
        <v>0</v>
      </c>
      <c r="W299" s="552">
        <f t="shared" si="48"/>
        <v>0</v>
      </c>
      <c r="X299" s="552">
        <f t="shared" si="48"/>
        <v>2</v>
      </c>
      <c r="Y299" s="552">
        <f t="shared" si="48"/>
        <v>2</v>
      </c>
      <c r="Z299" s="552">
        <f t="shared" si="48"/>
        <v>2</v>
      </c>
      <c r="AA299" s="552">
        <f t="shared" si="48"/>
        <v>2</v>
      </c>
      <c r="AB299" s="552">
        <f t="shared" si="48"/>
        <v>0</v>
      </c>
      <c r="AC299" s="552">
        <f t="shared" si="48"/>
        <v>2</v>
      </c>
      <c r="AD299" s="552">
        <f t="shared" si="48"/>
        <v>2</v>
      </c>
      <c r="AE299" s="552">
        <f t="shared" si="48"/>
        <v>2</v>
      </c>
      <c r="AF299" s="552">
        <f t="shared" si="48"/>
        <v>2</v>
      </c>
      <c r="AG299" s="552">
        <f t="shared" si="48"/>
        <v>3</v>
      </c>
      <c r="AH299" s="552">
        <f t="shared" si="48"/>
        <v>3</v>
      </c>
      <c r="AI299" s="552">
        <f t="shared" si="48"/>
        <v>3</v>
      </c>
      <c r="AJ299" s="552">
        <f t="shared" si="48"/>
        <v>2</v>
      </c>
      <c r="AK299" s="552">
        <f t="shared" si="48"/>
        <v>3</v>
      </c>
      <c r="AL299" s="552">
        <f t="shared" si="48"/>
        <v>2</v>
      </c>
      <c r="AM299" s="552">
        <f t="shared" si="48"/>
        <v>2</v>
      </c>
      <c r="AN299" s="552">
        <f t="shared" si="48"/>
        <v>3</v>
      </c>
      <c r="AO299" s="552">
        <f t="shared" si="48"/>
        <v>2</v>
      </c>
      <c r="AP299" s="552">
        <f t="shared" si="48"/>
        <v>2</v>
      </c>
      <c r="AQ299" s="552">
        <f t="shared" si="48"/>
        <v>3</v>
      </c>
      <c r="AR299" s="552">
        <f t="shared" si="48"/>
        <v>2</v>
      </c>
      <c r="AS299" s="552">
        <f t="shared" si="48"/>
        <v>2</v>
      </c>
      <c r="AT299" s="552">
        <f t="shared" si="48"/>
        <v>2</v>
      </c>
      <c r="AU299" s="552">
        <f t="shared" si="48"/>
        <v>2</v>
      </c>
      <c r="AV299" s="552">
        <f t="shared" si="48"/>
        <v>2</v>
      </c>
      <c r="AW299" s="552">
        <f t="shared" si="48"/>
        <v>2</v>
      </c>
      <c r="AX299" s="552">
        <f t="shared" si="48"/>
        <v>0</v>
      </c>
      <c r="AY299" s="552">
        <f t="shared" si="48"/>
        <v>3</v>
      </c>
      <c r="AZ299" s="552">
        <f t="shared" si="48"/>
        <v>2</v>
      </c>
      <c r="BA299" s="552">
        <f t="shared" si="48"/>
        <v>3</v>
      </c>
      <c r="BB299" s="552">
        <f t="shared" si="48"/>
        <v>3</v>
      </c>
      <c r="BC299" s="552">
        <f t="shared" si="48"/>
        <v>2</v>
      </c>
      <c r="BD299" s="552">
        <f t="shared" si="48"/>
        <v>2</v>
      </c>
      <c r="BE299" s="552">
        <f t="shared" si="48"/>
        <v>2</v>
      </c>
      <c r="BF299" s="552">
        <f t="shared" si="48"/>
        <v>2</v>
      </c>
      <c r="BG299" s="552">
        <f t="shared" si="48"/>
        <v>0</v>
      </c>
      <c r="BH299" s="552">
        <f t="shared" si="48"/>
        <v>3</v>
      </c>
      <c r="BI299" s="552">
        <f t="shared" si="48"/>
        <v>2</v>
      </c>
      <c r="BJ299" s="552">
        <f t="shared" si="48"/>
        <v>2</v>
      </c>
      <c r="BK299" s="552">
        <f t="shared" si="48"/>
        <v>2</v>
      </c>
      <c r="BL299" s="552">
        <f t="shared" si="48"/>
        <v>2</v>
      </c>
      <c r="BM299" s="552">
        <f t="shared" si="48"/>
        <v>2</v>
      </c>
      <c r="BN299" s="552">
        <f t="shared" ref="BN299:BR299" si="49">BN212</f>
        <v>2</v>
      </c>
      <c r="BO299" s="552">
        <f t="shared" si="49"/>
        <v>2</v>
      </c>
      <c r="BP299" s="552">
        <f t="shared" si="49"/>
        <v>0</v>
      </c>
      <c r="BQ299" s="552">
        <f t="shared" si="49"/>
        <v>2</v>
      </c>
      <c r="BR299" s="552">
        <f t="shared" si="49"/>
        <v>0</v>
      </c>
      <c r="BS299" s="552">
        <f t="shared" ref="BS299:BV299" si="50">BS212</f>
        <v>3</v>
      </c>
      <c r="BT299" s="552">
        <f t="shared" si="50"/>
        <v>2</v>
      </c>
      <c r="BU299" s="552">
        <f t="shared" si="50"/>
        <v>0</v>
      </c>
      <c r="BV299" s="552">
        <f t="shared" si="50"/>
        <v>2</v>
      </c>
    </row>
    <row r="300" spans="1:74" x14ac:dyDescent="0.3">
      <c r="A300" s="552">
        <f>A219</f>
        <v>974</v>
      </c>
      <c r="B300" s="552" t="str">
        <f t="shared" ref="B300:BM300" si="51">B219</f>
        <v>Did the Unit have any of the following occur:
1.  Were any debt service payments deferred or restructured in this fiscal year? (does not include refinancings designed to take advantage of lower interest rates)
2.  Bond covenants were not met
3.  Debt serv</v>
      </c>
      <c r="C300" s="552">
        <f t="shared" si="51"/>
        <v>0</v>
      </c>
      <c r="D300" s="552">
        <f t="shared" si="51"/>
        <v>3</v>
      </c>
      <c r="E300" s="552">
        <f t="shared" si="51"/>
        <v>2</v>
      </c>
      <c r="F300" s="552">
        <f t="shared" si="51"/>
        <v>0</v>
      </c>
      <c r="G300" s="552">
        <f t="shared" si="51"/>
        <v>0</v>
      </c>
      <c r="H300" s="552">
        <f t="shared" si="51"/>
        <v>3</v>
      </c>
      <c r="I300" s="552">
        <f t="shared" si="51"/>
        <v>3</v>
      </c>
      <c r="J300" s="552">
        <f t="shared" si="51"/>
        <v>3</v>
      </c>
      <c r="K300" s="552">
        <f t="shared" si="51"/>
        <v>3</v>
      </c>
      <c r="L300" s="552">
        <f t="shared" si="51"/>
        <v>2</v>
      </c>
      <c r="M300" s="552">
        <f t="shared" si="51"/>
        <v>2</v>
      </c>
      <c r="N300" s="552">
        <f t="shared" si="51"/>
        <v>2</v>
      </c>
      <c r="O300" s="552">
        <f t="shared" si="51"/>
        <v>2</v>
      </c>
      <c r="P300" s="552">
        <f t="shared" si="51"/>
        <v>0</v>
      </c>
      <c r="Q300" s="552">
        <f t="shared" si="51"/>
        <v>3</v>
      </c>
      <c r="R300" s="552">
        <f t="shared" si="51"/>
        <v>2</v>
      </c>
      <c r="S300" s="552">
        <f t="shared" si="51"/>
        <v>2</v>
      </c>
      <c r="T300" s="552">
        <f t="shared" si="51"/>
        <v>2</v>
      </c>
      <c r="U300" s="552">
        <f t="shared" si="51"/>
        <v>0</v>
      </c>
      <c r="V300" s="552">
        <f t="shared" si="51"/>
        <v>0</v>
      </c>
      <c r="W300" s="552">
        <f t="shared" si="51"/>
        <v>0</v>
      </c>
      <c r="X300" s="552">
        <f t="shared" si="51"/>
        <v>2</v>
      </c>
      <c r="Y300" s="552">
        <f t="shared" si="51"/>
        <v>2</v>
      </c>
      <c r="Z300" s="552">
        <f t="shared" si="51"/>
        <v>2</v>
      </c>
      <c r="AA300" s="552">
        <f t="shared" si="51"/>
        <v>2</v>
      </c>
      <c r="AB300" s="552">
        <f t="shared" si="51"/>
        <v>0</v>
      </c>
      <c r="AC300" s="552">
        <f t="shared" si="51"/>
        <v>2</v>
      </c>
      <c r="AD300" s="552">
        <f t="shared" si="51"/>
        <v>2</v>
      </c>
      <c r="AE300" s="552">
        <f t="shared" si="51"/>
        <v>2</v>
      </c>
      <c r="AF300" s="552">
        <f t="shared" si="51"/>
        <v>2</v>
      </c>
      <c r="AG300" s="552">
        <f t="shared" si="51"/>
        <v>3</v>
      </c>
      <c r="AH300" s="552">
        <f t="shared" si="51"/>
        <v>3</v>
      </c>
      <c r="AI300" s="552">
        <f t="shared" si="51"/>
        <v>3</v>
      </c>
      <c r="AJ300" s="552">
        <f t="shared" si="51"/>
        <v>2</v>
      </c>
      <c r="AK300" s="552">
        <f t="shared" si="51"/>
        <v>3</v>
      </c>
      <c r="AL300" s="552">
        <f t="shared" si="51"/>
        <v>2</v>
      </c>
      <c r="AM300" s="552">
        <f t="shared" si="51"/>
        <v>2</v>
      </c>
      <c r="AN300" s="552">
        <f t="shared" si="51"/>
        <v>3</v>
      </c>
      <c r="AO300" s="552">
        <f t="shared" si="51"/>
        <v>2</v>
      </c>
      <c r="AP300" s="552">
        <f t="shared" si="51"/>
        <v>2</v>
      </c>
      <c r="AQ300" s="552">
        <f t="shared" si="51"/>
        <v>3</v>
      </c>
      <c r="AR300" s="552">
        <f t="shared" si="51"/>
        <v>2</v>
      </c>
      <c r="AS300" s="552">
        <f t="shared" si="51"/>
        <v>2</v>
      </c>
      <c r="AT300" s="552">
        <f t="shared" si="51"/>
        <v>2</v>
      </c>
      <c r="AU300" s="552">
        <f t="shared" si="51"/>
        <v>2</v>
      </c>
      <c r="AV300" s="552">
        <f t="shared" si="51"/>
        <v>2</v>
      </c>
      <c r="AW300" s="552">
        <f t="shared" si="51"/>
        <v>2</v>
      </c>
      <c r="AX300" s="552">
        <f t="shared" si="51"/>
        <v>0</v>
      </c>
      <c r="AY300" s="552">
        <f t="shared" si="51"/>
        <v>3</v>
      </c>
      <c r="AZ300" s="552">
        <f t="shared" si="51"/>
        <v>2</v>
      </c>
      <c r="BA300" s="552">
        <f t="shared" si="51"/>
        <v>3</v>
      </c>
      <c r="BB300" s="552">
        <f t="shared" si="51"/>
        <v>3</v>
      </c>
      <c r="BC300" s="552">
        <f t="shared" si="51"/>
        <v>2</v>
      </c>
      <c r="BD300" s="552">
        <f t="shared" si="51"/>
        <v>2</v>
      </c>
      <c r="BE300" s="552">
        <f t="shared" si="51"/>
        <v>2</v>
      </c>
      <c r="BF300" s="552">
        <f t="shared" si="51"/>
        <v>2</v>
      </c>
      <c r="BG300" s="552">
        <f t="shared" si="51"/>
        <v>0</v>
      </c>
      <c r="BH300" s="552">
        <f t="shared" si="51"/>
        <v>3</v>
      </c>
      <c r="BI300" s="552">
        <f t="shared" si="51"/>
        <v>2</v>
      </c>
      <c r="BJ300" s="552">
        <f t="shared" si="51"/>
        <v>2</v>
      </c>
      <c r="BK300" s="552">
        <f t="shared" si="51"/>
        <v>2</v>
      </c>
      <c r="BL300" s="552">
        <f t="shared" si="51"/>
        <v>2</v>
      </c>
      <c r="BM300" s="552">
        <f t="shared" si="51"/>
        <v>2</v>
      </c>
      <c r="BN300" s="552">
        <f t="shared" ref="BN300:BR300" si="52">BN219</f>
        <v>2</v>
      </c>
      <c r="BO300" s="552">
        <f t="shared" si="52"/>
        <v>2</v>
      </c>
      <c r="BP300" s="552">
        <f t="shared" si="52"/>
        <v>0</v>
      </c>
      <c r="BQ300" s="552">
        <f t="shared" si="52"/>
        <v>2</v>
      </c>
      <c r="BR300" s="552">
        <f t="shared" si="52"/>
        <v>0</v>
      </c>
      <c r="BS300" s="552">
        <f t="shared" ref="BS300:BV300" si="53">BS219</f>
        <v>2</v>
      </c>
      <c r="BT300" s="552">
        <f t="shared" si="53"/>
        <v>2</v>
      </c>
      <c r="BU300" s="552">
        <f t="shared" si="53"/>
        <v>0</v>
      </c>
      <c r="BV300" s="552">
        <f t="shared" si="53"/>
        <v>2</v>
      </c>
    </row>
    <row r="301" spans="1:74" x14ac:dyDescent="0.3">
      <c r="A301" s="552">
        <f>A220</f>
        <v>975</v>
      </c>
      <c r="B301" s="552" t="str">
        <f t="shared" ref="B301:BM301" si="54">B220</f>
        <v>Does the Performance Indicator Print worksheet in this workbook have a red shaded cell?</v>
      </c>
      <c r="C301" s="552">
        <f t="shared" si="54"/>
        <v>0</v>
      </c>
      <c r="D301" s="552">
        <f t="shared" si="54"/>
        <v>1</v>
      </c>
      <c r="E301" s="552">
        <f t="shared" si="54"/>
        <v>2</v>
      </c>
      <c r="F301" s="552">
        <f t="shared" si="54"/>
        <v>0</v>
      </c>
      <c r="G301" s="552">
        <f t="shared" si="54"/>
        <v>0</v>
      </c>
      <c r="H301" s="552">
        <f t="shared" si="54"/>
        <v>1</v>
      </c>
      <c r="I301" s="552">
        <f t="shared" si="54"/>
        <v>1</v>
      </c>
      <c r="J301" s="552">
        <f t="shared" si="54"/>
        <v>1</v>
      </c>
      <c r="K301" s="552">
        <f t="shared" si="54"/>
        <v>2</v>
      </c>
      <c r="L301" s="552">
        <f t="shared" si="54"/>
        <v>1</v>
      </c>
      <c r="M301" s="552">
        <f t="shared" si="54"/>
        <v>1</v>
      </c>
      <c r="N301" s="552">
        <f t="shared" si="54"/>
        <v>1</v>
      </c>
      <c r="O301" s="552">
        <f t="shared" si="54"/>
        <v>1</v>
      </c>
      <c r="P301" s="552">
        <f t="shared" si="54"/>
        <v>0</v>
      </c>
      <c r="Q301" s="552">
        <f t="shared" si="54"/>
        <v>1</v>
      </c>
      <c r="R301" s="552">
        <f t="shared" si="54"/>
        <v>2</v>
      </c>
      <c r="S301" s="552">
        <f t="shared" si="54"/>
        <v>1</v>
      </c>
      <c r="T301" s="552">
        <f t="shared" si="54"/>
        <v>2</v>
      </c>
      <c r="U301" s="552">
        <f t="shared" si="54"/>
        <v>0</v>
      </c>
      <c r="V301" s="552">
        <f t="shared" si="54"/>
        <v>0</v>
      </c>
      <c r="W301" s="552">
        <f t="shared" si="54"/>
        <v>0</v>
      </c>
      <c r="X301" s="552">
        <f t="shared" si="54"/>
        <v>1</v>
      </c>
      <c r="Y301" s="552">
        <f t="shared" si="54"/>
        <v>2</v>
      </c>
      <c r="Z301" s="552">
        <f t="shared" si="54"/>
        <v>1</v>
      </c>
      <c r="AA301" s="552">
        <f t="shared" si="54"/>
        <v>2</v>
      </c>
      <c r="AB301" s="552">
        <f t="shared" si="54"/>
        <v>0</v>
      </c>
      <c r="AC301" s="552">
        <f t="shared" si="54"/>
        <v>1</v>
      </c>
      <c r="AD301" s="552">
        <f t="shared" si="54"/>
        <v>2</v>
      </c>
      <c r="AE301" s="552">
        <f t="shared" si="54"/>
        <v>1</v>
      </c>
      <c r="AF301" s="552">
        <f t="shared" si="54"/>
        <v>1</v>
      </c>
      <c r="AG301" s="552">
        <f t="shared" si="54"/>
        <v>1</v>
      </c>
      <c r="AH301" s="552">
        <f t="shared" si="54"/>
        <v>1</v>
      </c>
      <c r="AI301" s="552">
        <f t="shared" si="54"/>
        <v>1</v>
      </c>
      <c r="AJ301" s="552">
        <f t="shared" si="54"/>
        <v>1</v>
      </c>
      <c r="AK301" s="552">
        <f t="shared" si="54"/>
        <v>1</v>
      </c>
      <c r="AL301" s="552">
        <f t="shared" si="54"/>
        <v>2</v>
      </c>
      <c r="AM301" s="552">
        <f t="shared" si="54"/>
        <v>1</v>
      </c>
      <c r="AN301" s="552">
        <f t="shared" si="54"/>
        <v>1</v>
      </c>
      <c r="AO301" s="552">
        <f t="shared" si="54"/>
        <v>1</v>
      </c>
      <c r="AP301" s="552">
        <f t="shared" si="54"/>
        <v>1</v>
      </c>
      <c r="AQ301" s="552">
        <f t="shared" si="54"/>
        <v>1</v>
      </c>
      <c r="AR301" s="552">
        <f t="shared" si="54"/>
        <v>1</v>
      </c>
      <c r="AS301" s="552">
        <f t="shared" si="54"/>
        <v>2</v>
      </c>
      <c r="AT301" s="552">
        <f t="shared" si="54"/>
        <v>1</v>
      </c>
      <c r="AU301" s="552">
        <f t="shared" si="54"/>
        <v>2</v>
      </c>
      <c r="AV301" s="552">
        <f t="shared" si="54"/>
        <v>1</v>
      </c>
      <c r="AW301" s="552">
        <f t="shared" si="54"/>
        <v>1</v>
      </c>
      <c r="AX301" s="552">
        <f t="shared" si="54"/>
        <v>0</v>
      </c>
      <c r="AY301" s="552">
        <f t="shared" si="54"/>
        <v>2</v>
      </c>
      <c r="AZ301" s="552">
        <f t="shared" si="54"/>
        <v>1</v>
      </c>
      <c r="BA301" s="552">
        <f t="shared" si="54"/>
        <v>1</v>
      </c>
      <c r="BB301" s="552">
        <f t="shared" si="54"/>
        <v>2</v>
      </c>
      <c r="BC301" s="552">
        <f t="shared" si="54"/>
        <v>1</v>
      </c>
      <c r="BD301" s="552">
        <f t="shared" si="54"/>
        <v>1</v>
      </c>
      <c r="BE301" s="552">
        <f t="shared" si="54"/>
        <v>1</v>
      </c>
      <c r="BF301" s="552">
        <f t="shared" si="54"/>
        <v>1</v>
      </c>
      <c r="BG301" s="552">
        <f t="shared" si="54"/>
        <v>0</v>
      </c>
      <c r="BH301" s="552">
        <f t="shared" si="54"/>
        <v>1</v>
      </c>
      <c r="BI301" s="552">
        <f t="shared" si="54"/>
        <v>1</v>
      </c>
      <c r="BJ301" s="552">
        <f t="shared" si="54"/>
        <v>2</v>
      </c>
      <c r="BK301" s="552">
        <f t="shared" si="54"/>
        <v>1</v>
      </c>
      <c r="BL301" s="552">
        <f t="shared" si="54"/>
        <v>2</v>
      </c>
      <c r="BM301" s="552">
        <f t="shared" si="54"/>
        <v>2</v>
      </c>
      <c r="BN301" s="552">
        <f t="shared" ref="BN301:BR301" si="55">BN220</f>
        <v>1</v>
      </c>
      <c r="BO301" s="552">
        <f t="shared" si="55"/>
        <v>1</v>
      </c>
      <c r="BP301" s="552">
        <f t="shared" si="55"/>
        <v>0</v>
      </c>
      <c r="BQ301" s="552">
        <f t="shared" si="55"/>
        <v>2</v>
      </c>
      <c r="BR301" s="552">
        <f t="shared" si="55"/>
        <v>0</v>
      </c>
      <c r="BS301" s="552">
        <f t="shared" ref="BS301:BV301" si="56">BS220</f>
        <v>1</v>
      </c>
      <c r="BT301" s="552">
        <f t="shared" si="56"/>
        <v>1</v>
      </c>
      <c r="BU301" s="552">
        <f t="shared" si="56"/>
        <v>0</v>
      </c>
      <c r="BV301" s="552">
        <f t="shared" si="56"/>
        <v>1</v>
      </c>
    </row>
    <row r="302" spans="1:74" x14ac:dyDescent="0.3">
      <c r="A302" s="552">
        <f>A250</f>
        <v>1068</v>
      </c>
      <c r="B302" s="552" t="str">
        <f t="shared" ref="B302:BM302" si="57">B250</f>
        <v>Does the unit have a self-insurance fund?</v>
      </c>
      <c r="C302" s="552">
        <f t="shared" si="57"/>
        <v>0</v>
      </c>
      <c r="D302" s="552">
        <f t="shared" si="57"/>
        <v>2</v>
      </c>
      <c r="E302" s="552">
        <f t="shared" si="57"/>
        <v>2</v>
      </c>
      <c r="F302" s="552">
        <f t="shared" si="57"/>
        <v>0</v>
      </c>
      <c r="G302" s="552">
        <f t="shared" si="57"/>
        <v>0</v>
      </c>
      <c r="H302" s="552">
        <f t="shared" si="57"/>
        <v>2</v>
      </c>
      <c r="I302" s="552">
        <f t="shared" si="57"/>
        <v>2</v>
      </c>
      <c r="J302" s="552">
        <f t="shared" si="57"/>
        <v>2</v>
      </c>
      <c r="K302" s="552">
        <f t="shared" si="57"/>
        <v>2</v>
      </c>
      <c r="L302" s="552">
        <f t="shared" si="57"/>
        <v>2</v>
      </c>
      <c r="M302" s="552">
        <f t="shared" si="57"/>
        <v>2</v>
      </c>
      <c r="N302" s="552">
        <f t="shared" si="57"/>
        <v>2</v>
      </c>
      <c r="O302" s="552">
        <f t="shared" si="57"/>
        <v>2</v>
      </c>
      <c r="P302" s="552">
        <f t="shared" si="57"/>
        <v>0</v>
      </c>
      <c r="Q302" s="552">
        <f t="shared" si="57"/>
        <v>2</v>
      </c>
      <c r="R302" s="552">
        <f t="shared" si="57"/>
        <v>2</v>
      </c>
      <c r="S302" s="552">
        <f t="shared" si="57"/>
        <v>2</v>
      </c>
      <c r="T302" s="552">
        <f t="shared" si="57"/>
        <v>2</v>
      </c>
      <c r="U302" s="552">
        <f t="shared" si="57"/>
        <v>0</v>
      </c>
      <c r="V302" s="552">
        <f t="shared" si="57"/>
        <v>0</v>
      </c>
      <c r="W302" s="552">
        <f t="shared" si="57"/>
        <v>0</v>
      </c>
      <c r="X302" s="552">
        <f t="shared" si="57"/>
        <v>2</v>
      </c>
      <c r="Y302" s="552">
        <f t="shared" si="57"/>
        <v>2</v>
      </c>
      <c r="Z302" s="552">
        <f t="shared" si="57"/>
        <v>1</v>
      </c>
      <c r="AA302" s="552">
        <f t="shared" si="57"/>
        <v>2</v>
      </c>
      <c r="AB302" s="552">
        <f t="shared" si="57"/>
        <v>0</v>
      </c>
      <c r="AC302" s="552">
        <f t="shared" si="57"/>
        <v>2</v>
      </c>
      <c r="AD302" s="552">
        <f t="shared" si="57"/>
        <v>2</v>
      </c>
      <c r="AE302" s="552">
        <f t="shared" si="57"/>
        <v>2</v>
      </c>
      <c r="AF302" s="552">
        <f t="shared" si="57"/>
        <v>2</v>
      </c>
      <c r="AG302" s="552">
        <f t="shared" si="57"/>
        <v>2</v>
      </c>
      <c r="AH302" s="552">
        <f t="shared" si="57"/>
        <v>2</v>
      </c>
      <c r="AI302" s="552">
        <f t="shared" si="57"/>
        <v>2</v>
      </c>
      <c r="AJ302" s="552">
        <f t="shared" si="57"/>
        <v>2</v>
      </c>
      <c r="AK302" s="552">
        <f t="shared" si="57"/>
        <v>2</v>
      </c>
      <c r="AL302" s="552">
        <f t="shared" si="57"/>
        <v>2</v>
      </c>
      <c r="AM302" s="552">
        <f t="shared" si="57"/>
        <v>2</v>
      </c>
      <c r="AN302" s="552">
        <f t="shared" si="57"/>
        <v>2</v>
      </c>
      <c r="AO302" s="552">
        <f t="shared" si="57"/>
        <v>2</v>
      </c>
      <c r="AP302" s="552">
        <f t="shared" si="57"/>
        <v>2</v>
      </c>
      <c r="AQ302" s="552">
        <f t="shared" si="57"/>
        <v>2</v>
      </c>
      <c r="AR302" s="552">
        <f t="shared" si="57"/>
        <v>2</v>
      </c>
      <c r="AS302" s="552">
        <f t="shared" si="57"/>
        <v>1</v>
      </c>
      <c r="AT302" s="552">
        <f t="shared" si="57"/>
        <v>2</v>
      </c>
      <c r="AU302" s="552">
        <f t="shared" si="57"/>
        <v>2</v>
      </c>
      <c r="AV302" s="552">
        <f t="shared" si="57"/>
        <v>2</v>
      </c>
      <c r="AW302" s="552">
        <f t="shared" si="57"/>
        <v>2</v>
      </c>
      <c r="AX302" s="552">
        <f t="shared" si="57"/>
        <v>0</v>
      </c>
      <c r="AY302" s="552">
        <f t="shared" si="57"/>
        <v>2</v>
      </c>
      <c r="AZ302" s="552">
        <f t="shared" si="57"/>
        <v>2</v>
      </c>
      <c r="BA302" s="552">
        <f t="shared" si="57"/>
        <v>2</v>
      </c>
      <c r="BB302" s="552">
        <f t="shared" si="57"/>
        <v>2</v>
      </c>
      <c r="BC302" s="552">
        <f t="shared" si="57"/>
        <v>2</v>
      </c>
      <c r="BD302" s="552">
        <f t="shared" si="57"/>
        <v>2</v>
      </c>
      <c r="BE302" s="552">
        <f t="shared" si="57"/>
        <v>2</v>
      </c>
      <c r="BF302" s="552">
        <f t="shared" si="57"/>
        <v>2</v>
      </c>
      <c r="BG302" s="552">
        <f t="shared" si="57"/>
        <v>0</v>
      </c>
      <c r="BH302" s="552">
        <f t="shared" si="57"/>
        <v>2</v>
      </c>
      <c r="BI302" s="552">
        <f t="shared" si="57"/>
        <v>2</v>
      </c>
      <c r="BJ302" s="552">
        <f t="shared" si="57"/>
        <v>2</v>
      </c>
      <c r="BK302" s="552">
        <f t="shared" si="57"/>
        <v>2</v>
      </c>
      <c r="BL302" s="552">
        <f t="shared" si="57"/>
        <v>2</v>
      </c>
      <c r="BM302" s="552">
        <f t="shared" si="57"/>
        <v>2</v>
      </c>
      <c r="BN302" s="552">
        <f t="shared" ref="BN302:BR302" si="58">BN250</f>
        <v>2</v>
      </c>
      <c r="BO302" s="552">
        <f t="shared" si="58"/>
        <v>2</v>
      </c>
      <c r="BP302" s="552">
        <f t="shared" si="58"/>
        <v>0</v>
      </c>
      <c r="BQ302" s="552">
        <f t="shared" si="58"/>
        <v>2</v>
      </c>
      <c r="BR302" s="552">
        <f t="shared" si="58"/>
        <v>0</v>
      </c>
      <c r="BS302" s="552">
        <f t="shared" ref="BS302:BV302" si="59">BS250</f>
        <v>2</v>
      </c>
      <c r="BT302" s="552">
        <f t="shared" si="59"/>
        <v>2</v>
      </c>
      <c r="BU302" s="552">
        <f t="shared" si="59"/>
        <v>0</v>
      </c>
      <c r="BV302" s="552">
        <f t="shared" si="59"/>
        <v>2</v>
      </c>
    </row>
    <row r="303" spans="1:74" x14ac:dyDescent="0.3">
      <c r="A303" s="552">
        <f>A251</f>
        <v>1069</v>
      </c>
      <c r="B303" s="552" t="str">
        <f t="shared" ref="B303:BM303" si="60">B251</f>
        <v>If the unit is self-insured for employee health care, does the unit use a qualified consultant to establish rates and appropriate reserve levels?</v>
      </c>
      <c r="C303" s="552">
        <f t="shared" si="60"/>
        <v>0</v>
      </c>
      <c r="D303" s="552">
        <f t="shared" si="60"/>
        <v>3</v>
      </c>
      <c r="E303" s="552">
        <f t="shared" si="60"/>
        <v>3</v>
      </c>
      <c r="F303" s="552">
        <f t="shared" si="60"/>
        <v>0</v>
      </c>
      <c r="G303" s="552">
        <f t="shared" si="60"/>
        <v>0</v>
      </c>
      <c r="H303" s="552">
        <f t="shared" si="60"/>
        <v>2</v>
      </c>
      <c r="I303" s="552">
        <f t="shared" si="60"/>
        <v>2</v>
      </c>
      <c r="J303" s="552">
        <f t="shared" si="60"/>
        <v>3</v>
      </c>
      <c r="K303" s="552">
        <f t="shared" si="60"/>
        <v>3</v>
      </c>
      <c r="L303" s="552">
        <f t="shared" si="60"/>
        <v>3</v>
      </c>
      <c r="M303" s="552">
        <f t="shared" si="60"/>
        <v>3</v>
      </c>
      <c r="N303" s="552">
        <f t="shared" si="60"/>
        <v>2</v>
      </c>
      <c r="O303" s="552">
        <f t="shared" si="60"/>
        <v>3</v>
      </c>
      <c r="P303" s="552">
        <f t="shared" si="60"/>
        <v>0</v>
      </c>
      <c r="Q303" s="552">
        <f t="shared" si="60"/>
        <v>3</v>
      </c>
      <c r="R303" s="552">
        <f t="shared" si="60"/>
        <v>3</v>
      </c>
      <c r="S303" s="552">
        <f t="shared" si="60"/>
        <v>2</v>
      </c>
      <c r="T303" s="552">
        <f t="shared" si="60"/>
        <v>3</v>
      </c>
      <c r="U303" s="552">
        <f t="shared" si="60"/>
        <v>0</v>
      </c>
      <c r="V303" s="552">
        <f t="shared" si="60"/>
        <v>0</v>
      </c>
      <c r="W303" s="552">
        <f t="shared" si="60"/>
        <v>0</v>
      </c>
      <c r="X303" s="552">
        <f t="shared" si="60"/>
        <v>2</v>
      </c>
      <c r="Y303" s="552">
        <f t="shared" si="60"/>
        <v>3</v>
      </c>
      <c r="Z303" s="552">
        <f t="shared" si="60"/>
        <v>1</v>
      </c>
      <c r="AA303" s="552">
        <f t="shared" si="60"/>
        <v>3</v>
      </c>
      <c r="AB303" s="552">
        <f t="shared" si="60"/>
        <v>0</v>
      </c>
      <c r="AC303" s="552">
        <f t="shared" si="60"/>
        <v>3</v>
      </c>
      <c r="AD303" s="552">
        <f t="shared" si="60"/>
        <v>3</v>
      </c>
      <c r="AE303" s="552">
        <f t="shared" si="60"/>
        <v>2</v>
      </c>
      <c r="AF303" s="552">
        <f t="shared" si="60"/>
        <v>3</v>
      </c>
      <c r="AG303" s="552">
        <f t="shared" si="60"/>
        <v>3</v>
      </c>
      <c r="AH303" s="552">
        <f t="shared" si="60"/>
        <v>3</v>
      </c>
      <c r="AI303" s="552">
        <f t="shared" si="60"/>
        <v>3</v>
      </c>
      <c r="AJ303" s="552">
        <f t="shared" si="60"/>
        <v>3</v>
      </c>
      <c r="AK303" s="552">
        <f t="shared" si="60"/>
        <v>3</v>
      </c>
      <c r="AL303" s="552">
        <f t="shared" si="60"/>
        <v>2</v>
      </c>
      <c r="AM303" s="552">
        <f t="shared" si="60"/>
        <v>3</v>
      </c>
      <c r="AN303" s="552">
        <f t="shared" si="60"/>
        <v>3</v>
      </c>
      <c r="AO303" s="552">
        <f t="shared" si="60"/>
        <v>3</v>
      </c>
      <c r="AP303" s="552">
        <f t="shared" si="60"/>
        <v>3</v>
      </c>
      <c r="AQ303" s="552">
        <f t="shared" si="60"/>
        <v>3</v>
      </c>
      <c r="AR303" s="552">
        <f t="shared" si="60"/>
        <v>3</v>
      </c>
      <c r="AS303" s="552">
        <f t="shared" si="60"/>
        <v>1</v>
      </c>
      <c r="AT303" s="552">
        <f t="shared" si="60"/>
        <v>2</v>
      </c>
      <c r="AU303" s="552">
        <f t="shared" si="60"/>
        <v>3</v>
      </c>
      <c r="AV303" s="552">
        <f t="shared" si="60"/>
        <v>3</v>
      </c>
      <c r="AW303" s="552">
        <f t="shared" si="60"/>
        <v>3</v>
      </c>
      <c r="AX303" s="552">
        <f t="shared" si="60"/>
        <v>0</v>
      </c>
      <c r="AY303" s="552">
        <f t="shared" si="60"/>
        <v>2</v>
      </c>
      <c r="AZ303" s="552">
        <f t="shared" si="60"/>
        <v>3</v>
      </c>
      <c r="BA303" s="552">
        <f t="shared" si="60"/>
        <v>3</v>
      </c>
      <c r="BB303" s="552">
        <f t="shared" si="60"/>
        <v>3</v>
      </c>
      <c r="BC303" s="552">
        <f t="shared" si="60"/>
        <v>3</v>
      </c>
      <c r="BD303" s="552">
        <f t="shared" si="60"/>
        <v>2</v>
      </c>
      <c r="BE303" s="552">
        <f t="shared" si="60"/>
        <v>2</v>
      </c>
      <c r="BF303" s="552">
        <f t="shared" si="60"/>
        <v>3</v>
      </c>
      <c r="BG303" s="552">
        <f t="shared" si="60"/>
        <v>0</v>
      </c>
      <c r="BH303" s="552">
        <f t="shared" si="60"/>
        <v>3</v>
      </c>
      <c r="BI303" s="552">
        <f t="shared" si="60"/>
        <v>3</v>
      </c>
      <c r="BJ303" s="552">
        <f t="shared" si="60"/>
        <v>3</v>
      </c>
      <c r="BK303" s="552">
        <f t="shared" si="60"/>
        <v>3</v>
      </c>
      <c r="BL303" s="552">
        <f t="shared" si="60"/>
        <v>3</v>
      </c>
      <c r="BM303" s="552">
        <f t="shared" si="60"/>
        <v>3</v>
      </c>
      <c r="BN303" s="552">
        <f t="shared" ref="BN303:BR303" si="61">BN251</f>
        <v>2</v>
      </c>
      <c r="BO303" s="552">
        <f t="shared" si="61"/>
        <v>3</v>
      </c>
      <c r="BP303" s="552">
        <f t="shared" si="61"/>
        <v>0</v>
      </c>
      <c r="BQ303" s="552">
        <f t="shared" si="61"/>
        <v>3</v>
      </c>
      <c r="BR303" s="552">
        <f t="shared" si="61"/>
        <v>0</v>
      </c>
      <c r="BS303" s="552">
        <f t="shared" ref="BS303:BV303" si="62">BS251</f>
        <v>3</v>
      </c>
      <c r="BT303" s="552">
        <f t="shared" si="62"/>
        <v>2</v>
      </c>
      <c r="BU303" s="552">
        <f t="shared" si="62"/>
        <v>0</v>
      </c>
      <c r="BV303" s="552">
        <f t="shared" si="62"/>
        <v>3</v>
      </c>
    </row>
    <row r="304" spans="1:74" x14ac:dyDescent="0.3">
      <c r="A304" s="552">
        <f>A252</f>
        <v>1070</v>
      </c>
      <c r="B304" s="552" t="str">
        <f t="shared" ref="B304:BM304" si="63">B252</f>
        <v>Does the Unit have a non-state administrered pension plan?</v>
      </c>
      <c r="C304" s="552">
        <f t="shared" si="63"/>
        <v>0</v>
      </c>
      <c r="D304" s="552">
        <f t="shared" si="63"/>
        <v>2</v>
      </c>
      <c r="E304" s="552">
        <f t="shared" si="63"/>
        <v>1</v>
      </c>
      <c r="F304" s="552">
        <f t="shared" si="63"/>
        <v>0</v>
      </c>
      <c r="G304" s="552">
        <f t="shared" si="63"/>
        <v>0</v>
      </c>
      <c r="H304" s="552">
        <f t="shared" si="63"/>
        <v>2</v>
      </c>
      <c r="I304" s="552">
        <f t="shared" si="63"/>
        <v>2</v>
      </c>
      <c r="J304" s="552">
        <f t="shared" si="63"/>
        <v>2</v>
      </c>
      <c r="K304" s="552">
        <f t="shared" si="63"/>
        <v>2</v>
      </c>
      <c r="L304" s="552">
        <f t="shared" si="63"/>
        <v>2</v>
      </c>
      <c r="M304" s="552">
        <f t="shared" si="63"/>
        <v>2</v>
      </c>
      <c r="N304" s="552">
        <f t="shared" si="63"/>
        <v>2</v>
      </c>
      <c r="O304" s="552">
        <f t="shared" si="63"/>
        <v>2</v>
      </c>
      <c r="P304" s="552">
        <f t="shared" si="63"/>
        <v>0</v>
      </c>
      <c r="Q304" s="552">
        <f t="shared" si="63"/>
        <v>2</v>
      </c>
      <c r="R304" s="552">
        <f t="shared" si="63"/>
        <v>2</v>
      </c>
      <c r="S304" s="552">
        <f t="shared" si="63"/>
        <v>2</v>
      </c>
      <c r="T304" s="552">
        <f t="shared" si="63"/>
        <v>2</v>
      </c>
      <c r="U304" s="552">
        <f t="shared" si="63"/>
        <v>0</v>
      </c>
      <c r="V304" s="552">
        <f t="shared" si="63"/>
        <v>0</v>
      </c>
      <c r="W304" s="552">
        <f t="shared" si="63"/>
        <v>0</v>
      </c>
      <c r="X304" s="552">
        <f t="shared" si="63"/>
        <v>2</v>
      </c>
      <c r="Y304" s="552">
        <f t="shared" si="63"/>
        <v>2</v>
      </c>
      <c r="Z304" s="552">
        <f t="shared" si="63"/>
        <v>2</v>
      </c>
      <c r="AA304" s="552">
        <f t="shared" si="63"/>
        <v>2</v>
      </c>
      <c r="AB304" s="552">
        <f t="shared" si="63"/>
        <v>0</v>
      </c>
      <c r="AC304" s="552">
        <f t="shared" si="63"/>
        <v>2</v>
      </c>
      <c r="AD304" s="552">
        <f t="shared" si="63"/>
        <v>2</v>
      </c>
      <c r="AE304" s="552">
        <f t="shared" si="63"/>
        <v>2</v>
      </c>
      <c r="AF304" s="552">
        <f t="shared" si="63"/>
        <v>2</v>
      </c>
      <c r="AG304" s="552">
        <f t="shared" si="63"/>
        <v>2</v>
      </c>
      <c r="AH304" s="552">
        <f t="shared" si="63"/>
        <v>2</v>
      </c>
      <c r="AI304" s="552">
        <f t="shared" si="63"/>
        <v>2</v>
      </c>
      <c r="AJ304" s="552">
        <f t="shared" si="63"/>
        <v>2</v>
      </c>
      <c r="AK304" s="552">
        <f t="shared" si="63"/>
        <v>2</v>
      </c>
      <c r="AL304" s="552">
        <f t="shared" si="63"/>
        <v>1</v>
      </c>
      <c r="AM304" s="552">
        <f t="shared" si="63"/>
        <v>2</v>
      </c>
      <c r="AN304" s="552">
        <f t="shared" si="63"/>
        <v>2</v>
      </c>
      <c r="AO304" s="552">
        <f t="shared" si="63"/>
        <v>2</v>
      </c>
      <c r="AP304" s="552">
        <f t="shared" si="63"/>
        <v>2</v>
      </c>
      <c r="AQ304" s="552">
        <f t="shared" si="63"/>
        <v>2</v>
      </c>
      <c r="AR304" s="552">
        <f t="shared" si="63"/>
        <v>2</v>
      </c>
      <c r="AS304" s="552">
        <f t="shared" si="63"/>
        <v>1</v>
      </c>
      <c r="AT304" s="552">
        <f t="shared" si="63"/>
        <v>2</v>
      </c>
      <c r="AU304" s="552">
        <f t="shared" si="63"/>
        <v>2</v>
      </c>
      <c r="AV304" s="552">
        <f t="shared" si="63"/>
        <v>2</v>
      </c>
      <c r="AW304" s="552">
        <f t="shared" si="63"/>
        <v>2</v>
      </c>
      <c r="AX304" s="552">
        <f t="shared" si="63"/>
        <v>0</v>
      </c>
      <c r="AY304" s="552">
        <f t="shared" si="63"/>
        <v>2</v>
      </c>
      <c r="AZ304" s="552">
        <f t="shared" si="63"/>
        <v>2</v>
      </c>
      <c r="BA304" s="552">
        <f t="shared" si="63"/>
        <v>2</v>
      </c>
      <c r="BB304" s="552">
        <f t="shared" si="63"/>
        <v>2</v>
      </c>
      <c r="BC304" s="552">
        <f t="shared" si="63"/>
        <v>2</v>
      </c>
      <c r="BD304" s="552">
        <f t="shared" si="63"/>
        <v>2</v>
      </c>
      <c r="BE304" s="552">
        <f t="shared" si="63"/>
        <v>2</v>
      </c>
      <c r="BF304" s="552">
        <f t="shared" si="63"/>
        <v>2</v>
      </c>
      <c r="BG304" s="552">
        <f t="shared" si="63"/>
        <v>0</v>
      </c>
      <c r="BH304" s="552">
        <f t="shared" si="63"/>
        <v>2</v>
      </c>
      <c r="BI304" s="552">
        <f t="shared" si="63"/>
        <v>2</v>
      </c>
      <c r="BJ304" s="552">
        <f t="shared" si="63"/>
        <v>2</v>
      </c>
      <c r="BK304" s="552">
        <f t="shared" si="63"/>
        <v>2</v>
      </c>
      <c r="BL304" s="552">
        <f t="shared" si="63"/>
        <v>2</v>
      </c>
      <c r="BM304" s="552">
        <f t="shared" si="63"/>
        <v>2</v>
      </c>
      <c r="BN304" s="552">
        <f t="shared" ref="BN304:BR304" si="64">BN252</f>
        <v>2</v>
      </c>
      <c r="BO304" s="552">
        <f t="shared" si="64"/>
        <v>2</v>
      </c>
      <c r="BP304" s="552">
        <f t="shared" si="64"/>
        <v>0</v>
      </c>
      <c r="BQ304" s="552">
        <f t="shared" si="64"/>
        <v>2</v>
      </c>
      <c r="BR304" s="552">
        <f t="shared" si="64"/>
        <v>0</v>
      </c>
      <c r="BS304" s="552">
        <f t="shared" ref="BS304:BV304" si="65">BS252</f>
        <v>2</v>
      </c>
      <c r="BT304" s="552">
        <f t="shared" si="65"/>
        <v>2</v>
      </c>
      <c r="BU304" s="552">
        <f t="shared" si="65"/>
        <v>0</v>
      </c>
      <c r="BV304" s="552">
        <f t="shared" si="65"/>
        <v>2</v>
      </c>
    </row>
    <row r="305" spans="1:74" x14ac:dyDescent="0.3">
      <c r="A305" s="552">
        <f>A253</f>
        <v>1071</v>
      </c>
      <c r="B305" s="552" t="str">
        <f t="shared" ref="B305:BM305" si="66">B253</f>
        <v>Please list the amount of ARPA funds expended in total this fiscal year for non-capital purposes.  Enter "zero" if no ARPA funds expended for this fiscal year for non-capital purposes.</v>
      </c>
      <c r="C305" s="552">
        <f t="shared" si="66"/>
        <v>0</v>
      </c>
      <c r="D305" s="552">
        <f t="shared" si="66"/>
        <v>0</v>
      </c>
      <c r="E305" s="552">
        <f t="shared" si="66"/>
        <v>13665311</v>
      </c>
      <c r="F305" s="552">
        <f t="shared" si="66"/>
        <v>0</v>
      </c>
      <c r="G305" s="552">
        <f t="shared" si="66"/>
        <v>0</v>
      </c>
      <c r="H305" s="552">
        <f t="shared" si="66"/>
        <v>584548</v>
      </c>
      <c r="I305" s="552">
        <f t="shared" si="66"/>
        <v>0</v>
      </c>
      <c r="J305" s="552">
        <f t="shared" si="66"/>
        <v>101250</v>
      </c>
      <c r="K305" s="552">
        <f t="shared" si="66"/>
        <v>624125</v>
      </c>
      <c r="L305" s="552">
        <f t="shared" si="66"/>
        <v>0</v>
      </c>
      <c r="M305" s="552">
        <f t="shared" si="66"/>
        <v>25000</v>
      </c>
      <c r="N305" s="552">
        <f t="shared" si="66"/>
        <v>0</v>
      </c>
      <c r="O305" s="552">
        <f t="shared" si="66"/>
        <v>287873</v>
      </c>
      <c r="P305" s="552">
        <f t="shared" si="66"/>
        <v>0</v>
      </c>
      <c r="Q305" s="552">
        <f t="shared" si="66"/>
        <v>0</v>
      </c>
      <c r="R305" s="552">
        <f t="shared" si="66"/>
        <v>542742</v>
      </c>
      <c r="S305" s="552">
        <f t="shared" si="66"/>
        <v>482193</v>
      </c>
      <c r="T305" s="552">
        <f t="shared" si="66"/>
        <v>2281874</v>
      </c>
      <c r="U305" s="552">
        <f t="shared" si="66"/>
        <v>0</v>
      </c>
      <c r="V305" s="552">
        <f t="shared" si="66"/>
        <v>0</v>
      </c>
      <c r="W305" s="552">
        <f t="shared" si="66"/>
        <v>0</v>
      </c>
      <c r="X305" s="552">
        <f t="shared" si="66"/>
        <v>2091616</v>
      </c>
      <c r="Y305" s="552">
        <f t="shared" si="66"/>
        <v>0</v>
      </c>
      <c r="Z305" s="552">
        <f t="shared" si="66"/>
        <v>10000000</v>
      </c>
      <c r="AA305" s="552">
        <f t="shared" si="66"/>
        <v>2709247</v>
      </c>
      <c r="AB305" s="552">
        <f t="shared" si="66"/>
        <v>0</v>
      </c>
      <c r="AC305" s="552">
        <f t="shared" si="66"/>
        <v>0</v>
      </c>
      <c r="AD305" s="552">
        <f t="shared" si="66"/>
        <v>0</v>
      </c>
      <c r="AE305" s="552">
        <f t="shared" si="66"/>
        <v>0</v>
      </c>
      <c r="AF305" s="552">
        <f t="shared" si="66"/>
        <v>0</v>
      </c>
      <c r="AG305" s="552">
        <f t="shared" si="66"/>
        <v>0</v>
      </c>
      <c r="AH305" s="552">
        <f t="shared" si="66"/>
        <v>0</v>
      </c>
      <c r="AI305" s="552">
        <f t="shared" si="66"/>
        <v>33782</v>
      </c>
      <c r="AJ305" s="552">
        <f t="shared" si="66"/>
        <v>1040228</v>
      </c>
      <c r="AK305" s="552">
        <f t="shared" si="66"/>
        <v>0</v>
      </c>
      <c r="AL305" s="552">
        <f t="shared" si="66"/>
        <v>0</v>
      </c>
      <c r="AM305" s="552">
        <f t="shared" si="66"/>
        <v>672715</v>
      </c>
      <c r="AN305" s="552">
        <f t="shared" si="66"/>
        <v>30726</v>
      </c>
      <c r="AO305" s="552">
        <f t="shared" si="66"/>
        <v>5691543</v>
      </c>
      <c r="AP305" s="552">
        <f t="shared" si="66"/>
        <v>0</v>
      </c>
      <c r="AQ305" s="552">
        <f t="shared" si="66"/>
        <v>96884</v>
      </c>
      <c r="AR305" s="552">
        <f t="shared" si="66"/>
        <v>133216</v>
      </c>
      <c r="AS305" s="552">
        <f t="shared" si="66"/>
        <v>9093331</v>
      </c>
      <c r="AT305" s="552">
        <f t="shared" si="66"/>
        <v>65456</v>
      </c>
      <c r="AU305" s="552">
        <f t="shared" si="66"/>
        <v>1138692</v>
      </c>
      <c r="AV305" s="552">
        <f t="shared" si="66"/>
        <v>410026</v>
      </c>
      <c r="AW305" s="552">
        <f t="shared" si="66"/>
        <v>0</v>
      </c>
      <c r="AX305" s="552">
        <f t="shared" si="66"/>
        <v>0</v>
      </c>
      <c r="AY305" s="552">
        <f t="shared" si="66"/>
        <v>0</v>
      </c>
      <c r="AZ305" s="552">
        <f t="shared" si="66"/>
        <v>0</v>
      </c>
      <c r="BA305" s="552">
        <f t="shared" si="66"/>
        <v>0</v>
      </c>
      <c r="BB305" s="552">
        <f t="shared" si="66"/>
        <v>32314</v>
      </c>
      <c r="BC305" s="552">
        <f t="shared" si="66"/>
        <v>0</v>
      </c>
      <c r="BD305" s="552">
        <f t="shared" si="66"/>
        <v>1257622</v>
      </c>
      <c r="BE305" s="552">
        <f t="shared" si="66"/>
        <v>0</v>
      </c>
      <c r="BF305" s="552">
        <f t="shared" si="66"/>
        <v>6382235</v>
      </c>
      <c r="BG305" s="552">
        <f t="shared" si="66"/>
        <v>0</v>
      </c>
      <c r="BH305" s="552">
        <f t="shared" si="66"/>
        <v>117865</v>
      </c>
      <c r="BI305" s="552">
        <f t="shared" si="66"/>
        <v>35000</v>
      </c>
      <c r="BJ305" s="552">
        <f t="shared" si="66"/>
        <v>0</v>
      </c>
      <c r="BK305" s="552">
        <f t="shared" si="66"/>
        <v>240935</v>
      </c>
      <c r="BL305" s="552">
        <f t="shared" si="66"/>
        <v>4671148</v>
      </c>
      <c r="BM305" s="552">
        <f t="shared" si="66"/>
        <v>471354</v>
      </c>
      <c r="BN305" s="552">
        <f t="shared" ref="BN305:BR305" si="67">BN253</f>
        <v>0</v>
      </c>
      <c r="BO305" s="552">
        <f t="shared" si="67"/>
        <v>0</v>
      </c>
      <c r="BP305" s="552">
        <f t="shared" si="67"/>
        <v>0</v>
      </c>
      <c r="BQ305" s="552">
        <f t="shared" si="67"/>
        <v>586000</v>
      </c>
      <c r="BR305" s="552">
        <f t="shared" si="67"/>
        <v>0</v>
      </c>
      <c r="BS305" s="552">
        <f t="shared" ref="BS305:BV305" si="68">BS253</f>
        <v>475000</v>
      </c>
      <c r="BT305" s="552">
        <f t="shared" si="68"/>
        <v>0</v>
      </c>
      <c r="BU305" s="552">
        <f t="shared" si="68"/>
        <v>0</v>
      </c>
      <c r="BV305" s="552">
        <f t="shared" si="68"/>
        <v>364106</v>
      </c>
    </row>
    <row r="306" spans="1:74" s="180" customFormat="1" x14ac:dyDescent="0.3">
      <c r="A306" s="155">
        <f>A230</f>
        <v>995</v>
      </c>
      <c r="B306" s="155" t="str">
        <f t="shared" ref="B306:BM306" si="69">B230</f>
        <v>Units with Electric Operations have $.07, $.08, $.09</v>
      </c>
      <c r="C306" s="155">
        <f t="shared" si="69"/>
        <v>0</v>
      </c>
      <c r="D306" s="155">
        <f t="shared" si="69"/>
        <v>0</v>
      </c>
      <c r="E306" s="155">
        <f t="shared" si="69"/>
        <v>0</v>
      </c>
      <c r="F306" s="155">
        <f t="shared" si="69"/>
        <v>0</v>
      </c>
      <c r="G306" s="155">
        <f t="shared" si="69"/>
        <v>0</v>
      </c>
      <c r="H306" s="155">
        <f t="shared" si="69"/>
        <v>0</v>
      </c>
      <c r="I306" s="155">
        <f t="shared" si="69"/>
        <v>0</v>
      </c>
      <c r="J306" s="155">
        <f t="shared" si="69"/>
        <v>0</v>
      </c>
      <c r="K306" s="155">
        <f t="shared" si="69"/>
        <v>0</v>
      </c>
      <c r="L306" s="155">
        <f t="shared" si="69"/>
        <v>0.08</v>
      </c>
      <c r="M306" s="155">
        <f t="shared" si="69"/>
        <v>0</v>
      </c>
      <c r="N306" s="155">
        <f t="shared" si="69"/>
        <v>0</v>
      </c>
      <c r="O306" s="155">
        <f t="shared" si="69"/>
        <v>0</v>
      </c>
      <c r="P306" s="155">
        <f t="shared" si="69"/>
        <v>0</v>
      </c>
      <c r="Q306" s="155">
        <f t="shared" si="69"/>
        <v>0</v>
      </c>
      <c r="R306" s="155">
        <f t="shared" si="69"/>
        <v>0</v>
      </c>
      <c r="S306" s="155">
        <f t="shared" si="69"/>
        <v>0</v>
      </c>
      <c r="T306" s="155">
        <f t="shared" si="69"/>
        <v>0</v>
      </c>
      <c r="U306" s="155">
        <f t="shared" si="69"/>
        <v>0</v>
      </c>
      <c r="V306" s="155">
        <f t="shared" si="69"/>
        <v>0</v>
      </c>
      <c r="W306" s="155">
        <f t="shared" si="69"/>
        <v>0.08</v>
      </c>
      <c r="X306" s="155">
        <f t="shared" si="69"/>
        <v>0</v>
      </c>
      <c r="Y306" s="155">
        <f t="shared" si="69"/>
        <v>0</v>
      </c>
      <c r="Z306" s="155">
        <f t="shared" si="69"/>
        <v>0.08</v>
      </c>
      <c r="AA306" s="155">
        <f t="shared" si="69"/>
        <v>0</v>
      </c>
      <c r="AB306" s="155">
        <f t="shared" si="69"/>
        <v>0</v>
      </c>
      <c r="AC306" s="155">
        <f t="shared" si="69"/>
        <v>0</v>
      </c>
      <c r="AD306" s="155">
        <f t="shared" si="69"/>
        <v>0</v>
      </c>
      <c r="AE306" s="155">
        <f t="shared" si="69"/>
        <v>0</v>
      </c>
      <c r="AF306" s="155">
        <f t="shared" si="69"/>
        <v>0</v>
      </c>
      <c r="AG306" s="155">
        <f t="shared" si="69"/>
        <v>0</v>
      </c>
      <c r="AH306" s="155">
        <f t="shared" si="69"/>
        <v>0</v>
      </c>
      <c r="AI306" s="155">
        <f t="shared" si="69"/>
        <v>0</v>
      </c>
      <c r="AJ306" s="155">
        <f t="shared" si="69"/>
        <v>0</v>
      </c>
      <c r="AK306" s="155">
        <f t="shared" si="69"/>
        <v>0</v>
      </c>
      <c r="AL306" s="155">
        <f t="shared" si="69"/>
        <v>0</v>
      </c>
      <c r="AM306" s="155">
        <f t="shared" si="69"/>
        <v>0</v>
      </c>
      <c r="AN306" s="155">
        <f t="shared" si="69"/>
        <v>0</v>
      </c>
      <c r="AO306" s="155">
        <f t="shared" si="69"/>
        <v>0</v>
      </c>
      <c r="AP306" s="155">
        <f t="shared" si="69"/>
        <v>0</v>
      </c>
      <c r="AQ306" s="155">
        <f t="shared" si="69"/>
        <v>0</v>
      </c>
      <c r="AR306" s="155">
        <f t="shared" si="69"/>
        <v>0</v>
      </c>
      <c r="AS306" s="155">
        <f t="shared" si="69"/>
        <v>0</v>
      </c>
      <c r="AT306" s="155">
        <f t="shared" si="69"/>
        <v>0</v>
      </c>
      <c r="AU306" s="155">
        <f t="shared" si="69"/>
        <v>0</v>
      </c>
      <c r="AV306" s="155">
        <f t="shared" si="69"/>
        <v>0.08</v>
      </c>
      <c r="AW306" s="155">
        <f t="shared" si="69"/>
        <v>0</v>
      </c>
      <c r="AX306" s="155">
        <f t="shared" si="69"/>
        <v>0</v>
      </c>
      <c r="AY306" s="155">
        <f t="shared" si="69"/>
        <v>0</v>
      </c>
      <c r="AZ306" s="155">
        <f t="shared" si="69"/>
        <v>0.08</v>
      </c>
      <c r="BA306" s="155">
        <f t="shared" si="69"/>
        <v>0</v>
      </c>
      <c r="BB306" s="155">
        <f t="shared" si="69"/>
        <v>0</v>
      </c>
      <c r="BC306" s="155">
        <f t="shared" si="69"/>
        <v>0</v>
      </c>
      <c r="BD306" s="155">
        <f t="shared" si="69"/>
        <v>0</v>
      </c>
      <c r="BE306" s="155">
        <f t="shared" si="69"/>
        <v>0.09</v>
      </c>
      <c r="BF306" s="155">
        <f t="shared" si="69"/>
        <v>7.0000000000000007E-2</v>
      </c>
      <c r="BG306" s="155">
        <f t="shared" si="69"/>
        <v>0</v>
      </c>
      <c r="BH306" s="155">
        <f t="shared" si="69"/>
        <v>0</v>
      </c>
      <c r="BI306" s="155">
        <f t="shared" si="69"/>
        <v>0</v>
      </c>
      <c r="BJ306" s="155">
        <f t="shared" si="69"/>
        <v>0.08</v>
      </c>
      <c r="BK306" s="155">
        <f t="shared" si="69"/>
        <v>0</v>
      </c>
      <c r="BL306" s="155">
        <f t="shared" si="69"/>
        <v>0</v>
      </c>
      <c r="BM306" s="155">
        <f t="shared" si="69"/>
        <v>0</v>
      </c>
      <c r="BN306" s="155">
        <f t="shared" ref="BN306:BR306" si="70">BN230</f>
        <v>0.08</v>
      </c>
      <c r="BO306" s="155">
        <f t="shared" si="70"/>
        <v>0</v>
      </c>
      <c r="BP306" s="155">
        <f t="shared" si="70"/>
        <v>0</v>
      </c>
      <c r="BQ306" s="155">
        <f t="shared" si="70"/>
        <v>0</v>
      </c>
      <c r="BR306" s="155">
        <f t="shared" si="70"/>
        <v>0</v>
      </c>
      <c r="BS306" s="155">
        <f t="shared" ref="BS306:BV306" si="71">BS230</f>
        <v>0</v>
      </c>
      <c r="BT306" s="155">
        <f t="shared" si="71"/>
        <v>0</v>
      </c>
      <c r="BU306" s="155">
        <f t="shared" si="71"/>
        <v>0</v>
      </c>
      <c r="BV306" s="155">
        <f t="shared" si="71"/>
        <v>0</v>
      </c>
    </row>
    <row r="307" spans="1:74" s="180" customFormat="1" x14ac:dyDescent="0.3">
      <c r="A307" s="155">
        <f>A231</f>
        <v>996</v>
      </c>
      <c r="B307" s="155" t="str">
        <f t="shared" ref="B307:BM308" si="72">B231</f>
        <v>Units with Water Sewer Operations have $.01</v>
      </c>
      <c r="C307" s="155">
        <f t="shared" si="72"/>
        <v>0</v>
      </c>
      <c r="D307" s="155">
        <f t="shared" si="72"/>
        <v>0.01</v>
      </c>
      <c r="E307" s="155">
        <f t="shared" si="72"/>
        <v>0.01</v>
      </c>
      <c r="F307" s="155">
        <f t="shared" si="72"/>
        <v>0.01</v>
      </c>
      <c r="G307" s="155">
        <f t="shared" si="72"/>
        <v>0.01</v>
      </c>
      <c r="H307" s="155">
        <f t="shared" si="72"/>
        <v>0.01</v>
      </c>
      <c r="I307" s="155">
        <f t="shared" si="72"/>
        <v>0</v>
      </c>
      <c r="J307" s="155">
        <f t="shared" si="72"/>
        <v>0</v>
      </c>
      <c r="K307" s="155">
        <f t="shared" si="72"/>
        <v>0</v>
      </c>
      <c r="L307" s="155">
        <f t="shared" si="72"/>
        <v>0.01</v>
      </c>
      <c r="M307" s="155">
        <f t="shared" si="72"/>
        <v>0.01</v>
      </c>
      <c r="N307" s="155">
        <f t="shared" si="72"/>
        <v>0</v>
      </c>
      <c r="O307" s="155">
        <f t="shared" si="72"/>
        <v>0.01</v>
      </c>
      <c r="P307" s="155">
        <f t="shared" si="72"/>
        <v>0.01</v>
      </c>
      <c r="Q307" s="155">
        <f t="shared" si="72"/>
        <v>0</v>
      </c>
      <c r="R307" s="155">
        <f t="shared" si="72"/>
        <v>0</v>
      </c>
      <c r="S307" s="155">
        <f t="shared" si="72"/>
        <v>0.01</v>
      </c>
      <c r="T307" s="155">
        <f t="shared" si="72"/>
        <v>0</v>
      </c>
      <c r="U307" s="155">
        <f t="shared" si="72"/>
        <v>0.01</v>
      </c>
      <c r="V307" s="155">
        <f t="shared" si="72"/>
        <v>0.01</v>
      </c>
      <c r="W307" s="155">
        <f t="shared" si="72"/>
        <v>0.01</v>
      </c>
      <c r="X307" s="155">
        <f t="shared" si="72"/>
        <v>0.01</v>
      </c>
      <c r="Y307" s="155">
        <f t="shared" si="72"/>
        <v>0</v>
      </c>
      <c r="Z307" s="155">
        <f t="shared" si="72"/>
        <v>0.01</v>
      </c>
      <c r="AA307" s="155">
        <f t="shared" si="72"/>
        <v>0</v>
      </c>
      <c r="AB307" s="155">
        <f t="shared" si="72"/>
        <v>0.01</v>
      </c>
      <c r="AC307" s="155">
        <f t="shared" si="72"/>
        <v>0.01</v>
      </c>
      <c r="AD307" s="155">
        <f t="shared" si="72"/>
        <v>0.01</v>
      </c>
      <c r="AE307" s="155">
        <f t="shared" si="72"/>
        <v>0.01</v>
      </c>
      <c r="AF307" s="155">
        <f t="shared" si="72"/>
        <v>0.01</v>
      </c>
      <c r="AG307" s="155">
        <f t="shared" si="72"/>
        <v>0.01</v>
      </c>
      <c r="AH307" s="155">
        <f t="shared" si="72"/>
        <v>0.01</v>
      </c>
      <c r="AI307" s="155">
        <f t="shared" si="72"/>
        <v>0</v>
      </c>
      <c r="AJ307" s="155">
        <f t="shared" si="72"/>
        <v>0</v>
      </c>
      <c r="AK307" s="155">
        <f t="shared" si="72"/>
        <v>0</v>
      </c>
      <c r="AL307" s="155">
        <f t="shared" si="72"/>
        <v>0.01</v>
      </c>
      <c r="AM307" s="155">
        <f t="shared" si="72"/>
        <v>0.01</v>
      </c>
      <c r="AN307" s="155">
        <f t="shared" si="72"/>
        <v>0.01</v>
      </c>
      <c r="AO307" s="155">
        <f t="shared" si="72"/>
        <v>0.01</v>
      </c>
      <c r="AP307" s="155">
        <f t="shared" si="72"/>
        <v>0.01</v>
      </c>
      <c r="AQ307" s="565">
        <v>0</v>
      </c>
      <c r="AR307" s="155">
        <f t="shared" si="72"/>
        <v>0.01</v>
      </c>
      <c r="AS307" s="155">
        <f t="shared" si="72"/>
        <v>0.01</v>
      </c>
      <c r="AT307" s="155">
        <f t="shared" si="72"/>
        <v>0.01</v>
      </c>
      <c r="AU307" s="155">
        <f t="shared" si="72"/>
        <v>0.01</v>
      </c>
      <c r="AV307" s="155">
        <f t="shared" si="72"/>
        <v>0.01</v>
      </c>
      <c r="AW307" s="155">
        <f t="shared" si="72"/>
        <v>0.01</v>
      </c>
      <c r="AX307" s="155">
        <f t="shared" si="72"/>
        <v>0</v>
      </c>
      <c r="AY307" s="155">
        <f t="shared" si="72"/>
        <v>0</v>
      </c>
      <c r="AZ307" s="155">
        <f t="shared" si="72"/>
        <v>0.01</v>
      </c>
      <c r="BA307" s="155">
        <f t="shared" si="72"/>
        <v>0.01</v>
      </c>
      <c r="BB307" s="155">
        <f t="shared" si="72"/>
        <v>0.01</v>
      </c>
      <c r="BC307" s="155">
        <f t="shared" si="72"/>
        <v>0.01</v>
      </c>
      <c r="BD307" s="155">
        <f t="shared" si="72"/>
        <v>0.01</v>
      </c>
      <c r="BE307" s="155">
        <f t="shared" si="72"/>
        <v>0.01</v>
      </c>
      <c r="BF307" s="155">
        <f t="shared" si="72"/>
        <v>0.01</v>
      </c>
      <c r="BG307" s="155">
        <f t="shared" si="72"/>
        <v>0.01</v>
      </c>
      <c r="BH307" s="155">
        <f t="shared" si="72"/>
        <v>0</v>
      </c>
      <c r="BI307" s="155">
        <f t="shared" si="72"/>
        <v>0.01</v>
      </c>
      <c r="BJ307" s="155">
        <f t="shared" si="72"/>
        <v>0.01</v>
      </c>
      <c r="BK307" s="155">
        <f t="shared" si="72"/>
        <v>0.01</v>
      </c>
      <c r="BL307" s="155">
        <f t="shared" si="72"/>
        <v>0.01</v>
      </c>
      <c r="BM307" s="155">
        <f t="shared" si="72"/>
        <v>0</v>
      </c>
      <c r="BN307" s="155">
        <f t="shared" ref="BN307:BR309" si="73">BN231</f>
        <v>0.01</v>
      </c>
      <c r="BO307" s="155">
        <f t="shared" si="73"/>
        <v>0.01</v>
      </c>
      <c r="BP307" s="155">
        <f t="shared" si="73"/>
        <v>0</v>
      </c>
      <c r="BQ307" s="155">
        <f t="shared" si="73"/>
        <v>0</v>
      </c>
      <c r="BR307" s="155">
        <f t="shared" si="73"/>
        <v>0</v>
      </c>
      <c r="BS307" s="155">
        <f t="shared" ref="BS307:BV307" si="74">BS231</f>
        <v>0.01</v>
      </c>
      <c r="BT307" s="155">
        <f t="shared" si="74"/>
        <v>0.01</v>
      </c>
      <c r="BU307" s="155">
        <f t="shared" si="74"/>
        <v>0.01</v>
      </c>
      <c r="BV307" s="155">
        <f t="shared" si="74"/>
        <v>0.01</v>
      </c>
    </row>
    <row r="308" spans="1:74" x14ac:dyDescent="0.3">
      <c r="A308" s="155">
        <f t="shared" ref="A308:P309" si="75">A232</f>
        <v>998</v>
      </c>
      <c r="B308" s="155" t="str">
        <f t="shared" si="75"/>
        <v>CCH Unit Type</v>
      </c>
      <c r="C308" s="155">
        <f t="shared" si="75"/>
        <v>0</v>
      </c>
      <c r="D308" s="155">
        <f t="shared" si="75"/>
        <v>50</v>
      </c>
      <c r="E308" s="155">
        <f t="shared" si="75"/>
        <v>50</v>
      </c>
      <c r="F308" s="155">
        <f t="shared" si="75"/>
        <v>50</v>
      </c>
      <c r="G308" s="155">
        <f t="shared" si="75"/>
        <v>50</v>
      </c>
      <c r="H308" s="155">
        <f t="shared" si="75"/>
        <v>50</v>
      </c>
      <c r="I308" s="155">
        <f t="shared" si="75"/>
        <v>50</v>
      </c>
      <c r="J308" s="155">
        <f t="shared" si="75"/>
        <v>50</v>
      </c>
      <c r="K308" s="155">
        <f t="shared" si="75"/>
        <v>50</v>
      </c>
      <c r="L308" s="155">
        <f t="shared" si="75"/>
        <v>50</v>
      </c>
      <c r="M308" s="155">
        <f t="shared" si="75"/>
        <v>50</v>
      </c>
      <c r="N308" s="155">
        <f t="shared" si="75"/>
        <v>50</v>
      </c>
      <c r="O308" s="155">
        <f t="shared" si="75"/>
        <v>50</v>
      </c>
      <c r="P308" s="155">
        <f t="shared" si="75"/>
        <v>50</v>
      </c>
      <c r="Q308" s="155">
        <f t="shared" si="72"/>
        <v>50</v>
      </c>
      <c r="R308" s="155">
        <f t="shared" si="72"/>
        <v>50</v>
      </c>
      <c r="S308" s="155">
        <f t="shared" si="72"/>
        <v>50</v>
      </c>
      <c r="T308" s="155">
        <f t="shared" si="72"/>
        <v>50</v>
      </c>
      <c r="U308" s="155">
        <f t="shared" si="72"/>
        <v>50</v>
      </c>
      <c r="V308" s="155">
        <f t="shared" si="72"/>
        <v>50</v>
      </c>
      <c r="W308" s="155">
        <f t="shared" si="72"/>
        <v>50</v>
      </c>
      <c r="X308" s="155">
        <f t="shared" si="72"/>
        <v>50</v>
      </c>
      <c r="Y308" s="155">
        <f t="shared" si="72"/>
        <v>50</v>
      </c>
      <c r="Z308" s="155">
        <f t="shared" si="72"/>
        <v>50</v>
      </c>
      <c r="AA308" s="155">
        <f t="shared" si="72"/>
        <v>50</v>
      </c>
      <c r="AB308" s="155">
        <f t="shared" si="72"/>
        <v>50</v>
      </c>
      <c r="AC308" s="155">
        <f t="shared" si="72"/>
        <v>50</v>
      </c>
      <c r="AD308" s="155">
        <f t="shared" si="72"/>
        <v>50</v>
      </c>
      <c r="AE308" s="155">
        <f t="shared" si="72"/>
        <v>50</v>
      </c>
      <c r="AF308" s="155">
        <f t="shared" si="72"/>
        <v>50</v>
      </c>
      <c r="AG308" s="155">
        <f t="shared" si="72"/>
        <v>50</v>
      </c>
      <c r="AH308" s="155">
        <f t="shared" si="72"/>
        <v>50</v>
      </c>
      <c r="AI308" s="155">
        <f t="shared" si="72"/>
        <v>50</v>
      </c>
      <c r="AJ308" s="155">
        <f t="shared" si="72"/>
        <v>50</v>
      </c>
      <c r="AK308" s="155">
        <f t="shared" si="72"/>
        <v>50</v>
      </c>
      <c r="AL308" s="155">
        <f t="shared" si="72"/>
        <v>50</v>
      </c>
      <c r="AM308" s="155">
        <f t="shared" si="72"/>
        <v>50</v>
      </c>
      <c r="AN308" s="155">
        <f t="shared" si="72"/>
        <v>50</v>
      </c>
      <c r="AO308" s="155">
        <f t="shared" si="72"/>
        <v>50</v>
      </c>
      <c r="AP308" s="155">
        <f t="shared" si="72"/>
        <v>50</v>
      </c>
      <c r="AQ308" s="155">
        <f t="shared" si="72"/>
        <v>50</v>
      </c>
      <c r="AR308" s="155">
        <f t="shared" si="72"/>
        <v>50</v>
      </c>
      <c r="AS308" s="155">
        <f t="shared" si="72"/>
        <v>50</v>
      </c>
      <c r="AT308" s="155">
        <f t="shared" si="72"/>
        <v>50</v>
      </c>
      <c r="AU308" s="155">
        <f t="shared" si="72"/>
        <v>50</v>
      </c>
      <c r="AV308" s="155">
        <f t="shared" si="72"/>
        <v>50</v>
      </c>
      <c r="AW308" s="155">
        <f t="shared" si="72"/>
        <v>50</v>
      </c>
      <c r="AX308" s="155">
        <f t="shared" si="72"/>
        <v>50</v>
      </c>
      <c r="AY308" s="155">
        <f t="shared" si="72"/>
        <v>50</v>
      </c>
      <c r="AZ308" s="155">
        <f t="shared" si="72"/>
        <v>50</v>
      </c>
      <c r="BA308" s="155">
        <f t="shared" si="72"/>
        <v>50</v>
      </c>
      <c r="BB308" s="155">
        <f t="shared" si="72"/>
        <v>50</v>
      </c>
      <c r="BC308" s="155">
        <f t="shared" si="72"/>
        <v>50</v>
      </c>
      <c r="BD308" s="155">
        <f t="shared" si="72"/>
        <v>50</v>
      </c>
      <c r="BE308" s="155">
        <f t="shared" si="72"/>
        <v>50</v>
      </c>
      <c r="BF308" s="155">
        <f t="shared" si="72"/>
        <v>50</v>
      </c>
      <c r="BG308" s="155">
        <f t="shared" si="72"/>
        <v>50</v>
      </c>
      <c r="BH308" s="155">
        <f t="shared" si="72"/>
        <v>50</v>
      </c>
      <c r="BI308" s="155">
        <f t="shared" si="72"/>
        <v>50</v>
      </c>
      <c r="BJ308" s="155">
        <f t="shared" si="72"/>
        <v>50</v>
      </c>
      <c r="BK308" s="155">
        <f t="shared" si="72"/>
        <v>50</v>
      </c>
      <c r="BL308" s="155">
        <f t="shared" si="72"/>
        <v>50</v>
      </c>
      <c r="BM308" s="155">
        <f t="shared" si="72"/>
        <v>50</v>
      </c>
      <c r="BN308" s="155">
        <f t="shared" si="73"/>
        <v>50</v>
      </c>
      <c r="BO308" s="155">
        <f t="shared" si="73"/>
        <v>50</v>
      </c>
      <c r="BP308" s="155">
        <f t="shared" si="73"/>
        <v>50</v>
      </c>
      <c r="BQ308" s="155">
        <f t="shared" si="73"/>
        <v>50</v>
      </c>
      <c r="BR308" s="155">
        <f t="shared" si="73"/>
        <v>50</v>
      </c>
      <c r="BS308" s="155">
        <f t="shared" ref="BS308:BV308" si="76">BS232</f>
        <v>50</v>
      </c>
      <c r="BT308" s="155">
        <f t="shared" si="76"/>
        <v>50</v>
      </c>
      <c r="BU308" s="155">
        <f t="shared" si="76"/>
        <v>50</v>
      </c>
      <c r="BV308" s="155">
        <f t="shared" si="76"/>
        <v>50</v>
      </c>
    </row>
    <row r="309" spans="1:74" x14ac:dyDescent="0.3">
      <c r="A309" s="155">
        <f t="shared" si="75"/>
        <v>999</v>
      </c>
      <c r="B309" s="155" t="str">
        <f t="shared" ref="B309:BM309" si="77">B233</f>
        <v>CCH Unit Code</v>
      </c>
      <c r="C309" s="155">
        <f t="shared" si="77"/>
        <v>0</v>
      </c>
      <c r="D309" s="155">
        <f t="shared" si="77"/>
        <v>50312</v>
      </c>
      <c r="E309" s="155">
        <f t="shared" si="77"/>
        <v>50313</v>
      </c>
      <c r="F309" s="155">
        <f t="shared" si="77"/>
        <v>50314</v>
      </c>
      <c r="G309" s="155">
        <f t="shared" si="77"/>
        <v>50315</v>
      </c>
      <c r="H309" s="155">
        <f t="shared" si="77"/>
        <v>50316</v>
      </c>
      <c r="I309" s="155">
        <f t="shared" si="77"/>
        <v>50481</v>
      </c>
      <c r="J309" s="155">
        <f t="shared" si="77"/>
        <v>50561</v>
      </c>
      <c r="K309" s="155">
        <f t="shared" si="77"/>
        <v>50317</v>
      </c>
      <c r="L309" s="155">
        <f t="shared" si="77"/>
        <v>50318</v>
      </c>
      <c r="M309" s="155">
        <f t="shared" si="77"/>
        <v>50319</v>
      </c>
      <c r="N309" s="155">
        <f t="shared" si="77"/>
        <v>50489</v>
      </c>
      <c r="O309" s="155">
        <f t="shared" si="77"/>
        <v>50320</v>
      </c>
      <c r="P309" s="155">
        <f t="shared" si="77"/>
        <v>50323</v>
      </c>
      <c r="Q309" s="155">
        <f t="shared" si="77"/>
        <v>50321</v>
      </c>
      <c r="R309" s="155">
        <f t="shared" si="77"/>
        <v>50322</v>
      </c>
      <c r="S309" s="155">
        <f t="shared" si="77"/>
        <v>50490</v>
      </c>
      <c r="T309" s="155">
        <f t="shared" si="77"/>
        <v>50324</v>
      </c>
      <c r="U309" s="155">
        <f t="shared" si="77"/>
        <v>50325</v>
      </c>
      <c r="V309" s="155">
        <f t="shared" si="77"/>
        <v>50326</v>
      </c>
      <c r="W309" s="155">
        <f t="shared" si="77"/>
        <v>50327</v>
      </c>
      <c r="X309" s="155">
        <f t="shared" si="77"/>
        <v>50328</v>
      </c>
      <c r="Y309" s="155">
        <f t="shared" si="77"/>
        <v>50329</v>
      </c>
      <c r="Z309" s="155">
        <f t="shared" si="77"/>
        <v>50330</v>
      </c>
      <c r="AA309" s="155">
        <f t="shared" si="77"/>
        <v>50331</v>
      </c>
      <c r="AB309" s="155">
        <f t="shared" si="77"/>
        <v>50332</v>
      </c>
      <c r="AC309" s="155">
        <f t="shared" si="77"/>
        <v>50333</v>
      </c>
      <c r="AD309" s="155">
        <f t="shared" si="77"/>
        <v>50335</v>
      </c>
      <c r="AE309" s="155">
        <f t="shared" si="77"/>
        <v>50334</v>
      </c>
      <c r="AF309" s="155">
        <f t="shared" si="77"/>
        <v>50336</v>
      </c>
      <c r="AG309" s="155">
        <f t="shared" si="77"/>
        <v>50337</v>
      </c>
      <c r="AH309" s="155">
        <f t="shared" si="77"/>
        <v>50338</v>
      </c>
      <c r="AI309" s="155">
        <f t="shared" si="77"/>
        <v>50339</v>
      </c>
      <c r="AJ309" s="155">
        <f t="shared" si="77"/>
        <v>50443</v>
      </c>
      <c r="AK309" s="155">
        <f t="shared" si="77"/>
        <v>50340</v>
      </c>
      <c r="AL309" s="155">
        <f t="shared" si="77"/>
        <v>50456</v>
      </c>
      <c r="AM309" s="155">
        <f t="shared" si="77"/>
        <v>50341</v>
      </c>
      <c r="AN309" s="155">
        <f t="shared" si="77"/>
        <v>50342</v>
      </c>
      <c r="AO309" s="155">
        <f t="shared" si="77"/>
        <v>50344</v>
      </c>
      <c r="AP309" s="155">
        <f t="shared" si="77"/>
        <v>50345</v>
      </c>
      <c r="AQ309" s="155">
        <f t="shared" si="77"/>
        <v>50503</v>
      </c>
      <c r="AR309" s="155">
        <f t="shared" si="77"/>
        <v>50527</v>
      </c>
      <c r="AS309" s="155">
        <f t="shared" si="77"/>
        <v>50346</v>
      </c>
      <c r="AT309" s="155">
        <f t="shared" si="77"/>
        <v>50347</v>
      </c>
      <c r="AU309" s="155">
        <f t="shared" si="77"/>
        <v>50529</v>
      </c>
      <c r="AV309" s="155">
        <f t="shared" si="77"/>
        <v>50348</v>
      </c>
      <c r="AW309" s="155">
        <f t="shared" si="77"/>
        <v>50349</v>
      </c>
      <c r="AX309" s="155">
        <f t="shared" si="77"/>
        <v>50350</v>
      </c>
      <c r="AY309" s="155">
        <f t="shared" si="77"/>
        <v>50541</v>
      </c>
      <c r="AZ309" s="155">
        <f t="shared" si="77"/>
        <v>50351</v>
      </c>
      <c r="BA309" s="155">
        <f t="shared" si="77"/>
        <v>50484</v>
      </c>
      <c r="BB309" s="155">
        <f t="shared" si="77"/>
        <v>50352</v>
      </c>
      <c r="BC309" s="155">
        <f t="shared" si="77"/>
        <v>50353</v>
      </c>
      <c r="BD309" s="155">
        <f t="shared" si="77"/>
        <v>50354</v>
      </c>
      <c r="BE309" s="155">
        <f t="shared" si="77"/>
        <v>50355</v>
      </c>
      <c r="BF309" s="155">
        <f t="shared" si="77"/>
        <v>50356</v>
      </c>
      <c r="BG309" s="155">
        <f t="shared" si="77"/>
        <v>50357</v>
      </c>
      <c r="BH309" s="155">
        <f t="shared" si="77"/>
        <v>50482</v>
      </c>
      <c r="BI309" s="155">
        <f t="shared" si="77"/>
        <v>50358</v>
      </c>
      <c r="BJ309" s="155">
        <f t="shared" si="77"/>
        <v>50359</v>
      </c>
      <c r="BK309" s="155">
        <f t="shared" si="77"/>
        <v>50360</v>
      </c>
      <c r="BL309" s="155">
        <f t="shared" si="77"/>
        <v>50361</v>
      </c>
      <c r="BM309" s="155">
        <f t="shared" si="77"/>
        <v>50362</v>
      </c>
      <c r="BN309" s="155">
        <f t="shared" si="73"/>
        <v>50363</v>
      </c>
      <c r="BO309" s="155">
        <f t="shared" si="73"/>
        <v>50364</v>
      </c>
      <c r="BP309" s="155">
        <f t="shared" si="73"/>
        <v>50365</v>
      </c>
      <c r="BQ309" s="155">
        <f t="shared" si="73"/>
        <v>50366</v>
      </c>
      <c r="BR309" s="155">
        <f t="shared" si="73"/>
        <v>50367</v>
      </c>
      <c r="BS309" s="155">
        <f t="shared" ref="BS309:BV309" si="78">BS233</f>
        <v>50368</v>
      </c>
      <c r="BT309" s="155">
        <f t="shared" si="78"/>
        <v>50369</v>
      </c>
      <c r="BU309" s="155">
        <f t="shared" si="78"/>
        <v>50370</v>
      </c>
      <c r="BV309" s="155">
        <f t="shared" si="78"/>
        <v>50371</v>
      </c>
    </row>
    <row r="310" spans="1:74" x14ac:dyDescent="0.3">
      <c r="A310" s="554">
        <f>A144</f>
        <v>554</v>
      </c>
      <c r="B310" s="554" t="str">
        <f t="shared" ref="B310:BM311" si="79">B144</f>
        <v>Single Audit Only - total amount of federal awards and grants expended as found on SEFSA</v>
      </c>
      <c r="C310" s="554">
        <f t="shared" si="79"/>
        <v>0</v>
      </c>
      <c r="D310" s="554">
        <f t="shared" si="79"/>
        <v>1136692</v>
      </c>
      <c r="E310" s="554">
        <f t="shared" si="79"/>
        <v>68099691</v>
      </c>
      <c r="F310" s="554">
        <f t="shared" si="79"/>
        <v>0</v>
      </c>
      <c r="G310" s="554">
        <f t="shared" si="79"/>
        <v>0</v>
      </c>
      <c r="H310" s="554">
        <f t="shared" si="79"/>
        <v>2666541</v>
      </c>
      <c r="I310" s="554">
        <f t="shared" si="79"/>
        <v>0</v>
      </c>
      <c r="J310" s="554">
        <f t="shared" si="79"/>
        <v>0</v>
      </c>
      <c r="K310" s="554">
        <f t="shared" si="79"/>
        <v>0</v>
      </c>
      <c r="L310" s="554">
        <f t="shared" si="79"/>
        <v>2127444</v>
      </c>
      <c r="M310" s="554">
        <f t="shared" si="79"/>
        <v>3548490</v>
      </c>
      <c r="N310" s="554">
        <f t="shared" si="79"/>
        <v>0</v>
      </c>
      <c r="O310" s="554">
        <f t="shared" si="79"/>
        <v>0</v>
      </c>
      <c r="P310" s="554">
        <f t="shared" si="79"/>
        <v>0</v>
      </c>
      <c r="Q310" s="554">
        <f t="shared" si="79"/>
        <v>0</v>
      </c>
      <c r="R310" s="554">
        <f t="shared" si="79"/>
        <v>0</v>
      </c>
      <c r="S310" s="554">
        <f t="shared" si="79"/>
        <v>0</v>
      </c>
      <c r="T310" s="554">
        <f t="shared" si="79"/>
        <v>3234600</v>
      </c>
      <c r="U310" s="554">
        <f t="shared" si="79"/>
        <v>0</v>
      </c>
      <c r="V310" s="554">
        <f t="shared" si="79"/>
        <v>0</v>
      </c>
      <c r="W310" s="554">
        <f t="shared" si="79"/>
        <v>0</v>
      </c>
      <c r="X310" s="554">
        <f t="shared" si="79"/>
        <v>2103628</v>
      </c>
      <c r="Y310" s="554">
        <f t="shared" si="79"/>
        <v>0</v>
      </c>
      <c r="Z310" s="554">
        <f t="shared" si="79"/>
        <v>13877070</v>
      </c>
      <c r="AA310" s="554">
        <f t="shared" si="79"/>
        <v>5477360</v>
      </c>
      <c r="AB310" s="554">
        <f t="shared" si="79"/>
        <v>0</v>
      </c>
      <c r="AC310" s="554">
        <f t="shared" si="79"/>
        <v>0</v>
      </c>
      <c r="AD310" s="554">
        <f t="shared" si="79"/>
        <v>0</v>
      </c>
      <c r="AE310" s="554">
        <f t="shared" si="79"/>
        <v>793622</v>
      </c>
      <c r="AF310" s="554">
        <f t="shared" si="79"/>
        <v>0</v>
      </c>
      <c r="AG310" s="554">
        <f t="shared" si="79"/>
        <v>0</v>
      </c>
      <c r="AH310" s="554">
        <f t="shared" si="79"/>
        <v>756276</v>
      </c>
      <c r="AI310" s="554">
        <f t="shared" si="79"/>
        <v>0</v>
      </c>
      <c r="AJ310" s="554">
        <f t="shared" si="79"/>
        <v>1040228</v>
      </c>
      <c r="AK310" s="554">
        <f t="shared" si="79"/>
        <v>0</v>
      </c>
      <c r="AL310" s="554">
        <f t="shared" si="79"/>
        <v>0</v>
      </c>
      <c r="AM310" s="554">
        <f t="shared" si="79"/>
        <v>717252</v>
      </c>
      <c r="AN310" s="554">
        <f t="shared" si="79"/>
        <v>0</v>
      </c>
      <c r="AO310" s="554">
        <f t="shared" si="79"/>
        <v>7380727</v>
      </c>
      <c r="AP310" s="554">
        <f t="shared" si="79"/>
        <v>0</v>
      </c>
      <c r="AQ310" s="554">
        <f t="shared" si="79"/>
        <v>0</v>
      </c>
      <c r="AR310" s="554">
        <f t="shared" si="79"/>
        <v>0</v>
      </c>
      <c r="AS310" s="554">
        <f t="shared" si="79"/>
        <v>11879304</v>
      </c>
      <c r="AT310" s="554">
        <f t="shared" si="79"/>
        <v>0</v>
      </c>
      <c r="AU310" s="554">
        <f t="shared" si="79"/>
        <v>1138692</v>
      </c>
      <c r="AV310" s="554">
        <f t="shared" si="79"/>
        <v>0</v>
      </c>
      <c r="AW310" s="554">
        <f t="shared" si="79"/>
        <v>1848119</v>
      </c>
      <c r="AX310" s="554">
        <f t="shared" si="79"/>
        <v>0</v>
      </c>
      <c r="AY310" s="554">
        <f t="shared" si="79"/>
        <v>0</v>
      </c>
      <c r="AZ310" s="554">
        <f t="shared" si="79"/>
        <v>1515482</v>
      </c>
      <c r="BA310" s="554">
        <f t="shared" si="79"/>
        <v>0</v>
      </c>
      <c r="BB310" s="554">
        <f t="shared" si="79"/>
        <v>0</v>
      </c>
      <c r="BC310" s="554">
        <f t="shared" si="79"/>
        <v>0</v>
      </c>
      <c r="BD310" s="554">
        <f t="shared" si="79"/>
        <v>1257622</v>
      </c>
      <c r="BE310" s="554">
        <f t="shared" si="79"/>
        <v>0</v>
      </c>
      <c r="BF310" s="554">
        <f t="shared" si="79"/>
        <v>8032547</v>
      </c>
      <c r="BG310" s="554">
        <f t="shared" si="79"/>
        <v>0</v>
      </c>
      <c r="BH310" s="554">
        <f t="shared" si="79"/>
        <v>0</v>
      </c>
      <c r="BI310" s="554">
        <f t="shared" si="79"/>
        <v>0</v>
      </c>
      <c r="BJ310" s="554">
        <f t="shared" si="79"/>
        <v>1526357</v>
      </c>
      <c r="BK310" s="554">
        <f t="shared" si="79"/>
        <v>0</v>
      </c>
      <c r="BL310" s="554">
        <f t="shared" si="79"/>
        <v>0</v>
      </c>
      <c r="BM310" s="554">
        <f t="shared" si="79"/>
        <v>477312</v>
      </c>
      <c r="BN310" s="554">
        <f t="shared" ref="BN310:BR313" si="80">BN144</f>
        <v>0</v>
      </c>
      <c r="BO310" s="554">
        <f t="shared" si="80"/>
        <v>48174</v>
      </c>
      <c r="BP310" s="554">
        <f t="shared" si="80"/>
        <v>0</v>
      </c>
      <c r="BQ310" s="554">
        <f t="shared" si="80"/>
        <v>0</v>
      </c>
      <c r="BR310" s="554">
        <f t="shared" si="80"/>
        <v>0</v>
      </c>
      <c r="BS310" s="554">
        <f t="shared" ref="BS310:BV310" si="81">BS144</f>
        <v>518450</v>
      </c>
      <c r="BT310" s="554">
        <f t="shared" si="81"/>
        <v>0</v>
      </c>
      <c r="BU310" s="554">
        <f t="shared" si="81"/>
        <v>0</v>
      </c>
      <c r="BV310" s="554">
        <f t="shared" si="81"/>
        <v>364106</v>
      </c>
    </row>
    <row r="311" spans="1:74" x14ac:dyDescent="0.3">
      <c r="A311" s="554">
        <f t="shared" ref="A311:P313" si="82">A145</f>
        <v>555</v>
      </c>
      <c r="B311" s="554" t="str">
        <f t="shared" si="82"/>
        <v>Single Audit Only - Total amount of federal awards and grants that were audited as major as found on SEFSA</v>
      </c>
      <c r="C311" s="554">
        <f t="shared" si="82"/>
        <v>0</v>
      </c>
      <c r="D311" s="554">
        <f t="shared" si="82"/>
        <v>789761</v>
      </c>
      <c r="E311" s="554">
        <f t="shared" si="82"/>
        <v>25385840</v>
      </c>
      <c r="F311" s="554">
        <f t="shared" si="82"/>
        <v>0</v>
      </c>
      <c r="G311" s="554">
        <f t="shared" si="82"/>
        <v>0</v>
      </c>
      <c r="H311" s="554">
        <f t="shared" si="82"/>
        <v>2666541</v>
      </c>
      <c r="I311" s="554">
        <f t="shared" si="82"/>
        <v>0</v>
      </c>
      <c r="J311" s="554">
        <f t="shared" si="82"/>
        <v>0</v>
      </c>
      <c r="K311" s="554">
        <f t="shared" si="82"/>
        <v>0</v>
      </c>
      <c r="L311" s="554">
        <f t="shared" si="82"/>
        <v>955323</v>
      </c>
      <c r="M311" s="554">
        <f t="shared" si="82"/>
        <v>2982893</v>
      </c>
      <c r="N311" s="554">
        <f t="shared" si="82"/>
        <v>0</v>
      </c>
      <c r="O311" s="554">
        <f t="shared" si="82"/>
        <v>0</v>
      </c>
      <c r="P311" s="554">
        <f t="shared" si="82"/>
        <v>0</v>
      </c>
      <c r="Q311" s="554">
        <f t="shared" si="79"/>
        <v>0</v>
      </c>
      <c r="R311" s="554">
        <f t="shared" si="79"/>
        <v>0</v>
      </c>
      <c r="S311" s="554">
        <f t="shared" si="79"/>
        <v>0</v>
      </c>
      <c r="T311" s="554">
        <f t="shared" si="79"/>
        <v>2281874</v>
      </c>
      <c r="U311" s="554">
        <f t="shared" si="79"/>
        <v>0</v>
      </c>
      <c r="V311" s="554">
        <f t="shared" si="79"/>
        <v>0</v>
      </c>
      <c r="W311" s="554">
        <f t="shared" si="79"/>
        <v>0</v>
      </c>
      <c r="X311" s="554">
        <f t="shared" si="79"/>
        <v>2042196</v>
      </c>
      <c r="Y311" s="554">
        <f t="shared" si="79"/>
        <v>0</v>
      </c>
      <c r="Z311" s="554">
        <f t="shared" si="79"/>
        <v>11521180</v>
      </c>
      <c r="AA311" s="554">
        <f t="shared" si="79"/>
        <v>5477360</v>
      </c>
      <c r="AB311" s="554">
        <f t="shared" si="79"/>
        <v>0</v>
      </c>
      <c r="AC311" s="554">
        <f t="shared" si="79"/>
        <v>0</v>
      </c>
      <c r="AD311" s="554">
        <f t="shared" si="79"/>
        <v>0</v>
      </c>
      <c r="AE311" s="554">
        <f t="shared" si="79"/>
        <v>422007</v>
      </c>
      <c r="AF311" s="554">
        <f t="shared" si="79"/>
        <v>0</v>
      </c>
      <c r="AG311" s="554">
        <f t="shared" si="79"/>
        <v>0</v>
      </c>
      <c r="AH311" s="554">
        <f t="shared" si="79"/>
        <v>637099</v>
      </c>
      <c r="AI311" s="554">
        <f t="shared" si="79"/>
        <v>0</v>
      </c>
      <c r="AJ311" s="554">
        <f t="shared" si="79"/>
        <v>1040228</v>
      </c>
      <c r="AK311" s="554">
        <f t="shared" si="79"/>
        <v>0</v>
      </c>
      <c r="AL311" s="554">
        <f t="shared" si="79"/>
        <v>0</v>
      </c>
      <c r="AM311" s="554">
        <f t="shared" si="79"/>
        <v>0</v>
      </c>
      <c r="AN311" s="554">
        <f t="shared" si="79"/>
        <v>0</v>
      </c>
      <c r="AO311" s="554">
        <f t="shared" si="79"/>
        <v>5691543</v>
      </c>
      <c r="AP311" s="554">
        <f t="shared" si="79"/>
        <v>0</v>
      </c>
      <c r="AQ311" s="554">
        <f t="shared" si="79"/>
        <v>0</v>
      </c>
      <c r="AR311" s="554">
        <f t="shared" si="79"/>
        <v>0</v>
      </c>
      <c r="AS311" s="554">
        <f t="shared" si="79"/>
        <v>11259134</v>
      </c>
      <c r="AT311" s="554">
        <f t="shared" si="79"/>
        <v>0</v>
      </c>
      <c r="AU311" s="554">
        <f t="shared" si="79"/>
        <v>1138692</v>
      </c>
      <c r="AV311" s="554">
        <f t="shared" si="79"/>
        <v>0</v>
      </c>
      <c r="AW311" s="554">
        <f t="shared" si="79"/>
        <v>807394</v>
      </c>
      <c r="AX311" s="554">
        <f t="shared" si="79"/>
        <v>0</v>
      </c>
      <c r="AY311" s="554">
        <f t="shared" si="79"/>
        <v>0</v>
      </c>
      <c r="AZ311" s="554">
        <f t="shared" si="79"/>
        <v>1344626</v>
      </c>
      <c r="BA311" s="554">
        <f t="shared" si="79"/>
        <v>0</v>
      </c>
      <c r="BB311" s="554">
        <f t="shared" si="79"/>
        <v>0</v>
      </c>
      <c r="BC311" s="554">
        <f t="shared" si="79"/>
        <v>0</v>
      </c>
      <c r="BD311" s="554">
        <f t="shared" si="79"/>
        <v>1257622</v>
      </c>
      <c r="BE311" s="554">
        <f t="shared" si="79"/>
        <v>0</v>
      </c>
      <c r="BF311" s="554">
        <f t="shared" si="79"/>
        <v>6571346</v>
      </c>
      <c r="BG311" s="554">
        <f t="shared" si="79"/>
        <v>0</v>
      </c>
      <c r="BH311" s="554">
        <f t="shared" si="79"/>
        <v>0</v>
      </c>
      <c r="BI311" s="554">
        <f t="shared" si="79"/>
        <v>0</v>
      </c>
      <c r="BJ311" s="554">
        <f t="shared" si="79"/>
        <v>1271852</v>
      </c>
      <c r="BK311" s="554">
        <f t="shared" si="79"/>
        <v>0</v>
      </c>
      <c r="BL311" s="554">
        <f t="shared" si="79"/>
        <v>0</v>
      </c>
      <c r="BM311" s="554">
        <f t="shared" si="79"/>
        <v>0</v>
      </c>
      <c r="BN311" s="554">
        <f t="shared" si="80"/>
        <v>0</v>
      </c>
      <c r="BO311" s="554">
        <f t="shared" si="80"/>
        <v>0</v>
      </c>
      <c r="BP311" s="554">
        <f t="shared" si="80"/>
        <v>0</v>
      </c>
      <c r="BQ311" s="554">
        <f t="shared" si="80"/>
        <v>0</v>
      </c>
      <c r="BR311" s="554">
        <f t="shared" si="80"/>
        <v>0</v>
      </c>
      <c r="BS311" s="554">
        <f t="shared" ref="BS311:BV311" si="83">BS145</f>
        <v>0</v>
      </c>
      <c r="BT311" s="554">
        <f t="shared" si="83"/>
        <v>0</v>
      </c>
      <c r="BU311" s="554">
        <f t="shared" si="83"/>
        <v>0</v>
      </c>
      <c r="BV311" s="554">
        <f t="shared" si="83"/>
        <v>0</v>
      </c>
    </row>
    <row r="312" spans="1:74" x14ac:dyDescent="0.3">
      <c r="A312" s="554">
        <f t="shared" si="82"/>
        <v>556</v>
      </c>
      <c r="B312" s="554" t="str">
        <f t="shared" ref="B312:BM313" si="84">B146</f>
        <v>Single Audit Only - total amount of state awards and grants expended as found on SEFSA</v>
      </c>
      <c r="C312" s="554">
        <f t="shared" si="84"/>
        <v>0</v>
      </c>
      <c r="D312" s="554">
        <f t="shared" si="84"/>
        <v>831237</v>
      </c>
      <c r="E312" s="554">
        <f t="shared" si="84"/>
        <v>11571197</v>
      </c>
      <c r="F312" s="554">
        <f t="shared" si="84"/>
        <v>0</v>
      </c>
      <c r="G312" s="554">
        <f t="shared" si="84"/>
        <v>0</v>
      </c>
      <c r="H312" s="554">
        <f t="shared" si="84"/>
        <v>220192</v>
      </c>
      <c r="I312" s="554">
        <f t="shared" si="84"/>
        <v>0</v>
      </c>
      <c r="J312" s="554">
        <f t="shared" si="84"/>
        <v>0</v>
      </c>
      <c r="K312" s="554">
        <f t="shared" si="84"/>
        <v>0</v>
      </c>
      <c r="L312" s="554">
        <f t="shared" si="84"/>
        <v>1521883</v>
      </c>
      <c r="M312" s="554">
        <f t="shared" si="84"/>
        <v>755449</v>
      </c>
      <c r="N312" s="554">
        <f t="shared" si="84"/>
        <v>0</v>
      </c>
      <c r="O312" s="554">
        <f t="shared" si="84"/>
        <v>0</v>
      </c>
      <c r="P312" s="554">
        <f t="shared" si="84"/>
        <v>0</v>
      </c>
      <c r="Q312" s="554">
        <f t="shared" si="84"/>
        <v>0</v>
      </c>
      <c r="R312" s="554">
        <f t="shared" si="84"/>
        <v>0</v>
      </c>
      <c r="S312" s="554">
        <f t="shared" si="84"/>
        <v>0</v>
      </c>
      <c r="T312" s="554">
        <f t="shared" si="84"/>
        <v>1145622</v>
      </c>
      <c r="U312" s="554">
        <f t="shared" si="84"/>
        <v>0</v>
      </c>
      <c r="V312" s="554">
        <f t="shared" si="84"/>
        <v>0</v>
      </c>
      <c r="W312" s="554">
        <f t="shared" si="84"/>
        <v>0</v>
      </c>
      <c r="X312" s="554">
        <f t="shared" si="84"/>
        <v>659245</v>
      </c>
      <c r="Y312" s="554">
        <f t="shared" si="84"/>
        <v>0</v>
      </c>
      <c r="Z312" s="554">
        <f t="shared" si="84"/>
        <v>2057738</v>
      </c>
      <c r="AA312" s="554">
        <f t="shared" si="84"/>
        <v>277949</v>
      </c>
      <c r="AB312" s="554">
        <f t="shared" si="84"/>
        <v>0</v>
      </c>
      <c r="AC312" s="554">
        <f t="shared" si="84"/>
        <v>0</v>
      </c>
      <c r="AD312" s="554">
        <f t="shared" si="84"/>
        <v>0</v>
      </c>
      <c r="AE312" s="554">
        <f t="shared" si="84"/>
        <v>44219</v>
      </c>
      <c r="AF312" s="554">
        <f t="shared" si="84"/>
        <v>0</v>
      </c>
      <c r="AG312" s="554">
        <f t="shared" si="84"/>
        <v>0</v>
      </c>
      <c r="AH312" s="554">
        <f t="shared" si="84"/>
        <v>348731</v>
      </c>
      <c r="AI312" s="554">
        <f t="shared" si="84"/>
        <v>0</v>
      </c>
      <c r="AJ312" s="554">
        <f t="shared" si="84"/>
        <v>129122</v>
      </c>
      <c r="AK312" s="554">
        <f t="shared" si="84"/>
        <v>0</v>
      </c>
      <c r="AL312" s="554">
        <f t="shared" si="84"/>
        <v>0</v>
      </c>
      <c r="AM312" s="554">
        <f t="shared" si="84"/>
        <v>757771</v>
      </c>
      <c r="AN312" s="554">
        <f t="shared" si="84"/>
        <v>0</v>
      </c>
      <c r="AO312" s="554">
        <f t="shared" si="84"/>
        <v>2350066</v>
      </c>
      <c r="AP312" s="554">
        <f t="shared" si="84"/>
        <v>0</v>
      </c>
      <c r="AQ312" s="554">
        <f t="shared" si="84"/>
        <v>0</v>
      </c>
      <c r="AR312" s="554">
        <f t="shared" si="84"/>
        <v>0</v>
      </c>
      <c r="AS312" s="554">
        <f t="shared" si="84"/>
        <v>12834744</v>
      </c>
      <c r="AT312" s="554">
        <f t="shared" si="84"/>
        <v>0</v>
      </c>
      <c r="AU312" s="554">
        <f t="shared" si="84"/>
        <v>97070</v>
      </c>
      <c r="AV312" s="554">
        <f t="shared" si="84"/>
        <v>0</v>
      </c>
      <c r="AW312" s="554">
        <f t="shared" si="84"/>
        <v>39993</v>
      </c>
      <c r="AX312" s="554">
        <f t="shared" si="84"/>
        <v>0</v>
      </c>
      <c r="AY312" s="554">
        <f t="shared" si="84"/>
        <v>0</v>
      </c>
      <c r="AZ312" s="554">
        <f t="shared" si="84"/>
        <v>659117</v>
      </c>
      <c r="BA312" s="554">
        <f t="shared" si="84"/>
        <v>0</v>
      </c>
      <c r="BB312" s="554">
        <f t="shared" si="84"/>
        <v>0</v>
      </c>
      <c r="BC312" s="554">
        <f t="shared" si="84"/>
        <v>0</v>
      </c>
      <c r="BD312" s="554">
        <f t="shared" si="84"/>
        <v>228549</v>
      </c>
      <c r="BE312" s="554">
        <f t="shared" si="84"/>
        <v>0</v>
      </c>
      <c r="BF312" s="554">
        <f t="shared" si="84"/>
        <v>2153321</v>
      </c>
      <c r="BG312" s="554">
        <f t="shared" si="84"/>
        <v>0</v>
      </c>
      <c r="BH312" s="554">
        <f t="shared" si="84"/>
        <v>0</v>
      </c>
      <c r="BI312" s="554">
        <f t="shared" si="84"/>
        <v>0</v>
      </c>
      <c r="BJ312" s="554">
        <f t="shared" si="84"/>
        <v>12882390</v>
      </c>
      <c r="BK312" s="554">
        <f t="shared" si="84"/>
        <v>0</v>
      </c>
      <c r="BL312" s="554">
        <f t="shared" si="84"/>
        <v>0</v>
      </c>
      <c r="BM312" s="554">
        <f t="shared" si="84"/>
        <v>1539021</v>
      </c>
      <c r="BN312" s="554">
        <f t="shared" si="80"/>
        <v>0</v>
      </c>
      <c r="BO312" s="554">
        <f t="shared" si="80"/>
        <v>1180730</v>
      </c>
      <c r="BP312" s="554">
        <f t="shared" si="80"/>
        <v>0</v>
      </c>
      <c r="BQ312" s="554">
        <f t="shared" si="80"/>
        <v>0</v>
      </c>
      <c r="BR312" s="554">
        <f t="shared" si="80"/>
        <v>0</v>
      </c>
      <c r="BS312" s="554">
        <f t="shared" ref="BS312:BV312" si="85">BS146</f>
        <v>567113</v>
      </c>
      <c r="BT312" s="554">
        <f t="shared" si="85"/>
        <v>0</v>
      </c>
      <c r="BU312" s="554">
        <f t="shared" si="85"/>
        <v>0</v>
      </c>
      <c r="BV312" s="554">
        <f t="shared" si="85"/>
        <v>543831</v>
      </c>
    </row>
    <row r="313" spans="1:74" x14ac:dyDescent="0.3">
      <c r="A313" s="554">
        <f t="shared" si="82"/>
        <v>557</v>
      </c>
      <c r="B313" s="554" t="str">
        <f t="shared" si="84"/>
        <v>Single Audit Only - Total amount of state awards and grants that were audited as major as found on SEFSA</v>
      </c>
      <c r="C313" s="554">
        <f t="shared" si="84"/>
        <v>0</v>
      </c>
      <c r="D313" s="554">
        <f t="shared" si="84"/>
        <v>521017</v>
      </c>
      <c r="E313" s="554">
        <f t="shared" si="84"/>
        <v>3041187</v>
      </c>
      <c r="F313" s="554">
        <f t="shared" si="84"/>
        <v>0</v>
      </c>
      <c r="G313" s="554">
        <f t="shared" si="84"/>
        <v>0</v>
      </c>
      <c r="H313" s="554">
        <f t="shared" si="84"/>
        <v>0</v>
      </c>
      <c r="I313" s="554">
        <f t="shared" si="84"/>
        <v>0</v>
      </c>
      <c r="J313" s="554">
        <f t="shared" si="84"/>
        <v>0</v>
      </c>
      <c r="K313" s="554">
        <f t="shared" si="84"/>
        <v>0</v>
      </c>
      <c r="L313" s="554">
        <f t="shared" si="84"/>
        <v>1196962</v>
      </c>
      <c r="M313" s="554">
        <f t="shared" si="84"/>
        <v>496195</v>
      </c>
      <c r="N313" s="554">
        <f t="shared" si="84"/>
        <v>0</v>
      </c>
      <c r="O313" s="554">
        <f t="shared" si="84"/>
        <v>0</v>
      </c>
      <c r="P313" s="554">
        <f t="shared" si="84"/>
        <v>0</v>
      </c>
      <c r="Q313" s="554">
        <f t="shared" si="84"/>
        <v>0</v>
      </c>
      <c r="R313" s="554">
        <f t="shared" si="84"/>
        <v>0</v>
      </c>
      <c r="S313" s="554">
        <f t="shared" si="84"/>
        <v>0</v>
      </c>
      <c r="T313" s="554">
        <f t="shared" si="84"/>
        <v>619751</v>
      </c>
      <c r="U313" s="554">
        <f t="shared" si="84"/>
        <v>0</v>
      </c>
      <c r="V313" s="554">
        <f t="shared" si="84"/>
        <v>0</v>
      </c>
      <c r="W313" s="554">
        <f t="shared" si="84"/>
        <v>0</v>
      </c>
      <c r="X313" s="554">
        <f t="shared" si="84"/>
        <v>340251</v>
      </c>
      <c r="Y313" s="554">
        <f t="shared" si="84"/>
        <v>0</v>
      </c>
      <c r="Z313" s="554">
        <f t="shared" si="84"/>
        <v>832229</v>
      </c>
      <c r="AA313" s="554">
        <f t="shared" si="84"/>
        <v>0</v>
      </c>
      <c r="AB313" s="554">
        <f t="shared" si="84"/>
        <v>0</v>
      </c>
      <c r="AC313" s="554">
        <f t="shared" si="84"/>
        <v>0</v>
      </c>
      <c r="AD313" s="554">
        <f t="shared" si="84"/>
        <v>0</v>
      </c>
      <c r="AE313" s="554">
        <f t="shared" si="84"/>
        <v>0</v>
      </c>
      <c r="AF313" s="554">
        <f t="shared" si="84"/>
        <v>0</v>
      </c>
      <c r="AG313" s="554">
        <f t="shared" si="84"/>
        <v>0</v>
      </c>
      <c r="AH313" s="554">
        <f t="shared" si="84"/>
        <v>0</v>
      </c>
      <c r="AI313" s="554">
        <f t="shared" si="84"/>
        <v>0</v>
      </c>
      <c r="AJ313" s="554">
        <f t="shared" si="84"/>
        <v>0</v>
      </c>
      <c r="AK313" s="554">
        <f t="shared" si="84"/>
        <v>0</v>
      </c>
      <c r="AL313" s="554">
        <f t="shared" si="84"/>
        <v>0</v>
      </c>
      <c r="AM313" s="554">
        <f t="shared" si="84"/>
        <v>672303</v>
      </c>
      <c r="AN313" s="554">
        <f t="shared" si="84"/>
        <v>0</v>
      </c>
      <c r="AO313" s="554">
        <f t="shared" si="84"/>
        <v>1963594</v>
      </c>
      <c r="AP313" s="554">
        <f t="shared" si="84"/>
        <v>0</v>
      </c>
      <c r="AQ313" s="554">
        <f t="shared" si="84"/>
        <v>0</v>
      </c>
      <c r="AR313" s="554">
        <f t="shared" si="84"/>
        <v>0</v>
      </c>
      <c r="AS313" s="554">
        <f t="shared" si="84"/>
        <v>11483990</v>
      </c>
      <c r="AT313" s="554">
        <f t="shared" si="84"/>
        <v>0</v>
      </c>
      <c r="AU313" s="554">
        <f t="shared" si="84"/>
        <v>97070</v>
      </c>
      <c r="AV313" s="554">
        <f t="shared" si="84"/>
        <v>0</v>
      </c>
      <c r="AW313" s="554">
        <f t="shared" si="84"/>
        <v>0</v>
      </c>
      <c r="AX313" s="554">
        <f t="shared" si="84"/>
        <v>0</v>
      </c>
      <c r="AY313" s="554">
        <f t="shared" si="84"/>
        <v>0</v>
      </c>
      <c r="AZ313" s="554">
        <f t="shared" si="84"/>
        <v>388803</v>
      </c>
      <c r="BA313" s="554">
        <f t="shared" si="84"/>
        <v>0</v>
      </c>
      <c r="BB313" s="554">
        <f t="shared" si="84"/>
        <v>0</v>
      </c>
      <c r="BC313" s="554">
        <f t="shared" si="84"/>
        <v>0</v>
      </c>
      <c r="BD313" s="554">
        <f t="shared" si="84"/>
        <v>0</v>
      </c>
      <c r="BE313" s="554">
        <f t="shared" si="84"/>
        <v>0</v>
      </c>
      <c r="BF313" s="554">
        <f t="shared" si="84"/>
        <v>1735786</v>
      </c>
      <c r="BG313" s="554">
        <f t="shared" si="84"/>
        <v>0</v>
      </c>
      <c r="BH313" s="554">
        <f t="shared" si="84"/>
        <v>0</v>
      </c>
      <c r="BI313" s="554">
        <f t="shared" si="84"/>
        <v>0</v>
      </c>
      <c r="BJ313" s="554">
        <f t="shared" si="84"/>
        <v>1698528</v>
      </c>
      <c r="BK313" s="554">
        <f t="shared" si="84"/>
        <v>0</v>
      </c>
      <c r="BL313" s="554">
        <f t="shared" si="84"/>
        <v>0</v>
      </c>
      <c r="BM313" s="554">
        <f t="shared" si="84"/>
        <v>1408247</v>
      </c>
      <c r="BN313" s="554">
        <f t="shared" si="80"/>
        <v>0</v>
      </c>
      <c r="BO313" s="554">
        <f t="shared" si="80"/>
        <v>787555</v>
      </c>
      <c r="BP313" s="554">
        <f t="shared" si="80"/>
        <v>0</v>
      </c>
      <c r="BQ313" s="554">
        <f t="shared" si="80"/>
        <v>0</v>
      </c>
      <c r="BR313" s="554">
        <f t="shared" si="80"/>
        <v>0</v>
      </c>
      <c r="BS313" s="554">
        <f t="shared" ref="BS313:BV313" si="86">BS147</f>
        <v>517500</v>
      </c>
      <c r="BT313" s="554">
        <f t="shared" si="86"/>
        <v>0</v>
      </c>
      <c r="BU313" s="554">
        <f t="shared" si="86"/>
        <v>0</v>
      </c>
      <c r="BV313" s="554">
        <f t="shared" si="86"/>
        <v>434829</v>
      </c>
    </row>
    <row r="314" spans="1:74" x14ac:dyDescent="0.3">
      <c r="A314" s="554">
        <f>A164</f>
        <v>606</v>
      </c>
      <c r="B314" s="554" t="str">
        <f t="shared" ref="B314:BM314" si="87">B164</f>
        <v>Compliance opinion - enter "1" for clean Opinion or "2" for other than clean opinion</v>
      </c>
      <c r="C314" s="554">
        <f t="shared" si="87"/>
        <v>0</v>
      </c>
      <c r="D314" s="554">
        <f t="shared" si="87"/>
        <v>1</v>
      </c>
      <c r="E314" s="554">
        <f t="shared" si="87"/>
        <v>1</v>
      </c>
      <c r="F314" s="554">
        <f t="shared" si="87"/>
        <v>0</v>
      </c>
      <c r="G314" s="554">
        <f t="shared" si="87"/>
        <v>0</v>
      </c>
      <c r="H314" s="554">
        <f t="shared" si="87"/>
        <v>1</v>
      </c>
      <c r="I314" s="554">
        <f t="shared" si="87"/>
        <v>0</v>
      </c>
      <c r="J314" s="554">
        <f t="shared" si="87"/>
        <v>0</v>
      </c>
      <c r="K314" s="554">
        <f t="shared" si="87"/>
        <v>0</v>
      </c>
      <c r="L314" s="554">
        <f t="shared" si="87"/>
        <v>1</v>
      </c>
      <c r="M314" s="554">
        <f t="shared" si="87"/>
        <v>1</v>
      </c>
      <c r="N314" s="554">
        <f t="shared" si="87"/>
        <v>0</v>
      </c>
      <c r="O314" s="554">
        <f t="shared" si="87"/>
        <v>0</v>
      </c>
      <c r="P314" s="554">
        <f t="shared" si="87"/>
        <v>0</v>
      </c>
      <c r="Q314" s="554">
        <f t="shared" si="87"/>
        <v>0</v>
      </c>
      <c r="R314" s="554">
        <f t="shared" si="87"/>
        <v>0</v>
      </c>
      <c r="S314" s="554">
        <f t="shared" si="87"/>
        <v>0</v>
      </c>
      <c r="T314" s="554">
        <f t="shared" si="87"/>
        <v>1</v>
      </c>
      <c r="U314" s="554">
        <f t="shared" si="87"/>
        <v>0</v>
      </c>
      <c r="V314" s="554">
        <f t="shared" si="87"/>
        <v>0</v>
      </c>
      <c r="W314" s="554">
        <f t="shared" si="87"/>
        <v>0</v>
      </c>
      <c r="X314" s="554">
        <f t="shared" si="87"/>
        <v>1</v>
      </c>
      <c r="Y314" s="554">
        <f t="shared" si="87"/>
        <v>0</v>
      </c>
      <c r="Z314" s="554">
        <f t="shared" si="87"/>
        <v>1</v>
      </c>
      <c r="AA314" s="554">
        <f t="shared" si="87"/>
        <v>1</v>
      </c>
      <c r="AB314" s="554">
        <f t="shared" si="87"/>
        <v>0</v>
      </c>
      <c r="AC314" s="554">
        <f t="shared" si="87"/>
        <v>0</v>
      </c>
      <c r="AD314" s="554">
        <f t="shared" si="87"/>
        <v>0</v>
      </c>
      <c r="AE314" s="554">
        <f t="shared" si="87"/>
        <v>1</v>
      </c>
      <c r="AF314" s="554">
        <f t="shared" si="87"/>
        <v>0</v>
      </c>
      <c r="AG314" s="554">
        <f t="shared" si="87"/>
        <v>0</v>
      </c>
      <c r="AH314" s="554">
        <f t="shared" si="87"/>
        <v>1</v>
      </c>
      <c r="AI314" s="554">
        <f t="shared" si="87"/>
        <v>0</v>
      </c>
      <c r="AJ314" s="554">
        <f t="shared" si="87"/>
        <v>1</v>
      </c>
      <c r="AK314" s="554">
        <f t="shared" si="87"/>
        <v>0</v>
      </c>
      <c r="AL314" s="554">
        <f t="shared" si="87"/>
        <v>0</v>
      </c>
      <c r="AM314" s="554">
        <f t="shared" si="87"/>
        <v>1</v>
      </c>
      <c r="AN314" s="554">
        <f t="shared" si="87"/>
        <v>0</v>
      </c>
      <c r="AO314" s="554">
        <f t="shared" si="87"/>
        <v>1</v>
      </c>
      <c r="AP314" s="554">
        <f t="shared" si="87"/>
        <v>0</v>
      </c>
      <c r="AQ314" s="554">
        <f t="shared" si="87"/>
        <v>0</v>
      </c>
      <c r="AR314" s="554">
        <f t="shared" si="87"/>
        <v>0</v>
      </c>
      <c r="AS314" s="554">
        <f t="shared" si="87"/>
        <v>1</v>
      </c>
      <c r="AT314" s="554">
        <f t="shared" si="87"/>
        <v>0</v>
      </c>
      <c r="AU314" s="554">
        <f t="shared" si="87"/>
        <v>1</v>
      </c>
      <c r="AV314" s="554">
        <f t="shared" si="87"/>
        <v>0</v>
      </c>
      <c r="AW314" s="554">
        <f t="shared" si="87"/>
        <v>1</v>
      </c>
      <c r="AX314" s="554">
        <f t="shared" si="87"/>
        <v>0</v>
      </c>
      <c r="AY314" s="554">
        <f t="shared" si="87"/>
        <v>0</v>
      </c>
      <c r="AZ314" s="554">
        <f t="shared" si="87"/>
        <v>1</v>
      </c>
      <c r="BA314" s="554">
        <f t="shared" si="87"/>
        <v>0</v>
      </c>
      <c r="BB314" s="554">
        <f t="shared" si="87"/>
        <v>0</v>
      </c>
      <c r="BC314" s="554">
        <f t="shared" si="87"/>
        <v>0</v>
      </c>
      <c r="BD314" s="554">
        <f t="shared" si="87"/>
        <v>1</v>
      </c>
      <c r="BE314" s="554">
        <f t="shared" si="87"/>
        <v>0</v>
      </c>
      <c r="BF314" s="554">
        <f t="shared" si="87"/>
        <v>1</v>
      </c>
      <c r="BG314" s="554">
        <f t="shared" si="87"/>
        <v>0</v>
      </c>
      <c r="BH314" s="554">
        <f t="shared" si="87"/>
        <v>0</v>
      </c>
      <c r="BI314" s="554">
        <f t="shared" si="87"/>
        <v>0</v>
      </c>
      <c r="BJ314" s="554">
        <f t="shared" si="87"/>
        <v>1</v>
      </c>
      <c r="BK314" s="554">
        <f t="shared" si="87"/>
        <v>0</v>
      </c>
      <c r="BL314" s="554">
        <f t="shared" si="87"/>
        <v>0</v>
      </c>
      <c r="BM314" s="554">
        <f t="shared" si="87"/>
        <v>1</v>
      </c>
      <c r="BN314" s="554">
        <f t="shared" ref="BN314:BR314" si="88">BN164</f>
        <v>0</v>
      </c>
      <c r="BO314" s="554">
        <f t="shared" si="88"/>
        <v>1</v>
      </c>
      <c r="BP314" s="554">
        <f t="shared" si="88"/>
        <v>0</v>
      </c>
      <c r="BQ314" s="554">
        <f t="shared" si="88"/>
        <v>0</v>
      </c>
      <c r="BR314" s="554">
        <f t="shared" si="88"/>
        <v>0</v>
      </c>
      <c r="BS314" s="554">
        <f t="shared" ref="BS314:BV314" si="89">BS164</f>
        <v>1</v>
      </c>
      <c r="BT314" s="554">
        <f t="shared" si="89"/>
        <v>0</v>
      </c>
      <c r="BU314" s="554">
        <f t="shared" si="89"/>
        <v>0</v>
      </c>
      <c r="BV314" s="554">
        <f t="shared" si="89"/>
        <v>1</v>
      </c>
    </row>
    <row r="315" spans="1:74" s="180" customFormat="1" x14ac:dyDescent="0.3">
      <c r="A315" s="555">
        <f>A58</f>
        <v>336</v>
      </c>
      <c r="B315" s="555" t="str">
        <f t="shared" ref="B315:BM315" si="90">B58</f>
        <v>Gov - Select Current Liabilities</v>
      </c>
      <c r="C315" s="555">
        <f t="shared" si="90"/>
        <v>0</v>
      </c>
      <c r="D315" s="555">
        <f t="shared" si="90"/>
        <v>612749</v>
      </c>
      <c r="E315" s="555">
        <f t="shared" si="90"/>
        <v>170443579</v>
      </c>
      <c r="F315" s="555">
        <f t="shared" si="90"/>
        <v>0</v>
      </c>
      <c r="G315" s="555">
        <f t="shared" si="90"/>
        <v>0</v>
      </c>
      <c r="H315" s="555">
        <f t="shared" si="90"/>
        <v>94093</v>
      </c>
      <c r="I315" s="555">
        <f t="shared" si="90"/>
        <v>0</v>
      </c>
      <c r="J315" s="555">
        <f t="shared" si="90"/>
        <v>4812</v>
      </c>
      <c r="K315" s="555">
        <f t="shared" si="90"/>
        <v>20919</v>
      </c>
      <c r="L315" s="555">
        <f t="shared" si="90"/>
        <v>421928</v>
      </c>
      <c r="M315" s="555">
        <f t="shared" si="90"/>
        <v>4251922</v>
      </c>
      <c r="N315" s="555">
        <f t="shared" si="90"/>
        <v>1931</v>
      </c>
      <c r="O315" s="555">
        <f t="shared" si="90"/>
        <v>33455</v>
      </c>
      <c r="P315" s="555">
        <f t="shared" si="90"/>
        <v>0</v>
      </c>
      <c r="Q315" s="555">
        <f t="shared" si="90"/>
        <v>24640</v>
      </c>
      <c r="R315" s="555">
        <f t="shared" si="90"/>
        <v>33431</v>
      </c>
      <c r="S315" s="555">
        <f t="shared" si="90"/>
        <v>50919</v>
      </c>
      <c r="T315" s="555">
        <f t="shared" si="90"/>
        <v>1891374</v>
      </c>
      <c r="U315" s="555">
        <f t="shared" si="90"/>
        <v>0</v>
      </c>
      <c r="V315" s="555">
        <f t="shared" si="90"/>
        <v>0</v>
      </c>
      <c r="W315" s="555">
        <f t="shared" si="90"/>
        <v>0</v>
      </c>
      <c r="X315" s="555">
        <f t="shared" si="90"/>
        <v>407371</v>
      </c>
      <c r="Y315" s="555">
        <f t="shared" si="90"/>
        <v>76910</v>
      </c>
      <c r="Z315" s="555">
        <f t="shared" si="90"/>
        <v>12243642</v>
      </c>
      <c r="AA315" s="555">
        <f t="shared" si="90"/>
        <v>1556613</v>
      </c>
      <c r="AB315" s="555">
        <f t="shared" si="90"/>
        <v>0</v>
      </c>
      <c r="AC315" s="555">
        <f t="shared" si="90"/>
        <v>21841</v>
      </c>
      <c r="AD315" s="555">
        <f t="shared" si="90"/>
        <v>474922</v>
      </c>
      <c r="AE315" s="555">
        <f t="shared" si="90"/>
        <v>31295</v>
      </c>
      <c r="AF315" s="555">
        <f t="shared" si="90"/>
        <v>36809</v>
      </c>
      <c r="AG315" s="555">
        <f t="shared" si="90"/>
        <v>105784</v>
      </c>
      <c r="AH315" s="555">
        <f t="shared" si="90"/>
        <v>1131504</v>
      </c>
      <c r="AI315" s="555">
        <f t="shared" si="90"/>
        <v>4043</v>
      </c>
      <c r="AJ315" s="555">
        <f t="shared" si="90"/>
        <v>242381</v>
      </c>
      <c r="AK315" s="555">
        <f t="shared" si="90"/>
        <v>1800</v>
      </c>
      <c r="AL315" s="555">
        <f t="shared" si="90"/>
        <v>360679</v>
      </c>
      <c r="AM315" s="555">
        <f t="shared" si="90"/>
        <v>2105070</v>
      </c>
      <c r="AN315" s="555">
        <f t="shared" si="90"/>
        <v>7471</v>
      </c>
      <c r="AO315" s="555">
        <f t="shared" si="90"/>
        <v>5516097</v>
      </c>
      <c r="AP315" s="555">
        <f t="shared" si="90"/>
        <v>69971</v>
      </c>
      <c r="AQ315" s="555">
        <f t="shared" si="90"/>
        <v>1376</v>
      </c>
      <c r="AR315" s="555">
        <f t="shared" si="90"/>
        <v>17744</v>
      </c>
      <c r="AS315" s="555">
        <f t="shared" si="90"/>
        <v>5961392</v>
      </c>
      <c r="AT315" s="555">
        <f t="shared" si="90"/>
        <v>7540</v>
      </c>
      <c r="AU315" s="555">
        <f t="shared" si="90"/>
        <v>67832</v>
      </c>
      <c r="AV315" s="555">
        <f t="shared" si="90"/>
        <v>37958</v>
      </c>
      <c r="AW315" s="555">
        <f t="shared" si="90"/>
        <v>23318</v>
      </c>
      <c r="AX315" s="555">
        <f t="shared" si="90"/>
        <v>0</v>
      </c>
      <c r="AY315" s="555">
        <f t="shared" si="90"/>
        <v>18626</v>
      </c>
      <c r="AZ315" s="555">
        <f t="shared" si="90"/>
        <v>383233</v>
      </c>
      <c r="BA315" s="555">
        <f t="shared" si="90"/>
        <v>196115</v>
      </c>
      <c r="BB315" s="555">
        <f t="shared" si="90"/>
        <v>837</v>
      </c>
      <c r="BC315" s="555">
        <f t="shared" si="90"/>
        <v>0</v>
      </c>
      <c r="BD315" s="555">
        <f t="shared" si="90"/>
        <v>2088027</v>
      </c>
      <c r="BE315" s="555">
        <f t="shared" si="90"/>
        <v>176124</v>
      </c>
      <c r="BF315" s="555">
        <f t="shared" si="90"/>
        <v>7197592</v>
      </c>
      <c r="BG315" s="555">
        <f t="shared" si="90"/>
        <v>0</v>
      </c>
      <c r="BH315" s="555">
        <f t="shared" si="90"/>
        <v>6495</v>
      </c>
      <c r="BI315" s="555">
        <f t="shared" si="90"/>
        <v>70263</v>
      </c>
      <c r="BJ315" s="555">
        <f t="shared" si="90"/>
        <v>1024285</v>
      </c>
      <c r="BK315" s="555">
        <f t="shared" si="90"/>
        <v>219913</v>
      </c>
      <c r="BL315" s="555">
        <f t="shared" si="90"/>
        <v>2339149</v>
      </c>
      <c r="BM315" s="555">
        <f t="shared" si="90"/>
        <v>1288231</v>
      </c>
      <c r="BN315" s="555">
        <f t="shared" ref="BN315:BR315" si="91">BN58</f>
        <v>7466930</v>
      </c>
      <c r="BO315" s="555">
        <f t="shared" si="91"/>
        <v>630736</v>
      </c>
      <c r="BP315" s="555">
        <f t="shared" si="91"/>
        <v>0</v>
      </c>
      <c r="BQ315" s="555">
        <f t="shared" si="91"/>
        <v>417164</v>
      </c>
      <c r="BR315" s="555">
        <f t="shared" si="91"/>
        <v>0</v>
      </c>
      <c r="BS315" s="555">
        <f t="shared" ref="BS315:BV315" si="92">BS58</f>
        <v>281413</v>
      </c>
      <c r="BT315" s="555">
        <f t="shared" si="92"/>
        <v>71544</v>
      </c>
      <c r="BU315" s="555">
        <f t="shared" si="92"/>
        <v>0</v>
      </c>
      <c r="BV315" s="555">
        <f t="shared" si="92"/>
        <v>155848</v>
      </c>
    </row>
    <row r="316" spans="1:74" s="180" customFormat="1" x14ac:dyDescent="0.3">
      <c r="A316" s="555">
        <f>A14</f>
        <v>44</v>
      </c>
      <c r="B316" s="555" t="str">
        <f t="shared" ref="B316:BM317" si="93">B14</f>
        <v>WS - Total Current Assets</v>
      </c>
      <c r="C316" s="555">
        <f t="shared" si="93"/>
        <v>0</v>
      </c>
      <c r="D316" s="555">
        <f t="shared" si="93"/>
        <v>7294753</v>
      </c>
      <c r="E316" s="555">
        <f t="shared" si="93"/>
        <v>512512208</v>
      </c>
      <c r="F316" s="555">
        <f t="shared" si="93"/>
        <v>0</v>
      </c>
      <c r="G316" s="555">
        <f t="shared" si="93"/>
        <v>0</v>
      </c>
      <c r="H316" s="555">
        <f t="shared" si="93"/>
        <v>1252849</v>
      </c>
      <c r="I316" s="555">
        <f t="shared" si="93"/>
        <v>0</v>
      </c>
      <c r="J316" s="555">
        <f t="shared" si="93"/>
        <v>0</v>
      </c>
      <c r="K316" s="555">
        <f t="shared" si="93"/>
        <v>0</v>
      </c>
      <c r="L316" s="555">
        <f t="shared" si="93"/>
        <v>542909</v>
      </c>
      <c r="M316" s="555">
        <f t="shared" si="93"/>
        <v>10086046</v>
      </c>
      <c r="N316" s="555">
        <f t="shared" si="93"/>
        <v>0</v>
      </c>
      <c r="O316" s="555">
        <f t="shared" si="93"/>
        <v>689512</v>
      </c>
      <c r="P316" s="555">
        <f t="shared" si="93"/>
        <v>0</v>
      </c>
      <c r="Q316" s="555">
        <f t="shared" si="93"/>
        <v>0</v>
      </c>
      <c r="R316" s="555">
        <f t="shared" si="93"/>
        <v>0</v>
      </c>
      <c r="S316" s="555">
        <f t="shared" si="93"/>
        <v>1356593</v>
      </c>
      <c r="T316" s="555">
        <f t="shared" si="93"/>
        <v>0</v>
      </c>
      <c r="U316" s="555">
        <f t="shared" si="93"/>
        <v>0</v>
      </c>
      <c r="V316" s="555">
        <f t="shared" si="93"/>
        <v>0</v>
      </c>
      <c r="W316" s="555">
        <f t="shared" si="93"/>
        <v>0</v>
      </c>
      <c r="X316" s="555">
        <f t="shared" si="93"/>
        <v>5570695</v>
      </c>
      <c r="Y316" s="555">
        <f t="shared" si="93"/>
        <v>0</v>
      </c>
      <c r="Z316" s="555">
        <f t="shared" si="93"/>
        <v>17585141</v>
      </c>
      <c r="AA316" s="555">
        <f t="shared" si="93"/>
        <v>0</v>
      </c>
      <c r="AB316" s="555">
        <f t="shared" si="93"/>
        <v>0</v>
      </c>
      <c r="AC316" s="555">
        <f t="shared" si="93"/>
        <v>131153</v>
      </c>
      <c r="AD316" s="555">
        <f t="shared" si="93"/>
        <v>1233022</v>
      </c>
      <c r="AE316" s="555">
        <f t="shared" si="93"/>
        <v>631728</v>
      </c>
      <c r="AF316" s="555">
        <f t="shared" si="93"/>
        <v>1046716</v>
      </c>
      <c r="AG316" s="555">
        <f t="shared" si="93"/>
        <v>195412</v>
      </c>
      <c r="AH316" s="555">
        <f t="shared" si="93"/>
        <v>1144418</v>
      </c>
      <c r="AI316" s="555">
        <f t="shared" si="93"/>
        <v>0</v>
      </c>
      <c r="AJ316" s="555">
        <f t="shared" si="93"/>
        <v>0</v>
      </c>
      <c r="AK316" s="555">
        <f t="shared" si="93"/>
        <v>0</v>
      </c>
      <c r="AL316" s="555">
        <f t="shared" si="93"/>
        <v>1115943</v>
      </c>
      <c r="AM316" s="555">
        <f t="shared" si="93"/>
        <v>1319118</v>
      </c>
      <c r="AN316" s="555">
        <f t="shared" si="93"/>
        <v>272657</v>
      </c>
      <c r="AO316" s="555">
        <f t="shared" si="93"/>
        <v>45207323</v>
      </c>
      <c r="AP316" s="555">
        <f t="shared" si="93"/>
        <v>515752</v>
      </c>
      <c r="AQ316" s="555">
        <f t="shared" si="93"/>
        <v>0</v>
      </c>
      <c r="AR316" s="555">
        <f t="shared" si="93"/>
        <v>57952</v>
      </c>
      <c r="AS316" s="555">
        <f t="shared" si="93"/>
        <v>32031116</v>
      </c>
      <c r="AT316" s="555">
        <f t="shared" si="93"/>
        <v>754985</v>
      </c>
      <c r="AU316" s="555">
        <f t="shared" si="93"/>
        <v>5457203</v>
      </c>
      <c r="AV316" s="555">
        <f t="shared" si="93"/>
        <v>1202373</v>
      </c>
      <c r="AW316" s="555">
        <f t="shared" si="93"/>
        <v>915534</v>
      </c>
      <c r="AX316" s="555">
        <f t="shared" si="93"/>
        <v>0</v>
      </c>
      <c r="AY316" s="555">
        <f t="shared" si="93"/>
        <v>15683</v>
      </c>
      <c r="AZ316" s="555">
        <f t="shared" si="93"/>
        <v>7494342</v>
      </c>
      <c r="BA316" s="555">
        <f t="shared" si="93"/>
        <v>272885</v>
      </c>
      <c r="BB316" s="555">
        <f t="shared" si="93"/>
        <v>1028459</v>
      </c>
      <c r="BC316" s="555">
        <f t="shared" si="93"/>
        <v>657545</v>
      </c>
      <c r="BD316" s="555">
        <f t="shared" si="93"/>
        <v>5488359</v>
      </c>
      <c r="BE316" s="555">
        <f t="shared" si="93"/>
        <v>948614</v>
      </c>
      <c r="BF316" s="555">
        <f t="shared" si="93"/>
        <v>17562840</v>
      </c>
      <c r="BG316" s="555">
        <f t="shared" si="93"/>
        <v>0</v>
      </c>
      <c r="BH316" s="555">
        <f t="shared" si="93"/>
        <v>0</v>
      </c>
      <c r="BI316" s="555">
        <f t="shared" si="93"/>
        <v>958919</v>
      </c>
      <c r="BJ316" s="555">
        <f t="shared" si="93"/>
        <v>15930087</v>
      </c>
      <c r="BK316" s="555">
        <f t="shared" si="93"/>
        <v>1591402</v>
      </c>
      <c r="BL316" s="555">
        <f t="shared" si="93"/>
        <v>17602720</v>
      </c>
      <c r="BM316" s="555">
        <f t="shared" si="93"/>
        <v>0</v>
      </c>
      <c r="BN316" s="555">
        <f t="shared" ref="BN316:BR319" si="94">BN14</f>
        <v>7689528</v>
      </c>
      <c r="BO316" s="555">
        <f t="shared" si="94"/>
        <v>1603004</v>
      </c>
      <c r="BP316" s="555">
        <f t="shared" si="94"/>
        <v>0</v>
      </c>
      <c r="BQ316" s="555">
        <f t="shared" si="94"/>
        <v>0</v>
      </c>
      <c r="BR316" s="555">
        <f t="shared" si="94"/>
        <v>0</v>
      </c>
      <c r="BS316" s="555">
        <f t="shared" ref="BS316:BV316" si="95">BS14</f>
        <v>1091883</v>
      </c>
      <c r="BT316" s="555">
        <f t="shared" si="95"/>
        <v>568993</v>
      </c>
      <c r="BU316" s="555">
        <f t="shared" si="95"/>
        <v>0</v>
      </c>
      <c r="BV316" s="555">
        <f t="shared" si="95"/>
        <v>625414</v>
      </c>
    </row>
    <row r="317" spans="1:74" s="180" customFormat="1" x14ac:dyDescent="0.3">
      <c r="A317" s="555">
        <f t="shared" ref="A317:P319" si="96">A15</f>
        <v>45</v>
      </c>
      <c r="B317" s="555" t="str">
        <f t="shared" si="96"/>
        <v>WS - Select Current Liabilities</v>
      </c>
      <c r="C317" s="555">
        <f t="shared" si="96"/>
        <v>0</v>
      </c>
      <c r="D317" s="555">
        <f t="shared" si="96"/>
        <v>714946</v>
      </c>
      <c r="E317" s="555">
        <f t="shared" si="96"/>
        <v>21554467</v>
      </c>
      <c r="F317" s="555">
        <f t="shared" si="96"/>
        <v>0</v>
      </c>
      <c r="G317" s="555">
        <f t="shared" si="96"/>
        <v>0</v>
      </c>
      <c r="H317" s="555">
        <f t="shared" si="96"/>
        <v>17607</v>
      </c>
      <c r="I317" s="555">
        <f t="shared" si="96"/>
        <v>0</v>
      </c>
      <c r="J317" s="555">
        <f t="shared" si="96"/>
        <v>0</v>
      </c>
      <c r="K317" s="555">
        <f t="shared" si="96"/>
        <v>0</v>
      </c>
      <c r="L317" s="555">
        <f t="shared" si="96"/>
        <v>171501</v>
      </c>
      <c r="M317" s="555">
        <f t="shared" si="96"/>
        <v>1892459</v>
      </c>
      <c r="N317" s="555">
        <f t="shared" si="96"/>
        <v>0</v>
      </c>
      <c r="O317" s="555">
        <f t="shared" si="96"/>
        <v>42212</v>
      </c>
      <c r="P317" s="555">
        <f t="shared" si="96"/>
        <v>0</v>
      </c>
      <c r="Q317" s="555">
        <f t="shared" si="93"/>
        <v>0</v>
      </c>
      <c r="R317" s="555">
        <f t="shared" si="93"/>
        <v>0</v>
      </c>
      <c r="S317" s="555">
        <f t="shared" si="93"/>
        <v>467498</v>
      </c>
      <c r="T317" s="555">
        <f t="shared" si="93"/>
        <v>0</v>
      </c>
      <c r="U317" s="555">
        <f t="shared" si="93"/>
        <v>0</v>
      </c>
      <c r="V317" s="555">
        <f t="shared" si="93"/>
        <v>0</v>
      </c>
      <c r="W317" s="555">
        <f t="shared" si="93"/>
        <v>0</v>
      </c>
      <c r="X317" s="555">
        <f t="shared" si="93"/>
        <v>394351</v>
      </c>
      <c r="Y317" s="555">
        <f t="shared" si="93"/>
        <v>0</v>
      </c>
      <c r="Z317" s="555">
        <f t="shared" si="93"/>
        <v>1504398</v>
      </c>
      <c r="AA317" s="555">
        <f t="shared" si="93"/>
        <v>0</v>
      </c>
      <c r="AB317" s="555">
        <f t="shared" si="93"/>
        <v>0</v>
      </c>
      <c r="AC317" s="555">
        <f t="shared" si="93"/>
        <v>111712</v>
      </c>
      <c r="AD317" s="555">
        <f t="shared" si="93"/>
        <v>51678</v>
      </c>
      <c r="AE317" s="555">
        <f t="shared" si="93"/>
        <v>422599</v>
      </c>
      <c r="AF317" s="555">
        <f t="shared" si="93"/>
        <v>54282</v>
      </c>
      <c r="AG317" s="555">
        <f t="shared" si="93"/>
        <v>134062</v>
      </c>
      <c r="AH317" s="555">
        <f t="shared" si="93"/>
        <v>1264997</v>
      </c>
      <c r="AI317" s="555">
        <f t="shared" si="93"/>
        <v>0</v>
      </c>
      <c r="AJ317" s="555">
        <f t="shared" si="93"/>
        <v>0</v>
      </c>
      <c r="AK317" s="555">
        <f t="shared" si="93"/>
        <v>0</v>
      </c>
      <c r="AL317" s="555">
        <f t="shared" si="93"/>
        <v>111729</v>
      </c>
      <c r="AM317" s="555">
        <f t="shared" si="93"/>
        <v>164951</v>
      </c>
      <c r="AN317" s="555">
        <f t="shared" si="93"/>
        <v>5344</v>
      </c>
      <c r="AO317" s="555">
        <f t="shared" si="93"/>
        <v>7421267</v>
      </c>
      <c r="AP317" s="555">
        <f t="shared" si="93"/>
        <v>160310</v>
      </c>
      <c r="AQ317" s="555">
        <f t="shared" si="93"/>
        <v>0</v>
      </c>
      <c r="AR317" s="555">
        <f t="shared" si="93"/>
        <v>17480</v>
      </c>
      <c r="AS317" s="555">
        <f t="shared" si="93"/>
        <v>12980138</v>
      </c>
      <c r="AT317" s="555">
        <f t="shared" si="93"/>
        <v>66979</v>
      </c>
      <c r="AU317" s="555">
        <f t="shared" si="93"/>
        <v>103119</v>
      </c>
      <c r="AV317" s="555">
        <f t="shared" si="93"/>
        <v>103175</v>
      </c>
      <c r="AW317" s="555">
        <f t="shared" si="93"/>
        <v>53413</v>
      </c>
      <c r="AX317" s="555">
        <f t="shared" si="93"/>
        <v>0</v>
      </c>
      <c r="AY317" s="555">
        <f t="shared" si="93"/>
        <v>0</v>
      </c>
      <c r="AZ317" s="555">
        <f t="shared" si="93"/>
        <v>801368</v>
      </c>
      <c r="BA317" s="555">
        <f t="shared" si="93"/>
        <v>40923</v>
      </c>
      <c r="BB317" s="555">
        <f t="shared" si="93"/>
        <v>11461</v>
      </c>
      <c r="BC317" s="555">
        <f t="shared" si="93"/>
        <v>5761</v>
      </c>
      <c r="BD317" s="555">
        <f t="shared" si="93"/>
        <v>94812</v>
      </c>
      <c r="BE317" s="555">
        <f t="shared" si="93"/>
        <v>237288</v>
      </c>
      <c r="BF317" s="555">
        <f t="shared" si="93"/>
        <v>3029228</v>
      </c>
      <c r="BG317" s="555">
        <f t="shared" si="93"/>
        <v>0</v>
      </c>
      <c r="BH317" s="555">
        <f t="shared" si="93"/>
        <v>0</v>
      </c>
      <c r="BI317" s="555">
        <f t="shared" si="93"/>
        <v>23519</v>
      </c>
      <c r="BJ317" s="555">
        <f t="shared" si="93"/>
        <v>1563867</v>
      </c>
      <c r="BK317" s="555">
        <f t="shared" si="93"/>
        <v>96518</v>
      </c>
      <c r="BL317" s="555">
        <f t="shared" si="93"/>
        <v>746694</v>
      </c>
      <c r="BM317" s="555">
        <f t="shared" si="93"/>
        <v>0</v>
      </c>
      <c r="BN317" s="555">
        <f t="shared" si="94"/>
        <v>425127</v>
      </c>
      <c r="BO317" s="555">
        <f t="shared" si="94"/>
        <v>216322</v>
      </c>
      <c r="BP317" s="555">
        <f t="shared" si="94"/>
        <v>0</v>
      </c>
      <c r="BQ317" s="555">
        <f t="shared" si="94"/>
        <v>0</v>
      </c>
      <c r="BR317" s="555">
        <f t="shared" si="94"/>
        <v>0</v>
      </c>
      <c r="BS317" s="555">
        <f t="shared" ref="BS317:BV317" si="97">BS15</f>
        <v>533289</v>
      </c>
      <c r="BT317" s="555">
        <f t="shared" si="97"/>
        <v>49882</v>
      </c>
      <c r="BU317" s="555">
        <f t="shared" si="97"/>
        <v>0</v>
      </c>
      <c r="BV317" s="555">
        <f t="shared" si="97"/>
        <v>210458</v>
      </c>
    </row>
    <row r="318" spans="1:74" s="180" customFormat="1" x14ac:dyDescent="0.3">
      <c r="A318" s="555">
        <f t="shared" si="96"/>
        <v>47</v>
      </c>
      <c r="B318" s="555" t="str">
        <f t="shared" ref="B318:BM319" si="98">B16</f>
        <v>Electric - Total Current Assets</v>
      </c>
      <c r="C318" s="555">
        <f t="shared" si="98"/>
        <v>0</v>
      </c>
      <c r="D318" s="555">
        <f t="shared" si="98"/>
        <v>0</v>
      </c>
      <c r="E318" s="555">
        <f t="shared" si="98"/>
        <v>0</v>
      </c>
      <c r="F318" s="555">
        <f t="shared" si="98"/>
        <v>0</v>
      </c>
      <c r="G318" s="555">
        <f t="shared" si="98"/>
        <v>0</v>
      </c>
      <c r="H318" s="555">
        <f t="shared" si="98"/>
        <v>0</v>
      </c>
      <c r="I318" s="555">
        <f t="shared" si="98"/>
        <v>0</v>
      </c>
      <c r="J318" s="555">
        <f t="shared" si="98"/>
        <v>0</v>
      </c>
      <c r="K318" s="555">
        <f t="shared" si="98"/>
        <v>0</v>
      </c>
      <c r="L318" s="555">
        <f t="shared" si="98"/>
        <v>1420198</v>
      </c>
      <c r="M318" s="555">
        <f t="shared" si="98"/>
        <v>0</v>
      </c>
      <c r="N318" s="555">
        <f t="shared" si="98"/>
        <v>0</v>
      </c>
      <c r="O318" s="555">
        <f t="shared" si="98"/>
        <v>0</v>
      </c>
      <c r="P318" s="555">
        <f t="shared" si="98"/>
        <v>0</v>
      </c>
      <c r="Q318" s="555">
        <f t="shared" si="98"/>
        <v>0</v>
      </c>
      <c r="R318" s="555">
        <f t="shared" si="98"/>
        <v>0</v>
      </c>
      <c r="S318" s="555">
        <f t="shared" si="98"/>
        <v>0</v>
      </c>
      <c r="T318" s="555">
        <f t="shared" si="98"/>
        <v>0</v>
      </c>
      <c r="U318" s="555">
        <f t="shared" si="98"/>
        <v>0</v>
      </c>
      <c r="V318" s="555">
        <f t="shared" si="98"/>
        <v>0</v>
      </c>
      <c r="W318" s="555">
        <f t="shared" si="98"/>
        <v>0</v>
      </c>
      <c r="X318" s="555">
        <f t="shared" si="98"/>
        <v>0</v>
      </c>
      <c r="Y318" s="555">
        <f t="shared" si="98"/>
        <v>0</v>
      </c>
      <c r="Z318" s="555">
        <f t="shared" si="98"/>
        <v>42183331</v>
      </c>
      <c r="AA318" s="555">
        <f t="shared" si="98"/>
        <v>0</v>
      </c>
      <c r="AB318" s="555">
        <f t="shared" si="98"/>
        <v>0</v>
      </c>
      <c r="AC318" s="555">
        <f t="shared" si="98"/>
        <v>0</v>
      </c>
      <c r="AD318" s="555">
        <f t="shared" si="98"/>
        <v>0</v>
      </c>
      <c r="AE318" s="555">
        <f t="shared" si="98"/>
        <v>0</v>
      </c>
      <c r="AF318" s="555">
        <f t="shared" si="98"/>
        <v>0</v>
      </c>
      <c r="AG318" s="555">
        <f t="shared" si="98"/>
        <v>0</v>
      </c>
      <c r="AH318" s="555">
        <f t="shared" si="98"/>
        <v>0</v>
      </c>
      <c r="AI318" s="555">
        <f t="shared" si="98"/>
        <v>0</v>
      </c>
      <c r="AJ318" s="555">
        <f t="shared" si="98"/>
        <v>0</v>
      </c>
      <c r="AK318" s="555">
        <f t="shared" si="98"/>
        <v>0</v>
      </c>
      <c r="AL318" s="555">
        <f t="shared" si="98"/>
        <v>0</v>
      </c>
      <c r="AM318" s="555">
        <f t="shared" si="98"/>
        <v>0</v>
      </c>
      <c r="AN318" s="555">
        <f t="shared" si="98"/>
        <v>0</v>
      </c>
      <c r="AO318" s="555">
        <f t="shared" si="98"/>
        <v>0</v>
      </c>
      <c r="AP318" s="555">
        <f t="shared" si="98"/>
        <v>0</v>
      </c>
      <c r="AQ318" s="555">
        <f t="shared" si="98"/>
        <v>0</v>
      </c>
      <c r="AR318" s="555">
        <f t="shared" si="98"/>
        <v>0</v>
      </c>
      <c r="AS318" s="555">
        <f t="shared" si="98"/>
        <v>0</v>
      </c>
      <c r="AT318" s="555">
        <f t="shared" si="98"/>
        <v>0</v>
      </c>
      <c r="AU318" s="555">
        <f t="shared" si="98"/>
        <v>0</v>
      </c>
      <c r="AV318" s="555">
        <f t="shared" si="98"/>
        <v>2883056</v>
      </c>
      <c r="AW318" s="555">
        <f t="shared" si="98"/>
        <v>0</v>
      </c>
      <c r="AX318" s="555">
        <f t="shared" si="98"/>
        <v>0</v>
      </c>
      <c r="AY318" s="555">
        <f t="shared" si="98"/>
        <v>0</v>
      </c>
      <c r="AZ318" s="555">
        <f t="shared" si="98"/>
        <v>4402366</v>
      </c>
      <c r="BA318" s="555">
        <f t="shared" si="98"/>
        <v>0</v>
      </c>
      <c r="BB318" s="555">
        <f t="shared" si="98"/>
        <v>0</v>
      </c>
      <c r="BC318" s="555">
        <f t="shared" si="98"/>
        <v>0</v>
      </c>
      <c r="BD318" s="555">
        <f t="shared" si="98"/>
        <v>0</v>
      </c>
      <c r="BE318" s="555">
        <f t="shared" si="98"/>
        <v>2877400</v>
      </c>
      <c r="BF318" s="555">
        <f t="shared" si="98"/>
        <v>13256677</v>
      </c>
      <c r="BG318" s="555">
        <f t="shared" si="98"/>
        <v>0</v>
      </c>
      <c r="BH318" s="555">
        <f t="shared" si="98"/>
        <v>0</v>
      </c>
      <c r="BI318" s="555">
        <f t="shared" si="98"/>
        <v>0</v>
      </c>
      <c r="BJ318" s="555">
        <f t="shared" si="98"/>
        <v>15537120</v>
      </c>
      <c r="BK318" s="555">
        <f t="shared" si="98"/>
        <v>0</v>
      </c>
      <c r="BL318" s="555">
        <f t="shared" si="98"/>
        <v>0</v>
      </c>
      <c r="BM318" s="555">
        <f t="shared" si="98"/>
        <v>0</v>
      </c>
      <c r="BN318" s="555">
        <f t="shared" si="94"/>
        <v>7066751</v>
      </c>
      <c r="BO318" s="555">
        <f t="shared" si="94"/>
        <v>0</v>
      </c>
      <c r="BP318" s="555">
        <f t="shared" si="94"/>
        <v>0</v>
      </c>
      <c r="BQ318" s="555">
        <f t="shared" si="94"/>
        <v>0</v>
      </c>
      <c r="BR318" s="555">
        <f t="shared" si="94"/>
        <v>0</v>
      </c>
      <c r="BS318" s="555">
        <f t="shared" ref="BS318:BV318" si="99">BS16</f>
        <v>0</v>
      </c>
      <c r="BT318" s="555">
        <f t="shared" si="99"/>
        <v>0</v>
      </c>
      <c r="BU318" s="555">
        <f t="shared" si="99"/>
        <v>0</v>
      </c>
      <c r="BV318" s="555">
        <f t="shared" si="99"/>
        <v>0</v>
      </c>
    </row>
    <row r="319" spans="1:74" s="180" customFormat="1" x14ac:dyDescent="0.3">
      <c r="A319" s="555">
        <f t="shared" si="96"/>
        <v>48</v>
      </c>
      <c r="B319" s="555" t="str">
        <f t="shared" si="98"/>
        <v>Electric - Select Current Liabilities</v>
      </c>
      <c r="C319" s="555">
        <f t="shared" si="98"/>
        <v>0</v>
      </c>
      <c r="D319" s="555">
        <f t="shared" si="98"/>
        <v>0</v>
      </c>
      <c r="E319" s="555">
        <f t="shared" si="98"/>
        <v>0</v>
      </c>
      <c r="F319" s="555">
        <f t="shared" si="98"/>
        <v>0</v>
      </c>
      <c r="G319" s="555">
        <f t="shared" si="98"/>
        <v>0</v>
      </c>
      <c r="H319" s="555">
        <f t="shared" si="98"/>
        <v>0</v>
      </c>
      <c r="I319" s="555">
        <f t="shared" si="98"/>
        <v>0</v>
      </c>
      <c r="J319" s="555">
        <f t="shared" si="98"/>
        <v>0</v>
      </c>
      <c r="K319" s="555">
        <f t="shared" si="98"/>
        <v>0</v>
      </c>
      <c r="L319" s="555">
        <f t="shared" si="98"/>
        <v>436626</v>
      </c>
      <c r="M319" s="555">
        <f t="shared" si="98"/>
        <v>0</v>
      </c>
      <c r="N319" s="555">
        <f t="shared" si="98"/>
        <v>0</v>
      </c>
      <c r="O319" s="555">
        <f t="shared" si="98"/>
        <v>0</v>
      </c>
      <c r="P319" s="555">
        <f t="shared" si="98"/>
        <v>0</v>
      </c>
      <c r="Q319" s="555">
        <f t="shared" si="98"/>
        <v>0</v>
      </c>
      <c r="R319" s="555">
        <f t="shared" si="98"/>
        <v>0</v>
      </c>
      <c r="S319" s="555">
        <f t="shared" si="98"/>
        <v>0</v>
      </c>
      <c r="T319" s="555">
        <f t="shared" si="98"/>
        <v>0</v>
      </c>
      <c r="U319" s="555">
        <f t="shared" si="98"/>
        <v>0</v>
      </c>
      <c r="V319" s="555">
        <f t="shared" si="98"/>
        <v>0</v>
      </c>
      <c r="W319" s="555">
        <f t="shared" si="98"/>
        <v>0</v>
      </c>
      <c r="X319" s="555">
        <f t="shared" si="98"/>
        <v>0</v>
      </c>
      <c r="Y319" s="555">
        <f t="shared" si="98"/>
        <v>0</v>
      </c>
      <c r="Z319" s="555">
        <f t="shared" si="98"/>
        <v>7189254</v>
      </c>
      <c r="AA319" s="555">
        <f t="shared" si="98"/>
        <v>0</v>
      </c>
      <c r="AB319" s="555">
        <f t="shared" si="98"/>
        <v>0</v>
      </c>
      <c r="AC319" s="555">
        <f t="shared" si="98"/>
        <v>0</v>
      </c>
      <c r="AD319" s="555">
        <f t="shared" si="98"/>
        <v>0</v>
      </c>
      <c r="AE319" s="555">
        <f t="shared" si="98"/>
        <v>0</v>
      </c>
      <c r="AF319" s="555">
        <f t="shared" si="98"/>
        <v>0</v>
      </c>
      <c r="AG319" s="555">
        <f t="shared" si="98"/>
        <v>0</v>
      </c>
      <c r="AH319" s="555">
        <f t="shared" si="98"/>
        <v>0</v>
      </c>
      <c r="AI319" s="555">
        <f t="shared" si="98"/>
        <v>0</v>
      </c>
      <c r="AJ319" s="555">
        <f t="shared" si="98"/>
        <v>0</v>
      </c>
      <c r="AK319" s="555">
        <f t="shared" si="98"/>
        <v>0</v>
      </c>
      <c r="AL319" s="555">
        <f t="shared" si="98"/>
        <v>0</v>
      </c>
      <c r="AM319" s="555">
        <f t="shared" si="98"/>
        <v>0</v>
      </c>
      <c r="AN319" s="555">
        <f t="shared" si="98"/>
        <v>0</v>
      </c>
      <c r="AO319" s="555">
        <f t="shared" si="98"/>
        <v>0</v>
      </c>
      <c r="AP319" s="555">
        <f t="shared" si="98"/>
        <v>0</v>
      </c>
      <c r="AQ319" s="555">
        <f t="shared" si="98"/>
        <v>0</v>
      </c>
      <c r="AR319" s="555">
        <f t="shared" si="98"/>
        <v>0</v>
      </c>
      <c r="AS319" s="555">
        <f t="shared" si="98"/>
        <v>0</v>
      </c>
      <c r="AT319" s="555">
        <f t="shared" si="98"/>
        <v>0</v>
      </c>
      <c r="AU319" s="555">
        <f t="shared" si="98"/>
        <v>0</v>
      </c>
      <c r="AV319" s="555">
        <f t="shared" si="98"/>
        <v>305347</v>
      </c>
      <c r="AW319" s="555">
        <f t="shared" si="98"/>
        <v>0</v>
      </c>
      <c r="AX319" s="555">
        <f t="shared" si="98"/>
        <v>0</v>
      </c>
      <c r="AY319" s="555">
        <f t="shared" si="98"/>
        <v>0</v>
      </c>
      <c r="AZ319" s="555">
        <f t="shared" si="98"/>
        <v>793071</v>
      </c>
      <c r="BA319" s="555">
        <f t="shared" si="98"/>
        <v>0</v>
      </c>
      <c r="BB319" s="555">
        <f t="shared" si="98"/>
        <v>0</v>
      </c>
      <c r="BC319" s="555">
        <f t="shared" si="98"/>
        <v>0</v>
      </c>
      <c r="BD319" s="555">
        <f t="shared" si="98"/>
        <v>0</v>
      </c>
      <c r="BE319" s="555">
        <f t="shared" si="98"/>
        <v>139416</v>
      </c>
      <c r="BF319" s="555">
        <f t="shared" si="98"/>
        <v>1912918</v>
      </c>
      <c r="BG319" s="555">
        <f t="shared" si="98"/>
        <v>0</v>
      </c>
      <c r="BH319" s="555">
        <f t="shared" si="98"/>
        <v>0</v>
      </c>
      <c r="BI319" s="555">
        <f t="shared" si="98"/>
        <v>0</v>
      </c>
      <c r="BJ319" s="555">
        <f t="shared" si="98"/>
        <v>2303979</v>
      </c>
      <c r="BK319" s="555">
        <f t="shared" si="98"/>
        <v>0</v>
      </c>
      <c r="BL319" s="555">
        <f t="shared" si="98"/>
        <v>0</v>
      </c>
      <c r="BM319" s="555">
        <f t="shared" si="98"/>
        <v>0</v>
      </c>
      <c r="BN319" s="555">
        <f t="shared" si="94"/>
        <v>907614</v>
      </c>
      <c r="BO319" s="555">
        <f t="shared" si="94"/>
        <v>0</v>
      </c>
      <c r="BP319" s="555">
        <f t="shared" si="94"/>
        <v>0</v>
      </c>
      <c r="BQ319" s="555">
        <f t="shared" si="94"/>
        <v>0</v>
      </c>
      <c r="BR319" s="555">
        <f t="shared" si="94"/>
        <v>0</v>
      </c>
      <c r="BS319" s="555">
        <f t="shared" ref="BS319:BV319" si="100">BS17</f>
        <v>0</v>
      </c>
      <c r="BT319" s="555">
        <f t="shared" si="100"/>
        <v>0</v>
      </c>
      <c r="BU319" s="555">
        <f t="shared" si="100"/>
        <v>0</v>
      </c>
      <c r="BV319" s="555">
        <f t="shared" si="100"/>
        <v>0</v>
      </c>
    </row>
    <row r="320" spans="1:74" s="180" customFormat="1" x14ac:dyDescent="0.3">
      <c r="A320" s="559">
        <f>A95</f>
        <v>385</v>
      </c>
      <c r="B320" s="559" t="str">
        <f t="shared" ref="B320:BM320" si="101">B95</f>
        <v>Gov - Total Assets and deferred outflows</v>
      </c>
      <c r="C320" s="559">
        <f t="shared" si="101"/>
        <v>0</v>
      </c>
      <c r="D320" s="559">
        <f t="shared" si="101"/>
        <v>18991778</v>
      </c>
      <c r="E320" s="559">
        <f t="shared" si="101"/>
        <v>2631648285</v>
      </c>
      <c r="F320" s="559">
        <f t="shared" si="101"/>
        <v>0</v>
      </c>
      <c r="G320" s="559">
        <f t="shared" si="101"/>
        <v>0</v>
      </c>
      <c r="H320" s="559">
        <f t="shared" si="101"/>
        <v>10206856</v>
      </c>
      <c r="I320" s="559">
        <f t="shared" si="101"/>
        <v>81951</v>
      </c>
      <c r="J320" s="559">
        <f t="shared" si="101"/>
        <v>3134446</v>
      </c>
      <c r="K320" s="559">
        <f t="shared" si="101"/>
        <v>13365624</v>
      </c>
      <c r="L320" s="559">
        <f t="shared" si="101"/>
        <v>9609381</v>
      </c>
      <c r="M320" s="559">
        <f t="shared" si="101"/>
        <v>58033588</v>
      </c>
      <c r="N320" s="559">
        <f t="shared" si="101"/>
        <v>1151279</v>
      </c>
      <c r="O320" s="559">
        <f t="shared" si="101"/>
        <v>2322556</v>
      </c>
      <c r="P320" s="559">
        <f t="shared" si="101"/>
        <v>0</v>
      </c>
      <c r="Q320" s="559">
        <f t="shared" si="101"/>
        <v>2542565</v>
      </c>
      <c r="R320" s="559">
        <f t="shared" si="101"/>
        <v>3986128</v>
      </c>
      <c r="S320" s="559">
        <f t="shared" si="101"/>
        <v>8531723</v>
      </c>
      <c r="T320" s="559">
        <f t="shared" si="101"/>
        <v>37528081</v>
      </c>
      <c r="U320" s="559">
        <f t="shared" si="101"/>
        <v>0</v>
      </c>
      <c r="V320" s="559">
        <f t="shared" si="101"/>
        <v>0</v>
      </c>
      <c r="W320" s="559">
        <f t="shared" si="101"/>
        <v>0</v>
      </c>
      <c r="X320" s="559">
        <f t="shared" si="101"/>
        <v>40538550</v>
      </c>
      <c r="Y320" s="559">
        <f t="shared" si="101"/>
        <v>6108449</v>
      </c>
      <c r="Z320" s="559">
        <f t="shared" si="101"/>
        <v>263295885</v>
      </c>
      <c r="AA320" s="559">
        <f t="shared" si="101"/>
        <v>92087836</v>
      </c>
      <c r="AB320" s="559">
        <f t="shared" si="101"/>
        <v>0</v>
      </c>
      <c r="AC320" s="559">
        <f t="shared" si="101"/>
        <v>1615833</v>
      </c>
      <c r="AD320" s="559">
        <f t="shared" si="101"/>
        <v>3233028</v>
      </c>
      <c r="AE320" s="559">
        <f t="shared" si="101"/>
        <v>4750493</v>
      </c>
      <c r="AF320" s="559">
        <f t="shared" si="101"/>
        <v>1440836</v>
      </c>
      <c r="AG320" s="559">
        <f t="shared" si="101"/>
        <v>1619834</v>
      </c>
      <c r="AH320" s="559">
        <f t="shared" si="101"/>
        <v>17118007</v>
      </c>
      <c r="AI320" s="559">
        <f t="shared" si="101"/>
        <v>739889</v>
      </c>
      <c r="AJ320" s="559">
        <f t="shared" si="101"/>
        <v>11028563</v>
      </c>
      <c r="AK320" s="559">
        <f t="shared" si="101"/>
        <v>889882</v>
      </c>
      <c r="AL320" s="559">
        <f t="shared" si="101"/>
        <v>3545340</v>
      </c>
      <c r="AM320" s="559">
        <f t="shared" si="101"/>
        <v>13190969</v>
      </c>
      <c r="AN320" s="559">
        <f t="shared" si="101"/>
        <v>1510007</v>
      </c>
      <c r="AO320" s="559">
        <f t="shared" si="101"/>
        <v>128066597</v>
      </c>
      <c r="AP320" s="559">
        <f t="shared" si="101"/>
        <v>4099191</v>
      </c>
      <c r="AQ320" s="559">
        <f t="shared" si="101"/>
        <v>932243</v>
      </c>
      <c r="AR320" s="559">
        <f t="shared" si="101"/>
        <v>1648786</v>
      </c>
      <c r="AS320" s="559">
        <f t="shared" si="101"/>
        <v>142380151</v>
      </c>
      <c r="AT320" s="559">
        <f t="shared" si="101"/>
        <v>1081529</v>
      </c>
      <c r="AU320" s="559">
        <f t="shared" si="101"/>
        <v>13064109</v>
      </c>
      <c r="AV320" s="559">
        <f t="shared" si="101"/>
        <v>4960616</v>
      </c>
      <c r="AW320" s="559">
        <f t="shared" si="101"/>
        <v>1905244</v>
      </c>
      <c r="AX320" s="559">
        <f t="shared" si="101"/>
        <v>0</v>
      </c>
      <c r="AY320" s="559">
        <f t="shared" si="101"/>
        <v>1143691</v>
      </c>
      <c r="AZ320" s="559">
        <f t="shared" si="101"/>
        <v>19209318</v>
      </c>
      <c r="BA320" s="559">
        <f t="shared" si="101"/>
        <v>4959819</v>
      </c>
      <c r="BB320" s="559">
        <f t="shared" si="101"/>
        <v>256534</v>
      </c>
      <c r="BC320" s="559">
        <f t="shared" si="101"/>
        <v>17654808</v>
      </c>
      <c r="BD320" s="559">
        <f t="shared" si="101"/>
        <v>30569268</v>
      </c>
      <c r="BE320" s="559">
        <f t="shared" si="101"/>
        <v>3047879</v>
      </c>
      <c r="BF320" s="559">
        <f t="shared" si="101"/>
        <v>122997817</v>
      </c>
      <c r="BG320" s="559">
        <f t="shared" si="101"/>
        <v>0</v>
      </c>
      <c r="BH320" s="559">
        <f t="shared" si="101"/>
        <v>874731</v>
      </c>
      <c r="BI320" s="559">
        <f t="shared" si="101"/>
        <v>933264</v>
      </c>
      <c r="BJ320" s="559">
        <f t="shared" si="101"/>
        <v>62346058</v>
      </c>
      <c r="BK320" s="559">
        <f t="shared" si="101"/>
        <v>4345305</v>
      </c>
      <c r="BL320" s="559">
        <f t="shared" si="101"/>
        <v>79965867</v>
      </c>
      <c r="BM320" s="559">
        <f t="shared" si="101"/>
        <v>36583031</v>
      </c>
      <c r="BN320" s="559">
        <f t="shared" ref="BN320:BR320" si="102">BN95</f>
        <v>33744363</v>
      </c>
      <c r="BO320" s="559">
        <f t="shared" si="102"/>
        <v>6232805</v>
      </c>
      <c r="BP320" s="559">
        <f t="shared" si="102"/>
        <v>0</v>
      </c>
      <c r="BQ320" s="559">
        <f t="shared" si="102"/>
        <v>13335148</v>
      </c>
      <c r="BR320" s="559">
        <f t="shared" si="102"/>
        <v>0</v>
      </c>
      <c r="BS320" s="559">
        <f t="shared" ref="BS320:BV320" si="103">BS95</f>
        <v>10220878</v>
      </c>
      <c r="BT320" s="559">
        <f t="shared" si="103"/>
        <v>4073714</v>
      </c>
      <c r="BU320" s="559">
        <f t="shared" si="103"/>
        <v>0</v>
      </c>
      <c r="BV320" s="559">
        <f t="shared" si="103"/>
        <v>9655597</v>
      </c>
    </row>
    <row r="321" spans="1:74" s="180" customFormat="1" x14ac:dyDescent="0.3">
      <c r="A321" s="559">
        <f>A170</f>
        <v>626</v>
      </c>
      <c r="B321" s="559" t="str">
        <f t="shared" ref="B321:BM321" si="104">B170</f>
        <v>GW - Total Current Liabilities including current portion of long-term debt</v>
      </c>
      <c r="C321" s="559">
        <f t="shared" si="104"/>
        <v>0</v>
      </c>
      <c r="D321" s="559">
        <f t="shared" si="104"/>
        <v>686364</v>
      </c>
      <c r="E321" s="559">
        <f t="shared" si="104"/>
        <v>187317512</v>
      </c>
      <c r="F321" s="559">
        <f t="shared" si="104"/>
        <v>0</v>
      </c>
      <c r="G321" s="559">
        <f t="shared" si="104"/>
        <v>0</v>
      </c>
      <c r="H321" s="559">
        <f t="shared" si="104"/>
        <v>94093</v>
      </c>
      <c r="I321" s="559">
        <f t="shared" si="104"/>
        <v>0</v>
      </c>
      <c r="J321" s="559">
        <f t="shared" si="104"/>
        <v>4812</v>
      </c>
      <c r="K321" s="559">
        <f t="shared" si="104"/>
        <v>20919</v>
      </c>
      <c r="L321" s="559">
        <f t="shared" si="104"/>
        <v>431928</v>
      </c>
      <c r="M321" s="559">
        <f t="shared" si="104"/>
        <v>4326067</v>
      </c>
      <c r="N321" s="559">
        <f t="shared" si="104"/>
        <v>1931</v>
      </c>
      <c r="O321" s="559">
        <f t="shared" si="104"/>
        <v>47407</v>
      </c>
      <c r="P321" s="559">
        <f t="shared" si="104"/>
        <v>0</v>
      </c>
      <c r="Q321" s="559">
        <f t="shared" si="104"/>
        <v>224291</v>
      </c>
      <c r="R321" s="559">
        <f t="shared" si="104"/>
        <v>86705</v>
      </c>
      <c r="S321" s="559">
        <f t="shared" si="104"/>
        <v>60919</v>
      </c>
      <c r="T321" s="559">
        <f t="shared" si="104"/>
        <v>1944141</v>
      </c>
      <c r="U321" s="559">
        <f t="shared" si="104"/>
        <v>0</v>
      </c>
      <c r="V321" s="559">
        <f t="shared" si="104"/>
        <v>0</v>
      </c>
      <c r="W321" s="559">
        <f t="shared" si="104"/>
        <v>0</v>
      </c>
      <c r="X321" s="559">
        <f t="shared" si="104"/>
        <v>645349</v>
      </c>
      <c r="Y321" s="559">
        <f t="shared" si="104"/>
        <v>330735</v>
      </c>
      <c r="Z321" s="559">
        <f t="shared" si="104"/>
        <v>14261729</v>
      </c>
      <c r="AA321" s="559">
        <f t="shared" si="104"/>
        <v>2395269</v>
      </c>
      <c r="AB321" s="559">
        <f t="shared" si="104"/>
        <v>0</v>
      </c>
      <c r="AC321" s="559">
        <f t="shared" si="104"/>
        <v>21841</v>
      </c>
      <c r="AD321" s="559">
        <f t="shared" si="104"/>
        <v>478635</v>
      </c>
      <c r="AE321" s="559">
        <f t="shared" si="104"/>
        <v>41177</v>
      </c>
      <c r="AF321" s="559">
        <f t="shared" si="104"/>
        <v>37609</v>
      </c>
      <c r="AG321" s="559">
        <f t="shared" si="104"/>
        <v>105784</v>
      </c>
      <c r="AH321" s="559">
        <f t="shared" si="104"/>
        <v>1219537</v>
      </c>
      <c r="AI321" s="559">
        <f t="shared" si="104"/>
        <v>4043</v>
      </c>
      <c r="AJ321" s="559">
        <f t="shared" si="104"/>
        <v>262373</v>
      </c>
      <c r="AK321" s="559">
        <f t="shared" si="104"/>
        <v>133422</v>
      </c>
      <c r="AL321" s="559">
        <f t="shared" si="104"/>
        <v>366171</v>
      </c>
      <c r="AM321" s="559">
        <f t="shared" si="104"/>
        <v>2124248</v>
      </c>
      <c r="AN321" s="559">
        <f t="shared" si="104"/>
        <v>10674</v>
      </c>
      <c r="AO321" s="559">
        <f t="shared" si="104"/>
        <v>6281463</v>
      </c>
      <c r="AP321" s="559">
        <f t="shared" si="104"/>
        <v>69971</v>
      </c>
      <c r="AQ321" s="559">
        <f t="shared" si="104"/>
        <v>1376</v>
      </c>
      <c r="AR321" s="559">
        <f t="shared" si="104"/>
        <v>17744</v>
      </c>
      <c r="AS321" s="559">
        <f t="shared" si="104"/>
        <v>7261947</v>
      </c>
      <c r="AT321" s="559">
        <f t="shared" si="104"/>
        <v>7540</v>
      </c>
      <c r="AU321" s="559">
        <f t="shared" si="104"/>
        <v>344967</v>
      </c>
      <c r="AV321" s="559">
        <f t="shared" si="104"/>
        <v>37958</v>
      </c>
      <c r="AW321" s="559">
        <f t="shared" si="104"/>
        <v>38194</v>
      </c>
      <c r="AX321" s="559">
        <f t="shared" si="104"/>
        <v>0</v>
      </c>
      <c r="AY321" s="559">
        <f t="shared" si="104"/>
        <v>18626</v>
      </c>
      <c r="AZ321" s="559">
        <f t="shared" si="104"/>
        <v>494864</v>
      </c>
      <c r="BA321" s="559">
        <f t="shared" si="104"/>
        <v>196115</v>
      </c>
      <c r="BB321" s="559">
        <f t="shared" si="104"/>
        <v>837</v>
      </c>
      <c r="BC321" s="559">
        <f t="shared" si="104"/>
        <v>0</v>
      </c>
      <c r="BD321" s="559">
        <f t="shared" si="104"/>
        <v>2264594</v>
      </c>
      <c r="BE321" s="559">
        <f t="shared" si="104"/>
        <v>176124</v>
      </c>
      <c r="BF321" s="559">
        <f t="shared" si="104"/>
        <v>8249449</v>
      </c>
      <c r="BG321" s="559">
        <f t="shared" si="104"/>
        <v>0</v>
      </c>
      <c r="BH321" s="559">
        <f t="shared" si="104"/>
        <v>6495</v>
      </c>
      <c r="BI321" s="559">
        <f t="shared" si="104"/>
        <v>70263</v>
      </c>
      <c r="BJ321" s="559">
        <f t="shared" si="104"/>
        <v>4618719</v>
      </c>
      <c r="BK321" s="559">
        <f t="shared" si="104"/>
        <v>251424</v>
      </c>
      <c r="BL321" s="559">
        <f t="shared" si="104"/>
        <v>3545994</v>
      </c>
      <c r="BM321" s="559">
        <f t="shared" si="104"/>
        <v>1313231</v>
      </c>
      <c r="BN321" s="559">
        <f t="shared" ref="BN321:BR321" si="105">BN170</f>
        <v>7534595</v>
      </c>
      <c r="BO321" s="559">
        <f t="shared" si="105"/>
        <v>630736</v>
      </c>
      <c r="BP321" s="559">
        <f t="shared" si="105"/>
        <v>0</v>
      </c>
      <c r="BQ321" s="559">
        <f t="shared" si="105"/>
        <v>417164</v>
      </c>
      <c r="BR321" s="559">
        <f t="shared" si="105"/>
        <v>0</v>
      </c>
      <c r="BS321" s="559">
        <f t="shared" ref="BS321:BV321" si="106">BS170</f>
        <v>1206640</v>
      </c>
      <c r="BT321" s="559">
        <f t="shared" si="106"/>
        <v>91544</v>
      </c>
      <c r="BU321" s="559">
        <f t="shared" si="106"/>
        <v>0</v>
      </c>
      <c r="BV321" s="559">
        <f t="shared" si="106"/>
        <v>187848</v>
      </c>
    </row>
    <row r="322" spans="1:74" s="558" customFormat="1" x14ac:dyDescent="0.3">
      <c r="A322" s="559">
        <f>A60</f>
        <v>338</v>
      </c>
      <c r="B322" s="559" t="str">
        <f t="shared" ref="B322:BM322" si="107">B60</f>
        <v>Gov - Total Liabilities and total deferred inflows</v>
      </c>
      <c r="C322" s="559">
        <f t="shared" si="107"/>
        <v>0</v>
      </c>
      <c r="D322" s="559">
        <f t="shared" si="107"/>
        <v>6525745</v>
      </c>
      <c r="E322" s="559">
        <f t="shared" si="107"/>
        <v>1209536862</v>
      </c>
      <c r="F322" s="559">
        <f t="shared" si="107"/>
        <v>0</v>
      </c>
      <c r="G322" s="559">
        <f t="shared" si="107"/>
        <v>0</v>
      </c>
      <c r="H322" s="559">
        <f t="shared" si="107"/>
        <v>3886086</v>
      </c>
      <c r="I322" s="559">
        <f t="shared" si="107"/>
        <v>0</v>
      </c>
      <c r="J322" s="559">
        <f t="shared" si="107"/>
        <v>4812</v>
      </c>
      <c r="K322" s="559">
        <f t="shared" si="107"/>
        <v>82419</v>
      </c>
      <c r="L322" s="559">
        <f t="shared" si="107"/>
        <v>7669279</v>
      </c>
      <c r="M322" s="559">
        <f t="shared" si="107"/>
        <v>27002530</v>
      </c>
      <c r="N322" s="559">
        <f t="shared" si="107"/>
        <v>1931</v>
      </c>
      <c r="O322" s="559">
        <f t="shared" si="107"/>
        <v>228990</v>
      </c>
      <c r="P322" s="559">
        <f t="shared" si="107"/>
        <v>0</v>
      </c>
      <c r="Q322" s="559">
        <f t="shared" si="107"/>
        <v>693953</v>
      </c>
      <c r="R322" s="559">
        <f t="shared" si="107"/>
        <v>739036</v>
      </c>
      <c r="S322" s="559">
        <f t="shared" si="107"/>
        <v>1004738</v>
      </c>
      <c r="T322" s="559">
        <f t="shared" si="107"/>
        <v>26330902</v>
      </c>
      <c r="U322" s="559">
        <f t="shared" si="107"/>
        <v>0</v>
      </c>
      <c r="V322" s="559">
        <f t="shared" si="107"/>
        <v>0</v>
      </c>
      <c r="W322" s="559">
        <f t="shared" si="107"/>
        <v>0</v>
      </c>
      <c r="X322" s="559">
        <f t="shared" si="107"/>
        <v>16120201</v>
      </c>
      <c r="Y322" s="559">
        <f t="shared" si="107"/>
        <v>1700463</v>
      </c>
      <c r="Z322" s="559">
        <f t="shared" si="107"/>
        <v>141648267</v>
      </c>
      <c r="AA322" s="559">
        <f t="shared" si="107"/>
        <v>15688759</v>
      </c>
      <c r="AB322" s="559">
        <f t="shared" si="107"/>
        <v>0</v>
      </c>
      <c r="AC322" s="559">
        <f t="shared" si="107"/>
        <v>89487</v>
      </c>
      <c r="AD322" s="559">
        <f t="shared" si="107"/>
        <v>1431267</v>
      </c>
      <c r="AE322" s="559">
        <f t="shared" si="107"/>
        <v>374039</v>
      </c>
      <c r="AF322" s="559">
        <f t="shared" si="107"/>
        <v>205210</v>
      </c>
      <c r="AG322" s="559">
        <f t="shared" si="107"/>
        <v>1396202</v>
      </c>
      <c r="AH322" s="559">
        <f t="shared" si="107"/>
        <v>13118465</v>
      </c>
      <c r="AI322" s="559">
        <f t="shared" si="107"/>
        <v>4043</v>
      </c>
      <c r="AJ322" s="559">
        <f t="shared" si="107"/>
        <v>2962439</v>
      </c>
      <c r="AK322" s="559">
        <f t="shared" si="107"/>
        <v>133422</v>
      </c>
      <c r="AL322" s="559">
        <f t="shared" si="107"/>
        <v>1321364</v>
      </c>
      <c r="AM322" s="559">
        <f t="shared" si="107"/>
        <v>5989775</v>
      </c>
      <c r="AN322" s="559">
        <f t="shared" si="107"/>
        <v>77544</v>
      </c>
      <c r="AO322" s="559">
        <f t="shared" si="107"/>
        <v>45433925</v>
      </c>
      <c r="AP322" s="559">
        <f t="shared" si="107"/>
        <v>653189</v>
      </c>
      <c r="AQ322" s="559">
        <f t="shared" si="107"/>
        <v>1376</v>
      </c>
      <c r="AR322" s="559">
        <f t="shared" si="107"/>
        <v>367551</v>
      </c>
      <c r="AS322" s="559">
        <f t="shared" si="107"/>
        <v>89858446</v>
      </c>
      <c r="AT322" s="559">
        <f t="shared" si="107"/>
        <v>7540</v>
      </c>
      <c r="AU322" s="559">
        <f t="shared" si="107"/>
        <v>730414</v>
      </c>
      <c r="AV322" s="559">
        <f t="shared" si="107"/>
        <v>871561</v>
      </c>
      <c r="AW322" s="559">
        <f t="shared" si="107"/>
        <v>568971</v>
      </c>
      <c r="AX322" s="559">
        <f t="shared" si="107"/>
        <v>0</v>
      </c>
      <c r="AY322" s="559">
        <f t="shared" si="107"/>
        <v>18626</v>
      </c>
      <c r="AZ322" s="559">
        <f t="shared" si="107"/>
        <v>10357761</v>
      </c>
      <c r="BA322" s="559">
        <f t="shared" si="107"/>
        <v>1803610</v>
      </c>
      <c r="BB322" s="559">
        <f t="shared" si="107"/>
        <v>837</v>
      </c>
      <c r="BC322" s="559">
        <f t="shared" si="107"/>
        <v>0</v>
      </c>
      <c r="BD322" s="559">
        <f t="shared" si="107"/>
        <v>6680685</v>
      </c>
      <c r="BE322" s="559">
        <f t="shared" si="107"/>
        <v>1147713</v>
      </c>
      <c r="BF322" s="559">
        <f t="shared" si="107"/>
        <v>56463382</v>
      </c>
      <c r="BG322" s="559">
        <f t="shared" si="107"/>
        <v>0</v>
      </c>
      <c r="BH322" s="559">
        <f t="shared" si="107"/>
        <v>160181</v>
      </c>
      <c r="BI322" s="559">
        <f t="shared" si="107"/>
        <v>70263</v>
      </c>
      <c r="BJ322" s="559">
        <f t="shared" si="107"/>
        <v>29269614</v>
      </c>
      <c r="BK322" s="559">
        <f t="shared" si="107"/>
        <v>982225</v>
      </c>
      <c r="BL322" s="559">
        <f t="shared" si="107"/>
        <v>19843668</v>
      </c>
      <c r="BM322" s="559">
        <f t="shared" si="107"/>
        <v>9121350</v>
      </c>
      <c r="BN322" s="559">
        <f t="shared" ref="BN322:BR322" si="108">BN60</f>
        <v>18076592</v>
      </c>
      <c r="BO322" s="559">
        <f t="shared" si="108"/>
        <v>962094</v>
      </c>
      <c r="BP322" s="559">
        <f t="shared" si="108"/>
        <v>0</v>
      </c>
      <c r="BQ322" s="559">
        <f t="shared" si="108"/>
        <v>4311451</v>
      </c>
      <c r="BR322" s="559">
        <f t="shared" si="108"/>
        <v>0</v>
      </c>
      <c r="BS322" s="559">
        <f t="shared" ref="BS322:BV322" si="109">BS60</f>
        <v>4929466</v>
      </c>
      <c r="BT322" s="559">
        <f t="shared" si="109"/>
        <v>1199082</v>
      </c>
      <c r="BU322" s="559">
        <f t="shared" si="109"/>
        <v>0</v>
      </c>
      <c r="BV322" s="559">
        <f t="shared" si="109"/>
        <v>1725549</v>
      </c>
    </row>
    <row r="323" spans="1:74" s="558" customFormat="1" x14ac:dyDescent="0.3">
      <c r="A323" s="563">
        <f>A166</f>
        <v>620</v>
      </c>
      <c r="B323" s="563" t="str">
        <f t="shared" ref="B323:BM323" si="110">B166</f>
        <v>Do you expect to issue debt requiring LGC approval within 12 months from the date that the audit is submitted - select "1" for year and "2" for no</v>
      </c>
      <c r="C323" s="563">
        <f t="shared" si="110"/>
        <v>0</v>
      </c>
      <c r="D323" s="563">
        <f t="shared" si="110"/>
        <v>2</v>
      </c>
      <c r="E323" s="563">
        <f t="shared" si="110"/>
        <v>2</v>
      </c>
      <c r="F323" s="563">
        <f t="shared" si="110"/>
        <v>0</v>
      </c>
      <c r="G323" s="563">
        <f t="shared" si="110"/>
        <v>0</v>
      </c>
      <c r="H323" s="563">
        <f t="shared" si="110"/>
        <v>1</v>
      </c>
      <c r="I323" s="563">
        <f t="shared" si="110"/>
        <v>2</v>
      </c>
      <c r="J323" s="563">
        <f t="shared" si="110"/>
        <v>2</v>
      </c>
      <c r="K323" s="563">
        <f t="shared" si="110"/>
        <v>2</v>
      </c>
      <c r="L323" s="563">
        <f t="shared" si="110"/>
        <v>2</v>
      </c>
      <c r="M323" s="563">
        <f t="shared" si="110"/>
        <v>1</v>
      </c>
      <c r="N323" s="563">
        <f t="shared" si="110"/>
        <v>2</v>
      </c>
      <c r="O323" s="563">
        <f t="shared" si="110"/>
        <v>2</v>
      </c>
      <c r="P323" s="563">
        <f t="shared" si="110"/>
        <v>0</v>
      </c>
      <c r="Q323" s="563">
        <f t="shared" si="110"/>
        <v>2</v>
      </c>
      <c r="R323" s="563">
        <f t="shared" si="110"/>
        <v>2</v>
      </c>
      <c r="S323" s="563">
        <f t="shared" si="110"/>
        <v>2</v>
      </c>
      <c r="T323" s="563">
        <f t="shared" si="110"/>
        <v>2</v>
      </c>
      <c r="U323" s="563">
        <f t="shared" si="110"/>
        <v>0</v>
      </c>
      <c r="V323" s="563">
        <f t="shared" si="110"/>
        <v>0</v>
      </c>
      <c r="W323" s="563">
        <f t="shared" si="110"/>
        <v>0</v>
      </c>
      <c r="X323" s="563">
        <f t="shared" si="110"/>
        <v>2</v>
      </c>
      <c r="Y323" s="563">
        <f t="shared" si="110"/>
        <v>2</v>
      </c>
      <c r="Z323" s="563">
        <f t="shared" si="110"/>
        <v>1</v>
      </c>
      <c r="AA323" s="563">
        <f t="shared" si="110"/>
        <v>2</v>
      </c>
      <c r="AB323" s="563">
        <f t="shared" si="110"/>
        <v>0</v>
      </c>
      <c r="AC323" s="563">
        <f t="shared" si="110"/>
        <v>2</v>
      </c>
      <c r="AD323" s="563">
        <f t="shared" si="110"/>
        <v>1</v>
      </c>
      <c r="AE323" s="563">
        <f t="shared" si="110"/>
        <v>2</v>
      </c>
      <c r="AF323" s="563">
        <f t="shared" si="110"/>
        <v>1</v>
      </c>
      <c r="AG323" s="563">
        <f t="shared" si="110"/>
        <v>2</v>
      </c>
      <c r="AH323" s="563">
        <f t="shared" si="110"/>
        <v>2</v>
      </c>
      <c r="AI323" s="563">
        <f t="shared" si="110"/>
        <v>2</v>
      </c>
      <c r="AJ323" s="563">
        <f t="shared" si="110"/>
        <v>1</v>
      </c>
      <c r="AK323" s="563">
        <f t="shared" si="110"/>
        <v>2</v>
      </c>
      <c r="AL323" s="563">
        <f t="shared" si="110"/>
        <v>2</v>
      </c>
      <c r="AM323" s="563">
        <f t="shared" si="110"/>
        <v>2</v>
      </c>
      <c r="AN323" s="563">
        <f t="shared" si="110"/>
        <v>2</v>
      </c>
      <c r="AO323" s="563">
        <f t="shared" si="110"/>
        <v>2</v>
      </c>
      <c r="AP323" s="563">
        <f t="shared" si="110"/>
        <v>2</v>
      </c>
      <c r="AQ323" s="563">
        <f t="shared" si="110"/>
        <v>2</v>
      </c>
      <c r="AR323" s="563">
        <f t="shared" si="110"/>
        <v>2</v>
      </c>
      <c r="AS323" s="563">
        <f t="shared" si="110"/>
        <v>1</v>
      </c>
      <c r="AT323" s="563">
        <f t="shared" si="110"/>
        <v>2</v>
      </c>
      <c r="AU323" s="563">
        <f t="shared" si="110"/>
        <v>1</v>
      </c>
      <c r="AV323" s="563">
        <f t="shared" si="110"/>
        <v>2</v>
      </c>
      <c r="AW323" s="563">
        <f t="shared" si="110"/>
        <v>2</v>
      </c>
      <c r="AX323" s="563">
        <f t="shared" si="110"/>
        <v>0</v>
      </c>
      <c r="AY323" s="563">
        <f t="shared" si="110"/>
        <v>1</v>
      </c>
      <c r="AZ323" s="563">
        <f t="shared" si="110"/>
        <v>1</v>
      </c>
      <c r="BA323" s="563">
        <f t="shared" si="110"/>
        <v>2</v>
      </c>
      <c r="BB323" s="563">
        <f t="shared" si="110"/>
        <v>2</v>
      </c>
      <c r="BC323" s="563">
        <f t="shared" si="110"/>
        <v>2</v>
      </c>
      <c r="BD323" s="563">
        <f t="shared" si="110"/>
        <v>2</v>
      </c>
      <c r="BE323" s="563">
        <f t="shared" si="110"/>
        <v>2</v>
      </c>
      <c r="BF323" s="563">
        <f t="shared" si="110"/>
        <v>1</v>
      </c>
      <c r="BG323" s="563">
        <f t="shared" si="110"/>
        <v>0</v>
      </c>
      <c r="BH323" s="563">
        <f t="shared" si="110"/>
        <v>2</v>
      </c>
      <c r="BI323" s="563">
        <f t="shared" si="110"/>
        <v>2</v>
      </c>
      <c r="BJ323" s="563">
        <f t="shared" si="110"/>
        <v>2</v>
      </c>
      <c r="BK323" s="563">
        <f t="shared" si="110"/>
        <v>2</v>
      </c>
      <c r="BL323" s="563">
        <f t="shared" si="110"/>
        <v>1</v>
      </c>
      <c r="BM323" s="563">
        <f t="shared" si="110"/>
        <v>2</v>
      </c>
      <c r="BN323" s="563">
        <f t="shared" ref="BN323:BR323" si="111">BN166</f>
        <v>2</v>
      </c>
      <c r="BO323" s="563">
        <f t="shared" si="111"/>
        <v>2</v>
      </c>
      <c r="BP323" s="563">
        <f t="shared" si="111"/>
        <v>0</v>
      </c>
      <c r="BQ323" s="563">
        <f t="shared" si="111"/>
        <v>2</v>
      </c>
      <c r="BR323" s="563">
        <f t="shared" si="111"/>
        <v>0</v>
      </c>
      <c r="BS323" s="563">
        <f t="shared" ref="BS323:BV323" si="112">BS166</f>
        <v>1</v>
      </c>
      <c r="BT323" s="563">
        <f t="shared" si="112"/>
        <v>2</v>
      </c>
      <c r="BU323" s="563">
        <f t="shared" si="112"/>
        <v>0</v>
      </c>
      <c r="BV323" s="563">
        <f t="shared" si="112"/>
        <v>2</v>
      </c>
    </row>
    <row r="324" spans="1:74" s="558" customFormat="1" x14ac:dyDescent="0.3">
      <c r="A324" s="155">
        <f>A142</f>
        <v>545</v>
      </c>
      <c r="B324" s="155" t="str">
        <f t="shared" ref="B324:BM324" si="113">B142</f>
        <v>Property Tax Increase for budget year after fiscal year being reported</v>
      </c>
      <c r="C324" s="155">
        <f t="shared" si="113"/>
        <v>0</v>
      </c>
      <c r="D324" s="155">
        <f t="shared" si="113"/>
        <v>0</v>
      </c>
      <c r="E324" s="155">
        <f t="shared" si="113"/>
        <v>4</v>
      </c>
      <c r="F324" s="155">
        <f t="shared" si="113"/>
        <v>0</v>
      </c>
      <c r="G324" s="155">
        <f t="shared" si="113"/>
        <v>0</v>
      </c>
      <c r="H324" s="155">
        <f t="shared" si="113"/>
        <v>0</v>
      </c>
      <c r="I324" s="155">
        <f t="shared" si="113"/>
        <v>0</v>
      </c>
      <c r="J324" s="155">
        <f t="shared" si="113"/>
        <v>0</v>
      </c>
      <c r="K324" s="155">
        <f t="shared" si="113"/>
        <v>0</v>
      </c>
      <c r="L324" s="155">
        <f t="shared" si="113"/>
        <v>0</v>
      </c>
      <c r="M324" s="155">
        <f t="shared" si="113"/>
        <v>0</v>
      </c>
      <c r="N324" s="155">
        <f t="shared" si="113"/>
        <v>0</v>
      </c>
      <c r="O324" s="155">
        <f t="shared" si="113"/>
        <v>0</v>
      </c>
      <c r="P324" s="155">
        <f t="shared" si="113"/>
        <v>0</v>
      </c>
      <c r="Q324" s="155">
        <f t="shared" si="113"/>
        <v>0</v>
      </c>
      <c r="R324" s="155">
        <f t="shared" si="113"/>
        <v>0</v>
      </c>
      <c r="S324" s="155">
        <f t="shared" si="113"/>
        <v>0</v>
      </c>
      <c r="T324" s="155">
        <f t="shared" si="113"/>
        <v>0</v>
      </c>
      <c r="U324" s="155">
        <f t="shared" si="113"/>
        <v>0</v>
      </c>
      <c r="V324" s="155">
        <f t="shared" si="113"/>
        <v>0</v>
      </c>
      <c r="W324" s="155">
        <f t="shared" si="113"/>
        <v>0</v>
      </c>
      <c r="X324" s="155">
        <f t="shared" si="113"/>
        <v>0</v>
      </c>
      <c r="Y324" s="155">
        <f t="shared" si="113"/>
        <v>0</v>
      </c>
      <c r="Z324" s="155">
        <f t="shared" si="113"/>
        <v>0</v>
      </c>
      <c r="AA324" s="155">
        <f t="shared" si="113"/>
        <v>0</v>
      </c>
      <c r="AB324" s="155">
        <f t="shared" si="113"/>
        <v>0</v>
      </c>
      <c r="AC324" s="155">
        <f t="shared" si="113"/>
        <v>0</v>
      </c>
      <c r="AD324" s="155">
        <f t="shared" si="113"/>
        <v>0</v>
      </c>
      <c r="AE324" s="155">
        <f t="shared" si="113"/>
        <v>0</v>
      </c>
      <c r="AF324" s="155">
        <f t="shared" si="113"/>
        <v>0</v>
      </c>
      <c r="AG324" s="155">
        <f t="shared" si="113"/>
        <v>0</v>
      </c>
      <c r="AH324" s="155">
        <f t="shared" si="113"/>
        <v>0</v>
      </c>
      <c r="AI324" s="155">
        <f t="shared" si="113"/>
        <v>0</v>
      </c>
      <c r="AJ324" s="155">
        <f t="shared" si="113"/>
        <v>0</v>
      </c>
      <c r="AK324" s="155">
        <f t="shared" si="113"/>
        <v>0</v>
      </c>
      <c r="AL324" s="155">
        <f t="shared" si="113"/>
        <v>0</v>
      </c>
      <c r="AM324" s="155">
        <f t="shared" si="113"/>
        <v>0</v>
      </c>
      <c r="AN324" s="155">
        <f t="shared" si="113"/>
        <v>0</v>
      </c>
      <c r="AO324" s="155">
        <f t="shared" si="113"/>
        <v>0</v>
      </c>
      <c r="AP324" s="155">
        <f t="shared" si="113"/>
        <v>1</v>
      </c>
      <c r="AQ324" s="155">
        <f t="shared" si="113"/>
        <v>0</v>
      </c>
      <c r="AR324" s="155">
        <f t="shared" si="113"/>
        <v>0</v>
      </c>
      <c r="AS324" s="155">
        <f t="shared" si="113"/>
        <v>0</v>
      </c>
      <c r="AT324" s="155">
        <f t="shared" si="113"/>
        <v>0</v>
      </c>
      <c r="AU324" s="155">
        <f t="shared" si="113"/>
        <v>0</v>
      </c>
      <c r="AV324" s="155">
        <f t="shared" si="113"/>
        <v>0</v>
      </c>
      <c r="AW324" s="155">
        <f t="shared" si="113"/>
        <v>0</v>
      </c>
      <c r="AX324" s="155">
        <f t="shared" si="113"/>
        <v>0</v>
      </c>
      <c r="AY324" s="155">
        <f t="shared" si="113"/>
        <v>0</v>
      </c>
      <c r="AZ324" s="155">
        <f t="shared" si="113"/>
        <v>0</v>
      </c>
      <c r="BA324" s="155">
        <f t="shared" si="113"/>
        <v>0</v>
      </c>
      <c r="BB324" s="155">
        <f t="shared" si="113"/>
        <v>0</v>
      </c>
      <c r="BC324" s="155">
        <f t="shared" si="113"/>
        <v>0</v>
      </c>
      <c r="BD324" s="155">
        <f t="shared" si="113"/>
        <v>0</v>
      </c>
      <c r="BE324" s="155">
        <f t="shared" si="113"/>
        <v>0.25</v>
      </c>
      <c r="BF324" s="155">
        <f t="shared" si="113"/>
        <v>0</v>
      </c>
      <c r="BG324" s="155">
        <f t="shared" si="113"/>
        <v>0</v>
      </c>
      <c r="BH324" s="155">
        <f t="shared" si="113"/>
        <v>0</v>
      </c>
      <c r="BI324" s="155">
        <f t="shared" si="113"/>
        <v>0</v>
      </c>
      <c r="BJ324" s="155">
        <f t="shared" si="113"/>
        <v>0</v>
      </c>
      <c r="BK324" s="155">
        <f t="shared" si="113"/>
        <v>0</v>
      </c>
      <c r="BL324" s="155">
        <f t="shared" si="113"/>
        <v>0</v>
      </c>
      <c r="BM324" s="155">
        <f t="shared" si="113"/>
        <v>0</v>
      </c>
      <c r="BN324" s="155">
        <f t="shared" ref="BN324:BR324" si="114">BN142</f>
        <v>0</v>
      </c>
      <c r="BO324" s="155">
        <f t="shared" si="114"/>
        <v>0</v>
      </c>
      <c r="BP324" s="155">
        <f t="shared" si="114"/>
        <v>0</v>
      </c>
      <c r="BQ324" s="155">
        <f t="shared" si="114"/>
        <v>0</v>
      </c>
      <c r="BR324" s="155">
        <f t="shared" si="114"/>
        <v>0</v>
      </c>
      <c r="BS324" s="155">
        <f t="shared" ref="BS324:BV324" si="115">BS142</f>
        <v>0</v>
      </c>
      <c r="BT324" s="155">
        <f t="shared" si="115"/>
        <v>0</v>
      </c>
      <c r="BU324" s="155">
        <f t="shared" si="115"/>
        <v>0</v>
      </c>
      <c r="BV324" s="155">
        <f t="shared" si="115"/>
        <v>0</v>
      </c>
    </row>
    <row r="325" spans="1:74" s="558" customFormat="1" x14ac:dyDescent="0.3">
      <c r="A325" s="563">
        <f>A169</f>
        <v>624</v>
      </c>
      <c r="B325" s="563" t="str">
        <f t="shared" ref="B325:BM325" si="116">B169</f>
        <v>Does the County collect real estate property taxes on your behalf? Select "1" for "yes and "2" for "No"</v>
      </c>
      <c r="C325" s="563">
        <f t="shared" si="116"/>
        <v>0</v>
      </c>
      <c r="D325" s="563">
        <f t="shared" si="116"/>
        <v>2</v>
      </c>
      <c r="E325" s="563">
        <f t="shared" si="116"/>
        <v>1</v>
      </c>
      <c r="F325" s="563">
        <f t="shared" si="116"/>
        <v>0</v>
      </c>
      <c r="G325" s="563">
        <f t="shared" si="116"/>
        <v>0</v>
      </c>
      <c r="H325" s="563">
        <f t="shared" si="116"/>
        <v>2</v>
      </c>
      <c r="I325" s="563">
        <f t="shared" si="116"/>
        <v>2</v>
      </c>
      <c r="J325" s="563">
        <f t="shared" si="116"/>
        <v>1</v>
      </c>
      <c r="K325" s="563">
        <f t="shared" si="116"/>
        <v>2</v>
      </c>
      <c r="L325" s="563">
        <f t="shared" si="116"/>
        <v>2</v>
      </c>
      <c r="M325" s="563">
        <f t="shared" si="116"/>
        <v>2</v>
      </c>
      <c r="N325" s="563">
        <f t="shared" si="116"/>
        <v>1</v>
      </c>
      <c r="O325" s="563">
        <f t="shared" si="116"/>
        <v>1</v>
      </c>
      <c r="P325" s="563">
        <f t="shared" si="116"/>
        <v>0</v>
      </c>
      <c r="Q325" s="563">
        <f t="shared" si="116"/>
        <v>1</v>
      </c>
      <c r="R325" s="563">
        <f t="shared" si="116"/>
        <v>1</v>
      </c>
      <c r="S325" s="563">
        <f t="shared" si="116"/>
        <v>1</v>
      </c>
      <c r="T325" s="563">
        <f t="shared" si="116"/>
        <v>1</v>
      </c>
      <c r="U325" s="563">
        <f t="shared" si="116"/>
        <v>0</v>
      </c>
      <c r="V325" s="563">
        <f t="shared" si="116"/>
        <v>0</v>
      </c>
      <c r="W325" s="563">
        <f t="shared" si="116"/>
        <v>0</v>
      </c>
      <c r="X325" s="563">
        <f t="shared" si="116"/>
        <v>2</v>
      </c>
      <c r="Y325" s="563">
        <f t="shared" si="116"/>
        <v>1</v>
      </c>
      <c r="Z325" s="563">
        <f t="shared" si="116"/>
        <v>1</v>
      </c>
      <c r="AA325" s="563">
        <f t="shared" si="116"/>
        <v>1</v>
      </c>
      <c r="AB325" s="563">
        <f t="shared" si="116"/>
        <v>0</v>
      </c>
      <c r="AC325" s="563">
        <f t="shared" si="116"/>
        <v>2</v>
      </c>
      <c r="AD325" s="563">
        <f t="shared" si="116"/>
        <v>1</v>
      </c>
      <c r="AE325" s="563">
        <f t="shared" si="116"/>
        <v>1</v>
      </c>
      <c r="AF325" s="563">
        <f t="shared" si="116"/>
        <v>1</v>
      </c>
      <c r="AG325" s="563">
        <f t="shared" si="116"/>
        <v>2</v>
      </c>
      <c r="AH325" s="563">
        <f t="shared" si="116"/>
        <v>2</v>
      </c>
      <c r="AI325" s="563">
        <f t="shared" si="116"/>
        <v>1</v>
      </c>
      <c r="AJ325" s="563">
        <f t="shared" si="116"/>
        <v>1</v>
      </c>
      <c r="AK325" s="563">
        <f t="shared" si="116"/>
        <v>1</v>
      </c>
      <c r="AL325" s="563">
        <f t="shared" si="116"/>
        <v>2</v>
      </c>
      <c r="AM325" s="563">
        <f t="shared" si="116"/>
        <v>1</v>
      </c>
      <c r="AN325" s="563">
        <f t="shared" si="116"/>
        <v>1</v>
      </c>
      <c r="AO325" s="563">
        <f t="shared" si="116"/>
        <v>1</v>
      </c>
      <c r="AP325" s="563">
        <f t="shared" si="116"/>
        <v>2</v>
      </c>
      <c r="AQ325" s="563">
        <f t="shared" si="116"/>
        <v>1</v>
      </c>
      <c r="AR325" s="563">
        <f t="shared" si="116"/>
        <v>1</v>
      </c>
      <c r="AS325" s="563">
        <f t="shared" si="116"/>
        <v>1</v>
      </c>
      <c r="AT325" s="563">
        <f t="shared" si="116"/>
        <v>1</v>
      </c>
      <c r="AU325" s="563">
        <f t="shared" si="116"/>
        <v>2</v>
      </c>
      <c r="AV325" s="563">
        <f t="shared" si="116"/>
        <v>1</v>
      </c>
      <c r="AW325" s="563">
        <f t="shared" si="116"/>
        <v>2</v>
      </c>
      <c r="AX325" s="563">
        <f t="shared" si="116"/>
        <v>0</v>
      </c>
      <c r="AY325" s="563">
        <f t="shared" si="116"/>
        <v>1</v>
      </c>
      <c r="AZ325" s="563">
        <f t="shared" si="116"/>
        <v>1</v>
      </c>
      <c r="BA325" s="563">
        <f t="shared" si="116"/>
        <v>2</v>
      </c>
      <c r="BB325" s="563">
        <f t="shared" si="116"/>
        <v>1</v>
      </c>
      <c r="BC325" s="563">
        <f t="shared" si="116"/>
        <v>0</v>
      </c>
      <c r="BD325" s="563">
        <f t="shared" si="116"/>
        <v>1</v>
      </c>
      <c r="BE325" s="563">
        <f t="shared" si="116"/>
        <v>2</v>
      </c>
      <c r="BF325" s="563">
        <f t="shared" si="116"/>
        <v>1</v>
      </c>
      <c r="BG325" s="563">
        <f t="shared" si="116"/>
        <v>0</v>
      </c>
      <c r="BH325" s="563">
        <f t="shared" si="116"/>
        <v>1</v>
      </c>
      <c r="BI325" s="563">
        <f t="shared" si="116"/>
        <v>1</v>
      </c>
      <c r="BJ325" s="563">
        <f t="shared" si="116"/>
        <v>1</v>
      </c>
      <c r="BK325" s="563">
        <f t="shared" si="116"/>
        <v>1</v>
      </c>
      <c r="BL325" s="563">
        <f t="shared" si="116"/>
        <v>1</v>
      </c>
      <c r="BM325" s="563">
        <f t="shared" si="116"/>
        <v>1</v>
      </c>
      <c r="BN325" s="563">
        <f t="shared" ref="BN325:BR325" si="117">BN169</f>
        <v>1</v>
      </c>
      <c r="BO325" s="563">
        <f t="shared" si="117"/>
        <v>2</v>
      </c>
      <c r="BP325" s="563">
        <f t="shared" si="117"/>
        <v>0</v>
      </c>
      <c r="BQ325" s="563">
        <f t="shared" si="117"/>
        <v>1</v>
      </c>
      <c r="BR325" s="563">
        <f t="shared" si="117"/>
        <v>0</v>
      </c>
      <c r="BS325" s="563">
        <f t="shared" ref="BS325:BV325" si="118">BS169</f>
        <v>1</v>
      </c>
      <c r="BT325" s="563">
        <f t="shared" si="118"/>
        <v>2</v>
      </c>
      <c r="BU325" s="563">
        <f t="shared" si="118"/>
        <v>0</v>
      </c>
      <c r="BV325" s="563">
        <f t="shared" si="118"/>
        <v>2</v>
      </c>
    </row>
    <row r="326" spans="1:74" x14ac:dyDescent="0.3">
      <c r="A326" s="563">
        <f>A150</f>
        <v>577</v>
      </c>
      <c r="B326" s="563" t="str">
        <f t="shared" ref="B326:BM326" si="119">B150</f>
        <v>Yes  or "1" indicates unit has defined benefit other than the ones adm. By the state</v>
      </c>
      <c r="C326" s="563">
        <f t="shared" si="119"/>
        <v>0</v>
      </c>
      <c r="D326" s="563">
        <f t="shared" si="119"/>
        <v>2</v>
      </c>
      <c r="E326" s="563">
        <f t="shared" si="119"/>
        <v>1</v>
      </c>
      <c r="F326" s="563">
        <f t="shared" si="119"/>
        <v>0</v>
      </c>
      <c r="G326" s="563">
        <f t="shared" si="119"/>
        <v>0</v>
      </c>
      <c r="H326" s="563">
        <f t="shared" si="119"/>
        <v>2</v>
      </c>
      <c r="I326" s="563">
        <f t="shared" si="119"/>
        <v>2</v>
      </c>
      <c r="J326" s="563">
        <f t="shared" si="119"/>
        <v>0</v>
      </c>
      <c r="K326" s="563">
        <f t="shared" si="119"/>
        <v>0</v>
      </c>
      <c r="L326" s="563">
        <f t="shared" si="119"/>
        <v>2</v>
      </c>
      <c r="M326" s="563">
        <f t="shared" si="119"/>
        <v>1</v>
      </c>
      <c r="N326" s="563">
        <f t="shared" si="119"/>
        <v>0</v>
      </c>
      <c r="O326" s="563">
        <f t="shared" si="119"/>
        <v>2</v>
      </c>
      <c r="P326" s="563">
        <f t="shared" si="119"/>
        <v>0</v>
      </c>
      <c r="Q326" s="563">
        <f t="shared" si="119"/>
        <v>2</v>
      </c>
      <c r="R326" s="563">
        <f t="shared" si="119"/>
        <v>2</v>
      </c>
      <c r="S326" s="563">
        <f t="shared" si="119"/>
        <v>2</v>
      </c>
      <c r="T326" s="563">
        <f t="shared" si="119"/>
        <v>2</v>
      </c>
      <c r="U326" s="563">
        <f t="shared" si="119"/>
        <v>0</v>
      </c>
      <c r="V326" s="563">
        <f t="shared" si="119"/>
        <v>0</v>
      </c>
      <c r="W326" s="563">
        <f t="shared" si="119"/>
        <v>0</v>
      </c>
      <c r="X326" s="563">
        <f t="shared" si="119"/>
        <v>2</v>
      </c>
      <c r="Y326" s="563">
        <f t="shared" si="119"/>
        <v>2</v>
      </c>
      <c r="Z326" s="563">
        <f t="shared" si="119"/>
        <v>2</v>
      </c>
      <c r="AA326" s="563">
        <f t="shared" si="119"/>
        <v>2</v>
      </c>
      <c r="AB326" s="563">
        <f t="shared" si="119"/>
        <v>0</v>
      </c>
      <c r="AC326" s="563">
        <f t="shared" si="119"/>
        <v>2</v>
      </c>
      <c r="AD326" s="563">
        <f t="shared" si="119"/>
        <v>2</v>
      </c>
      <c r="AE326" s="563">
        <f t="shared" si="119"/>
        <v>2</v>
      </c>
      <c r="AF326" s="563">
        <f t="shared" si="119"/>
        <v>2</v>
      </c>
      <c r="AG326" s="563">
        <f t="shared" si="119"/>
        <v>2</v>
      </c>
      <c r="AH326" s="563">
        <f t="shared" si="119"/>
        <v>2</v>
      </c>
      <c r="AI326" s="563">
        <f t="shared" si="119"/>
        <v>0</v>
      </c>
      <c r="AJ326" s="563">
        <f t="shared" si="119"/>
        <v>2</v>
      </c>
      <c r="AK326" s="563">
        <f t="shared" si="119"/>
        <v>2</v>
      </c>
      <c r="AL326" s="563">
        <f t="shared" si="119"/>
        <v>2</v>
      </c>
      <c r="AM326" s="563">
        <f t="shared" si="119"/>
        <v>2</v>
      </c>
      <c r="AN326" s="563">
        <f t="shared" si="119"/>
        <v>2</v>
      </c>
      <c r="AO326" s="563">
        <f t="shared" si="119"/>
        <v>2</v>
      </c>
      <c r="AP326" s="563">
        <f t="shared" si="119"/>
        <v>2</v>
      </c>
      <c r="AQ326" s="563">
        <f t="shared" si="119"/>
        <v>2</v>
      </c>
      <c r="AR326" s="563">
        <f t="shared" si="119"/>
        <v>2</v>
      </c>
      <c r="AS326" s="563">
        <f t="shared" si="119"/>
        <v>2</v>
      </c>
      <c r="AT326" s="563">
        <f t="shared" si="119"/>
        <v>2</v>
      </c>
      <c r="AU326" s="563">
        <f t="shared" si="119"/>
        <v>2</v>
      </c>
      <c r="AV326" s="563">
        <f t="shared" si="119"/>
        <v>2</v>
      </c>
      <c r="AW326" s="563">
        <f t="shared" si="119"/>
        <v>2</v>
      </c>
      <c r="AX326" s="563">
        <f t="shared" si="119"/>
        <v>0</v>
      </c>
      <c r="AY326" s="563">
        <f t="shared" si="119"/>
        <v>0</v>
      </c>
      <c r="AZ326" s="563">
        <f t="shared" si="119"/>
        <v>2</v>
      </c>
      <c r="BA326" s="563">
        <f t="shared" si="119"/>
        <v>2</v>
      </c>
      <c r="BB326" s="563">
        <f t="shared" si="119"/>
        <v>2</v>
      </c>
      <c r="BC326" s="563">
        <f t="shared" si="119"/>
        <v>0</v>
      </c>
      <c r="BD326" s="563">
        <f t="shared" si="119"/>
        <v>2</v>
      </c>
      <c r="BE326" s="563">
        <f t="shared" si="119"/>
        <v>2</v>
      </c>
      <c r="BF326" s="563">
        <f t="shared" si="119"/>
        <v>2</v>
      </c>
      <c r="BG326" s="563">
        <f t="shared" si="119"/>
        <v>0</v>
      </c>
      <c r="BH326" s="563">
        <f t="shared" si="119"/>
        <v>2</v>
      </c>
      <c r="BI326" s="563">
        <f t="shared" si="119"/>
        <v>2</v>
      </c>
      <c r="BJ326" s="563">
        <f t="shared" si="119"/>
        <v>2</v>
      </c>
      <c r="BK326" s="563">
        <f t="shared" si="119"/>
        <v>2</v>
      </c>
      <c r="BL326" s="563">
        <f t="shared" si="119"/>
        <v>1</v>
      </c>
      <c r="BM326" s="563">
        <f t="shared" si="119"/>
        <v>2</v>
      </c>
      <c r="BN326" s="563">
        <f t="shared" ref="BN326:BR326" si="120">BN150</f>
        <v>2</v>
      </c>
      <c r="BO326" s="563">
        <f t="shared" si="120"/>
        <v>2</v>
      </c>
      <c r="BP326" s="563">
        <f t="shared" si="120"/>
        <v>0</v>
      </c>
      <c r="BQ326" s="563">
        <f t="shared" si="120"/>
        <v>2</v>
      </c>
      <c r="BR326" s="563">
        <f t="shared" si="120"/>
        <v>0</v>
      </c>
      <c r="BS326" s="563">
        <f t="shared" ref="BS326:BV326" si="121">BS150</f>
        <v>2</v>
      </c>
      <c r="BT326" s="563">
        <f t="shared" si="121"/>
        <v>2</v>
      </c>
      <c r="BU326" s="563">
        <f t="shared" si="121"/>
        <v>0</v>
      </c>
      <c r="BV326" s="563">
        <f t="shared" si="121"/>
        <v>2</v>
      </c>
    </row>
    <row r="327" spans="1:74" x14ac:dyDescent="0.3">
      <c r="A327" s="563">
        <f>A229</f>
        <v>991</v>
      </c>
      <c r="B327" s="563" t="str">
        <f t="shared" ref="B327:BM327" si="122">B229</f>
        <v>The Counties listed in cell H260 are scheduled to revalue property listing by 1/1/2022 according to the Dept. of Revenue records.  Please indicate if you expect your revaluation to increase, decrease, or no change.  If you are not listed please select N/A</v>
      </c>
      <c r="C327" s="563">
        <f t="shared" si="122"/>
        <v>0</v>
      </c>
      <c r="D327" s="563">
        <f t="shared" si="122"/>
        <v>23</v>
      </c>
      <c r="E327" s="563">
        <f t="shared" si="122"/>
        <v>20</v>
      </c>
      <c r="F327" s="563">
        <f t="shared" si="122"/>
        <v>0</v>
      </c>
      <c r="G327" s="563">
        <f t="shared" si="122"/>
        <v>0</v>
      </c>
      <c r="H327" s="563">
        <f t="shared" si="122"/>
        <v>23</v>
      </c>
      <c r="I327" s="563">
        <f t="shared" si="122"/>
        <v>22</v>
      </c>
      <c r="J327" s="563">
        <f t="shared" si="122"/>
        <v>23</v>
      </c>
      <c r="K327" s="563">
        <f t="shared" si="122"/>
        <v>23</v>
      </c>
      <c r="L327" s="563">
        <f t="shared" si="122"/>
        <v>23</v>
      </c>
      <c r="M327" s="563">
        <f t="shared" si="122"/>
        <v>20</v>
      </c>
      <c r="N327" s="563">
        <f t="shared" si="122"/>
        <v>22</v>
      </c>
      <c r="O327" s="563">
        <f t="shared" si="122"/>
        <v>23</v>
      </c>
      <c r="P327" s="563">
        <f t="shared" si="122"/>
        <v>0</v>
      </c>
      <c r="Q327" s="563">
        <f t="shared" si="122"/>
        <v>22</v>
      </c>
      <c r="R327" s="563">
        <f t="shared" si="122"/>
        <v>23</v>
      </c>
      <c r="S327" s="563">
        <f t="shared" si="122"/>
        <v>20</v>
      </c>
      <c r="T327" s="563">
        <f t="shared" si="122"/>
        <v>20</v>
      </c>
      <c r="U327" s="563">
        <f t="shared" si="122"/>
        <v>0</v>
      </c>
      <c r="V327" s="563">
        <f t="shared" si="122"/>
        <v>0</v>
      </c>
      <c r="W327" s="563">
        <f t="shared" si="122"/>
        <v>0</v>
      </c>
      <c r="X327" s="563">
        <f t="shared" si="122"/>
        <v>20</v>
      </c>
      <c r="Y327" s="563">
        <f t="shared" si="122"/>
        <v>23</v>
      </c>
      <c r="Z327" s="563">
        <f t="shared" si="122"/>
        <v>20</v>
      </c>
      <c r="AA327" s="563">
        <f t="shared" si="122"/>
        <v>20</v>
      </c>
      <c r="AB327" s="563">
        <f t="shared" si="122"/>
        <v>0</v>
      </c>
      <c r="AC327" s="563">
        <f t="shared" si="122"/>
        <v>23</v>
      </c>
      <c r="AD327" s="563">
        <f t="shared" si="122"/>
        <v>23</v>
      </c>
      <c r="AE327" s="563">
        <f t="shared" si="122"/>
        <v>23</v>
      </c>
      <c r="AF327" s="563">
        <f t="shared" si="122"/>
        <v>23</v>
      </c>
      <c r="AG327" s="563">
        <f t="shared" si="122"/>
        <v>23</v>
      </c>
      <c r="AH327" s="563">
        <f t="shared" si="122"/>
        <v>22</v>
      </c>
      <c r="AI327" s="563">
        <f t="shared" si="122"/>
        <v>23</v>
      </c>
      <c r="AJ327" s="563">
        <f t="shared" si="122"/>
        <v>23</v>
      </c>
      <c r="AK327" s="563">
        <f t="shared" si="122"/>
        <v>0</v>
      </c>
      <c r="AL327" s="563">
        <f t="shared" si="122"/>
        <v>23</v>
      </c>
      <c r="AM327" s="563">
        <f t="shared" si="122"/>
        <v>23</v>
      </c>
      <c r="AN327" s="563">
        <f t="shared" si="122"/>
        <v>23</v>
      </c>
      <c r="AO327" s="563">
        <f t="shared" si="122"/>
        <v>23</v>
      </c>
      <c r="AP327" s="563">
        <f t="shared" si="122"/>
        <v>0</v>
      </c>
      <c r="AQ327" s="563">
        <f t="shared" si="122"/>
        <v>23</v>
      </c>
      <c r="AR327" s="563">
        <f t="shared" si="122"/>
        <v>23</v>
      </c>
      <c r="AS327" s="563">
        <f t="shared" si="122"/>
        <v>23</v>
      </c>
      <c r="AT327" s="563">
        <f t="shared" si="122"/>
        <v>20</v>
      </c>
      <c r="AU327" s="563">
        <f t="shared" si="122"/>
        <v>0</v>
      </c>
      <c r="AV327" s="563">
        <f t="shared" si="122"/>
        <v>22</v>
      </c>
      <c r="AW327" s="563">
        <f t="shared" si="122"/>
        <v>22</v>
      </c>
      <c r="AX327" s="563">
        <f t="shared" si="122"/>
        <v>0</v>
      </c>
      <c r="AY327" s="563">
        <f t="shared" si="122"/>
        <v>23</v>
      </c>
      <c r="AZ327" s="563">
        <f t="shared" si="122"/>
        <v>23</v>
      </c>
      <c r="BA327" s="563">
        <f t="shared" si="122"/>
        <v>23</v>
      </c>
      <c r="BB327" s="563">
        <f t="shared" si="122"/>
        <v>23</v>
      </c>
      <c r="BC327" s="563">
        <f t="shared" si="122"/>
        <v>22</v>
      </c>
      <c r="BD327" s="563">
        <f t="shared" si="122"/>
        <v>20</v>
      </c>
      <c r="BE327" s="563">
        <f t="shared" si="122"/>
        <v>20</v>
      </c>
      <c r="BF327" s="563">
        <f t="shared" si="122"/>
        <v>23</v>
      </c>
      <c r="BG327" s="563">
        <f t="shared" si="122"/>
        <v>0</v>
      </c>
      <c r="BH327" s="563">
        <f t="shared" si="122"/>
        <v>20</v>
      </c>
      <c r="BI327" s="563">
        <f t="shared" si="122"/>
        <v>20</v>
      </c>
      <c r="BJ327" s="563">
        <f t="shared" si="122"/>
        <v>23</v>
      </c>
      <c r="BK327" s="563">
        <f t="shared" si="122"/>
        <v>23</v>
      </c>
      <c r="BL327" s="563">
        <f t="shared" si="122"/>
        <v>23</v>
      </c>
      <c r="BM327" s="563">
        <f t="shared" si="122"/>
        <v>23</v>
      </c>
      <c r="BN327" s="563">
        <f t="shared" ref="BN327:BR327" si="123">BN229</f>
        <v>23</v>
      </c>
      <c r="BO327" s="563">
        <f t="shared" si="123"/>
        <v>23</v>
      </c>
      <c r="BP327" s="563">
        <f t="shared" si="123"/>
        <v>0</v>
      </c>
      <c r="BQ327" s="563">
        <f t="shared" si="123"/>
        <v>23</v>
      </c>
      <c r="BR327" s="563">
        <f t="shared" si="123"/>
        <v>0</v>
      </c>
      <c r="BS327" s="563">
        <f t="shared" ref="BS327:BV327" si="124">BS229</f>
        <v>23</v>
      </c>
      <c r="BT327" s="563">
        <f t="shared" si="124"/>
        <v>23</v>
      </c>
      <c r="BU327" s="563">
        <f t="shared" si="124"/>
        <v>0</v>
      </c>
      <c r="BV327" s="563">
        <f t="shared" si="124"/>
        <v>23</v>
      </c>
    </row>
    <row r="328" spans="1:74" x14ac:dyDescent="0.3">
      <c r="A328" s="557" t="s">
        <v>980</v>
      </c>
      <c r="B328" s="180"/>
      <c r="C328" s="180"/>
      <c r="D328" s="568">
        <f>SUM(D285:D327)</f>
        <v>38155468.009999998</v>
      </c>
      <c r="E328" s="568">
        <f>SUM(E285:E327)</f>
        <v>4854826563.0100002</v>
      </c>
      <c r="F328" s="568">
        <f t="shared" ref="F328:BQ328" si="125">SUM(F285:F327)</f>
        <v>50364.01</v>
      </c>
      <c r="G328" s="568">
        <f t="shared" si="125"/>
        <v>50365.01</v>
      </c>
      <c r="H328" s="568">
        <f t="shared" si="125"/>
        <v>21739833.009999998</v>
      </c>
      <c r="I328" s="568">
        <f t="shared" si="125"/>
        <v>132538</v>
      </c>
      <c r="J328" s="568">
        <f t="shared" si="125"/>
        <v>3300803</v>
      </c>
      <c r="K328" s="568">
        <f t="shared" si="125"/>
        <v>14164434</v>
      </c>
      <c r="L328" s="568">
        <f t="shared" si="125"/>
        <v>26555793.09</v>
      </c>
      <c r="M328" s="568">
        <f t="shared" si="125"/>
        <v>113451066.00999999</v>
      </c>
      <c r="N328" s="568">
        <f t="shared" si="125"/>
        <v>1207666</v>
      </c>
      <c r="O328" s="568">
        <f t="shared" si="125"/>
        <v>3702435.01</v>
      </c>
      <c r="P328" s="568">
        <f t="shared" si="125"/>
        <v>50373.01</v>
      </c>
      <c r="Q328" s="568">
        <f t="shared" si="125"/>
        <v>3535879</v>
      </c>
      <c r="R328" s="568">
        <f t="shared" si="125"/>
        <v>5438475</v>
      </c>
      <c r="S328" s="568">
        <f t="shared" si="125"/>
        <v>12005179.01</v>
      </c>
      <c r="T328" s="568">
        <f t="shared" si="125"/>
        <v>77308652</v>
      </c>
      <c r="U328" s="568">
        <f t="shared" si="125"/>
        <v>50375.01</v>
      </c>
      <c r="V328" s="568">
        <f t="shared" si="125"/>
        <v>50376.01</v>
      </c>
      <c r="W328" s="568">
        <f t="shared" si="125"/>
        <v>50377.09</v>
      </c>
      <c r="X328" s="568">
        <f t="shared" si="125"/>
        <v>70963889.00999999</v>
      </c>
      <c r="Y328" s="568">
        <f t="shared" si="125"/>
        <v>8266996</v>
      </c>
      <c r="Z328" s="568">
        <f t="shared" si="125"/>
        <v>538250302.09000003</v>
      </c>
      <c r="AA328" s="568">
        <f t="shared" si="125"/>
        <v>125720833</v>
      </c>
      <c r="AB328" s="568">
        <f t="shared" si="125"/>
        <v>50382.01</v>
      </c>
      <c r="AC328" s="568">
        <f t="shared" si="125"/>
        <v>2042310.01</v>
      </c>
      <c r="AD328" s="568">
        <f t="shared" si="125"/>
        <v>6952997.0099999998</v>
      </c>
      <c r="AE328" s="568">
        <f t="shared" si="125"/>
        <v>7561623.0099999998</v>
      </c>
      <c r="AF328" s="568">
        <f t="shared" si="125"/>
        <v>2871907.01</v>
      </c>
      <c r="AG328" s="568">
        <f t="shared" si="125"/>
        <v>3607528.01</v>
      </c>
      <c r="AH328" s="568">
        <f t="shared" si="125"/>
        <v>36789485.009999998</v>
      </c>
      <c r="AI328" s="568">
        <f t="shared" si="125"/>
        <v>836248</v>
      </c>
      <c r="AJ328" s="568">
        <f t="shared" si="125"/>
        <v>17796115</v>
      </c>
      <c r="AK328" s="568">
        <f t="shared" si="125"/>
        <v>1208954</v>
      </c>
      <c r="AL328" s="568">
        <f t="shared" si="125"/>
        <v>6871791.0099999998</v>
      </c>
      <c r="AM328" s="568">
        <f t="shared" si="125"/>
        <v>27764623.009999998</v>
      </c>
      <c r="AN328" s="568">
        <f t="shared" si="125"/>
        <v>1964879.01</v>
      </c>
      <c r="AO328" s="568">
        <f t="shared" si="125"/>
        <v>261054600.00999999</v>
      </c>
      <c r="AP328" s="568">
        <f t="shared" si="125"/>
        <v>5618817.0099999998</v>
      </c>
      <c r="AQ328" s="568">
        <f t="shared" si="125"/>
        <v>1083871</v>
      </c>
      <c r="AR328" s="568">
        <f t="shared" si="125"/>
        <v>2311109.0099999998</v>
      </c>
      <c r="AS328" s="568">
        <f t="shared" si="125"/>
        <v>347074146.00999999</v>
      </c>
      <c r="AT328" s="568">
        <f t="shared" si="125"/>
        <v>2042022.01</v>
      </c>
      <c r="AU328" s="568">
        <f t="shared" si="125"/>
        <v>23428477.009999998</v>
      </c>
      <c r="AV328" s="568">
        <f t="shared" si="125"/>
        <v>10862527.09</v>
      </c>
      <c r="AW328" s="568">
        <f t="shared" si="125"/>
        <v>6250635.0099999998</v>
      </c>
      <c r="AX328" s="568">
        <f t="shared" si="125"/>
        <v>50400</v>
      </c>
      <c r="AY328" s="568">
        <f t="shared" si="125"/>
        <v>1265900</v>
      </c>
      <c r="AZ328" s="568">
        <f t="shared" si="125"/>
        <v>47894813.090000004</v>
      </c>
      <c r="BA328" s="568">
        <f t="shared" si="125"/>
        <v>7520064.0099999998</v>
      </c>
      <c r="BB328" s="568">
        <f t="shared" si="125"/>
        <v>1381742.01</v>
      </c>
      <c r="BC328" s="568">
        <f t="shared" si="125"/>
        <v>18368568.010000002</v>
      </c>
      <c r="BD328" s="568">
        <f t="shared" si="125"/>
        <v>51237622.009999998</v>
      </c>
      <c r="BE328" s="568">
        <f t="shared" si="125"/>
        <v>8801020.3499999996</v>
      </c>
      <c r="BF328" s="568">
        <f t="shared" si="125"/>
        <v>255595604.07999998</v>
      </c>
      <c r="BG328" s="568">
        <f t="shared" si="125"/>
        <v>50407.01</v>
      </c>
      <c r="BH328" s="568">
        <f t="shared" si="125"/>
        <v>1216356</v>
      </c>
      <c r="BI328" s="568">
        <f t="shared" si="125"/>
        <v>2211956.0099999998</v>
      </c>
      <c r="BJ328" s="568">
        <f t="shared" si="125"/>
        <v>150023327.09</v>
      </c>
      <c r="BK328" s="568">
        <f t="shared" si="125"/>
        <v>7778193.0099999998</v>
      </c>
      <c r="BL328" s="568">
        <f t="shared" si="125"/>
        <v>128765710.00999999</v>
      </c>
      <c r="BM328" s="568">
        <f t="shared" si="125"/>
        <v>52252251</v>
      </c>
      <c r="BN328" s="568">
        <f t="shared" si="125"/>
        <v>82961973.090000004</v>
      </c>
      <c r="BO328" s="568">
        <f t="shared" si="125"/>
        <v>12342631.01</v>
      </c>
      <c r="BP328" s="568">
        <f t="shared" si="125"/>
        <v>50415</v>
      </c>
      <c r="BQ328" s="568">
        <f t="shared" si="125"/>
        <v>19117403</v>
      </c>
      <c r="BR328" s="568">
        <f t="shared" ref="BR328:BV328" si="126">SUM(BR285:BR327)</f>
        <v>50417</v>
      </c>
      <c r="BS328" s="568">
        <f t="shared" si="126"/>
        <v>20392111.009999998</v>
      </c>
      <c r="BT328" s="568">
        <f t="shared" si="126"/>
        <v>6105235.0099999998</v>
      </c>
      <c r="BU328" s="568">
        <f t="shared" si="126"/>
        <v>50420.01</v>
      </c>
      <c r="BV328" s="568">
        <f t="shared" si="126"/>
        <v>14318069.01</v>
      </c>
    </row>
    <row r="329" spans="1:74" x14ac:dyDescent="0.3">
      <c r="A329" s="557"/>
      <c r="B329" s="180"/>
      <c r="C329" s="180"/>
      <c r="D329" s="568">
        <f>D259-D328</f>
        <v>286097011.90000004</v>
      </c>
      <c r="E329" s="568">
        <f>E259-E328</f>
        <v>27380048602.352997</v>
      </c>
      <c r="F329" s="568">
        <f t="shared" ref="F329:BQ329" si="127">F259-F328</f>
        <v>0</v>
      </c>
      <c r="G329" s="568">
        <f t="shared" si="127"/>
        <v>0</v>
      </c>
      <c r="H329" s="568">
        <f t="shared" si="127"/>
        <v>106372443.83000001</v>
      </c>
      <c r="I329" s="568">
        <f t="shared" si="127"/>
        <v>675098.41</v>
      </c>
      <c r="J329" s="568">
        <f t="shared" si="127"/>
        <v>16460425.859999999</v>
      </c>
      <c r="K329" s="568">
        <f t="shared" si="127"/>
        <v>67994603</v>
      </c>
      <c r="L329" s="568">
        <f t="shared" si="127"/>
        <v>215772305.13999999</v>
      </c>
      <c r="M329" s="568">
        <f t="shared" si="127"/>
        <v>784781250.5474</v>
      </c>
      <c r="N329" s="568">
        <f t="shared" si="127"/>
        <v>7982792.4409999996</v>
      </c>
      <c r="O329" s="568">
        <f t="shared" si="127"/>
        <v>43515353.090000004</v>
      </c>
      <c r="P329" s="568">
        <f t="shared" si="127"/>
        <v>0</v>
      </c>
      <c r="Q329" s="568">
        <f>Q259-Q328</f>
        <v>13278866.809999999</v>
      </c>
      <c r="R329" s="568">
        <f t="shared" si="127"/>
        <v>31988820.880000003</v>
      </c>
      <c r="S329" s="568">
        <f t="shared" si="127"/>
        <v>77443789.099999994</v>
      </c>
      <c r="T329" s="568">
        <f t="shared" si="127"/>
        <v>248682677.861</v>
      </c>
      <c r="U329" s="568">
        <f t="shared" si="127"/>
        <v>0</v>
      </c>
      <c r="V329" s="568">
        <f t="shared" si="127"/>
        <v>0</v>
      </c>
      <c r="W329" s="568">
        <f t="shared" si="127"/>
        <v>0</v>
      </c>
      <c r="X329" s="568">
        <f t="shared" si="127"/>
        <v>368210152.38</v>
      </c>
      <c r="Y329" s="568">
        <f t="shared" si="127"/>
        <v>40395551.490000002</v>
      </c>
      <c r="Z329" s="568">
        <f t="shared" si="127"/>
        <v>3093259767.7950001</v>
      </c>
      <c r="AA329" s="568">
        <f t="shared" si="127"/>
        <v>359158334.19</v>
      </c>
      <c r="AB329" s="568">
        <f t="shared" si="127"/>
        <v>0</v>
      </c>
      <c r="AC329" s="568">
        <f t="shared" si="127"/>
        <v>39422515.719999999</v>
      </c>
      <c r="AD329" s="568">
        <f t="shared" si="127"/>
        <v>69997873.949999988</v>
      </c>
      <c r="AE329" s="568">
        <f t="shared" si="127"/>
        <v>65801844.339999996</v>
      </c>
      <c r="AF329" s="568">
        <f t="shared" si="127"/>
        <v>42588965.5</v>
      </c>
      <c r="AG329" s="568">
        <f t="shared" si="127"/>
        <v>38783351.380000003</v>
      </c>
      <c r="AH329" s="568">
        <f t="shared" si="127"/>
        <v>363060739.30000001</v>
      </c>
      <c r="AI329" s="568">
        <f t="shared" si="127"/>
        <v>3995626.49</v>
      </c>
      <c r="AJ329" s="568">
        <f t="shared" si="127"/>
        <v>78544737.930000007</v>
      </c>
      <c r="AK329" s="568">
        <f t="shared" si="127"/>
        <v>5972580</v>
      </c>
      <c r="AL329" s="568">
        <f t="shared" si="127"/>
        <v>44955239.580000006</v>
      </c>
      <c r="AM329" s="568">
        <f t="shared" si="127"/>
        <v>144305643.14000002</v>
      </c>
      <c r="AN329" s="568">
        <f t="shared" si="127"/>
        <v>21710837.18</v>
      </c>
      <c r="AO329" s="568">
        <f t="shared" si="127"/>
        <v>2066910631.8195999</v>
      </c>
      <c r="AP329" s="568">
        <f t="shared" si="127"/>
        <v>59231682.109999999</v>
      </c>
      <c r="AQ329" s="568">
        <f t="shared" si="127"/>
        <v>7785383.0299999993</v>
      </c>
      <c r="AR329" s="568">
        <f t="shared" si="127"/>
        <v>14755144.67</v>
      </c>
      <c r="AS329" s="568">
        <f t="shared" si="127"/>
        <v>2265904386.1400003</v>
      </c>
      <c r="AT329" s="568">
        <f t="shared" si="127"/>
        <v>36774491.219999999</v>
      </c>
      <c r="AU329" s="568">
        <f t="shared" si="127"/>
        <v>148465028.96000001</v>
      </c>
      <c r="AV329" s="568">
        <f t="shared" si="127"/>
        <v>130783727.94499999</v>
      </c>
      <c r="AW329" s="568">
        <f t="shared" si="127"/>
        <v>55610649.840000004</v>
      </c>
      <c r="AX329" s="568">
        <f t="shared" si="127"/>
        <v>0</v>
      </c>
      <c r="AY329" s="568">
        <f t="shared" si="127"/>
        <v>8697459.9949999992</v>
      </c>
      <c r="AZ329" s="568">
        <f t="shared" si="127"/>
        <v>357775745.37</v>
      </c>
      <c r="BA329" s="568">
        <f t="shared" si="127"/>
        <v>45182645.68</v>
      </c>
      <c r="BB329" s="568">
        <f t="shared" si="127"/>
        <v>22443465.049999997</v>
      </c>
      <c r="BC329" s="568">
        <f t="shared" si="127"/>
        <v>19604052.330000002</v>
      </c>
      <c r="BD329" s="568">
        <f t="shared" si="127"/>
        <v>233555054.21250004</v>
      </c>
      <c r="BE329" s="568">
        <f t="shared" si="127"/>
        <v>119021359.35000001</v>
      </c>
      <c r="BF329" s="568">
        <f t="shared" si="127"/>
        <v>1728336184.8375001</v>
      </c>
      <c r="BG329" s="568">
        <f t="shared" si="127"/>
        <v>0</v>
      </c>
      <c r="BH329" s="568">
        <f t="shared" si="127"/>
        <v>7422800.3900000006</v>
      </c>
      <c r="BI329" s="568">
        <f t="shared" si="127"/>
        <v>19929003.670000002</v>
      </c>
      <c r="BJ329" s="568">
        <f t="shared" si="127"/>
        <v>932957256.41999996</v>
      </c>
      <c r="BK329" s="568">
        <f t="shared" si="127"/>
        <v>78460875.140000001</v>
      </c>
      <c r="BL329" s="568">
        <f t="shared" si="127"/>
        <v>870288894.10000002</v>
      </c>
      <c r="BM329" s="568">
        <f t="shared" si="127"/>
        <v>210831224.11579999</v>
      </c>
      <c r="BN329" s="568">
        <f t="shared" si="127"/>
        <v>485134081.14559996</v>
      </c>
      <c r="BO329" s="568">
        <f t="shared" si="127"/>
        <v>147923887.95000002</v>
      </c>
      <c r="BP329" s="568">
        <f t="shared" si="127"/>
        <v>0</v>
      </c>
      <c r="BQ329" s="568">
        <f t="shared" si="127"/>
        <v>75183824.375</v>
      </c>
      <c r="BR329" s="568">
        <f t="shared" ref="BR329:BV329" si="128">BR259-BR328</f>
        <v>0</v>
      </c>
      <c r="BS329" s="568">
        <f t="shared" si="128"/>
        <v>149565519.54300001</v>
      </c>
      <c r="BT329" s="568">
        <f t="shared" si="128"/>
        <v>50489756.340000004</v>
      </c>
      <c r="BU329" s="568">
        <f t="shared" si="128"/>
        <v>0</v>
      </c>
      <c r="BV329" s="568">
        <f t="shared" si="128"/>
        <v>151306120.96600002</v>
      </c>
    </row>
    <row r="330" spans="1:74" x14ac:dyDescent="0.3">
      <c r="A330" s="557" t="s">
        <v>1664</v>
      </c>
      <c r="F330" s="180"/>
      <c r="G330" s="180"/>
      <c r="H330" s="180"/>
      <c r="I330" s="180"/>
      <c r="J330" s="180"/>
      <c r="K330" s="180"/>
      <c r="L330" s="180"/>
      <c r="M330" s="180"/>
      <c r="N330" s="180"/>
      <c r="O330" s="180"/>
      <c r="P330" s="180"/>
      <c r="Q330" s="180"/>
      <c r="R330" s="180"/>
      <c r="S330" s="180"/>
      <c r="T330" s="180"/>
      <c r="U330" s="180"/>
      <c r="V330" s="180"/>
      <c r="W330" s="180"/>
      <c r="X330" s="180"/>
      <c r="Y330" s="180"/>
      <c r="Z330" s="180"/>
      <c r="AA330" s="180"/>
      <c r="AB330" s="180"/>
      <c r="AC330" s="180"/>
      <c r="AD330" s="180"/>
      <c r="AE330" s="180"/>
      <c r="AF330" s="180"/>
      <c r="AG330" s="180"/>
      <c r="AH330" s="180"/>
      <c r="AI330" s="180"/>
      <c r="AJ330" s="180"/>
      <c r="AK330" s="180"/>
      <c r="AL330" s="180"/>
      <c r="AM330" s="180"/>
      <c r="AN330" s="180"/>
      <c r="AO330" s="180"/>
      <c r="AP330" s="180"/>
      <c r="AQ330" s="180"/>
      <c r="AR330" s="180"/>
      <c r="AS330" s="180"/>
      <c r="AT330" s="180"/>
      <c r="AU330" s="180"/>
      <c r="AV330" s="180"/>
      <c r="AW330" s="180"/>
      <c r="AX330" s="180"/>
      <c r="AY330" s="180"/>
      <c r="AZ330" s="180"/>
      <c r="BA330" s="180"/>
      <c r="BB330" s="180"/>
      <c r="BC330" s="180"/>
      <c r="BD330" s="180"/>
      <c r="BE330" s="180"/>
      <c r="BF330" s="180"/>
      <c r="BG330" s="180"/>
      <c r="BH330" s="180"/>
      <c r="BI330" s="180"/>
      <c r="BJ330" s="180"/>
      <c r="BK330" s="180"/>
      <c r="BL330" s="180"/>
      <c r="BM330" s="180"/>
      <c r="BN330" s="180"/>
      <c r="BO330" s="180"/>
      <c r="BP330" s="180"/>
      <c r="BQ330" s="180"/>
      <c r="BR330" s="180"/>
    </row>
    <row r="331" spans="1:74" x14ac:dyDescent="0.3">
      <c r="A331" s="557"/>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c r="AA331" s="180"/>
      <c r="AB331" s="180"/>
      <c r="AC331" s="180"/>
      <c r="AD331" s="180"/>
      <c r="AE331" s="180"/>
      <c r="AF331" s="180"/>
      <c r="AG331" s="180"/>
      <c r="AH331" s="180"/>
      <c r="AI331" s="180"/>
      <c r="AJ331" s="180"/>
      <c r="AK331" s="180"/>
      <c r="AL331" s="180"/>
      <c r="AM331" s="180"/>
      <c r="AN331" s="180"/>
      <c r="AO331" s="180"/>
      <c r="AP331" s="180"/>
      <c r="AQ331" s="180"/>
      <c r="AR331" s="180"/>
      <c r="AS331" s="180"/>
      <c r="AT331" s="180"/>
      <c r="AU331" s="180"/>
      <c r="AV331" s="180"/>
      <c r="AW331" s="180"/>
      <c r="AX331" s="180"/>
      <c r="AY331" s="180"/>
      <c r="AZ331" s="180"/>
      <c r="BA331" s="180"/>
      <c r="BB331" s="180"/>
      <c r="BC331" s="180"/>
      <c r="BD331" s="180"/>
      <c r="BE331" s="180"/>
      <c r="BF331" s="180"/>
      <c r="BG331" s="180"/>
      <c r="BH331" s="180"/>
      <c r="BI331" s="180"/>
      <c r="BJ331" s="180"/>
      <c r="BK331" s="180"/>
      <c r="BL331" s="180"/>
      <c r="BM331" s="180"/>
      <c r="BN331" s="180"/>
      <c r="BO331" s="180"/>
      <c r="BP331" s="180"/>
      <c r="BQ331" s="180"/>
      <c r="BR331" s="180"/>
      <c r="BS331" s="180"/>
      <c r="BT331" s="180"/>
      <c r="BU331" s="180"/>
      <c r="BV331" s="180"/>
    </row>
    <row r="332" spans="1:74" x14ac:dyDescent="0.3">
      <c r="A332" s="559">
        <f>A260</f>
        <v>9001</v>
      </c>
      <c r="B332" s="559">
        <v>385</v>
      </c>
      <c r="D332">
        <f>D260</f>
        <v>18991778</v>
      </c>
      <c r="E332" s="180">
        <f t="shared" ref="E332:BP333" si="129">E260</f>
        <v>2631648285</v>
      </c>
      <c r="F332" s="180">
        <f t="shared" si="129"/>
        <v>0</v>
      </c>
      <c r="G332" s="180">
        <f t="shared" si="129"/>
        <v>0</v>
      </c>
      <c r="H332" s="180">
        <f t="shared" si="129"/>
        <v>10206856</v>
      </c>
      <c r="I332" s="180">
        <f t="shared" si="129"/>
        <v>81951</v>
      </c>
      <c r="J332" s="180">
        <f t="shared" si="129"/>
        <v>3134446</v>
      </c>
      <c r="K332" s="180">
        <f t="shared" si="129"/>
        <v>13365624</v>
      </c>
      <c r="L332" s="180">
        <f t="shared" si="129"/>
        <v>9607354</v>
      </c>
      <c r="M332" s="180">
        <f t="shared" si="129"/>
        <v>58033588</v>
      </c>
      <c r="N332" s="180">
        <f t="shared" si="129"/>
        <v>1151279</v>
      </c>
      <c r="O332" s="180">
        <f t="shared" si="129"/>
        <v>2322556</v>
      </c>
      <c r="P332" s="180">
        <f t="shared" si="129"/>
        <v>0</v>
      </c>
      <c r="Q332" s="180">
        <f t="shared" si="129"/>
        <v>2542565</v>
      </c>
      <c r="R332" s="180">
        <f t="shared" si="129"/>
        <v>3986128</v>
      </c>
      <c r="S332" s="180">
        <f t="shared" si="129"/>
        <v>8531723</v>
      </c>
      <c r="T332" s="180">
        <f t="shared" si="129"/>
        <v>37528081</v>
      </c>
      <c r="U332" s="180">
        <f t="shared" si="129"/>
        <v>0</v>
      </c>
      <c r="V332" s="180">
        <f t="shared" si="129"/>
        <v>0</v>
      </c>
      <c r="W332" s="180">
        <f t="shared" si="129"/>
        <v>0</v>
      </c>
      <c r="X332" s="180">
        <f t="shared" si="129"/>
        <v>40538550</v>
      </c>
      <c r="Y332" s="180">
        <f t="shared" si="129"/>
        <v>6108449</v>
      </c>
      <c r="Z332" s="180">
        <f t="shared" si="129"/>
        <v>263067790</v>
      </c>
      <c r="AA332" s="180">
        <f t="shared" si="129"/>
        <v>92087836</v>
      </c>
      <c r="AB332" s="180">
        <f t="shared" si="129"/>
        <v>0</v>
      </c>
      <c r="AC332" s="180">
        <f t="shared" si="129"/>
        <v>1615833</v>
      </c>
      <c r="AD332" s="180">
        <f t="shared" si="129"/>
        <v>3233028</v>
      </c>
      <c r="AE332" s="180">
        <f t="shared" si="129"/>
        <v>4750493</v>
      </c>
      <c r="AF332" s="180">
        <f t="shared" si="129"/>
        <v>1440836</v>
      </c>
      <c r="AG332" s="180">
        <f t="shared" si="129"/>
        <v>1591920</v>
      </c>
      <c r="AH332" s="180">
        <f t="shared" si="129"/>
        <v>17118007</v>
      </c>
      <c r="AI332" s="180">
        <f t="shared" si="129"/>
        <v>739889</v>
      </c>
      <c r="AJ332" s="180">
        <f t="shared" si="129"/>
        <v>11028563</v>
      </c>
      <c r="AK332" s="180">
        <f t="shared" si="129"/>
        <v>889882</v>
      </c>
      <c r="AL332" s="180">
        <f t="shared" si="129"/>
        <v>3545340</v>
      </c>
      <c r="AM332" s="180">
        <f t="shared" si="129"/>
        <v>13190969</v>
      </c>
      <c r="AN332" s="180">
        <f t="shared" si="129"/>
        <v>1510007</v>
      </c>
      <c r="AO332" s="180">
        <f t="shared" si="129"/>
        <v>128066597</v>
      </c>
      <c r="AP332" s="180">
        <f t="shared" si="129"/>
        <v>4099191</v>
      </c>
      <c r="AQ332" s="180">
        <f t="shared" si="129"/>
        <v>932243</v>
      </c>
      <c r="AR332" s="180">
        <f t="shared" si="129"/>
        <v>1648786</v>
      </c>
      <c r="AS332" s="180">
        <f t="shared" si="129"/>
        <v>142380151</v>
      </c>
      <c r="AT332" s="180">
        <f t="shared" si="129"/>
        <v>1081529</v>
      </c>
      <c r="AU332" s="180">
        <f t="shared" si="129"/>
        <v>13064109</v>
      </c>
      <c r="AV332" s="180">
        <f t="shared" si="129"/>
        <v>4960616</v>
      </c>
      <c r="AW332" s="180">
        <f t="shared" si="129"/>
        <v>1905244</v>
      </c>
      <c r="AX332" s="180">
        <f t="shared" si="129"/>
        <v>0</v>
      </c>
      <c r="AY332" s="180">
        <f t="shared" si="129"/>
        <v>1143691</v>
      </c>
      <c r="AZ332" s="180">
        <f t="shared" si="129"/>
        <v>19209318</v>
      </c>
      <c r="BA332" s="180">
        <f t="shared" si="129"/>
        <v>4959819</v>
      </c>
      <c r="BB332" s="180">
        <f t="shared" si="129"/>
        <v>256534</v>
      </c>
      <c r="BC332" s="180">
        <f t="shared" si="129"/>
        <v>17654808</v>
      </c>
      <c r="BD332" s="180">
        <f t="shared" si="129"/>
        <v>30569268</v>
      </c>
      <c r="BE332" s="180">
        <f t="shared" si="129"/>
        <v>3047879</v>
      </c>
      <c r="BF332" s="180">
        <f t="shared" si="129"/>
        <v>122214788</v>
      </c>
      <c r="BG332" s="180">
        <f t="shared" si="129"/>
        <v>0</v>
      </c>
      <c r="BH332" s="180">
        <f t="shared" si="129"/>
        <v>874731</v>
      </c>
      <c r="BI332" s="180">
        <f t="shared" si="129"/>
        <v>933264</v>
      </c>
      <c r="BJ332" s="180">
        <f t="shared" si="129"/>
        <v>62346058</v>
      </c>
      <c r="BK332" s="180">
        <f t="shared" si="129"/>
        <v>4192587</v>
      </c>
      <c r="BL332" s="180">
        <f t="shared" si="129"/>
        <v>79965867</v>
      </c>
      <c r="BM332" s="180">
        <f t="shared" si="129"/>
        <v>36583031</v>
      </c>
      <c r="BN332" s="180">
        <f t="shared" si="129"/>
        <v>33744363</v>
      </c>
      <c r="BO332" s="180">
        <f t="shared" si="129"/>
        <v>6232805</v>
      </c>
      <c r="BP332" s="180">
        <f t="shared" si="129"/>
        <v>0</v>
      </c>
      <c r="BQ332" s="180">
        <f t="shared" ref="BQ332:BR334" si="130">BQ260</f>
        <v>13335148</v>
      </c>
      <c r="BR332" s="180">
        <f t="shared" si="130"/>
        <v>0</v>
      </c>
      <c r="BS332" s="180">
        <f t="shared" ref="BS332:BV332" si="131">BS260</f>
        <v>10220878</v>
      </c>
      <c r="BT332" s="180">
        <f t="shared" si="131"/>
        <v>4073714</v>
      </c>
      <c r="BU332" s="180">
        <f t="shared" si="131"/>
        <v>0</v>
      </c>
      <c r="BV332" s="180">
        <f t="shared" si="131"/>
        <v>9655597</v>
      </c>
    </row>
    <row r="333" spans="1:74" x14ac:dyDescent="0.3">
      <c r="A333" s="559">
        <f>A261</f>
        <v>9002</v>
      </c>
      <c r="B333" s="559">
        <v>626</v>
      </c>
      <c r="D333" s="180">
        <f t="shared" ref="D333:S334" si="132">D261</f>
        <v>686364</v>
      </c>
      <c r="E333" s="180">
        <f t="shared" si="132"/>
        <v>187317512</v>
      </c>
      <c r="F333" s="180">
        <f t="shared" si="132"/>
        <v>0</v>
      </c>
      <c r="G333" s="180">
        <f t="shared" si="132"/>
        <v>0</v>
      </c>
      <c r="H333" s="180">
        <f t="shared" si="132"/>
        <v>94093</v>
      </c>
      <c r="I333" s="180">
        <f t="shared" si="132"/>
        <v>0</v>
      </c>
      <c r="J333" s="180">
        <f t="shared" si="132"/>
        <v>4812</v>
      </c>
      <c r="K333" s="180">
        <f t="shared" si="132"/>
        <v>20919</v>
      </c>
      <c r="L333" s="180">
        <f t="shared" si="132"/>
        <v>429901</v>
      </c>
      <c r="M333" s="180">
        <f t="shared" si="132"/>
        <v>4326067</v>
      </c>
      <c r="N333" s="180">
        <f t="shared" si="132"/>
        <v>1931</v>
      </c>
      <c r="O333" s="180">
        <f t="shared" si="132"/>
        <v>47407</v>
      </c>
      <c r="P333" s="180">
        <f t="shared" si="132"/>
        <v>0</v>
      </c>
      <c r="Q333" s="180">
        <f t="shared" si="132"/>
        <v>224291</v>
      </c>
      <c r="R333" s="180">
        <f t="shared" si="132"/>
        <v>86705</v>
      </c>
      <c r="S333" s="180">
        <f t="shared" si="132"/>
        <v>60919</v>
      </c>
      <c r="T333" s="180">
        <f t="shared" si="129"/>
        <v>1944141</v>
      </c>
      <c r="U333" s="180">
        <f t="shared" si="129"/>
        <v>0</v>
      </c>
      <c r="V333" s="180">
        <f t="shared" si="129"/>
        <v>0</v>
      </c>
      <c r="W333" s="180">
        <f t="shared" si="129"/>
        <v>0</v>
      </c>
      <c r="X333" s="180">
        <f t="shared" si="129"/>
        <v>645349</v>
      </c>
      <c r="Y333" s="180">
        <f t="shared" si="129"/>
        <v>330735</v>
      </c>
      <c r="Z333" s="180">
        <f t="shared" si="129"/>
        <v>14033634</v>
      </c>
      <c r="AA333" s="180">
        <f t="shared" si="129"/>
        <v>2395269</v>
      </c>
      <c r="AB333" s="180">
        <f t="shared" si="129"/>
        <v>0</v>
      </c>
      <c r="AC333" s="180">
        <f t="shared" si="129"/>
        <v>21841</v>
      </c>
      <c r="AD333" s="180">
        <f t="shared" si="129"/>
        <v>478635</v>
      </c>
      <c r="AE333" s="180">
        <f t="shared" si="129"/>
        <v>41177</v>
      </c>
      <c r="AF333" s="180">
        <f t="shared" si="129"/>
        <v>37609</v>
      </c>
      <c r="AG333" s="180">
        <f t="shared" si="129"/>
        <v>77870</v>
      </c>
      <c r="AH333" s="180">
        <f t="shared" si="129"/>
        <v>1219537</v>
      </c>
      <c r="AI333" s="180">
        <f t="shared" si="129"/>
        <v>4043</v>
      </c>
      <c r="AJ333" s="180">
        <f t="shared" si="129"/>
        <v>262373</v>
      </c>
      <c r="AK333" s="180">
        <f t="shared" si="129"/>
        <v>133422</v>
      </c>
      <c r="AL333" s="180">
        <f t="shared" si="129"/>
        <v>366171</v>
      </c>
      <c r="AM333" s="180">
        <f t="shared" si="129"/>
        <v>2124248</v>
      </c>
      <c r="AN333" s="180">
        <f t="shared" si="129"/>
        <v>10674</v>
      </c>
      <c r="AO333" s="180">
        <f t="shared" si="129"/>
        <v>6281463</v>
      </c>
      <c r="AP333" s="180">
        <f t="shared" si="129"/>
        <v>69971</v>
      </c>
      <c r="AQ333" s="180">
        <f t="shared" si="129"/>
        <v>1376</v>
      </c>
      <c r="AR333" s="180">
        <f t="shared" si="129"/>
        <v>17744</v>
      </c>
      <c r="AS333" s="180">
        <f t="shared" si="129"/>
        <v>7261947</v>
      </c>
      <c r="AT333" s="180">
        <f t="shared" si="129"/>
        <v>7540</v>
      </c>
      <c r="AU333" s="180">
        <f t="shared" si="129"/>
        <v>344967</v>
      </c>
      <c r="AV333" s="180">
        <f t="shared" si="129"/>
        <v>37958</v>
      </c>
      <c r="AW333" s="180">
        <f t="shared" si="129"/>
        <v>38194</v>
      </c>
      <c r="AX333" s="180">
        <f t="shared" si="129"/>
        <v>0</v>
      </c>
      <c r="AY333" s="180">
        <f t="shared" si="129"/>
        <v>18626</v>
      </c>
      <c r="AZ333" s="180">
        <f t="shared" si="129"/>
        <v>494864</v>
      </c>
      <c r="BA333" s="180">
        <f t="shared" si="129"/>
        <v>196115</v>
      </c>
      <c r="BB333" s="180">
        <f t="shared" si="129"/>
        <v>837</v>
      </c>
      <c r="BC333" s="180">
        <f t="shared" si="129"/>
        <v>0</v>
      </c>
      <c r="BD333" s="180">
        <f t="shared" si="129"/>
        <v>2264594</v>
      </c>
      <c r="BE333" s="180">
        <f t="shared" si="129"/>
        <v>176124</v>
      </c>
      <c r="BF333" s="180">
        <f t="shared" si="129"/>
        <v>7466420</v>
      </c>
      <c r="BG333" s="180">
        <f t="shared" si="129"/>
        <v>0</v>
      </c>
      <c r="BH333" s="180">
        <f t="shared" si="129"/>
        <v>6495</v>
      </c>
      <c r="BI333" s="180">
        <f t="shared" si="129"/>
        <v>70263</v>
      </c>
      <c r="BJ333" s="180">
        <f t="shared" si="129"/>
        <v>4618719</v>
      </c>
      <c r="BK333" s="180">
        <f t="shared" si="129"/>
        <v>98706</v>
      </c>
      <c r="BL333" s="180">
        <f t="shared" si="129"/>
        <v>3545994</v>
      </c>
      <c r="BM333" s="180">
        <f t="shared" si="129"/>
        <v>1313231</v>
      </c>
      <c r="BN333" s="180">
        <f t="shared" si="129"/>
        <v>7534595</v>
      </c>
      <c r="BO333" s="180">
        <f t="shared" si="129"/>
        <v>630736</v>
      </c>
      <c r="BP333" s="180">
        <f t="shared" si="129"/>
        <v>0</v>
      </c>
      <c r="BQ333" s="180">
        <f t="shared" si="130"/>
        <v>417164</v>
      </c>
      <c r="BR333" s="180">
        <f t="shared" si="130"/>
        <v>0</v>
      </c>
      <c r="BS333" s="180">
        <f t="shared" ref="BS333:BV333" si="133">BS261</f>
        <v>1206640</v>
      </c>
      <c r="BT333" s="180">
        <f t="shared" si="133"/>
        <v>91544</v>
      </c>
      <c r="BU333" s="180">
        <f t="shared" si="133"/>
        <v>0</v>
      </c>
      <c r="BV333" s="180">
        <f t="shared" si="133"/>
        <v>187848</v>
      </c>
    </row>
    <row r="334" spans="1:74" x14ac:dyDescent="0.3">
      <c r="A334" s="559">
        <f>A262</f>
        <v>9003</v>
      </c>
      <c r="B334" s="559">
        <v>338</v>
      </c>
      <c r="D334" s="180">
        <f t="shared" si="132"/>
        <v>6525745</v>
      </c>
      <c r="E334" s="180">
        <f t="shared" ref="E334:BP334" si="134">E262</f>
        <v>1209536862</v>
      </c>
      <c r="F334" s="180">
        <f t="shared" si="134"/>
        <v>0</v>
      </c>
      <c r="G334" s="180">
        <f t="shared" si="134"/>
        <v>0</v>
      </c>
      <c r="H334" s="180">
        <f t="shared" si="134"/>
        <v>3886086</v>
      </c>
      <c r="I334" s="180">
        <f t="shared" si="134"/>
        <v>0</v>
      </c>
      <c r="J334" s="180">
        <f t="shared" si="134"/>
        <v>4812</v>
      </c>
      <c r="K334" s="180">
        <f t="shared" si="134"/>
        <v>82419</v>
      </c>
      <c r="L334" s="180">
        <f t="shared" si="134"/>
        <v>7667252</v>
      </c>
      <c r="M334" s="180">
        <f t="shared" si="134"/>
        <v>27002530</v>
      </c>
      <c r="N334" s="180">
        <f t="shared" si="134"/>
        <v>1931</v>
      </c>
      <c r="O334" s="180">
        <f t="shared" si="134"/>
        <v>228990</v>
      </c>
      <c r="P334" s="180">
        <f t="shared" si="134"/>
        <v>0</v>
      </c>
      <c r="Q334" s="180">
        <f t="shared" si="134"/>
        <v>693953</v>
      </c>
      <c r="R334" s="180">
        <f t="shared" si="134"/>
        <v>739036</v>
      </c>
      <c r="S334" s="180">
        <f t="shared" si="134"/>
        <v>1004738</v>
      </c>
      <c r="T334" s="180">
        <f t="shared" si="134"/>
        <v>26330902</v>
      </c>
      <c r="U334" s="180">
        <f t="shared" si="134"/>
        <v>0</v>
      </c>
      <c r="V334" s="180">
        <f t="shared" si="134"/>
        <v>0</v>
      </c>
      <c r="W334" s="180">
        <f t="shared" si="134"/>
        <v>0</v>
      </c>
      <c r="X334" s="180">
        <f t="shared" si="134"/>
        <v>16120201</v>
      </c>
      <c r="Y334" s="180">
        <f t="shared" si="134"/>
        <v>1700463</v>
      </c>
      <c r="Z334" s="180">
        <f t="shared" si="134"/>
        <v>141420172</v>
      </c>
      <c r="AA334" s="180">
        <f t="shared" si="134"/>
        <v>15688759</v>
      </c>
      <c r="AB334" s="180">
        <f t="shared" si="134"/>
        <v>0</v>
      </c>
      <c r="AC334" s="180">
        <f t="shared" si="134"/>
        <v>89487</v>
      </c>
      <c r="AD334" s="180">
        <f t="shared" si="134"/>
        <v>1431267</v>
      </c>
      <c r="AE334" s="180">
        <f t="shared" si="134"/>
        <v>374039</v>
      </c>
      <c r="AF334" s="180">
        <f t="shared" si="134"/>
        <v>205210</v>
      </c>
      <c r="AG334" s="180">
        <f t="shared" si="134"/>
        <v>1368288</v>
      </c>
      <c r="AH334" s="180">
        <f t="shared" si="134"/>
        <v>13118465</v>
      </c>
      <c r="AI334" s="180">
        <f t="shared" si="134"/>
        <v>4043</v>
      </c>
      <c r="AJ334" s="180">
        <f t="shared" si="134"/>
        <v>2962439</v>
      </c>
      <c r="AK334" s="180">
        <f t="shared" si="134"/>
        <v>133422</v>
      </c>
      <c r="AL334" s="180">
        <f t="shared" si="134"/>
        <v>1321364</v>
      </c>
      <c r="AM334" s="180">
        <f t="shared" si="134"/>
        <v>5989775</v>
      </c>
      <c r="AN334" s="180">
        <f t="shared" si="134"/>
        <v>77544</v>
      </c>
      <c r="AO334" s="180">
        <f t="shared" si="134"/>
        <v>45433925</v>
      </c>
      <c r="AP334" s="180">
        <f t="shared" si="134"/>
        <v>653189</v>
      </c>
      <c r="AQ334" s="180">
        <f t="shared" si="134"/>
        <v>1376</v>
      </c>
      <c r="AR334" s="180">
        <f t="shared" si="134"/>
        <v>367551</v>
      </c>
      <c r="AS334" s="180">
        <f t="shared" si="134"/>
        <v>89858446</v>
      </c>
      <c r="AT334" s="180">
        <f t="shared" si="134"/>
        <v>7540</v>
      </c>
      <c r="AU334" s="180">
        <f t="shared" si="134"/>
        <v>730414</v>
      </c>
      <c r="AV334" s="180">
        <f t="shared" si="134"/>
        <v>871561</v>
      </c>
      <c r="AW334" s="180">
        <f t="shared" si="134"/>
        <v>568971</v>
      </c>
      <c r="AX334" s="180">
        <f t="shared" si="134"/>
        <v>0</v>
      </c>
      <c r="AY334" s="180">
        <f t="shared" si="134"/>
        <v>18626</v>
      </c>
      <c r="AZ334" s="180">
        <f t="shared" si="134"/>
        <v>10357761</v>
      </c>
      <c r="BA334" s="180">
        <f t="shared" si="134"/>
        <v>1803610</v>
      </c>
      <c r="BB334" s="180">
        <f t="shared" si="134"/>
        <v>837</v>
      </c>
      <c r="BC334" s="180">
        <f t="shared" si="134"/>
        <v>0</v>
      </c>
      <c r="BD334" s="180">
        <f t="shared" si="134"/>
        <v>6680685</v>
      </c>
      <c r="BE334" s="180">
        <f t="shared" si="134"/>
        <v>1147713</v>
      </c>
      <c r="BF334" s="180">
        <f t="shared" si="134"/>
        <v>55680353</v>
      </c>
      <c r="BG334" s="180">
        <f t="shared" si="134"/>
        <v>0</v>
      </c>
      <c r="BH334" s="180">
        <f t="shared" si="134"/>
        <v>160181</v>
      </c>
      <c r="BI334" s="180">
        <f t="shared" si="134"/>
        <v>70263</v>
      </c>
      <c r="BJ334" s="180">
        <f t="shared" si="134"/>
        <v>29269614</v>
      </c>
      <c r="BK334" s="180">
        <f t="shared" si="134"/>
        <v>829507</v>
      </c>
      <c r="BL334" s="180">
        <f t="shared" si="134"/>
        <v>19843668</v>
      </c>
      <c r="BM334" s="180">
        <f t="shared" si="134"/>
        <v>9121350</v>
      </c>
      <c r="BN334" s="180">
        <f t="shared" si="134"/>
        <v>18076592</v>
      </c>
      <c r="BO334" s="180">
        <f t="shared" si="134"/>
        <v>962094</v>
      </c>
      <c r="BP334" s="180">
        <f t="shared" si="134"/>
        <v>0</v>
      </c>
      <c r="BQ334" s="180">
        <f t="shared" si="130"/>
        <v>4311451</v>
      </c>
      <c r="BR334" s="180">
        <f t="shared" si="130"/>
        <v>0</v>
      </c>
      <c r="BS334" s="180">
        <f t="shared" ref="BS334:BV334" si="135">BS262</f>
        <v>4929466</v>
      </c>
      <c r="BT334" s="180">
        <f t="shared" si="135"/>
        <v>1199082</v>
      </c>
      <c r="BU334" s="180">
        <f t="shared" si="135"/>
        <v>0</v>
      </c>
      <c r="BV334" s="180">
        <f t="shared" si="135"/>
        <v>1725549</v>
      </c>
    </row>
    <row r="335" spans="1:74" x14ac:dyDescent="0.3">
      <c r="BS335" s="180"/>
      <c r="BT335" s="180"/>
      <c r="BU335" s="180"/>
      <c r="BV335" s="180"/>
    </row>
    <row r="336" spans="1:74" x14ac:dyDescent="0.3">
      <c r="D336" s="568">
        <f>D329+D332+D333+D334</f>
        <v>312300898.90000004</v>
      </c>
      <c r="E336" s="568">
        <f>E329+E332+E333+E334</f>
        <v>31408551261.352997</v>
      </c>
      <c r="F336" s="568">
        <f t="shared" ref="F336:BQ336" si="136">F329+F332+F333+F334</f>
        <v>0</v>
      </c>
      <c r="G336" s="568">
        <f t="shared" si="136"/>
        <v>0</v>
      </c>
      <c r="H336" s="568">
        <f t="shared" si="136"/>
        <v>120559478.83000001</v>
      </c>
      <c r="I336" s="568">
        <f t="shared" si="136"/>
        <v>757049.41</v>
      </c>
      <c r="J336" s="568">
        <f t="shared" si="136"/>
        <v>19604495.859999999</v>
      </c>
      <c r="K336" s="568">
        <f t="shared" si="136"/>
        <v>81463565</v>
      </c>
      <c r="L336" s="568">
        <f t="shared" si="136"/>
        <v>233476812.13999999</v>
      </c>
      <c r="M336" s="568">
        <f t="shared" si="136"/>
        <v>874143435.5474</v>
      </c>
      <c r="N336" s="568">
        <f t="shared" si="136"/>
        <v>9137933.4409999996</v>
      </c>
      <c r="O336" s="568">
        <f t="shared" si="136"/>
        <v>46114306.090000004</v>
      </c>
      <c r="P336" s="568">
        <f t="shared" si="136"/>
        <v>0</v>
      </c>
      <c r="Q336" s="568">
        <f>Q329+Q332+Q333+Q334</f>
        <v>16739675.809999999</v>
      </c>
      <c r="R336" s="568">
        <f t="shared" si="136"/>
        <v>36800689.880000003</v>
      </c>
      <c r="S336" s="568">
        <f t="shared" si="136"/>
        <v>87041169.099999994</v>
      </c>
      <c r="T336" s="568">
        <f t="shared" si="136"/>
        <v>314485801.861</v>
      </c>
      <c r="U336" s="568">
        <f t="shared" si="136"/>
        <v>0</v>
      </c>
      <c r="V336" s="568">
        <f t="shared" si="136"/>
        <v>0</v>
      </c>
      <c r="W336" s="568">
        <f t="shared" si="136"/>
        <v>0</v>
      </c>
      <c r="X336" s="568">
        <f t="shared" si="136"/>
        <v>425514252.38</v>
      </c>
      <c r="Y336" s="568">
        <f t="shared" si="136"/>
        <v>48535198.490000002</v>
      </c>
      <c r="Z336" s="568">
        <f t="shared" si="136"/>
        <v>3511781363.7950001</v>
      </c>
      <c r="AA336" s="568">
        <f t="shared" si="136"/>
        <v>469330198.19</v>
      </c>
      <c r="AB336" s="568">
        <f t="shared" si="136"/>
        <v>0</v>
      </c>
      <c r="AC336" s="568">
        <f t="shared" si="136"/>
        <v>41149676.719999999</v>
      </c>
      <c r="AD336" s="568">
        <f t="shared" si="136"/>
        <v>75140803.949999988</v>
      </c>
      <c r="AE336" s="568">
        <f t="shared" si="136"/>
        <v>70967553.340000004</v>
      </c>
      <c r="AF336" s="568">
        <f t="shared" si="136"/>
        <v>44272620.5</v>
      </c>
      <c r="AG336" s="568">
        <f t="shared" si="136"/>
        <v>41821429.380000003</v>
      </c>
      <c r="AH336" s="568">
        <f t="shared" si="136"/>
        <v>394516748.30000001</v>
      </c>
      <c r="AI336" s="568">
        <f t="shared" si="136"/>
        <v>4743601.49</v>
      </c>
      <c r="AJ336" s="568">
        <f t="shared" si="136"/>
        <v>92798112.930000007</v>
      </c>
      <c r="AK336" s="568">
        <f t="shared" si="136"/>
        <v>7129306</v>
      </c>
      <c r="AL336" s="568">
        <f t="shared" si="136"/>
        <v>50188114.580000006</v>
      </c>
      <c r="AM336" s="568">
        <f t="shared" si="136"/>
        <v>165610635.14000002</v>
      </c>
      <c r="AN336" s="568">
        <f t="shared" si="136"/>
        <v>23309062.18</v>
      </c>
      <c r="AO336" s="568">
        <f t="shared" si="136"/>
        <v>2246692616.8196001</v>
      </c>
      <c r="AP336" s="568">
        <f t="shared" si="136"/>
        <v>64054033.109999999</v>
      </c>
      <c r="AQ336" s="568">
        <f t="shared" si="136"/>
        <v>8720378.0299999993</v>
      </c>
      <c r="AR336" s="568">
        <f t="shared" si="136"/>
        <v>16789225.670000002</v>
      </c>
      <c r="AS336" s="568">
        <f t="shared" si="136"/>
        <v>2505404930.1400003</v>
      </c>
      <c r="AT336" s="568">
        <f t="shared" si="136"/>
        <v>37871100.219999999</v>
      </c>
      <c r="AU336" s="568">
        <f t="shared" si="136"/>
        <v>162604518.96000001</v>
      </c>
      <c r="AV336" s="568">
        <f t="shared" si="136"/>
        <v>136653862.94499999</v>
      </c>
      <c r="AW336" s="568">
        <f t="shared" si="136"/>
        <v>58123058.840000004</v>
      </c>
      <c r="AX336" s="568">
        <f t="shared" si="136"/>
        <v>0</v>
      </c>
      <c r="AY336" s="568">
        <f t="shared" si="136"/>
        <v>9878402.9949999992</v>
      </c>
      <c r="AZ336" s="568">
        <f t="shared" si="136"/>
        <v>387837688.37</v>
      </c>
      <c r="BA336" s="568">
        <f t="shared" si="136"/>
        <v>52142189.68</v>
      </c>
      <c r="BB336" s="568">
        <f t="shared" si="136"/>
        <v>22701673.049999997</v>
      </c>
      <c r="BC336" s="568">
        <f t="shared" si="136"/>
        <v>37258860.329999998</v>
      </c>
      <c r="BD336" s="568">
        <f t="shared" si="136"/>
        <v>273069601.21250004</v>
      </c>
      <c r="BE336" s="568">
        <f t="shared" si="136"/>
        <v>123393075.35000001</v>
      </c>
      <c r="BF336" s="568">
        <f t="shared" si="136"/>
        <v>1913697745.8375001</v>
      </c>
      <c r="BG336" s="568">
        <f t="shared" si="136"/>
        <v>0</v>
      </c>
      <c r="BH336" s="568">
        <f t="shared" si="136"/>
        <v>8464207.3900000006</v>
      </c>
      <c r="BI336" s="568">
        <f t="shared" si="136"/>
        <v>21002793.670000002</v>
      </c>
      <c r="BJ336" s="568">
        <f t="shared" si="136"/>
        <v>1029191647.42</v>
      </c>
      <c r="BK336" s="568">
        <f t="shared" si="136"/>
        <v>83581675.140000001</v>
      </c>
      <c r="BL336" s="568">
        <f t="shared" si="136"/>
        <v>973644423.10000002</v>
      </c>
      <c r="BM336" s="568">
        <f t="shared" si="136"/>
        <v>257848836.11579999</v>
      </c>
      <c r="BN336" s="568">
        <f t="shared" si="136"/>
        <v>544489631.14559996</v>
      </c>
      <c r="BO336" s="568">
        <f t="shared" si="136"/>
        <v>155749522.95000002</v>
      </c>
      <c r="BP336" s="568">
        <f t="shared" si="136"/>
        <v>0</v>
      </c>
      <c r="BQ336" s="568">
        <f t="shared" si="136"/>
        <v>93247587.375</v>
      </c>
      <c r="BR336" s="568">
        <f t="shared" ref="BR336:BV336" si="137">BR329+BR332+BR333+BR334</f>
        <v>0</v>
      </c>
      <c r="BS336" s="568">
        <f t="shared" si="137"/>
        <v>165922503.54300001</v>
      </c>
      <c r="BT336" s="568">
        <f t="shared" si="137"/>
        <v>55854096.340000004</v>
      </c>
      <c r="BU336" s="568">
        <f t="shared" si="137"/>
        <v>0</v>
      </c>
      <c r="BV336" s="568">
        <f t="shared" si="137"/>
        <v>162875114.96600002</v>
      </c>
    </row>
    <row r="338" spans="1:75" s="180" customFormat="1" x14ac:dyDescent="0.3">
      <c r="A338" s="155"/>
      <c r="D338" s="568">
        <v>312300898.90000004</v>
      </c>
      <c r="E338" s="568">
        <v>31408551261.352997</v>
      </c>
      <c r="L338" s="180">
        <v>6383672140.7700014</v>
      </c>
      <c r="Z338" s="568">
        <v>3511781363.7949996</v>
      </c>
      <c r="BE338" s="568"/>
    </row>
    <row r="339" spans="1:75" s="180" customFormat="1" x14ac:dyDescent="0.3">
      <c r="A339" s="155"/>
      <c r="E339" s="1043"/>
      <c r="Q339" s="1045"/>
      <c r="BR339" s="568"/>
      <c r="BV339" s="568">
        <v>162875114.96599999</v>
      </c>
    </row>
    <row r="340" spans="1:75" s="180" customFormat="1" x14ac:dyDescent="0.3">
      <c r="A340" s="155"/>
      <c r="L340" s="568"/>
      <c r="Q340" s="1043"/>
      <c r="BE340" s="568"/>
    </row>
    <row r="341" spans="1:75" s="180" customFormat="1" x14ac:dyDescent="0.3">
      <c r="A341" s="155"/>
      <c r="Q341" s="526"/>
      <c r="R341" s="568"/>
    </row>
    <row r="342" spans="1:75" s="180" customFormat="1" x14ac:dyDescent="0.3">
      <c r="A342" s="155"/>
      <c r="Q342" s="1043"/>
    </row>
    <row r="343" spans="1:75" s="180" customFormat="1" x14ac:dyDescent="0.3">
      <c r="A343" s="155"/>
      <c r="Q343" s="1043"/>
    </row>
    <row r="344" spans="1:75" s="180" customFormat="1" x14ac:dyDescent="0.3">
      <c r="A344" s="155"/>
      <c r="Q344" s="1043"/>
    </row>
    <row r="345" spans="1:75" x14ac:dyDescent="0.3">
      <c r="D345" s="568">
        <v>324252479.91000003</v>
      </c>
      <c r="E345" s="568">
        <v>32234875165.360001</v>
      </c>
      <c r="F345" s="568">
        <v>0.01</v>
      </c>
      <c r="G345" s="568">
        <v>0.01</v>
      </c>
      <c r="H345" s="568">
        <v>128112276.84</v>
      </c>
      <c r="I345" s="568">
        <v>807636.41</v>
      </c>
      <c r="J345" s="568">
        <v>19761228.859999999</v>
      </c>
      <c r="K345" s="568">
        <v>82159037</v>
      </c>
      <c r="L345" s="568">
        <v>242328098.22999999</v>
      </c>
      <c r="M345" s="568">
        <v>898232316.55999994</v>
      </c>
      <c r="N345" s="568">
        <v>9190458.4399999995</v>
      </c>
      <c r="O345" s="568">
        <v>47217788.100000001</v>
      </c>
      <c r="P345" s="568">
        <v>0.01</v>
      </c>
      <c r="Q345" s="568">
        <v>16814745.809999999</v>
      </c>
      <c r="R345" s="568">
        <v>37427295.880000003</v>
      </c>
      <c r="S345" s="568">
        <v>89448968.109999999</v>
      </c>
      <c r="T345" s="568">
        <v>325991329.86000001</v>
      </c>
      <c r="U345">
        <v>0.01</v>
      </c>
      <c r="V345">
        <v>0.01</v>
      </c>
      <c r="W345">
        <v>0.09</v>
      </c>
      <c r="X345" s="568">
        <v>439174041.38999999</v>
      </c>
      <c r="Y345" s="568">
        <v>48662547.490000002</v>
      </c>
      <c r="Z345" s="568">
        <v>3631510069.8899999</v>
      </c>
      <c r="AA345" s="568">
        <v>484879167.19</v>
      </c>
      <c r="AB345" s="568">
        <v>0.01</v>
      </c>
      <c r="AC345" s="568">
        <v>41464825.729999997</v>
      </c>
      <c r="AD345" s="568">
        <v>76950870.959999993</v>
      </c>
      <c r="AE345" s="568">
        <v>73363467.349999994</v>
      </c>
      <c r="AF345" s="568">
        <v>45460872.509999998</v>
      </c>
      <c r="AG345" s="568">
        <v>42390879.390000001</v>
      </c>
      <c r="AH345" s="568">
        <v>399850224.31</v>
      </c>
      <c r="AI345" s="568">
        <v>4831874.49</v>
      </c>
      <c r="AJ345" s="568">
        <v>96340852.930000007</v>
      </c>
      <c r="AK345" s="568">
        <v>7181534</v>
      </c>
      <c r="AL345" s="568">
        <v>51827030.590000004</v>
      </c>
      <c r="AM345" s="568">
        <v>172070266.15000001</v>
      </c>
      <c r="AN345" s="568">
        <v>23675716.190000001</v>
      </c>
      <c r="AO345" s="568">
        <v>2327965231.8299999</v>
      </c>
      <c r="AP345" s="568">
        <v>64850499.119999997</v>
      </c>
      <c r="AQ345" s="568">
        <v>8869254.0299999993</v>
      </c>
      <c r="AR345" s="568">
        <v>17066253.68</v>
      </c>
      <c r="AS345" s="568">
        <v>2612978532.1500001</v>
      </c>
      <c r="AT345" s="568">
        <v>38816513.229999997</v>
      </c>
      <c r="AU345" s="568">
        <v>171893505.97</v>
      </c>
      <c r="AV345" s="568">
        <v>141646255.03999999</v>
      </c>
      <c r="AW345" s="568">
        <v>61861284.850000001</v>
      </c>
      <c r="AX345" s="568" t="s">
        <v>2470</v>
      </c>
      <c r="AY345" s="568">
        <v>9963360</v>
      </c>
      <c r="AZ345" s="568">
        <v>405670558.45999998</v>
      </c>
      <c r="BA345" s="568">
        <v>52702709.689999998</v>
      </c>
      <c r="BB345" s="568">
        <v>23825207.059999999</v>
      </c>
      <c r="BC345" s="568">
        <v>37972620.340000004</v>
      </c>
      <c r="BD345" s="568">
        <v>284792676.22000003</v>
      </c>
      <c r="BE345" s="568">
        <v>127822379.7</v>
      </c>
      <c r="BF345" s="568">
        <v>1983931788.9200001</v>
      </c>
      <c r="BG345" s="568">
        <v>0.01</v>
      </c>
      <c r="BH345" s="568">
        <v>8639156.3900000006</v>
      </c>
      <c r="BI345" s="568">
        <v>22140959.68</v>
      </c>
      <c r="BJ345" s="568">
        <v>1082980583.51</v>
      </c>
      <c r="BK345" s="568">
        <v>86239068.150000006</v>
      </c>
      <c r="BL345" s="568">
        <v>999054604.11000001</v>
      </c>
      <c r="BM345" s="568">
        <v>263083475.12</v>
      </c>
      <c r="BN345" s="568">
        <v>568096054.24000001</v>
      </c>
      <c r="BO345" s="568">
        <v>160266518.96000001</v>
      </c>
      <c r="BP345" t="s">
        <v>2470</v>
      </c>
      <c r="BQ345" s="568">
        <v>94301227.379999995</v>
      </c>
      <c r="BR345" t="s">
        <v>2470</v>
      </c>
      <c r="BS345" s="568">
        <v>169957630.55000001</v>
      </c>
      <c r="BT345" s="568">
        <v>56594991.350000001</v>
      </c>
      <c r="BU345">
        <v>0.01</v>
      </c>
      <c r="BV345" s="568">
        <v>165624189.97999999</v>
      </c>
    </row>
    <row r="347" spans="1:75" x14ac:dyDescent="0.3">
      <c r="D347" s="568">
        <f t="shared" ref="D347:AJ347" si="138">D259-D345</f>
        <v>0</v>
      </c>
      <c r="E347" s="568">
        <f t="shared" si="138"/>
        <v>2.99835205078125E-3</v>
      </c>
      <c r="F347" s="1033">
        <f t="shared" si="138"/>
        <v>50364</v>
      </c>
      <c r="G347" s="1033">
        <f t="shared" si="138"/>
        <v>50365</v>
      </c>
      <c r="H347" s="568">
        <f t="shared" si="138"/>
        <v>0</v>
      </c>
      <c r="I347" s="568">
        <f t="shared" si="138"/>
        <v>0</v>
      </c>
      <c r="J347" s="568">
        <f t="shared" si="138"/>
        <v>0</v>
      </c>
      <c r="K347" s="568">
        <f t="shared" si="138"/>
        <v>0</v>
      </c>
      <c r="L347" s="568">
        <f t="shared" si="138"/>
        <v>0</v>
      </c>
      <c r="M347" s="568">
        <f t="shared" si="138"/>
        <v>-2.5999546051025391E-3</v>
      </c>
      <c r="N347" s="568">
        <f t="shared" si="138"/>
        <v>1.0000001639127731E-3</v>
      </c>
      <c r="O347" s="568">
        <f t="shared" si="138"/>
        <v>0</v>
      </c>
      <c r="P347" s="1033">
        <f t="shared" si="138"/>
        <v>50373</v>
      </c>
      <c r="Q347" s="568">
        <f t="shared" si="138"/>
        <v>0</v>
      </c>
      <c r="R347" s="568">
        <f t="shared" si="138"/>
        <v>0</v>
      </c>
      <c r="S347" s="568">
        <f t="shared" si="138"/>
        <v>0</v>
      </c>
      <c r="T347" s="568">
        <f t="shared" si="138"/>
        <v>9.9998712539672852E-4</v>
      </c>
      <c r="U347" s="1033">
        <f t="shared" si="138"/>
        <v>50375</v>
      </c>
      <c r="V347" s="1033">
        <f t="shared" si="138"/>
        <v>50376</v>
      </c>
      <c r="W347" s="1033">
        <f t="shared" si="138"/>
        <v>50377</v>
      </c>
      <c r="X347" s="568">
        <f t="shared" si="138"/>
        <v>0</v>
      </c>
      <c r="Y347" s="568">
        <f t="shared" si="138"/>
        <v>0</v>
      </c>
      <c r="Z347" s="783">
        <f t="shared" si="138"/>
        <v>-4.9996376037597656E-3</v>
      </c>
      <c r="AA347" s="568">
        <f t="shared" si="138"/>
        <v>0</v>
      </c>
      <c r="AB347" s="568">
        <f t="shared" si="138"/>
        <v>50382</v>
      </c>
      <c r="AC347" s="568">
        <f t="shared" si="138"/>
        <v>0</v>
      </c>
      <c r="AD347" s="568">
        <f t="shared" si="138"/>
        <v>0</v>
      </c>
      <c r="AE347" s="568">
        <f t="shared" si="138"/>
        <v>0</v>
      </c>
      <c r="AF347" s="568">
        <f t="shared" si="138"/>
        <v>0</v>
      </c>
      <c r="AG347" s="568">
        <f t="shared" si="138"/>
        <v>0</v>
      </c>
      <c r="AH347" s="568">
        <f t="shared" si="138"/>
        <v>0</v>
      </c>
      <c r="AI347" s="783">
        <f t="shared" si="138"/>
        <v>0</v>
      </c>
      <c r="AJ347" s="568">
        <f t="shared" si="138"/>
        <v>0</v>
      </c>
      <c r="AK347" s="568">
        <f t="shared" ref="AK347:BV347" si="139">AK259-AK345</f>
        <v>0</v>
      </c>
      <c r="AL347" s="568">
        <f t="shared" si="139"/>
        <v>0</v>
      </c>
      <c r="AM347" s="568">
        <f t="shared" si="139"/>
        <v>0</v>
      </c>
      <c r="AN347" s="568">
        <f t="shared" si="139"/>
        <v>0</v>
      </c>
      <c r="AO347" s="568">
        <f t="shared" si="139"/>
        <v>-4.0006637573242188E-4</v>
      </c>
      <c r="AP347" s="568">
        <f t="shared" si="139"/>
        <v>0</v>
      </c>
      <c r="AQ347" s="568">
        <f t="shared" si="139"/>
        <v>0</v>
      </c>
      <c r="AR347" s="568">
        <f t="shared" si="139"/>
        <v>0</v>
      </c>
      <c r="AS347" s="568">
        <f t="shared" si="139"/>
        <v>0</v>
      </c>
      <c r="AT347" s="568">
        <f t="shared" si="139"/>
        <v>0</v>
      </c>
      <c r="AU347" s="568">
        <f t="shared" si="139"/>
        <v>0</v>
      </c>
      <c r="AV347" s="568">
        <f t="shared" si="139"/>
        <v>-4.999995231628418E-3</v>
      </c>
      <c r="AW347" s="568">
        <f t="shared" si="139"/>
        <v>0</v>
      </c>
      <c r="AX347" s="568" t="e">
        <f t="shared" si="139"/>
        <v>#VALUE!</v>
      </c>
      <c r="AY347" s="1033">
        <f t="shared" si="139"/>
        <v>-5.0000008195638657E-3</v>
      </c>
      <c r="AZ347" s="568">
        <f t="shared" si="139"/>
        <v>0</v>
      </c>
      <c r="BA347" s="568">
        <f t="shared" si="139"/>
        <v>0</v>
      </c>
      <c r="BB347" s="568">
        <f t="shared" si="139"/>
        <v>0</v>
      </c>
      <c r="BC347" s="568">
        <f t="shared" si="139"/>
        <v>0</v>
      </c>
      <c r="BD347" s="568">
        <f t="shared" si="139"/>
        <v>2.499997615814209E-3</v>
      </c>
      <c r="BE347" s="568">
        <f t="shared" si="139"/>
        <v>0</v>
      </c>
      <c r="BF347" s="568">
        <f t="shared" si="139"/>
        <v>-2.5000572204589844E-3</v>
      </c>
      <c r="BG347" s="1033">
        <f t="shared" si="139"/>
        <v>50407</v>
      </c>
      <c r="BH347" s="568">
        <f t="shared" si="139"/>
        <v>0</v>
      </c>
      <c r="BI347" s="568">
        <f t="shared" si="139"/>
        <v>0</v>
      </c>
      <c r="BJ347" s="568">
        <f t="shared" si="139"/>
        <v>0</v>
      </c>
      <c r="BK347" s="568">
        <f t="shared" si="139"/>
        <v>0</v>
      </c>
      <c r="BL347" s="568">
        <f t="shared" si="139"/>
        <v>0</v>
      </c>
      <c r="BM347" s="568">
        <f t="shared" si="139"/>
        <v>-4.2000114917755127E-3</v>
      </c>
      <c r="BN347" s="568">
        <f t="shared" si="139"/>
        <v>-4.4000148773193359E-3</v>
      </c>
      <c r="BO347" s="568">
        <f t="shared" si="139"/>
        <v>0</v>
      </c>
      <c r="BP347" s="568" t="e">
        <f t="shared" si="139"/>
        <v>#VALUE!</v>
      </c>
      <c r="BQ347" s="568">
        <f t="shared" si="139"/>
        <v>-4.999995231628418E-3</v>
      </c>
      <c r="BR347" s="568" t="e">
        <f t="shared" si="139"/>
        <v>#VALUE!</v>
      </c>
      <c r="BS347" s="568">
        <f t="shared" si="139"/>
        <v>2.9999911785125732E-3</v>
      </c>
      <c r="BT347" s="568">
        <f t="shared" si="139"/>
        <v>0</v>
      </c>
      <c r="BU347" s="1033">
        <f t="shared" si="139"/>
        <v>50420</v>
      </c>
      <c r="BV347" s="568">
        <f t="shared" si="139"/>
        <v>-3.9999783039093018E-3</v>
      </c>
      <c r="BW347" s="568"/>
    </row>
    <row r="350" spans="1:75" x14ac:dyDescent="0.3">
      <c r="D350" t="s">
        <v>1369</v>
      </c>
      <c r="E350" t="s">
        <v>1370</v>
      </c>
      <c r="F350" t="e">
        <v>#N/A</v>
      </c>
      <c r="G350" t="s">
        <v>1371</v>
      </c>
      <c r="H350" t="s">
        <v>535</v>
      </c>
      <c r="I350" t="s">
        <v>1372</v>
      </c>
      <c r="J350" t="s">
        <v>1373</v>
      </c>
      <c r="K350" t="s">
        <v>1374</v>
      </c>
      <c r="L350" t="s">
        <v>536</v>
      </c>
      <c r="M350" t="s">
        <v>1375</v>
      </c>
      <c r="N350" t="s">
        <v>1376</v>
      </c>
      <c r="O350" t="s">
        <v>1377</v>
      </c>
      <c r="P350" t="e">
        <v>#N/A</v>
      </c>
      <c r="Q350" t="s">
        <v>825</v>
      </c>
      <c r="R350" t="s">
        <v>1378</v>
      </c>
      <c r="S350" t="s">
        <v>1379</v>
      </c>
      <c r="T350" t="s">
        <v>1380</v>
      </c>
      <c r="U350" t="e">
        <v>#N/A</v>
      </c>
      <c r="V350" t="s">
        <v>1381</v>
      </c>
      <c r="W350" t="s">
        <v>539</v>
      </c>
      <c r="X350" t="s">
        <v>391</v>
      </c>
      <c r="Y350" t="s">
        <v>1382</v>
      </c>
      <c r="Z350" t="s">
        <v>1383</v>
      </c>
      <c r="AA350" t="s">
        <v>1384</v>
      </c>
      <c r="AB350" t="s">
        <v>540</v>
      </c>
      <c r="AC350" t="s">
        <v>1385</v>
      </c>
      <c r="AD350" t="s">
        <v>1386</v>
      </c>
      <c r="AE350" t="s">
        <v>826</v>
      </c>
      <c r="AF350" t="s">
        <v>827</v>
      </c>
      <c r="AG350" t="s">
        <v>828</v>
      </c>
      <c r="AH350" t="s">
        <v>829</v>
      </c>
      <c r="AI350" t="s">
        <v>1387</v>
      </c>
      <c r="AJ350" t="s">
        <v>1388</v>
      </c>
      <c r="AK350" t="s">
        <v>830</v>
      </c>
      <c r="AL350" t="s">
        <v>1389</v>
      </c>
      <c r="AM350" t="s">
        <v>1390</v>
      </c>
      <c r="AN350" t="s">
        <v>1391</v>
      </c>
      <c r="AO350" t="s">
        <v>1392</v>
      </c>
      <c r="AP350" t="s">
        <v>1393</v>
      </c>
      <c r="AQ350" t="s">
        <v>1394</v>
      </c>
      <c r="AR350" t="s">
        <v>1395</v>
      </c>
      <c r="AS350" t="s">
        <v>1396</v>
      </c>
      <c r="AT350" t="s">
        <v>1397</v>
      </c>
      <c r="AU350" t="s">
        <v>1398</v>
      </c>
      <c r="AV350" t="s">
        <v>542</v>
      </c>
      <c r="AW350" t="s">
        <v>1399</v>
      </c>
      <c r="AX350" t="s">
        <v>1400</v>
      </c>
      <c r="AY350" t="s">
        <v>543</v>
      </c>
      <c r="AZ350" t="s">
        <v>1401</v>
      </c>
      <c r="BA350" t="s">
        <v>1402</v>
      </c>
      <c r="BB350" t="s">
        <v>1403</v>
      </c>
      <c r="BC350" t="s">
        <v>1404</v>
      </c>
      <c r="BD350" t="s">
        <v>1405</v>
      </c>
      <c r="BE350" t="s">
        <v>544</v>
      </c>
      <c r="BF350" t="s">
        <v>1406</v>
      </c>
      <c r="BG350" t="e">
        <v>#N/A</v>
      </c>
      <c r="BH350" t="s">
        <v>1407</v>
      </c>
      <c r="BI350" t="s">
        <v>1408</v>
      </c>
      <c r="BJ350" t="s">
        <v>1409</v>
      </c>
      <c r="BK350" t="s">
        <v>545</v>
      </c>
      <c r="BL350" t="s">
        <v>1410</v>
      </c>
      <c r="BM350" t="s">
        <v>1411</v>
      </c>
      <c r="BN350" t="s">
        <v>1412</v>
      </c>
      <c r="BO350" t="e">
        <v>#VALUE!</v>
      </c>
      <c r="BP350" t="e">
        <v>#N/A</v>
      </c>
      <c r="BQ350" t="s">
        <v>1415</v>
      </c>
      <c r="BR350" t="s">
        <v>2474</v>
      </c>
      <c r="BS350" t="s">
        <v>1416</v>
      </c>
      <c r="BT350" t="s">
        <v>1417</v>
      </c>
      <c r="BU350" t="e">
        <v>#N/A</v>
      </c>
      <c r="BV350" t="s">
        <v>1418</v>
      </c>
    </row>
    <row r="351" spans="1:75" x14ac:dyDescent="0.3">
      <c r="D351">
        <v>50312</v>
      </c>
      <c r="E351">
        <v>50313</v>
      </c>
      <c r="F351">
        <v>0</v>
      </c>
      <c r="G351">
        <v>50315</v>
      </c>
      <c r="H351">
        <v>50316</v>
      </c>
      <c r="I351">
        <v>50481</v>
      </c>
      <c r="J351">
        <v>50561</v>
      </c>
      <c r="K351">
        <v>50317</v>
      </c>
      <c r="L351">
        <v>50318</v>
      </c>
      <c r="M351">
        <v>50319</v>
      </c>
      <c r="N351">
        <v>50489</v>
      </c>
      <c r="O351">
        <v>50320</v>
      </c>
      <c r="P351">
        <v>0</v>
      </c>
      <c r="Q351">
        <v>50321</v>
      </c>
      <c r="R351">
        <v>50322</v>
      </c>
      <c r="S351">
        <v>50490</v>
      </c>
      <c r="T351">
        <v>50324</v>
      </c>
      <c r="U351">
        <v>0</v>
      </c>
      <c r="V351">
        <v>50326</v>
      </c>
      <c r="W351">
        <v>50327</v>
      </c>
      <c r="X351">
        <v>50328</v>
      </c>
      <c r="Y351">
        <v>50329</v>
      </c>
      <c r="Z351">
        <v>50330</v>
      </c>
      <c r="AA351">
        <v>50331</v>
      </c>
      <c r="AB351">
        <v>50332</v>
      </c>
      <c r="AC351">
        <v>50333</v>
      </c>
      <c r="AD351">
        <v>50335</v>
      </c>
      <c r="AE351">
        <v>50334</v>
      </c>
      <c r="AF351">
        <v>50336</v>
      </c>
      <c r="AG351">
        <v>50337</v>
      </c>
      <c r="AH351">
        <v>50338</v>
      </c>
      <c r="AI351">
        <v>50339</v>
      </c>
      <c r="AJ351">
        <v>50443</v>
      </c>
      <c r="AK351">
        <v>50340</v>
      </c>
      <c r="AL351">
        <v>50456</v>
      </c>
      <c r="AM351">
        <v>50341</v>
      </c>
      <c r="AN351">
        <v>50342</v>
      </c>
      <c r="AO351">
        <v>50344</v>
      </c>
      <c r="AP351">
        <v>50345</v>
      </c>
      <c r="AQ351">
        <v>50503</v>
      </c>
      <c r="AR351">
        <v>50527</v>
      </c>
      <c r="AS351">
        <v>50346</v>
      </c>
      <c r="AT351">
        <v>50347</v>
      </c>
      <c r="AU351">
        <v>50529</v>
      </c>
      <c r="AV351">
        <v>50348</v>
      </c>
      <c r="AW351">
        <v>50349</v>
      </c>
      <c r="AX351">
        <v>50350</v>
      </c>
      <c r="AY351">
        <v>50541</v>
      </c>
      <c r="AZ351">
        <v>50351</v>
      </c>
      <c r="BA351">
        <v>50484</v>
      </c>
      <c r="BB351">
        <v>50352</v>
      </c>
      <c r="BC351">
        <v>50353</v>
      </c>
      <c r="BD351">
        <v>50354</v>
      </c>
      <c r="BE351">
        <v>50355</v>
      </c>
      <c r="BF351">
        <v>50356</v>
      </c>
      <c r="BG351">
        <v>0</v>
      </c>
      <c r="BH351">
        <v>50482</v>
      </c>
      <c r="BI351">
        <v>50358</v>
      </c>
      <c r="BJ351">
        <v>50359</v>
      </c>
      <c r="BK351">
        <v>50360</v>
      </c>
      <c r="BL351">
        <v>50361</v>
      </c>
      <c r="BM351">
        <v>50362</v>
      </c>
      <c r="BN351">
        <v>50363</v>
      </c>
      <c r="BO351" t="e">
        <v>#VALUE!</v>
      </c>
      <c r="BP351">
        <v>0</v>
      </c>
      <c r="BQ351">
        <v>50366</v>
      </c>
      <c r="BR351">
        <v>50367</v>
      </c>
      <c r="BS351">
        <v>50368</v>
      </c>
      <c r="BT351">
        <v>50369</v>
      </c>
      <c r="BU351">
        <v>0</v>
      </c>
      <c r="BV351">
        <v>50371</v>
      </c>
    </row>
    <row r="357" spans="40:42" x14ac:dyDescent="0.3">
      <c r="AN357" t="s">
        <v>2471</v>
      </c>
      <c r="AO357" t="s">
        <v>2472</v>
      </c>
      <c r="AP357" t="s">
        <v>2473</v>
      </c>
    </row>
    <row r="358" spans="40:42" x14ac:dyDescent="0.3">
      <c r="AN358">
        <v>50526</v>
      </c>
      <c r="AO358">
        <v>50554</v>
      </c>
      <c r="AP358">
        <v>50343</v>
      </c>
    </row>
    <row r="359" spans="40:42" x14ac:dyDescent="0.3">
      <c r="AN359" s="568">
        <v>11143033.369999999</v>
      </c>
      <c r="AO359" s="568">
        <v>115923981.88</v>
      </c>
      <c r="AP359" s="568">
        <v>102033290</v>
      </c>
    </row>
  </sheetData>
  <sheetProtection algorithmName="SHA-512" hashValue="XdQheLZBr08nEsxfzg6yS9ClH8kYN95KAWfNXi3eEP2v9nQT0kHBbTPK6SAevDBXabb9QcJT3ihuAckyokrYFg==" saltValue="YmqE4FSkyXwYObBnqQ9/XQ=="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6CD5-EC5E-464A-94B3-C0CA93EDE12D}">
  <sheetPr codeName="Sheet18"/>
  <dimension ref="A1:BV300"/>
  <sheetViews>
    <sheetView workbookViewId="0">
      <pane xSplit="3" ySplit="2" topLeftCell="AB15" activePane="bottomRight" state="frozen"/>
      <selection activeCell="AB25" sqref="AB25"/>
      <selection pane="topRight" activeCell="AB25" sqref="AB25"/>
      <selection pane="bottomLeft" activeCell="AB25" sqref="AB25"/>
      <selection pane="bottomRight" activeCell="AB25" sqref="AB25"/>
    </sheetView>
  </sheetViews>
  <sheetFormatPr defaultRowHeight="14.4" x14ac:dyDescent="0.3"/>
  <cols>
    <col min="1" max="1" width="12.5546875" style="155" customWidth="1"/>
    <col min="2" max="2" width="66.5546875" customWidth="1"/>
    <col min="3" max="3" width="37.6640625" customWidth="1"/>
    <col min="4" max="97" width="20.6640625" customWidth="1"/>
  </cols>
  <sheetData>
    <row r="1" spans="1:74" x14ac:dyDescent="0.3">
      <c r="A1" s="183" t="s">
        <v>1975</v>
      </c>
      <c r="B1" t="s">
        <v>1976</v>
      </c>
      <c r="C1" t="s">
        <v>349</v>
      </c>
      <c r="D1" t="s">
        <v>1369</v>
      </c>
      <c r="E1" t="s">
        <v>1370</v>
      </c>
      <c r="F1" t="s">
        <v>534</v>
      </c>
      <c r="G1" t="s">
        <v>1371</v>
      </c>
      <c r="H1" t="s">
        <v>535</v>
      </c>
      <c r="I1" t="s">
        <v>1372</v>
      </c>
      <c r="J1" t="s">
        <v>1373</v>
      </c>
      <c r="K1" t="s">
        <v>1374</v>
      </c>
      <c r="L1" t="s">
        <v>536</v>
      </c>
      <c r="M1" t="s">
        <v>1375</v>
      </c>
      <c r="N1" t="s">
        <v>1376</v>
      </c>
      <c r="O1" t="s">
        <v>1377</v>
      </c>
      <c r="P1" t="s">
        <v>537</v>
      </c>
      <c r="Q1" t="s">
        <v>825</v>
      </c>
      <c r="R1" t="s">
        <v>1378</v>
      </c>
      <c r="S1" t="s">
        <v>1379</v>
      </c>
      <c r="T1" t="s">
        <v>1380</v>
      </c>
      <c r="U1" t="s">
        <v>538</v>
      </c>
      <c r="V1" t="s">
        <v>1381</v>
      </c>
      <c r="W1" t="s">
        <v>539</v>
      </c>
      <c r="X1" t="s">
        <v>391</v>
      </c>
      <c r="Y1" t="s">
        <v>1382</v>
      </c>
      <c r="Z1" t="s">
        <v>1383</v>
      </c>
      <c r="AA1" t="s">
        <v>1384</v>
      </c>
      <c r="AB1" t="s">
        <v>540</v>
      </c>
      <c r="AC1" t="s">
        <v>1385</v>
      </c>
      <c r="AD1" t="s">
        <v>1386</v>
      </c>
      <c r="AE1" t="s">
        <v>826</v>
      </c>
      <c r="AF1" t="s">
        <v>827</v>
      </c>
      <c r="AG1" t="s">
        <v>828</v>
      </c>
      <c r="AH1" t="s">
        <v>829</v>
      </c>
      <c r="AI1" t="s">
        <v>1387</v>
      </c>
      <c r="AJ1" t="s">
        <v>1388</v>
      </c>
      <c r="AK1" t="s">
        <v>830</v>
      </c>
      <c r="AL1" t="s">
        <v>1389</v>
      </c>
      <c r="AM1" t="s">
        <v>1390</v>
      </c>
      <c r="AN1" t="s">
        <v>1391</v>
      </c>
      <c r="AO1" t="s">
        <v>1392</v>
      </c>
      <c r="AP1" t="s">
        <v>1393</v>
      </c>
      <c r="AQ1" t="s">
        <v>1394</v>
      </c>
      <c r="AR1" t="s">
        <v>1395</v>
      </c>
      <c r="AS1" t="s">
        <v>1396</v>
      </c>
      <c r="AT1" t="s">
        <v>1397</v>
      </c>
      <c r="AU1" t="s">
        <v>1398</v>
      </c>
      <c r="AV1" t="s">
        <v>542</v>
      </c>
      <c r="AW1" t="s">
        <v>1399</v>
      </c>
      <c r="AX1" t="s">
        <v>1400</v>
      </c>
      <c r="AY1" t="s">
        <v>543</v>
      </c>
      <c r="AZ1" t="s">
        <v>1401</v>
      </c>
      <c r="BA1" t="s">
        <v>1402</v>
      </c>
      <c r="BB1" t="s">
        <v>1403</v>
      </c>
      <c r="BC1" t="s">
        <v>1404</v>
      </c>
      <c r="BD1" t="s">
        <v>1405</v>
      </c>
      <c r="BE1" t="s">
        <v>544</v>
      </c>
      <c r="BF1" t="s">
        <v>1406</v>
      </c>
      <c r="BG1" t="s">
        <v>831</v>
      </c>
      <c r="BH1" t="s">
        <v>1407</v>
      </c>
      <c r="BI1" t="s">
        <v>1408</v>
      </c>
      <c r="BJ1" t="s">
        <v>1409</v>
      </c>
      <c r="BK1" t="s">
        <v>545</v>
      </c>
      <c r="BL1" t="s">
        <v>1410</v>
      </c>
      <c r="BM1" t="s">
        <v>1411</v>
      </c>
      <c r="BN1" t="s">
        <v>1412</v>
      </c>
      <c r="BO1" t="s">
        <v>1413</v>
      </c>
      <c r="BP1" t="s">
        <v>1414</v>
      </c>
      <c r="BQ1" t="s">
        <v>1415</v>
      </c>
      <c r="BR1" t="s">
        <v>1426</v>
      </c>
      <c r="BS1" t="s">
        <v>1416</v>
      </c>
      <c r="BT1" t="s">
        <v>1417</v>
      </c>
      <c r="BU1" t="s">
        <v>546</v>
      </c>
      <c r="BV1" t="s">
        <v>1418</v>
      </c>
    </row>
    <row r="2" spans="1:74" x14ac:dyDescent="0.3">
      <c r="A2" s="155" t="s">
        <v>877</v>
      </c>
      <c r="B2" t="s">
        <v>41</v>
      </c>
      <c r="C2" t="s">
        <v>13</v>
      </c>
      <c r="D2" s="786">
        <v>50312</v>
      </c>
      <c r="E2" s="786">
        <v>50313</v>
      </c>
      <c r="F2" s="786">
        <v>50314</v>
      </c>
      <c r="G2" s="786">
        <v>50315</v>
      </c>
      <c r="H2" s="786">
        <v>50316</v>
      </c>
      <c r="I2" s="786">
        <v>50481</v>
      </c>
      <c r="J2" s="786">
        <v>50561</v>
      </c>
      <c r="K2" s="786">
        <v>50317</v>
      </c>
      <c r="L2" s="786">
        <v>50318</v>
      </c>
      <c r="M2" s="786">
        <v>50319</v>
      </c>
      <c r="N2" s="786">
        <v>50489</v>
      </c>
      <c r="O2" s="786">
        <v>50320</v>
      </c>
      <c r="P2" s="786">
        <v>50323</v>
      </c>
      <c r="Q2" s="786">
        <v>50321</v>
      </c>
      <c r="R2" s="786">
        <v>50322</v>
      </c>
      <c r="S2" s="786">
        <v>50490</v>
      </c>
      <c r="T2" s="786">
        <v>50324</v>
      </c>
      <c r="U2" s="786">
        <v>50325</v>
      </c>
      <c r="V2" s="786">
        <v>50326</v>
      </c>
      <c r="W2" s="786">
        <v>50327</v>
      </c>
      <c r="X2" s="786">
        <v>50328</v>
      </c>
      <c r="Y2" s="786">
        <v>50329</v>
      </c>
      <c r="Z2" s="786">
        <v>50330</v>
      </c>
      <c r="AA2" s="786">
        <v>50331</v>
      </c>
      <c r="AB2" s="786">
        <v>50332</v>
      </c>
      <c r="AC2" s="786">
        <v>50333</v>
      </c>
      <c r="AD2" s="786">
        <v>50335</v>
      </c>
      <c r="AE2" s="786">
        <v>50334</v>
      </c>
      <c r="AF2" s="786">
        <v>50336</v>
      </c>
      <c r="AG2" s="786">
        <v>50337</v>
      </c>
      <c r="AH2" s="786">
        <v>50338</v>
      </c>
      <c r="AI2" s="786">
        <v>50339</v>
      </c>
      <c r="AJ2" s="786">
        <v>50443</v>
      </c>
      <c r="AK2" s="786">
        <v>50340</v>
      </c>
      <c r="AL2" s="786">
        <v>50456</v>
      </c>
      <c r="AM2" s="786">
        <v>50341</v>
      </c>
      <c r="AN2" s="786">
        <v>50342</v>
      </c>
      <c r="AO2" s="786">
        <v>50344</v>
      </c>
      <c r="AP2" s="786">
        <v>50345</v>
      </c>
      <c r="AQ2" s="786">
        <v>50503</v>
      </c>
      <c r="AR2" s="786">
        <v>50527</v>
      </c>
      <c r="AS2" s="786">
        <v>50346</v>
      </c>
      <c r="AT2" s="786">
        <v>50347</v>
      </c>
      <c r="AU2" s="786">
        <v>50529</v>
      </c>
      <c r="AV2" s="786">
        <v>50348</v>
      </c>
      <c r="AW2" s="786">
        <v>50349</v>
      </c>
      <c r="AX2" s="786">
        <v>50350</v>
      </c>
      <c r="AY2" s="786">
        <v>50541</v>
      </c>
      <c r="AZ2" s="786">
        <v>50351</v>
      </c>
      <c r="BA2" s="786">
        <v>50484</v>
      </c>
      <c r="BB2" s="786">
        <v>50352</v>
      </c>
      <c r="BC2" s="786">
        <v>50353</v>
      </c>
      <c r="BD2" s="786">
        <v>50354</v>
      </c>
      <c r="BE2" s="786">
        <v>50355</v>
      </c>
      <c r="BF2" s="786">
        <v>50356</v>
      </c>
      <c r="BG2" s="786">
        <v>50357</v>
      </c>
      <c r="BH2" s="786">
        <v>50482</v>
      </c>
      <c r="BI2" s="786">
        <v>50358</v>
      </c>
      <c r="BJ2" s="786">
        <v>50359</v>
      </c>
      <c r="BK2" s="786">
        <v>50360</v>
      </c>
      <c r="BL2" s="786">
        <v>50361</v>
      </c>
      <c r="BM2" s="786">
        <v>50362</v>
      </c>
      <c r="BN2" s="786">
        <v>50363</v>
      </c>
      <c r="BO2" s="786">
        <v>50364</v>
      </c>
      <c r="BP2" s="786">
        <v>50365</v>
      </c>
      <c r="BQ2" s="786">
        <v>50366</v>
      </c>
      <c r="BR2" s="786">
        <v>50367</v>
      </c>
      <c r="BS2" s="786">
        <v>50368</v>
      </c>
      <c r="BT2" s="786">
        <v>50369</v>
      </c>
      <c r="BU2" s="786">
        <v>50370</v>
      </c>
      <c r="BV2" s="786">
        <v>50371</v>
      </c>
    </row>
    <row r="3" spans="1:74" x14ac:dyDescent="0.3">
      <c r="A3" s="155">
        <v>4</v>
      </c>
      <c r="B3" t="s">
        <v>111</v>
      </c>
      <c r="D3">
        <v>216577</v>
      </c>
      <c r="E3">
        <v>21416083</v>
      </c>
      <c r="G3">
        <v>138525</v>
      </c>
      <c r="H3">
        <v>35099</v>
      </c>
      <c r="I3">
        <v>0</v>
      </c>
      <c r="J3">
        <v>597</v>
      </c>
      <c r="K3">
        <v>84460</v>
      </c>
      <c r="L3">
        <v>177204</v>
      </c>
      <c r="M3">
        <v>1155746</v>
      </c>
      <c r="N3">
        <v>2892</v>
      </c>
      <c r="O3">
        <v>30549</v>
      </c>
      <c r="Q3">
        <v>23899</v>
      </c>
      <c r="R3">
        <v>309513</v>
      </c>
      <c r="S3">
        <v>33123</v>
      </c>
      <c r="T3">
        <v>536432</v>
      </c>
      <c r="V3">
        <v>1105513</v>
      </c>
      <c r="X3">
        <v>74542</v>
      </c>
      <c r="Y3">
        <v>24689</v>
      </c>
      <c r="Z3">
        <v>5340661</v>
      </c>
      <c r="AA3">
        <v>779916</v>
      </c>
      <c r="AB3">
        <v>7082</v>
      </c>
      <c r="AC3">
        <v>17486</v>
      </c>
      <c r="AD3">
        <v>46103</v>
      </c>
      <c r="AE3">
        <v>105169</v>
      </c>
      <c r="AF3">
        <v>18655</v>
      </c>
      <c r="AG3">
        <v>58290</v>
      </c>
      <c r="AH3">
        <v>424997</v>
      </c>
      <c r="AI3">
        <v>3634</v>
      </c>
      <c r="AJ3">
        <v>674373</v>
      </c>
      <c r="AK3">
        <v>0</v>
      </c>
      <c r="AL3">
        <v>137857</v>
      </c>
      <c r="AM3">
        <v>827457</v>
      </c>
      <c r="AN3">
        <v>33871</v>
      </c>
      <c r="AO3">
        <v>2836821</v>
      </c>
      <c r="AP3">
        <v>48805</v>
      </c>
      <c r="AQ3">
        <v>15311</v>
      </c>
      <c r="AR3">
        <v>3884</v>
      </c>
      <c r="AS3">
        <v>1760934</v>
      </c>
      <c r="AT3">
        <v>6598</v>
      </c>
      <c r="AU3">
        <v>170422</v>
      </c>
      <c r="AV3">
        <v>11382</v>
      </c>
      <c r="AW3">
        <v>4294</v>
      </c>
      <c r="AX3">
        <v>38276</v>
      </c>
      <c r="AY3">
        <v>18045</v>
      </c>
      <c r="AZ3">
        <v>154888</v>
      </c>
      <c r="BA3">
        <v>70485</v>
      </c>
      <c r="BB3">
        <v>6964</v>
      </c>
      <c r="BC3">
        <v>16433</v>
      </c>
      <c r="BD3">
        <v>599684</v>
      </c>
      <c r="BE3">
        <v>65518</v>
      </c>
      <c r="BF3">
        <v>477617</v>
      </c>
      <c r="BH3">
        <v>25579</v>
      </c>
      <c r="BI3">
        <v>12142</v>
      </c>
      <c r="BJ3">
        <v>539007</v>
      </c>
      <c r="BK3">
        <v>89494</v>
      </c>
      <c r="BL3">
        <v>1856435</v>
      </c>
      <c r="BM3">
        <v>235190</v>
      </c>
      <c r="BN3">
        <v>453114</v>
      </c>
      <c r="BO3">
        <v>50476</v>
      </c>
      <c r="BQ3">
        <v>95335</v>
      </c>
      <c r="BS3">
        <v>193807</v>
      </c>
      <c r="BT3">
        <v>49245</v>
      </c>
      <c r="BV3">
        <v>401830</v>
      </c>
    </row>
    <row r="4" spans="1:74" x14ac:dyDescent="0.3">
      <c r="A4" s="155">
        <v>5</v>
      </c>
      <c r="B4" t="s">
        <v>112</v>
      </c>
      <c r="D4">
        <v>9970</v>
      </c>
      <c r="E4">
        <v>618289</v>
      </c>
      <c r="G4">
        <v>100</v>
      </c>
      <c r="H4">
        <v>0</v>
      </c>
      <c r="I4">
        <v>0</v>
      </c>
      <c r="J4">
        <v>0</v>
      </c>
      <c r="K4">
        <v>0</v>
      </c>
      <c r="L4">
        <v>0</v>
      </c>
      <c r="M4">
        <v>11434</v>
      </c>
      <c r="N4">
        <v>0</v>
      </c>
      <c r="O4">
        <v>0</v>
      </c>
      <c r="Q4">
        <v>0</v>
      </c>
      <c r="R4">
        <v>0</v>
      </c>
      <c r="S4">
        <v>0</v>
      </c>
      <c r="T4">
        <v>69853</v>
      </c>
      <c r="V4">
        <v>0</v>
      </c>
      <c r="X4">
        <v>14013</v>
      </c>
      <c r="Y4">
        <v>0</v>
      </c>
      <c r="Z4">
        <v>65142</v>
      </c>
      <c r="AA4">
        <v>0</v>
      </c>
      <c r="AB4">
        <v>0</v>
      </c>
      <c r="AC4">
        <v>132</v>
      </c>
      <c r="AD4">
        <v>43997</v>
      </c>
      <c r="AE4">
        <v>11537</v>
      </c>
      <c r="AF4">
        <v>0</v>
      </c>
      <c r="AG4">
        <v>0</v>
      </c>
      <c r="AH4">
        <v>0</v>
      </c>
      <c r="AI4">
        <v>0</v>
      </c>
      <c r="AJ4">
        <v>0</v>
      </c>
      <c r="AK4">
        <v>0</v>
      </c>
      <c r="AL4">
        <v>0</v>
      </c>
      <c r="AM4">
        <v>176</v>
      </c>
      <c r="AN4">
        <v>0</v>
      </c>
      <c r="AO4">
        <v>633054</v>
      </c>
      <c r="AP4">
        <v>2935</v>
      </c>
      <c r="AQ4">
        <v>48442</v>
      </c>
      <c r="AR4">
        <v>217358</v>
      </c>
      <c r="AS4">
        <v>32525</v>
      </c>
      <c r="AT4">
        <v>35</v>
      </c>
      <c r="AU4">
        <v>0</v>
      </c>
      <c r="AV4">
        <v>485256</v>
      </c>
      <c r="AW4">
        <v>85</v>
      </c>
      <c r="AX4">
        <v>0</v>
      </c>
      <c r="AY4">
        <v>0</v>
      </c>
      <c r="AZ4">
        <v>0</v>
      </c>
      <c r="BA4">
        <v>5978</v>
      </c>
      <c r="BB4">
        <v>0</v>
      </c>
      <c r="BC4">
        <v>0</v>
      </c>
      <c r="BD4">
        <v>1760</v>
      </c>
      <c r="BE4">
        <v>0</v>
      </c>
      <c r="BF4">
        <v>0</v>
      </c>
      <c r="BH4">
        <v>1908</v>
      </c>
      <c r="BI4">
        <v>0</v>
      </c>
      <c r="BJ4">
        <v>0</v>
      </c>
      <c r="BK4">
        <v>0</v>
      </c>
      <c r="BL4">
        <v>0</v>
      </c>
      <c r="BM4">
        <v>0</v>
      </c>
      <c r="BN4">
        <v>12745</v>
      </c>
      <c r="BO4">
        <v>0</v>
      </c>
      <c r="BQ4">
        <v>0</v>
      </c>
      <c r="BS4">
        <v>0</v>
      </c>
      <c r="BT4">
        <v>0</v>
      </c>
      <c r="BV4">
        <v>2168</v>
      </c>
    </row>
    <row r="5" spans="1:74" x14ac:dyDescent="0.3">
      <c r="A5" s="155">
        <v>6</v>
      </c>
      <c r="B5" t="s">
        <v>251</v>
      </c>
      <c r="D5">
        <v>0</v>
      </c>
      <c r="E5">
        <v>9468667</v>
      </c>
      <c r="G5">
        <v>0</v>
      </c>
      <c r="H5">
        <v>0</v>
      </c>
      <c r="I5">
        <v>0</v>
      </c>
      <c r="J5">
        <v>0</v>
      </c>
      <c r="K5">
        <v>0</v>
      </c>
      <c r="L5">
        <v>0</v>
      </c>
      <c r="M5">
        <v>3878565</v>
      </c>
      <c r="N5">
        <v>0</v>
      </c>
      <c r="O5">
        <v>0</v>
      </c>
      <c r="Q5">
        <v>0</v>
      </c>
      <c r="R5">
        <v>0</v>
      </c>
      <c r="S5">
        <v>0</v>
      </c>
      <c r="T5">
        <v>0</v>
      </c>
      <c r="V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2153739</v>
      </c>
      <c r="AT5">
        <v>0</v>
      </c>
      <c r="AU5">
        <v>0</v>
      </c>
      <c r="AV5">
        <v>0</v>
      </c>
      <c r="AW5">
        <v>0</v>
      </c>
      <c r="AX5">
        <v>0</v>
      </c>
      <c r="AY5">
        <v>0</v>
      </c>
      <c r="AZ5">
        <v>0</v>
      </c>
      <c r="BA5">
        <v>0</v>
      </c>
      <c r="BB5">
        <v>0</v>
      </c>
      <c r="BC5">
        <v>0</v>
      </c>
      <c r="BD5">
        <v>0</v>
      </c>
      <c r="BE5">
        <v>0</v>
      </c>
      <c r="BF5">
        <v>0</v>
      </c>
      <c r="BH5">
        <v>0</v>
      </c>
      <c r="BI5">
        <v>0</v>
      </c>
      <c r="BJ5">
        <v>982288</v>
      </c>
      <c r="BK5">
        <v>0</v>
      </c>
      <c r="BL5">
        <v>0</v>
      </c>
      <c r="BM5">
        <v>1224984</v>
      </c>
      <c r="BN5">
        <v>57071</v>
      </c>
      <c r="BO5">
        <v>0</v>
      </c>
      <c r="BQ5">
        <v>0</v>
      </c>
      <c r="BS5">
        <v>0</v>
      </c>
      <c r="BT5">
        <v>0</v>
      </c>
      <c r="BV5">
        <v>0</v>
      </c>
    </row>
    <row r="6" spans="1:74" x14ac:dyDescent="0.3">
      <c r="A6" s="155">
        <v>7</v>
      </c>
      <c r="B6" t="s">
        <v>193</v>
      </c>
      <c r="D6">
        <v>12190</v>
      </c>
      <c r="E6">
        <v>18618249</v>
      </c>
      <c r="G6">
        <v>0</v>
      </c>
      <c r="H6">
        <v>0</v>
      </c>
      <c r="I6">
        <v>0</v>
      </c>
      <c r="J6">
        <v>0</v>
      </c>
      <c r="K6">
        <v>12823</v>
      </c>
      <c r="L6">
        <v>0</v>
      </c>
      <c r="M6">
        <v>275954</v>
      </c>
      <c r="N6">
        <v>0</v>
      </c>
      <c r="O6">
        <v>0</v>
      </c>
      <c r="Q6">
        <v>14728</v>
      </c>
      <c r="R6">
        <v>0</v>
      </c>
      <c r="S6">
        <v>0</v>
      </c>
      <c r="T6">
        <v>62506</v>
      </c>
      <c r="V6">
        <v>2909</v>
      </c>
      <c r="X6">
        <v>28371</v>
      </c>
      <c r="Y6">
        <v>0</v>
      </c>
      <c r="Z6">
        <v>17155917</v>
      </c>
      <c r="AA6">
        <v>0</v>
      </c>
      <c r="AB6">
        <v>0</v>
      </c>
      <c r="AC6">
        <v>0</v>
      </c>
      <c r="AD6">
        <v>0</v>
      </c>
      <c r="AE6">
        <v>0</v>
      </c>
      <c r="AF6">
        <v>3000</v>
      </c>
      <c r="AG6">
        <v>0</v>
      </c>
      <c r="AH6">
        <v>494515</v>
      </c>
      <c r="AI6">
        <v>0</v>
      </c>
      <c r="AJ6">
        <v>0</v>
      </c>
      <c r="AK6">
        <v>0</v>
      </c>
      <c r="AL6">
        <v>0</v>
      </c>
      <c r="AM6">
        <v>0</v>
      </c>
      <c r="AN6">
        <v>0</v>
      </c>
      <c r="AO6">
        <v>707573</v>
      </c>
      <c r="AP6">
        <v>0</v>
      </c>
      <c r="AQ6">
        <v>0</v>
      </c>
      <c r="AR6">
        <v>0</v>
      </c>
      <c r="AS6">
        <v>337755</v>
      </c>
      <c r="AT6">
        <v>0</v>
      </c>
      <c r="AU6">
        <v>0</v>
      </c>
      <c r="AV6">
        <v>0</v>
      </c>
      <c r="AW6">
        <v>0</v>
      </c>
      <c r="AX6">
        <v>0</v>
      </c>
      <c r="AY6">
        <v>0</v>
      </c>
      <c r="AZ6">
        <v>97902</v>
      </c>
      <c r="BA6">
        <v>0</v>
      </c>
      <c r="BB6">
        <v>0</v>
      </c>
      <c r="BC6">
        <v>0</v>
      </c>
      <c r="BD6">
        <v>5976</v>
      </c>
      <c r="BE6">
        <v>0</v>
      </c>
      <c r="BF6">
        <v>681699</v>
      </c>
      <c r="BH6">
        <v>0</v>
      </c>
      <c r="BI6">
        <v>0</v>
      </c>
      <c r="BJ6">
        <v>26378</v>
      </c>
      <c r="BK6">
        <v>0</v>
      </c>
      <c r="BL6">
        <v>168002</v>
      </c>
      <c r="BM6">
        <v>4428</v>
      </c>
      <c r="BN6">
        <v>0</v>
      </c>
      <c r="BO6">
        <v>0</v>
      </c>
      <c r="BQ6">
        <v>0</v>
      </c>
      <c r="BS6">
        <v>30282</v>
      </c>
      <c r="BT6">
        <v>0</v>
      </c>
      <c r="BV6">
        <v>110317</v>
      </c>
    </row>
    <row r="7" spans="1:74" x14ac:dyDescent="0.3">
      <c r="A7" s="155">
        <v>9</v>
      </c>
      <c r="B7" t="s">
        <v>195</v>
      </c>
      <c r="D7">
        <v>10036192</v>
      </c>
      <c r="E7">
        <v>428846858</v>
      </c>
      <c r="G7">
        <v>7800566</v>
      </c>
      <c r="H7">
        <v>2341557</v>
      </c>
      <c r="I7">
        <v>75973</v>
      </c>
      <c r="J7">
        <v>1570603</v>
      </c>
      <c r="K7">
        <v>8187764</v>
      </c>
      <c r="L7">
        <v>2043845</v>
      </c>
      <c r="M7">
        <v>14822147</v>
      </c>
      <c r="N7">
        <v>909901</v>
      </c>
      <c r="O7">
        <v>1293940</v>
      </c>
      <c r="Q7">
        <v>965963</v>
      </c>
      <c r="R7">
        <v>1356251</v>
      </c>
      <c r="S7">
        <v>1365837</v>
      </c>
      <c r="T7">
        <v>7527638</v>
      </c>
      <c r="V7">
        <v>1282559</v>
      </c>
      <c r="X7">
        <v>6561668</v>
      </c>
      <c r="Y7">
        <v>2133176</v>
      </c>
      <c r="Z7">
        <v>57522586</v>
      </c>
      <c r="AA7">
        <v>9538709</v>
      </c>
      <c r="AB7">
        <v>364472</v>
      </c>
      <c r="AC7">
        <v>584308</v>
      </c>
      <c r="AD7">
        <v>1132318</v>
      </c>
      <c r="AE7">
        <v>2574929</v>
      </c>
      <c r="AF7">
        <v>563038</v>
      </c>
      <c r="AG7">
        <v>500575</v>
      </c>
      <c r="AH7">
        <v>2806433</v>
      </c>
      <c r="AI7">
        <v>342220</v>
      </c>
      <c r="AJ7">
        <v>3989153</v>
      </c>
      <c r="AK7">
        <v>666180</v>
      </c>
      <c r="AL7">
        <v>1018995</v>
      </c>
      <c r="AM7">
        <v>2394131</v>
      </c>
      <c r="AN7">
        <v>797317</v>
      </c>
      <c r="AO7">
        <v>26639983</v>
      </c>
      <c r="AP7">
        <v>1607961</v>
      </c>
      <c r="AQ7">
        <v>736459</v>
      </c>
      <c r="AR7">
        <v>816291</v>
      </c>
      <c r="AS7">
        <v>28705996</v>
      </c>
      <c r="AT7">
        <v>483258</v>
      </c>
      <c r="AU7">
        <v>7029195</v>
      </c>
      <c r="AV7">
        <v>1115878</v>
      </c>
      <c r="AW7">
        <v>517323</v>
      </c>
      <c r="AX7">
        <v>168153</v>
      </c>
      <c r="AY7">
        <v>631019</v>
      </c>
      <c r="AZ7">
        <v>6239503</v>
      </c>
      <c r="BA7">
        <v>1168780</v>
      </c>
      <c r="BB7">
        <v>220118</v>
      </c>
      <c r="BC7">
        <v>1475992</v>
      </c>
      <c r="BD7">
        <v>8123733</v>
      </c>
      <c r="BE7">
        <v>1485726</v>
      </c>
      <c r="BF7">
        <v>17020945</v>
      </c>
      <c r="BH7">
        <v>325777</v>
      </c>
      <c r="BI7">
        <v>539063</v>
      </c>
      <c r="BJ7">
        <v>16120101</v>
      </c>
      <c r="BK7">
        <v>1773319</v>
      </c>
      <c r="BL7">
        <v>14856958</v>
      </c>
      <c r="BM7">
        <v>11571941</v>
      </c>
      <c r="BN7">
        <v>7195398</v>
      </c>
      <c r="BO7">
        <v>3262016</v>
      </c>
      <c r="BQ7">
        <v>3032071</v>
      </c>
      <c r="BS7">
        <v>2846126</v>
      </c>
      <c r="BT7">
        <v>1793310</v>
      </c>
      <c r="BV7">
        <v>4431017</v>
      </c>
    </row>
    <row r="8" spans="1:74" x14ac:dyDescent="0.3">
      <c r="A8" s="155">
        <v>11</v>
      </c>
      <c r="B8" t="s">
        <v>194</v>
      </c>
      <c r="D8">
        <v>656680</v>
      </c>
      <c r="E8">
        <v>0</v>
      </c>
      <c r="G8">
        <v>827522</v>
      </c>
      <c r="H8">
        <v>538612</v>
      </c>
      <c r="I8">
        <v>1671</v>
      </c>
      <c r="J8">
        <v>49910</v>
      </c>
      <c r="K8">
        <v>0</v>
      </c>
      <c r="L8">
        <v>1910</v>
      </c>
      <c r="M8">
        <v>129518</v>
      </c>
      <c r="N8">
        <v>67857</v>
      </c>
      <c r="O8">
        <v>68462</v>
      </c>
      <c r="Q8">
        <v>130016</v>
      </c>
      <c r="R8">
        <v>44665</v>
      </c>
      <c r="S8">
        <v>0</v>
      </c>
      <c r="T8">
        <v>0</v>
      </c>
      <c r="V8">
        <v>159</v>
      </c>
      <c r="X8">
        <v>385948</v>
      </c>
      <c r="Y8">
        <v>158262</v>
      </c>
      <c r="Z8">
        <v>2484571</v>
      </c>
      <c r="AA8">
        <v>460022</v>
      </c>
      <c r="AB8">
        <v>80507</v>
      </c>
      <c r="AC8">
        <v>50793</v>
      </c>
      <c r="AD8">
        <v>0</v>
      </c>
      <c r="AE8">
        <v>0</v>
      </c>
      <c r="AF8">
        <v>64572</v>
      </c>
      <c r="AG8">
        <v>0</v>
      </c>
      <c r="AH8">
        <v>143297</v>
      </c>
      <c r="AI8">
        <v>4064</v>
      </c>
      <c r="AJ8">
        <v>227565</v>
      </c>
      <c r="AK8">
        <v>21455</v>
      </c>
      <c r="AL8">
        <v>7063</v>
      </c>
      <c r="AM8">
        <v>147270</v>
      </c>
      <c r="AN8">
        <v>74848</v>
      </c>
      <c r="AO8">
        <v>0</v>
      </c>
      <c r="AP8">
        <v>0</v>
      </c>
      <c r="AQ8">
        <v>29544</v>
      </c>
      <c r="AR8">
        <v>78204</v>
      </c>
      <c r="AS8">
        <v>0</v>
      </c>
      <c r="AT8">
        <v>69934</v>
      </c>
      <c r="AU8">
        <v>490855</v>
      </c>
      <c r="AV8">
        <v>146154</v>
      </c>
      <c r="AW8">
        <v>60527</v>
      </c>
      <c r="AX8">
        <v>24892</v>
      </c>
      <c r="AY8">
        <v>126420</v>
      </c>
      <c r="AZ8">
        <v>313640</v>
      </c>
      <c r="BA8">
        <v>32990</v>
      </c>
      <c r="BB8">
        <v>36438</v>
      </c>
      <c r="BC8">
        <v>47727</v>
      </c>
      <c r="BD8">
        <v>111003</v>
      </c>
      <c r="BE8">
        <v>84666</v>
      </c>
      <c r="BF8">
        <v>495713</v>
      </c>
      <c r="BH8">
        <v>13283</v>
      </c>
      <c r="BI8">
        <v>42955</v>
      </c>
      <c r="BJ8">
        <v>415097</v>
      </c>
      <c r="BK8">
        <v>96405</v>
      </c>
      <c r="BL8">
        <v>0</v>
      </c>
      <c r="BM8">
        <v>131134</v>
      </c>
      <c r="BN8">
        <v>173243</v>
      </c>
      <c r="BO8">
        <v>148268</v>
      </c>
      <c r="BQ8">
        <v>35048</v>
      </c>
      <c r="BS8">
        <v>0</v>
      </c>
      <c r="BT8">
        <v>111965</v>
      </c>
      <c r="BV8">
        <v>0</v>
      </c>
    </row>
    <row r="9" spans="1:74" x14ac:dyDescent="0.3">
      <c r="A9" s="155">
        <v>16</v>
      </c>
      <c r="B9" t="s">
        <v>197</v>
      </c>
      <c r="D9">
        <v>5867120</v>
      </c>
      <c r="E9">
        <v>516016563</v>
      </c>
      <c r="G9">
        <v>7021197</v>
      </c>
      <c r="H9">
        <v>2823824</v>
      </c>
      <c r="I9">
        <v>39441</v>
      </c>
      <c r="J9">
        <v>530708</v>
      </c>
      <c r="K9">
        <v>1272859</v>
      </c>
      <c r="L9">
        <v>3596671</v>
      </c>
      <c r="M9">
        <v>18364790</v>
      </c>
      <c r="N9">
        <v>175947</v>
      </c>
      <c r="O9">
        <v>777422</v>
      </c>
      <c r="Q9">
        <v>622586</v>
      </c>
      <c r="R9">
        <v>1752830</v>
      </c>
      <c r="S9">
        <v>1711966</v>
      </c>
      <c r="T9">
        <v>16539082</v>
      </c>
      <c r="V9">
        <v>661534</v>
      </c>
      <c r="X9">
        <v>9575782</v>
      </c>
      <c r="Y9">
        <v>2051965</v>
      </c>
      <c r="Z9">
        <v>70131453</v>
      </c>
      <c r="AA9">
        <v>12369192</v>
      </c>
      <c r="AB9">
        <v>337280</v>
      </c>
      <c r="AC9">
        <v>431310</v>
      </c>
      <c r="AD9">
        <v>1309278</v>
      </c>
      <c r="AE9">
        <v>1548384</v>
      </c>
      <c r="AF9">
        <v>618732</v>
      </c>
      <c r="AG9">
        <v>1198458</v>
      </c>
      <c r="AH9">
        <v>10318352</v>
      </c>
      <c r="AI9">
        <v>154559</v>
      </c>
      <c r="AJ9">
        <v>3516447</v>
      </c>
      <c r="AK9">
        <v>190728</v>
      </c>
      <c r="AL9">
        <v>1315406</v>
      </c>
      <c r="AM9">
        <v>4962301</v>
      </c>
      <c r="AN9">
        <v>425348</v>
      </c>
      <c r="AO9">
        <v>47002428</v>
      </c>
      <c r="AP9">
        <v>1537401</v>
      </c>
      <c r="AQ9">
        <v>172918</v>
      </c>
      <c r="AR9">
        <v>247950</v>
      </c>
      <c r="AS9">
        <v>38043596</v>
      </c>
      <c r="AT9">
        <v>279818</v>
      </c>
      <c r="AU9">
        <v>2792654</v>
      </c>
      <c r="AV9">
        <v>1970639</v>
      </c>
      <c r="AW9">
        <v>402048</v>
      </c>
      <c r="AX9">
        <v>414773</v>
      </c>
      <c r="AY9">
        <v>428054</v>
      </c>
      <c r="AZ9">
        <v>7229366</v>
      </c>
      <c r="BA9">
        <v>2092652</v>
      </c>
      <c r="BB9">
        <v>37743</v>
      </c>
      <c r="BC9">
        <v>410771</v>
      </c>
      <c r="BD9">
        <v>6228280</v>
      </c>
      <c r="BE9">
        <v>1444447</v>
      </c>
      <c r="BF9">
        <v>27012928</v>
      </c>
      <c r="BH9">
        <v>398274</v>
      </c>
      <c r="BI9">
        <v>244367</v>
      </c>
      <c r="BJ9">
        <v>15860719</v>
      </c>
      <c r="BK9">
        <v>1505006</v>
      </c>
      <c r="BL9">
        <v>22747808</v>
      </c>
      <c r="BM9">
        <v>8538466</v>
      </c>
      <c r="BN9">
        <v>9590141</v>
      </c>
      <c r="BO9">
        <v>2076736</v>
      </c>
      <c r="BQ9">
        <v>3812874</v>
      </c>
      <c r="BS9">
        <v>3324241</v>
      </c>
      <c r="BT9">
        <v>1458954</v>
      </c>
      <c r="BV9">
        <v>2904557</v>
      </c>
    </row>
    <row r="10" spans="1:74" x14ac:dyDescent="0.3">
      <c r="A10" s="155">
        <v>17</v>
      </c>
      <c r="B10" t="s">
        <v>200</v>
      </c>
      <c r="D10">
        <v>790004</v>
      </c>
      <c r="E10">
        <v>5557592</v>
      </c>
      <c r="G10">
        <v>0</v>
      </c>
      <c r="H10">
        <v>584549</v>
      </c>
      <c r="I10">
        <v>0</v>
      </c>
      <c r="J10">
        <v>0</v>
      </c>
      <c r="K10">
        <v>250000</v>
      </c>
      <c r="L10">
        <v>196483</v>
      </c>
      <c r="M10">
        <v>0</v>
      </c>
      <c r="N10">
        <v>0</v>
      </c>
      <c r="O10">
        <v>0</v>
      </c>
      <c r="Q10">
        <v>0</v>
      </c>
      <c r="R10">
        <v>0</v>
      </c>
      <c r="S10">
        <v>539539</v>
      </c>
      <c r="T10">
        <v>2304854</v>
      </c>
      <c r="V10">
        <v>0</v>
      </c>
      <c r="X10">
        <v>1105012</v>
      </c>
      <c r="Y10">
        <v>21</v>
      </c>
      <c r="Z10">
        <v>5005757</v>
      </c>
      <c r="AA10">
        <v>0</v>
      </c>
      <c r="AB10">
        <v>0</v>
      </c>
      <c r="AC10">
        <v>0</v>
      </c>
      <c r="AD10">
        <v>0</v>
      </c>
      <c r="AE10">
        <v>0</v>
      </c>
      <c r="AF10">
        <v>0</v>
      </c>
      <c r="AG10">
        <v>0</v>
      </c>
      <c r="AH10">
        <v>133000</v>
      </c>
      <c r="AI10">
        <v>0</v>
      </c>
      <c r="AJ10">
        <v>0</v>
      </c>
      <c r="AK10">
        <v>0</v>
      </c>
      <c r="AL10">
        <v>0</v>
      </c>
      <c r="AM10">
        <v>245000</v>
      </c>
      <c r="AN10">
        <v>0</v>
      </c>
      <c r="AO10">
        <v>0</v>
      </c>
      <c r="AP10">
        <v>0</v>
      </c>
      <c r="AQ10">
        <v>0</v>
      </c>
      <c r="AR10">
        <v>0</v>
      </c>
      <c r="AS10">
        <v>356139</v>
      </c>
      <c r="AT10">
        <v>0</v>
      </c>
      <c r="AU10">
        <v>238952</v>
      </c>
      <c r="AV10">
        <v>33599</v>
      </c>
      <c r="AW10">
        <v>0</v>
      </c>
      <c r="AX10">
        <v>0</v>
      </c>
      <c r="AY10">
        <v>0</v>
      </c>
      <c r="AZ10">
        <v>1306535</v>
      </c>
      <c r="BA10">
        <v>0</v>
      </c>
      <c r="BB10">
        <v>3250</v>
      </c>
      <c r="BC10">
        <v>0</v>
      </c>
      <c r="BD10">
        <v>683856</v>
      </c>
      <c r="BE10">
        <v>0</v>
      </c>
      <c r="BF10">
        <v>3300000</v>
      </c>
      <c r="BH10">
        <v>0</v>
      </c>
      <c r="BI10">
        <v>0</v>
      </c>
      <c r="BJ10">
        <v>293040</v>
      </c>
      <c r="BK10">
        <v>0</v>
      </c>
      <c r="BL10">
        <v>0</v>
      </c>
      <c r="BM10">
        <v>705236</v>
      </c>
      <c r="BN10">
        <v>0</v>
      </c>
      <c r="BO10">
        <v>0</v>
      </c>
      <c r="BQ10">
        <v>0</v>
      </c>
      <c r="BS10">
        <v>475000</v>
      </c>
      <c r="BT10">
        <v>0</v>
      </c>
      <c r="BV10">
        <v>0</v>
      </c>
    </row>
    <row r="11" spans="1:74" x14ac:dyDescent="0.3">
      <c r="A11" s="155">
        <v>20</v>
      </c>
      <c r="B11" t="s">
        <v>201</v>
      </c>
      <c r="D11">
        <v>0</v>
      </c>
      <c r="E11">
        <v>75483874</v>
      </c>
      <c r="G11">
        <v>0</v>
      </c>
      <c r="H11">
        <v>0</v>
      </c>
      <c r="I11">
        <v>0</v>
      </c>
      <c r="J11">
        <v>0</v>
      </c>
      <c r="K11">
        <v>0</v>
      </c>
      <c r="L11">
        <v>0</v>
      </c>
      <c r="M11">
        <v>14500</v>
      </c>
      <c r="N11">
        <v>0</v>
      </c>
      <c r="O11">
        <v>0</v>
      </c>
      <c r="Q11">
        <v>0</v>
      </c>
      <c r="R11">
        <v>0</v>
      </c>
      <c r="S11">
        <v>602689</v>
      </c>
      <c r="T11">
        <v>0</v>
      </c>
      <c r="V11">
        <v>0</v>
      </c>
      <c r="X11">
        <v>0</v>
      </c>
      <c r="Y11">
        <v>215000</v>
      </c>
      <c r="Z11">
        <v>649820</v>
      </c>
      <c r="AA11">
        <v>2744500</v>
      </c>
      <c r="AB11">
        <v>0</v>
      </c>
      <c r="AC11">
        <v>0</v>
      </c>
      <c r="AD11">
        <v>0</v>
      </c>
      <c r="AE11">
        <v>0</v>
      </c>
      <c r="AF11">
        <v>130501</v>
      </c>
      <c r="AG11">
        <v>0</v>
      </c>
      <c r="AH11">
        <v>0</v>
      </c>
      <c r="AI11">
        <v>0</v>
      </c>
      <c r="AJ11">
        <v>0</v>
      </c>
      <c r="AK11">
        <v>0</v>
      </c>
      <c r="AL11">
        <v>0</v>
      </c>
      <c r="AM11">
        <v>0</v>
      </c>
      <c r="AN11">
        <v>0</v>
      </c>
      <c r="AO11">
        <v>3575040</v>
      </c>
      <c r="AP11">
        <v>15000</v>
      </c>
      <c r="AQ11">
        <v>0</v>
      </c>
      <c r="AR11">
        <v>0</v>
      </c>
      <c r="AS11">
        <v>930569</v>
      </c>
      <c r="AT11">
        <v>0</v>
      </c>
      <c r="AU11">
        <v>0</v>
      </c>
      <c r="AV11">
        <v>0</v>
      </c>
      <c r="AW11">
        <v>5000</v>
      </c>
      <c r="AX11">
        <v>0</v>
      </c>
      <c r="AY11">
        <v>0</v>
      </c>
      <c r="AZ11">
        <v>1131535</v>
      </c>
      <c r="BA11">
        <v>0</v>
      </c>
      <c r="BB11">
        <v>0</v>
      </c>
      <c r="BC11">
        <v>0</v>
      </c>
      <c r="BD11">
        <v>902599</v>
      </c>
      <c r="BE11">
        <v>0</v>
      </c>
      <c r="BF11">
        <v>1615941</v>
      </c>
      <c r="BH11">
        <v>0</v>
      </c>
      <c r="BI11">
        <v>0</v>
      </c>
      <c r="BJ11">
        <v>152000</v>
      </c>
      <c r="BK11">
        <v>0</v>
      </c>
      <c r="BL11">
        <v>801484</v>
      </c>
      <c r="BM11">
        <v>0</v>
      </c>
      <c r="BN11">
        <v>0</v>
      </c>
      <c r="BO11">
        <v>0</v>
      </c>
      <c r="BQ11">
        <v>177062</v>
      </c>
      <c r="BS11">
        <v>809890</v>
      </c>
      <c r="BT11">
        <v>0</v>
      </c>
      <c r="BV11">
        <v>0</v>
      </c>
    </row>
    <row r="12" spans="1:74" x14ac:dyDescent="0.3">
      <c r="A12" s="155">
        <v>22</v>
      </c>
      <c r="B12" t="s">
        <v>203</v>
      </c>
      <c r="D12">
        <v>0</v>
      </c>
      <c r="E12">
        <v>500771</v>
      </c>
      <c r="G12">
        <v>0</v>
      </c>
      <c r="H12">
        <v>0</v>
      </c>
      <c r="I12">
        <v>0</v>
      </c>
      <c r="J12">
        <v>0</v>
      </c>
      <c r="K12">
        <v>0</v>
      </c>
      <c r="L12">
        <v>0</v>
      </c>
      <c r="M12">
        <v>0</v>
      </c>
      <c r="N12">
        <v>0</v>
      </c>
      <c r="O12">
        <v>0</v>
      </c>
      <c r="Q12">
        <v>0</v>
      </c>
      <c r="R12">
        <v>0</v>
      </c>
      <c r="S12">
        <v>33611</v>
      </c>
      <c r="T12">
        <v>0</v>
      </c>
      <c r="V12">
        <v>0</v>
      </c>
      <c r="X12">
        <v>0</v>
      </c>
      <c r="Y12">
        <v>11623</v>
      </c>
      <c r="Z12">
        <v>0</v>
      </c>
      <c r="AA12">
        <v>0</v>
      </c>
      <c r="AB12">
        <v>0</v>
      </c>
      <c r="AC12">
        <v>0</v>
      </c>
      <c r="AD12">
        <v>0</v>
      </c>
      <c r="AE12">
        <v>313463</v>
      </c>
      <c r="AF12">
        <v>0</v>
      </c>
      <c r="AG12">
        <v>0</v>
      </c>
      <c r="AH12">
        <v>0</v>
      </c>
      <c r="AI12">
        <v>0</v>
      </c>
      <c r="AJ12">
        <v>0</v>
      </c>
      <c r="AK12">
        <v>0</v>
      </c>
      <c r="AL12">
        <v>0</v>
      </c>
      <c r="AM12">
        <v>18246</v>
      </c>
      <c r="AN12">
        <v>0</v>
      </c>
      <c r="AO12">
        <v>0</v>
      </c>
      <c r="AP12">
        <v>0</v>
      </c>
      <c r="AQ12">
        <v>0</v>
      </c>
      <c r="AR12">
        <v>0</v>
      </c>
      <c r="AS12">
        <v>358787</v>
      </c>
      <c r="AT12">
        <v>0</v>
      </c>
      <c r="AU12">
        <v>0</v>
      </c>
      <c r="AV12">
        <v>266864</v>
      </c>
      <c r="AW12">
        <v>0</v>
      </c>
      <c r="AX12">
        <v>0</v>
      </c>
      <c r="AY12">
        <v>0</v>
      </c>
      <c r="AZ12">
        <v>153414</v>
      </c>
      <c r="BA12">
        <v>0</v>
      </c>
      <c r="BB12">
        <v>0</v>
      </c>
      <c r="BC12">
        <v>0</v>
      </c>
      <c r="BD12">
        <v>100981</v>
      </c>
      <c r="BE12">
        <v>0</v>
      </c>
      <c r="BF12">
        <v>5686464</v>
      </c>
      <c r="BH12">
        <v>0</v>
      </c>
      <c r="BI12">
        <v>0</v>
      </c>
      <c r="BJ12">
        <v>8000</v>
      </c>
      <c r="BK12">
        <v>0</v>
      </c>
      <c r="BL12">
        <v>85657</v>
      </c>
      <c r="BM12">
        <v>0</v>
      </c>
      <c r="BN12">
        <v>0</v>
      </c>
      <c r="BO12">
        <v>0</v>
      </c>
      <c r="BQ12">
        <v>0</v>
      </c>
      <c r="BS12">
        <v>23858</v>
      </c>
      <c r="BT12">
        <v>15277</v>
      </c>
      <c r="BV12">
        <v>650650</v>
      </c>
    </row>
    <row r="13" spans="1:74" x14ac:dyDescent="0.3">
      <c r="A13" s="155">
        <v>23</v>
      </c>
      <c r="B13" t="s">
        <v>206</v>
      </c>
      <c r="D13">
        <v>687372</v>
      </c>
      <c r="E13">
        <v>23690201</v>
      </c>
      <c r="G13">
        <v>1375129</v>
      </c>
      <c r="H13">
        <v>1012714</v>
      </c>
      <c r="I13">
        <v>3075</v>
      </c>
      <c r="J13">
        <v>71525</v>
      </c>
      <c r="K13">
        <v>381081</v>
      </c>
      <c r="L13">
        <v>-118208</v>
      </c>
      <c r="M13">
        <v>1577758</v>
      </c>
      <c r="N13">
        <v>86636</v>
      </c>
      <c r="O13">
        <v>237111</v>
      </c>
      <c r="Q13">
        <v>229317</v>
      </c>
      <c r="R13">
        <v>210099</v>
      </c>
      <c r="S13">
        <v>59709</v>
      </c>
      <c r="T13">
        <v>1992239</v>
      </c>
      <c r="V13">
        <v>118196</v>
      </c>
      <c r="X13">
        <v>795431</v>
      </c>
      <c r="Y13">
        <v>242819</v>
      </c>
      <c r="Z13">
        <v>4191735</v>
      </c>
      <c r="AA13">
        <v>-649659</v>
      </c>
      <c r="AB13">
        <v>25106</v>
      </c>
      <c r="AC13">
        <v>129485</v>
      </c>
      <c r="AD13">
        <v>48998</v>
      </c>
      <c r="AE13">
        <v>239092</v>
      </c>
      <c r="AF13">
        <v>92861</v>
      </c>
      <c r="AG13">
        <v>18988</v>
      </c>
      <c r="AH13">
        <v>-676166</v>
      </c>
      <c r="AI13">
        <v>46228</v>
      </c>
      <c r="AJ13">
        <v>347915</v>
      </c>
      <c r="AK13">
        <v>21167</v>
      </c>
      <c r="AL13">
        <v>27756</v>
      </c>
      <c r="AM13">
        <v>-67669</v>
      </c>
      <c r="AN13">
        <v>69339</v>
      </c>
      <c r="AO13">
        <v>4554243</v>
      </c>
      <c r="AP13">
        <v>278543</v>
      </c>
      <c r="AQ13">
        <v>71195</v>
      </c>
      <c r="AR13">
        <v>105281</v>
      </c>
      <c r="AS13">
        <v>4526824</v>
      </c>
      <c r="AT13">
        <v>756</v>
      </c>
      <c r="AU13">
        <v>101417</v>
      </c>
      <c r="AV13">
        <v>395173</v>
      </c>
      <c r="AW13">
        <v>62513</v>
      </c>
      <c r="AX13">
        <v>55462</v>
      </c>
      <c r="AY13">
        <v>60309</v>
      </c>
      <c r="AZ13">
        <v>1387426</v>
      </c>
      <c r="BA13">
        <v>-82515</v>
      </c>
      <c r="BB13">
        <v>-16269</v>
      </c>
      <c r="BC13">
        <v>78528</v>
      </c>
      <c r="BD13">
        <v>363782</v>
      </c>
      <c r="BE13">
        <v>28465</v>
      </c>
      <c r="BF13">
        <v>4818180</v>
      </c>
      <c r="BH13">
        <v>39362</v>
      </c>
      <c r="BI13">
        <v>5538</v>
      </c>
      <c r="BJ13">
        <v>18435</v>
      </c>
      <c r="BK13">
        <v>256177</v>
      </c>
      <c r="BL13">
        <v>1396822</v>
      </c>
      <c r="BM13">
        <v>3306528</v>
      </c>
      <c r="BN13">
        <v>2239433</v>
      </c>
      <c r="BO13">
        <v>584422</v>
      </c>
      <c r="BQ13">
        <v>453126</v>
      </c>
      <c r="BS13">
        <v>-155910</v>
      </c>
      <c r="BT13">
        <v>184983</v>
      </c>
      <c r="BV13">
        <v>928304</v>
      </c>
    </row>
    <row r="14" spans="1:74" x14ac:dyDescent="0.3">
      <c r="A14" s="155">
        <v>44</v>
      </c>
      <c r="B14" t="s">
        <v>878</v>
      </c>
      <c r="D14">
        <v>7072079</v>
      </c>
      <c r="E14">
        <v>541517208</v>
      </c>
      <c r="G14">
        <v>3752148</v>
      </c>
      <c r="H14">
        <v>1402785</v>
      </c>
      <c r="I14">
        <v>0</v>
      </c>
      <c r="J14">
        <v>0</v>
      </c>
      <c r="K14">
        <v>0</v>
      </c>
      <c r="L14">
        <v>734556</v>
      </c>
      <c r="M14">
        <v>10073208</v>
      </c>
      <c r="N14">
        <v>0</v>
      </c>
      <c r="O14">
        <v>562881</v>
      </c>
      <c r="Q14">
        <v>0</v>
      </c>
      <c r="R14">
        <v>0</v>
      </c>
      <c r="S14">
        <v>2055017</v>
      </c>
      <c r="T14">
        <v>0</v>
      </c>
      <c r="V14">
        <v>753185</v>
      </c>
      <c r="X14">
        <v>4746219</v>
      </c>
      <c r="Y14">
        <v>0</v>
      </c>
      <c r="Z14">
        <v>19143151</v>
      </c>
      <c r="AA14">
        <v>0</v>
      </c>
      <c r="AB14">
        <v>54922</v>
      </c>
      <c r="AC14">
        <v>245792</v>
      </c>
      <c r="AD14">
        <v>978788</v>
      </c>
      <c r="AE14">
        <v>544873</v>
      </c>
      <c r="AF14">
        <v>462358</v>
      </c>
      <c r="AG14">
        <v>223253</v>
      </c>
      <c r="AH14">
        <v>2509388</v>
      </c>
      <c r="AI14">
        <v>0</v>
      </c>
      <c r="AJ14">
        <v>0</v>
      </c>
      <c r="AK14">
        <v>0</v>
      </c>
      <c r="AL14">
        <v>1050637</v>
      </c>
      <c r="AM14">
        <v>1128139</v>
      </c>
      <c r="AN14">
        <v>411554</v>
      </c>
      <c r="AO14">
        <v>35376722</v>
      </c>
      <c r="AP14">
        <v>696720</v>
      </c>
      <c r="AQ14">
        <v>0</v>
      </c>
      <c r="AR14">
        <v>73906</v>
      </c>
      <c r="AS14">
        <v>19856771</v>
      </c>
      <c r="AT14">
        <v>715105</v>
      </c>
      <c r="AU14">
        <v>5044706</v>
      </c>
      <c r="AV14">
        <v>819127</v>
      </c>
      <c r="AW14">
        <v>880632</v>
      </c>
      <c r="AX14">
        <v>0</v>
      </c>
      <c r="AY14">
        <v>15684</v>
      </c>
      <c r="AZ14">
        <v>6614690</v>
      </c>
      <c r="BA14">
        <v>330695</v>
      </c>
      <c r="BB14">
        <v>788492</v>
      </c>
      <c r="BC14">
        <v>582069</v>
      </c>
      <c r="BD14">
        <v>7723314</v>
      </c>
      <c r="BE14">
        <v>544037</v>
      </c>
      <c r="BF14">
        <v>14501268</v>
      </c>
      <c r="BH14">
        <v>0</v>
      </c>
      <c r="BI14">
        <v>899762</v>
      </c>
      <c r="BJ14">
        <v>15594310</v>
      </c>
      <c r="BK14">
        <v>1180634</v>
      </c>
      <c r="BL14">
        <v>18132007</v>
      </c>
      <c r="BM14">
        <v>0</v>
      </c>
      <c r="BN14">
        <v>4955336</v>
      </c>
      <c r="BO14">
        <v>1566543</v>
      </c>
      <c r="BQ14">
        <v>0</v>
      </c>
      <c r="BS14">
        <v>847799</v>
      </c>
      <c r="BT14">
        <v>634233</v>
      </c>
      <c r="BV14">
        <v>379718</v>
      </c>
    </row>
    <row r="15" spans="1:74" x14ac:dyDescent="0.3">
      <c r="A15" s="155">
        <v>45</v>
      </c>
      <c r="B15" t="s">
        <v>879</v>
      </c>
      <c r="D15">
        <v>420846</v>
      </c>
      <c r="E15">
        <v>47669156</v>
      </c>
      <c r="G15">
        <v>430900</v>
      </c>
      <c r="H15">
        <v>5770</v>
      </c>
      <c r="I15">
        <v>0</v>
      </c>
      <c r="J15">
        <v>0</v>
      </c>
      <c r="K15">
        <v>0</v>
      </c>
      <c r="L15">
        <v>315609</v>
      </c>
      <c r="M15">
        <v>2114999</v>
      </c>
      <c r="N15">
        <v>0</v>
      </c>
      <c r="O15">
        <v>27204</v>
      </c>
      <c r="Q15">
        <v>0</v>
      </c>
      <c r="R15">
        <v>0</v>
      </c>
      <c r="S15">
        <v>273228</v>
      </c>
      <c r="T15">
        <v>0</v>
      </c>
      <c r="V15">
        <v>339168</v>
      </c>
      <c r="X15">
        <v>276410</v>
      </c>
      <c r="Y15">
        <v>0</v>
      </c>
      <c r="Z15">
        <v>1962738</v>
      </c>
      <c r="AA15">
        <v>0</v>
      </c>
      <c r="AB15">
        <v>68966</v>
      </c>
      <c r="AC15">
        <v>183460</v>
      </c>
      <c r="AD15">
        <v>83285</v>
      </c>
      <c r="AE15">
        <v>494857</v>
      </c>
      <c r="AF15">
        <v>53782</v>
      </c>
      <c r="AG15">
        <v>106003</v>
      </c>
      <c r="AH15">
        <v>1865244</v>
      </c>
      <c r="AI15">
        <v>0</v>
      </c>
      <c r="AJ15">
        <v>0</v>
      </c>
      <c r="AK15">
        <v>0</v>
      </c>
      <c r="AL15">
        <v>101177</v>
      </c>
      <c r="AM15">
        <v>165028</v>
      </c>
      <c r="AN15">
        <v>40491</v>
      </c>
      <c r="AO15">
        <v>7851726</v>
      </c>
      <c r="AP15">
        <v>99317</v>
      </c>
      <c r="AQ15">
        <v>0</v>
      </c>
      <c r="AR15">
        <v>17080</v>
      </c>
      <c r="AS15">
        <v>5109369</v>
      </c>
      <c r="AT15">
        <v>66294</v>
      </c>
      <c r="AU15">
        <v>195914</v>
      </c>
      <c r="AV15">
        <v>81816</v>
      </c>
      <c r="AW15">
        <v>82235</v>
      </c>
      <c r="AX15">
        <v>0</v>
      </c>
      <c r="AY15">
        <v>0</v>
      </c>
      <c r="AZ15">
        <v>291412</v>
      </c>
      <c r="BA15">
        <v>39510</v>
      </c>
      <c r="BB15">
        <v>26326</v>
      </c>
      <c r="BC15">
        <v>2492</v>
      </c>
      <c r="BD15">
        <v>212234</v>
      </c>
      <c r="BE15">
        <v>206703</v>
      </c>
      <c r="BF15">
        <v>2934304</v>
      </c>
      <c r="BH15">
        <v>0</v>
      </c>
      <c r="BI15">
        <v>34419</v>
      </c>
      <c r="BJ15">
        <v>1059690</v>
      </c>
      <c r="BK15">
        <v>157974</v>
      </c>
      <c r="BL15">
        <v>1359531</v>
      </c>
      <c r="BM15">
        <v>0</v>
      </c>
      <c r="BN15">
        <v>561143</v>
      </c>
      <c r="BO15">
        <v>243151</v>
      </c>
      <c r="BQ15">
        <v>0</v>
      </c>
      <c r="BS15">
        <v>519681</v>
      </c>
      <c r="BT15">
        <v>124394</v>
      </c>
      <c r="BV15">
        <v>322693</v>
      </c>
    </row>
    <row r="16" spans="1:74" x14ac:dyDescent="0.3">
      <c r="A16" s="155">
        <v>47</v>
      </c>
      <c r="B16" t="s">
        <v>880</v>
      </c>
      <c r="D16">
        <v>0</v>
      </c>
      <c r="E16">
        <v>0</v>
      </c>
      <c r="G16">
        <v>0</v>
      </c>
      <c r="H16">
        <v>0</v>
      </c>
      <c r="I16">
        <v>0</v>
      </c>
      <c r="J16">
        <v>0</v>
      </c>
      <c r="K16">
        <v>0</v>
      </c>
      <c r="L16">
        <v>1363331</v>
      </c>
      <c r="M16">
        <v>0</v>
      </c>
      <c r="N16">
        <v>0</v>
      </c>
      <c r="O16">
        <v>0</v>
      </c>
      <c r="Q16">
        <v>0</v>
      </c>
      <c r="R16">
        <v>0</v>
      </c>
      <c r="S16">
        <v>0</v>
      </c>
      <c r="T16">
        <v>0</v>
      </c>
      <c r="V16">
        <v>0</v>
      </c>
      <c r="X16">
        <v>0</v>
      </c>
      <c r="Y16">
        <v>0</v>
      </c>
      <c r="Z16">
        <v>49161477</v>
      </c>
      <c r="AA16">
        <v>0</v>
      </c>
      <c r="AB16">
        <v>0</v>
      </c>
      <c r="AC16">
        <v>0</v>
      </c>
      <c r="AD16">
        <v>0</v>
      </c>
      <c r="AE16">
        <v>0</v>
      </c>
      <c r="AF16">
        <v>0</v>
      </c>
      <c r="AG16">
        <v>0</v>
      </c>
      <c r="AH16">
        <v>0</v>
      </c>
      <c r="AI16">
        <v>0</v>
      </c>
      <c r="AJ16">
        <v>0</v>
      </c>
      <c r="AK16">
        <v>0</v>
      </c>
      <c r="AL16">
        <v>0</v>
      </c>
      <c r="AM16">
        <v>0</v>
      </c>
      <c r="AN16">
        <v>0</v>
      </c>
      <c r="AO16">
        <v>0</v>
      </c>
      <c r="AP16">
        <v>0</v>
      </c>
      <c r="AQ16">
        <v>0</v>
      </c>
      <c r="AR16">
        <v>0</v>
      </c>
      <c r="AS16">
        <v>0</v>
      </c>
      <c r="AT16">
        <v>0</v>
      </c>
      <c r="AU16">
        <v>0</v>
      </c>
      <c r="AV16">
        <v>2325814</v>
      </c>
      <c r="AW16">
        <v>0</v>
      </c>
      <c r="AX16">
        <v>0</v>
      </c>
      <c r="AY16">
        <v>0</v>
      </c>
      <c r="AZ16">
        <v>4103285</v>
      </c>
      <c r="BA16">
        <v>0</v>
      </c>
      <c r="BB16">
        <v>0</v>
      </c>
      <c r="BC16">
        <v>0</v>
      </c>
      <c r="BD16">
        <v>0</v>
      </c>
      <c r="BE16">
        <v>2661755</v>
      </c>
      <c r="BF16">
        <v>10722989</v>
      </c>
      <c r="BH16">
        <v>0</v>
      </c>
      <c r="BI16">
        <v>0</v>
      </c>
      <c r="BJ16">
        <v>15217825</v>
      </c>
      <c r="BK16">
        <v>0</v>
      </c>
      <c r="BL16">
        <v>0</v>
      </c>
      <c r="BM16">
        <v>0</v>
      </c>
      <c r="BN16">
        <v>8287506</v>
      </c>
      <c r="BO16">
        <v>0</v>
      </c>
      <c r="BQ16">
        <v>0</v>
      </c>
      <c r="BS16">
        <v>0</v>
      </c>
      <c r="BT16">
        <v>0</v>
      </c>
      <c r="BV16">
        <v>0</v>
      </c>
    </row>
    <row r="17" spans="1:74" x14ac:dyDescent="0.3">
      <c r="A17" s="155">
        <v>48</v>
      </c>
      <c r="B17" t="s">
        <v>115</v>
      </c>
      <c r="D17">
        <v>0</v>
      </c>
      <c r="E17">
        <v>0</v>
      </c>
      <c r="G17">
        <v>0</v>
      </c>
      <c r="H17">
        <v>0</v>
      </c>
      <c r="I17">
        <v>0</v>
      </c>
      <c r="J17">
        <v>0</v>
      </c>
      <c r="K17">
        <v>0</v>
      </c>
      <c r="L17">
        <v>495182</v>
      </c>
      <c r="M17">
        <v>0</v>
      </c>
      <c r="N17">
        <v>0</v>
      </c>
      <c r="O17">
        <v>0</v>
      </c>
      <c r="Q17">
        <v>0</v>
      </c>
      <c r="R17">
        <v>0</v>
      </c>
      <c r="S17">
        <v>0</v>
      </c>
      <c r="T17">
        <v>0</v>
      </c>
      <c r="V17">
        <v>0</v>
      </c>
      <c r="X17">
        <v>0</v>
      </c>
      <c r="Y17">
        <v>0</v>
      </c>
      <c r="Z17">
        <v>8372361</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U17">
        <v>0</v>
      </c>
      <c r="AV17">
        <v>273617</v>
      </c>
      <c r="AW17">
        <v>0</v>
      </c>
      <c r="AX17">
        <v>0</v>
      </c>
      <c r="AY17">
        <v>0</v>
      </c>
      <c r="AZ17">
        <v>809121</v>
      </c>
      <c r="BA17">
        <v>0</v>
      </c>
      <c r="BB17">
        <v>0</v>
      </c>
      <c r="BC17">
        <v>0</v>
      </c>
      <c r="BD17">
        <v>0</v>
      </c>
      <c r="BE17">
        <v>228301</v>
      </c>
      <c r="BF17">
        <v>1979533</v>
      </c>
      <c r="BH17">
        <v>0</v>
      </c>
      <c r="BI17">
        <v>0</v>
      </c>
      <c r="BJ17">
        <v>2159093</v>
      </c>
      <c r="BK17">
        <v>0</v>
      </c>
      <c r="BL17">
        <v>0</v>
      </c>
      <c r="BM17">
        <v>0</v>
      </c>
      <c r="BN17">
        <v>825518</v>
      </c>
      <c r="BO17">
        <v>0</v>
      </c>
      <c r="BQ17">
        <v>0</v>
      </c>
      <c r="BS17">
        <v>0</v>
      </c>
      <c r="BT17">
        <v>0</v>
      </c>
      <c r="BV17">
        <v>0</v>
      </c>
    </row>
    <row r="18" spans="1:74" x14ac:dyDescent="0.3">
      <c r="A18" s="155">
        <v>49</v>
      </c>
      <c r="B18" t="s">
        <v>219</v>
      </c>
      <c r="D18">
        <v>896794</v>
      </c>
      <c r="E18">
        <v>47775543</v>
      </c>
      <c r="G18">
        <v>420863</v>
      </c>
      <c r="H18">
        <v>189656</v>
      </c>
      <c r="I18">
        <v>0</v>
      </c>
      <c r="J18">
        <v>0</v>
      </c>
      <c r="K18">
        <v>0</v>
      </c>
      <c r="L18">
        <v>510448</v>
      </c>
      <c r="M18">
        <v>1995716</v>
      </c>
      <c r="N18">
        <v>0</v>
      </c>
      <c r="O18">
        <v>190719</v>
      </c>
      <c r="Q18">
        <v>0</v>
      </c>
      <c r="R18">
        <v>0</v>
      </c>
      <c r="S18">
        <v>140407</v>
      </c>
      <c r="T18">
        <v>0</v>
      </c>
      <c r="V18">
        <v>507329</v>
      </c>
      <c r="X18">
        <v>1142865</v>
      </c>
      <c r="Y18">
        <v>0</v>
      </c>
      <c r="Z18">
        <v>3530017</v>
      </c>
      <c r="AA18">
        <v>0</v>
      </c>
      <c r="AB18">
        <v>62265</v>
      </c>
      <c r="AC18">
        <v>107397</v>
      </c>
      <c r="AD18">
        <v>360537</v>
      </c>
      <c r="AE18">
        <v>181337</v>
      </c>
      <c r="AF18">
        <v>224265</v>
      </c>
      <c r="AG18">
        <v>140019</v>
      </c>
      <c r="AH18">
        <v>874187</v>
      </c>
      <c r="AI18">
        <v>0</v>
      </c>
      <c r="AJ18">
        <v>0</v>
      </c>
      <c r="AK18">
        <v>0</v>
      </c>
      <c r="AL18">
        <v>142760</v>
      </c>
      <c r="AM18">
        <v>391057</v>
      </c>
      <c r="AN18">
        <v>107199</v>
      </c>
      <c r="AO18">
        <v>5015477</v>
      </c>
      <c r="AP18">
        <v>156236</v>
      </c>
      <c r="AQ18">
        <v>0</v>
      </c>
      <c r="AR18">
        <v>25788</v>
      </c>
      <c r="AS18">
        <v>6450977</v>
      </c>
      <c r="AT18">
        <v>175337</v>
      </c>
      <c r="AU18">
        <v>221253</v>
      </c>
      <c r="AV18">
        <v>536631</v>
      </c>
      <c r="AW18">
        <v>165162</v>
      </c>
      <c r="AX18">
        <v>0</v>
      </c>
      <c r="AY18">
        <v>0</v>
      </c>
      <c r="AZ18">
        <v>641164</v>
      </c>
      <c r="BA18">
        <v>79875</v>
      </c>
      <c r="BB18">
        <v>108782</v>
      </c>
      <c r="BC18">
        <v>50238</v>
      </c>
      <c r="BD18">
        <v>536932</v>
      </c>
      <c r="BE18">
        <v>326308</v>
      </c>
      <c r="BF18">
        <v>2812589</v>
      </c>
      <c r="BH18">
        <v>0</v>
      </c>
      <c r="BI18">
        <v>51512</v>
      </c>
      <c r="BJ18">
        <v>654224</v>
      </c>
      <c r="BK18">
        <v>325095</v>
      </c>
      <c r="BL18">
        <v>1965810</v>
      </c>
      <c r="BM18">
        <v>0</v>
      </c>
      <c r="BN18">
        <v>622685</v>
      </c>
      <c r="BO18">
        <v>235904</v>
      </c>
      <c r="BQ18">
        <v>0</v>
      </c>
      <c r="BS18">
        <v>723263</v>
      </c>
      <c r="BT18">
        <v>109655</v>
      </c>
      <c r="BV18">
        <v>643593</v>
      </c>
    </row>
    <row r="19" spans="1:74" x14ac:dyDescent="0.3">
      <c r="A19" s="155">
        <v>50</v>
      </c>
      <c r="B19" t="s">
        <v>92</v>
      </c>
      <c r="D19">
        <v>269306</v>
      </c>
      <c r="E19">
        <v>105636975</v>
      </c>
      <c r="G19">
        <v>472857</v>
      </c>
      <c r="H19">
        <v>292739</v>
      </c>
      <c r="I19">
        <v>0</v>
      </c>
      <c r="J19">
        <v>0</v>
      </c>
      <c r="K19">
        <v>0</v>
      </c>
      <c r="L19">
        <v>3436030</v>
      </c>
      <c r="M19">
        <v>443157</v>
      </c>
      <c r="N19">
        <v>0</v>
      </c>
      <c r="O19">
        <v>-74243</v>
      </c>
      <c r="Q19">
        <v>0</v>
      </c>
      <c r="R19">
        <v>0</v>
      </c>
      <c r="S19">
        <v>190076</v>
      </c>
      <c r="T19">
        <v>0</v>
      </c>
      <c r="V19">
        <v>-105458</v>
      </c>
      <c r="X19">
        <v>-164833</v>
      </c>
      <c r="Y19">
        <v>0</v>
      </c>
      <c r="Z19">
        <v>-2386862</v>
      </c>
      <c r="AA19">
        <v>0</v>
      </c>
      <c r="AB19">
        <v>-89297</v>
      </c>
      <c r="AC19">
        <v>121684</v>
      </c>
      <c r="AD19">
        <v>-190598</v>
      </c>
      <c r="AE19">
        <v>258144</v>
      </c>
      <c r="AF19">
        <v>295150</v>
      </c>
      <c r="AG19">
        <v>21093</v>
      </c>
      <c r="AH19">
        <v>-889026</v>
      </c>
      <c r="AI19">
        <v>0</v>
      </c>
      <c r="AJ19">
        <v>0</v>
      </c>
      <c r="AK19">
        <v>0</v>
      </c>
      <c r="AL19">
        <v>21398</v>
      </c>
      <c r="AM19">
        <v>264737</v>
      </c>
      <c r="AN19">
        <v>-56710</v>
      </c>
      <c r="AO19">
        <v>6687290</v>
      </c>
      <c r="AP19">
        <v>230228</v>
      </c>
      <c r="AQ19">
        <v>0</v>
      </c>
      <c r="AR19">
        <v>-11482</v>
      </c>
      <c r="AS19">
        <v>4493223</v>
      </c>
      <c r="AT19">
        <v>82561</v>
      </c>
      <c r="AU19">
        <v>212851</v>
      </c>
      <c r="AV19">
        <v>9872</v>
      </c>
      <c r="AW19">
        <v>320000</v>
      </c>
      <c r="AX19">
        <v>0</v>
      </c>
      <c r="AY19">
        <v>2</v>
      </c>
      <c r="AZ19">
        <v>2705820</v>
      </c>
      <c r="BA19">
        <v>55569</v>
      </c>
      <c r="BB19">
        <v>58536</v>
      </c>
      <c r="BC19">
        <v>-7139</v>
      </c>
      <c r="BD19">
        <v>2048816</v>
      </c>
      <c r="BE19">
        <v>-164351</v>
      </c>
      <c r="BF19">
        <v>3714506</v>
      </c>
      <c r="BH19">
        <v>0</v>
      </c>
      <c r="BI19">
        <v>59599</v>
      </c>
      <c r="BJ19">
        <v>4518138</v>
      </c>
      <c r="BK19">
        <v>180590</v>
      </c>
      <c r="BL19">
        <v>4437330</v>
      </c>
      <c r="BM19">
        <v>0</v>
      </c>
      <c r="BN19">
        <v>3755081</v>
      </c>
      <c r="BO19">
        <v>7159091</v>
      </c>
      <c r="BQ19">
        <v>0</v>
      </c>
      <c r="BS19">
        <v>303339</v>
      </c>
      <c r="BT19">
        <v>34018</v>
      </c>
      <c r="BV19">
        <v>-99461</v>
      </c>
    </row>
    <row r="20" spans="1:74" x14ac:dyDescent="0.3">
      <c r="A20" s="155">
        <v>51</v>
      </c>
      <c r="B20" t="s">
        <v>237</v>
      </c>
      <c r="D20">
        <v>1045117</v>
      </c>
      <c r="E20">
        <v>165267636</v>
      </c>
      <c r="G20">
        <v>889666</v>
      </c>
      <c r="H20">
        <v>385864</v>
      </c>
      <c r="I20">
        <v>0</v>
      </c>
      <c r="J20">
        <v>0</v>
      </c>
      <c r="K20">
        <v>0</v>
      </c>
      <c r="L20">
        <v>378337</v>
      </c>
      <c r="M20">
        <v>1547107</v>
      </c>
      <c r="N20">
        <v>0</v>
      </c>
      <c r="O20">
        <v>124381</v>
      </c>
      <c r="Q20">
        <v>0</v>
      </c>
      <c r="R20">
        <v>0</v>
      </c>
      <c r="S20">
        <v>324027</v>
      </c>
      <c r="T20">
        <v>0</v>
      </c>
      <c r="V20">
        <v>380550</v>
      </c>
      <c r="X20">
        <v>966264</v>
      </c>
      <c r="Y20">
        <v>0</v>
      </c>
      <c r="Z20">
        <v>1194022</v>
      </c>
      <c r="AA20">
        <v>0</v>
      </c>
      <c r="AB20">
        <v>-21021</v>
      </c>
      <c r="AC20">
        <v>82626</v>
      </c>
      <c r="AD20">
        <v>-38979</v>
      </c>
      <c r="AE20">
        <v>326475</v>
      </c>
      <c r="AF20">
        <v>213017</v>
      </c>
      <c r="AG20">
        <v>-10308</v>
      </c>
      <c r="AH20">
        <v>208776</v>
      </c>
      <c r="AI20">
        <v>0</v>
      </c>
      <c r="AJ20">
        <v>0</v>
      </c>
      <c r="AK20">
        <v>0</v>
      </c>
      <c r="AL20">
        <v>144127</v>
      </c>
      <c r="AM20">
        <v>130641</v>
      </c>
      <c r="AN20">
        <v>-2496</v>
      </c>
      <c r="AO20">
        <v>9065376</v>
      </c>
      <c r="AP20">
        <v>382196</v>
      </c>
      <c r="AQ20">
        <v>0</v>
      </c>
      <c r="AR20">
        <v>13773</v>
      </c>
      <c r="AS20">
        <v>6113243</v>
      </c>
      <c r="AT20">
        <v>117542</v>
      </c>
      <c r="AU20">
        <v>452360</v>
      </c>
      <c r="AV20">
        <v>548810</v>
      </c>
      <c r="AW20">
        <v>450849</v>
      </c>
      <c r="AX20">
        <v>0</v>
      </c>
      <c r="AY20">
        <v>0</v>
      </c>
      <c r="AZ20">
        <v>1708099</v>
      </c>
      <c r="BA20">
        <v>149434</v>
      </c>
      <c r="BB20">
        <v>182312</v>
      </c>
      <c r="BC20">
        <v>43472</v>
      </c>
      <c r="BD20">
        <v>2944150</v>
      </c>
      <c r="BE20">
        <v>240455</v>
      </c>
      <c r="BF20">
        <v>6491914</v>
      </c>
      <c r="BH20">
        <v>0</v>
      </c>
      <c r="BI20">
        <v>112749</v>
      </c>
      <c r="BJ20">
        <v>2822896</v>
      </c>
      <c r="BK20">
        <v>226484</v>
      </c>
      <c r="BL20">
        <v>3937569</v>
      </c>
      <c r="BM20">
        <v>0</v>
      </c>
      <c r="BN20">
        <v>1931771</v>
      </c>
      <c r="BO20">
        <v>255595</v>
      </c>
      <c r="BQ20">
        <v>0</v>
      </c>
      <c r="BS20">
        <v>230801</v>
      </c>
      <c r="BT20">
        <v>-75145</v>
      </c>
      <c r="BV20">
        <v>67570</v>
      </c>
    </row>
    <row r="21" spans="1:74" x14ac:dyDescent="0.3">
      <c r="A21" s="155">
        <v>52</v>
      </c>
      <c r="B21" t="s">
        <v>230</v>
      </c>
      <c r="D21">
        <v>0</v>
      </c>
      <c r="E21">
        <v>0</v>
      </c>
      <c r="G21">
        <v>0</v>
      </c>
      <c r="H21">
        <v>0</v>
      </c>
      <c r="I21">
        <v>0</v>
      </c>
      <c r="J21">
        <v>0</v>
      </c>
      <c r="K21">
        <v>0</v>
      </c>
      <c r="L21">
        <v>96058</v>
      </c>
      <c r="M21">
        <v>0</v>
      </c>
      <c r="N21">
        <v>0</v>
      </c>
      <c r="O21">
        <v>0</v>
      </c>
      <c r="Q21">
        <v>0</v>
      </c>
      <c r="R21">
        <v>0</v>
      </c>
      <c r="S21">
        <v>0</v>
      </c>
      <c r="T21">
        <v>0</v>
      </c>
      <c r="V21">
        <v>0</v>
      </c>
      <c r="X21">
        <v>0</v>
      </c>
      <c r="Y21">
        <v>0</v>
      </c>
      <c r="Z21">
        <v>2215882</v>
      </c>
      <c r="AA21">
        <v>0</v>
      </c>
      <c r="AB21">
        <v>0</v>
      </c>
      <c r="AC21">
        <v>0</v>
      </c>
      <c r="AD21">
        <v>0</v>
      </c>
      <c r="AE21">
        <v>0</v>
      </c>
      <c r="AF21">
        <v>0</v>
      </c>
      <c r="AG21">
        <v>0</v>
      </c>
      <c r="AH21">
        <v>0</v>
      </c>
      <c r="AI21">
        <v>0</v>
      </c>
      <c r="AJ21">
        <v>0</v>
      </c>
      <c r="AK21">
        <v>0</v>
      </c>
      <c r="AL21">
        <v>0</v>
      </c>
      <c r="AM21">
        <v>0</v>
      </c>
      <c r="AN21">
        <v>0</v>
      </c>
      <c r="AO21">
        <v>0</v>
      </c>
      <c r="AP21">
        <v>0</v>
      </c>
      <c r="AQ21">
        <v>0</v>
      </c>
      <c r="AR21">
        <v>0</v>
      </c>
      <c r="AS21">
        <v>0</v>
      </c>
      <c r="AT21">
        <v>0</v>
      </c>
      <c r="AU21">
        <v>0</v>
      </c>
      <c r="AV21">
        <v>22774</v>
      </c>
      <c r="AW21">
        <v>0</v>
      </c>
      <c r="AX21">
        <v>0</v>
      </c>
      <c r="AY21">
        <v>0</v>
      </c>
      <c r="AZ21">
        <v>112466</v>
      </c>
      <c r="BA21">
        <v>0</v>
      </c>
      <c r="BB21">
        <v>0</v>
      </c>
      <c r="BC21">
        <v>0</v>
      </c>
      <c r="BD21">
        <v>0</v>
      </c>
      <c r="BE21">
        <v>123608</v>
      </c>
      <c r="BF21">
        <v>779177</v>
      </c>
      <c r="BH21">
        <v>0</v>
      </c>
      <c r="BI21">
        <v>0</v>
      </c>
      <c r="BJ21">
        <v>667384</v>
      </c>
      <c r="BK21">
        <v>0</v>
      </c>
      <c r="BL21">
        <v>0</v>
      </c>
      <c r="BM21">
        <v>0</v>
      </c>
      <c r="BN21">
        <v>426270</v>
      </c>
      <c r="BO21">
        <v>0</v>
      </c>
      <c r="BQ21">
        <v>0</v>
      </c>
      <c r="BS21">
        <v>0</v>
      </c>
      <c r="BT21">
        <v>0</v>
      </c>
      <c r="BV21">
        <v>0</v>
      </c>
    </row>
    <row r="22" spans="1:74" x14ac:dyDescent="0.3">
      <c r="A22" s="155">
        <v>53</v>
      </c>
      <c r="B22" t="s">
        <v>93</v>
      </c>
      <c r="D22">
        <v>0</v>
      </c>
      <c r="E22">
        <v>0</v>
      </c>
      <c r="G22">
        <v>0</v>
      </c>
      <c r="H22">
        <v>0</v>
      </c>
      <c r="I22">
        <v>0</v>
      </c>
      <c r="J22">
        <v>0</v>
      </c>
      <c r="K22">
        <v>0</v>
      </c>
      <c r="L22">
        <v>-264270</v>
      </c>
      <c r="M22">
        <v>0</v>
      </c>
      <c r="N22">
        <v>0</v>
      </c>
      <c r="O22">
        <v>0</v>
      </c>
      <c r="Q22">
        <v>0</v>
      </c>
      <c r="R22">
        <v>0</v>
      </c>
      <c r="S22">
        <v>0</v>
      </c>
      <c r="T22">
        <v>0</v>
      </c>
      <c r="V22">
        <v>0</v>
      </c>
      <c r="X22">
        <v>0</v>
      </c>
      <c r="Y22">
        <v>0</v>
      </c>
      <c r="Z22">
        <v>1703873</v>
      </c>
      <c r="AA22">
        <v>0</v>
      </c>
      <c r="AB22">
        <v>0</v>
      </c>
      <c r="AC22">
        <v>0</v>
      </c>
      <c r="AD22">
        <v>0</v>
      </c>
      <c r="AE22">
        <v>0</v>
      </c>
      <c r="AF22">
        <v>0</v>
      </c>
      <c r="AG22">
        <v>0</v>
      </c>
      <c r="AH22">
        <v>0</v>
      </c>
      <c r="AI22">
        <v>0</v>
      </c>
      <c r="AJ22">
        <v>0</v>
      </c>
      <c r="AK22">
        <v>0</v>
      </c>
      <c r="AL22">
        <v>0</v>
      </c>
      <c r="AM22">
        <v>0</v>
      </c>
      <c r="AN22">
        <v>0</v>
      </c>
      <c r="AO22">
        <v>0</v>
      </c>
      <c r="AP22">
        <v>0</v>
      </c>
      <c r="AQ22">
        <v>0</v>
      </c>
      <c r="AR22">
        <v>0</v>
      </c>
      <c r="AS22">
        <v>0</v>
      </c>
      <c r="AT22">
        <v>0</v>
      </c>
      <c r="AU22">
        <v>0</v>
      </c>
      <c r="AV22">
        <v>470347</v>
      </c>
      <c r="AW22">
        <v>0</v>
      </c>
      <c r="AX22">
        <v>0</v>
      </c>
      <c r="AY22">
        <v>0</v>
      </c>
      <c r="AZ22">
        <v>840181</v>
      </c>
      <c r="BA22">
        <v>0</v>
      </c>
      <c r="BB22">
        <v>0</v>
      </c>
      <c r="BC22">
        <v>0</v>
      </c>
      <c r="BD22">
        <v>0</v>
      </c>
      <c r="BE22">
        <v>-96102</v>
      </c>
      <c r="BF22">
        <v>2437664</v>
      </c>
      <c r="BH22">
        <v>0</v>
      </c>
      <c r="BI22">
        <v>0</v>
      </c>
      <c r="BJ22">
        <v>822190</v>
      </c>
      <c r="BK22">
        <v>0</v>
      </c>
      <c r="BL22">
        <v>0</v>
      </c>
      <c r="BM22">
        <v>0</v>
      </c>
      <c r="BN22">
        <v>660295</v>
      </c>
      <c r="BO22">
        <v>0</v>
      </c>
      <c r="BQ22">
        <v>0</v>
      </c>
      <c r="BS22">
        <v>0</v>
      </c>
      <c r="BT22">
        <v>0</v>
      </c>
      <c r="BV22">
        <v>0</v>
      </c>
    </row>
    <row r="23" spans="1:74" x14ac:dyDescent="0.3">
      <c r="A23" s="155">
        <v>55</v>
      </c>
      <c r="B23" t="s">
        <v>240</v>
      </c>
      <c r="D23">
        <v>0</v>
      </c>
      <c r="E23">
        <v>0</v>
      </c>
      <c r="G23">
        <v>0</v>
      </c>
      <c r="H23">
        <v>0</v>
      </c>
      <c r="I23">
        <v>0</v>
      </c>
      <c r="J23">
        <v>0</v>
      </c>
      <c r="K23">
        <v>0</v>
      </c>
      <c r="L23">
        <v>308150</v>
      </c>
      <c r="M23">
        <v>0</v>
      </c>
      <c r="N23">
        <v>0</v>
      </c>
      <c r="O23">
        <v>0</v>
      </c>
      <c r="Q23">
        <v>0</v>
      </c>
      <c r="R23">
        <v>0</v>
      </c>
      <c r="S23">
        <v>0</v>
      </c>
      <c r="T23">
        <v>0</v>
      </c>
      <c r="V23">
        <v>0</v>
      </c>
      <c r="X23">
        <v>0</v>
      </c>
      <c r="Y23">
        <v>0</v>
      </c>
      <c r="Z23">
        <v>5655630</v>
      </c>
      <c r="AA23">
        <v>0</v>
      </c>
      <c r="AB23">
        <v>0</v>
      </c>
      <c r="AC23">
        <v>0</v>
      </c>
      <c r="AD23">
        <v>0</v>
      </c>
      <c r="AE23">
        <v>0</v>
      </c>
      <c r="AF23">
        <v>0</v>
      </c>
      <c r="AG23">
        <v>0</v>
      </c>
      <c r="AH23">
        <v>0</v>
      </c>
      <c r="AI23">
        <v>0</v>
      </c>
      <c r="AJ23">
        <v>0</v>
      </c>
      <c r="AK23">
        <v>0</v>
      </c>
      <c r="AL23">
        <v>0</v>
      </c>
      <c r="AM23">
        <v>0</v>
      </c>
      <c r="AN23">
        <v>0</v>
      </c>
      <c r="AO23">
        <v>0</v>
      </c>
      <c r="AP23">
        <v>0</v>
      </c>
      <c r="AQ23">
        <v>0</v>
      </c>
      <c r="AR23">
        <v>0</v>
      </c>
      <c r="AS23">
        <v>0</v>
      </c>
      <c r="AT23">
        <v>0</v>
      </c>
      <c r="AU23">
        <v>0</v>
      </c>
      <c r="AV23">
        <v>106237</v>
      </c>
      <c r="AW23">
        <v>0</v>
      </c>
      <c r="AX23">
        <v>0</v>
      </c>
      <c r="AY23">
        <v>0</v>
      </c>
      <c r="AZ23">
        <v>734520</v>
      </c>
      <c r="BA23">
        <v>0</v>
      </c>
      <c r="BB23">
        <v>0</v>
      </c>
      <c r="BC23">
        <v>0</v>
      </c>
      <c r="BD23">
        <v>0</v>
      </c>
      <c r="BE23">
        <v>177089</v>
      </c>
      <c r="BF23">
        <v>4249944</v>
      </c>
      <c r="BH23">
        <v>0</v>
      </c>
      <c r="BI23">
        <v>0</v>
      </c>
      <c r="BJ23">
        <v>1024807</v>
      </c>
      <c r="BK23">
        <v>0</v>
      </c>
      <c r="BL23">
        <v>0</v>
      </c>
      <c r="BM23">
        <v>0</v>
      </c>
      <c r="BN23">
        <v>1210556</v>
      </c>
      <c r="BO23">
        <v>0</v>
      </c>
      <c r="BQ23">
        <v>0</v>
      </c>
      <c r="BS23">
        <v>0</v>
      </c>
      <c r="BT23">
        <v>0</v>
      </c>
      <c r="BV23">
        <v>0</v>
      </c>
    </row>
    <row r="24" spans="1:74" x14ac:dyDescent="0.3">
      <c r="A24" s="155">
        <v>61</v>
      </c>
      <c r="B24" t="s">
        <v>254</v>
      </c>
      <c r="D24">
        <v>98.53</v>
      </c>
      <c r="E24">
        <v>99.83</v>
      </c>
      <c r="G24">
        <v>99.45</v>
      </c>
      <c r="H24">
        <v>99.08</v>
      </c>
      <c r="I24">
        <v>95.58</v>
      </c>
      <c r="J24">
        <v>97.41</v>
      </c>
      <c r="K24">
        <v>0</v>
      </c>
      <c r="L24">
        <v>94.08</v>
      </c>
      <c r="M24">
        <v>98.82</v>
      </c>
      <c r="N24">
        <v>94.93</v>
      </c>
      <c r="O24">
        <v>96.93</v>
      </c>
      <c r="Q24">
        <v>99.13</v>
      </c>
      <c r="R24">
        <v>98.76</v>
      </c>
      <c r="S24">
        <v>99.22</v>
      </c>
      <c r="T24">
        <v>98.91</v>
      </c>
      <c r="V24">
        <v>97.41</v>
      </c>
      <c r="X24">
        <v>98.92</v>
      </c>
      <c r="Y24">
        <v>98.71</v>
      </c>
      <c r="Z24">
        <v>95.67</v>
      </c>
      <c r="AA24">
        <v>99.87</v>
      </c>
      <c r="AB24">
        <v>61.01</v>
      </c>
      <c r="AC24">
        <v>91.75</v>
      </c>
      <c r="AD24">
        <v>97.07</v>
      </c>
      <c r="AE24">
        <v>95.16</v>
      </c>
      <c r="AF24">
        <v>99.58</v>
      </c>
      <c r="AG24">
        <v>94.3</v>
      </c>
      <c r="AH24">
        <v>99.16</v>
      </c>
      <c r="AI24">
        <v>95</v>
      </c>
      <c r="AJ24">
        <v>99.38</v>
      </c>
      <c r="AK24">
        <v>98.85</v>
      </c>
      <c r="AL24">
        <v>98.14</v>
      </c>
      <c r="AM24">
        <v>99.03</v>
      </c>
      <c r="AN24">
        <v>99.54</v>
      </c>
      <c r="AO24">
        <v>98.49</v>
      </c>
      <c r="AP24">
        <v>99.08</v>
      </c>
      <c r="AQ24">
        <v>97.11</v>
      </c>
      <c r="AR24">
        <v>95.1</v>
      </c>
      <c r="AS24">
        <v>99.13</v>
      </c>
      <c r="AT24">
        <v>97.96</v>
      </c>
      <c r="AU24">
        <v>97.7</v>
      </c>
      <c r="AV24">
        <v>95.97</v>
      </c>
      <c r="AW24">
        <v>90.21</v>
      </c>
      <c r="AX24">
        <v>99.67</v>
      </c>
      <c r="AY24">
        <v>96.19</v>
      </c>
      <c r="AZ24">
        <v>99.85</v>
      </c>
      <c r="BA24">
        <v>99.6</v>
      </c>
      <c r="BB24">
        <v>94.85</v>
      </c>
      <c r="BC24">
        <v>98.79</v>
      </c>
      <c r="BD24">
        <v>99.16</v>
      </c>
      <c r="BE24">
        <v>96.58</v>
      </c>
      <c r="BF24">
        <v>98.83</v>
      </c>
      <c r="BH24">
        <v>99.1</v>
      </c>
      <c r="BI24">
        <v>99.67</v>
      </c>
      <c r="BJ24">
        <v>99.88</v>
      </c>
      <c r="BK24">
        <v>99.51</v>
      </c>
      <c r="BL24">
        <v>99.84</v>
      </c>
      <c r="BM24">
        <v>99.85</v>
      </c>
      <c r="BN24">
        <v>99.24</v>
      </c>
      <c r="BO24">
        <v>98.98</v>
      </c>
      <c r="BQ24">
        <v>97.64</v>
      </c>
      <c r="BS24">
        <v>97.58</v>
      </c>
      <c r="BT24">
        <v>94.48</v>
      </c>
      <c r="BV24">
        <v>97.78</v>
      </c>
    </row>
    <row r="25" spans="1:74" x14ac:dyDescent="0.3">
      <c r="A25" s="155">
        <v>80</v>
      </c>
      <c r="B25" t="s">
        <v>209</v>
      </c>
      <c r="D25">
        <v>6580904</v>
      </c>
      <c r="E25">
        <v>495605452</v>
      </c>
      <c r="G25">
        <v>3009086</v>
      </c>
      <c r="H25">
        <v>1027109</v>
      </c>
      <c r="I25">
        <v>0</v>
      </c>
      <c r="J25">
        <v>0</v>
      </c>
      <c r="K25">
        <v>0</v>
      </c>
      <c r="L25">
        <v>284394</v>
      </c>
      <c r="M25">
        <v>6937486</v>
      </c>
      <c r="N25">
        <v>0</v>
      </c>
      <c r="O25">
        <v>528665</v>
      </c>
      <c r="Q25">
        <v>0</v>
      </c>
      <c r="R25">
        <v>0</v>
      </c>
      <c r="S25">
        <v>1834448</v>
      </c>
      <c r="T25">
        <v>0</v>
      </c>
      <c r="V25">
        <v>546326</v>
      </c>
      <c r="X25">
        <v>3773158</v>
      </c>
      <c r="Y25">
        <v>0</v>
      </c>
      <c r="Z25">
        <v>15281258</v>
      </c>
      <c r="AA25">
        <v>0</v>
      </c>
      <c r="AB25">
        <v>0</v>
      </c>
      <c r="AC25">
        <v>108601</v>
      </c>
      <c r="AD25">
        <v>687543</v>
      </c>
      <c r="AE25">
        <v>441666</v>
      </c>
      <c r="AF25">
        <v>341396</v>
      </c>
      <c r="AG25">
        <v>90996</v>
      </c>
      <c r="AH25">
        <v>2509388</v>
      </c>
      <c r="AI25">
        <v>0</v>
      </c>
      <c r="AJ25">
        <v>0</v>
      </c>
      <c r="AK25">
        <v>0</v>
      </c>
      <c r="AL25">
        <v>969961</v>
      </c>
      <c r="AM25">
        <v>880868</v>
      </c>
      <c r="AN25">
        <v>371730</v>
      </c>
      <c r="AO25">
        <v>35177700</v>
      </c>
      <c r="AP25">
        <v>573062</v>
      </c>
      <c r="AQ25">
        <v>0</v>
      </c>
      <c r="AR25">
        <v>70201</v>
      </c>
      <c r="AS25">
        <v>14910027</v>
      </c>
      <c r="AT25">
        <v>697869</v>
      </c>
      <c r="AU25">
        <v>4813925</v>
      </c>
      <c r="AV25">
        <v>595899</v>
      </c>
      <c r="AW25">
        <v>792661</v>
      </c>
      <c r="AX25">
        <v>0</v>
      </c>
      <c r="AY25">
        <v>15684</v>
      </c>
      <c r="AZ25">
        <v>6000655</v>
      </c>
      <c r="BA25">
        <v>307999</v>
      </c>
      <c r="BB25">
        <v>716063</v>
      </c>
      <c r="BC25">
        <v>568246</v>
      </c>
      <c r="BD25">
        <v>6853897</v>
      </c>
      <c r="BE25">
        <v>267113</v>
      </c>
      <c r="BF25">
        <v>11909214</v>
      </c>
      <c r="BH25">
        <v>0</v>
      </c>
      <c r="BI25">
        <v>879953</v>
      </c>
      <c r="BJ25">
        <v>14177306</v>
      </c>
      <c r="BK25">
        <v>796874</v>
      </c>
      <c r="BL25">
        <v>16365072</v>
      </c>
      <c r="BM25">
        <v>0</v>
      </c>
      <c r="BN25">
        <v>4311063</v>
      </c>
      <c r="BO25">
        <v>1289439</v>
      </c>
      <c r="BQ25">
        <v>0</v>
      </c>
      <c r="BS25">
        <v>767563</v>
      </c>
      <c r="BT25">
        <v>556544</v>
      </c>
      <c r="BV25">
        <v>201157</v>
      </c>
    </row>
    <row r="26" spans="1:74" x14ac:dyDescent="0.3">
      <c r="A26" s="155">
        <v>81</v>
      </c>
      <c r="B26" t="s">
        <v>210</v>
      </c>
      <c r="D26">
        <v>459440</v>
      </c>
      <c r="E26">
        <v>25972503</v>
      </c>
      <c r="G26">
        <v>640032</v>
      </c>
      <c r="H26">
        <v>375676</v>
      </c>
      <c r="I26">
        <v>0</v>
      </c>
      <c r="J26">
        <v>0</v>
      </c>
      <c r="K26">
        <v>0</v>
      </c>
      <c r="L26">
        <v>320810</v>
      </c>
      <c r="M26">
        <v>2907663</v>
      </c>
      <c r="N26">
        <v>0</v>
      </c>
      <c r="O26">
        <v>34216</v>
      </c>
      <c r="Q26">
        <v>0</v>
      </c>
      <c r="R26">
        <v>0</v>
      </c>
      <c r="S26">
        <v>220569</v>
      </c>
      <c r="T26">
        <v>0</v>
      </c>
      <c r="V26">
        <v>114318</v>
      </c>
      <c r="X26">
        <v>700430</v>
      </c>
      <c r="Y26">
        <v>0</v>
      </c>
      <c r="Z26">
        <v>3030984</v>
      </c>
      <c r="AA26">
        <v>0</v>
      </c>
      <c r="AB26">
        <v>54922</v>
      </c>
      <c r="AC26">
        <v>25638</v>
      </c>
      <c r="AD26">
        <v>77846</v>
      </c>
      <c r="AE26">
        <v>93462</v>
      </c>
      <c r="AF26">
        <v>60196</v>
      </c>
      <c r="AG26">
        <v>99593</v>
      </c>
      <c r="AH26">
        <v>1054592</v>
      </c>
      <c r="AI26">
        <v>0</v>
      </c>
      <c r="AJ26">
        <v>0</v>
      </c>
      <c r="AK26">
        <v>0</v>
      </c>
      <c r="AL26">
        <v>80676</v>
      </c>
      <c r="AM26">
        <v>247271</v>
      </c>
      <c r="AN26">
        <v>39824</v>
      </c>
      <c r="AO26">
        <v>4277841</v>
      </c>
      <c r="AP26">
        <v>113904</v>
      </c>
      <c r="AQ26">
        <v>0</v>
      </c>
      <c r="AR26">
        <v>3705</v>
      </c>
      <c r="AS26">
        <v>3618742</v>
      </c>
      <c r="AT26">
        <v>17236</v>
      </c>
      <c r="AU26">
        <v>116301</v>
      </c>
      <c r="AV26">
        <v>171870</v>
      </c>
      <c r="AW26">
        <v>87791</v>
      </c>
      <c r="AX26">
        <v>0</v>
      </c>
      <c r="AY26">
        <v>0</v>
      </c>
      <c r="AZ26">
        <v>862767</v>
      </c>
      <c r="BA26">
        <v>22696</v>
      </c>
      <c r="BB26">
        <v>70201</v>
      </c>
      <c r="BC26">
        <v>13823</v>
      </c>
      <c r="BD26">
        <v>657244</v>
      </c>
      <c r="BE26">
        <v>246211</v>
      </c>
      <c r="BF26">
        <v>1827113</v>
      </c>
      <c r="BH26">
        <v>0</v>
      </c>
      <c r="BI26">
        <v>19809</v>
      </c>
      <c r="BJ26">
        <v>1183652</v>
      </c>
      <c r="BK26">
        <v>216164</v>
      </c>
      <c r="BL26">
        <v>1639238</v>
      </c>
      <c r="BM26">
        <v>0</v>
      </c>
      <c r="BN26">
        <v>552830</v>
      </c>
      <c r="BO26">
        <v>160529</v>
      </c>
      <c r="BQ26">
        <v>0</v>
      </c>
      <c r="BS26">
        <v>74597</v>
      </c>
      <c r="BT26">
        <v>77189</v>
      </c>
      <c r="BV26">
        <v>178561</v>
      </c>
    </row>
    <row r="27" spans="1:74" x14ac:dyDescent="0.3">
      <c r="A27" s="155">
        <v>82</v>
      </c>
      <c r="B27" t="s">
        <v>307</v>
      </c>
      <c r="D27">
        <v>1187975</v>
      </c>
      <c r="E27">
        <v>861462012</v>
      </c>
      <c r="G27">
        <v>1671669</v>
      </c>
      <c r="H27">
        <v>0</v>
      </c>
      <c r="I27">
        <v>0</v>
      </c>
      <c r="J27">
        <v>0</v>
      </c>
      <c r="K27">
        <v>0</v>
      </c>
      <c r="L27">
        <v>4075519</v>
      </c>
      <c r="M27">
        <v>17831388</v>
      </c>
      <c r="N27">
        <v>0</v>
      </c>
      <c r="O27">
        <v>172287</v>
      </c>
      <c r="Q27">
        <v>0</v>
      </c>
      <c r="R27">
        <v>0</v>
      </c>
      <c r="S27">
        <v>1228569</v>
      </c>
      <c r="T27">
        <v>0</v>
      </c>
      <c r="V27">
        <v>2416261</v>
      </c>
      <c r="X27">
        <v>0</v>
      </c>
      <c r="Y27">
        <v>0</v>
      </c>
      <c r="Z27">
        <v>6170768</v>
      </c>
      <c r="AA27">
        <v>0</v>
      </c>
      <c r="AB27">
        <v>314415</v>
      </c>
      <c r="AC27">
        <v>832505</v>
      </c>
      <c r="AD27">
        <v>127453</v>
      </c>
      <c r="AE27">
        <v>0</v>
      </c>
      <c r="AF27">
        <v>100000</v>
      </c>
      <c r="AG27">
        <v>599100</v>
      </c>
      <c r="AH27">
        <v>0</v>
      </c>
      <c r="AI27">
        <v>0</v>
      </c>
      <c r="AJ27">
        <v>0</v>
      </c>
      <c r="AK27">
        <v>0</v>
      </c>
      <c r="AL27">
        <v>1401653</v>
      </c>
      <c r="AM27">
        <v>1612572</v>
      </c>
      <c r="AN27">
        <v>0</v>
      </c>
      <c r="AO27">
        <v>46801597</v>
      </c>
      <c r="AP27">
        <v>2145351</v>
      </c>
      <c r="AQ27">
        <v>0</v>
      </c>
      <c r="AR27">
        <v>0</v>
      </c>
      <c r="AS27">
        <v>53870583</v>
      </c>
      <c r="AT27">
        <v>1418521</v>
      </c>
      <c r="AU27">
        <v>0</v>
      </c>
      <c r="AV27">
        <v>183000</v>
      </c>
      <c r="AW27">
        <v>0</v>
      </c>
      <c r="AX27">
        <v>0</v>
      </c>
      <c r="AY27">
        <v>0</v>
      </c>
      <c r="AZ27">
        <v>2392195</v>
      </c>
      <c r="BA27">
        <v>0</v>
      </c>
      <c r="BB27">
        <v>0</v>
      </c>
      <c r="BC27">
        <v>0</v>
      </c>
      <c r="BD27">
        <v>0</v>
      </c>
      <c r="BE27">
        <v>2555462</v>
      </c>
      <c r="BF27">
        <v>58676395</v>
      </c>
      <c r="BH27">
        <v>0</v>
      </c>
      <c r="BI27">
        <v>0</v>
      </c>
      <c r="BJ27">
        <v>10777066</v>
      </c>
      <c r="BK27">
        <v>782936</v>
      </c>
      <c r="BL27">
        <v>201081</v>
      </c>
      <c r="BM27">
        <v>0</v>
      </c>
      <c r="BN27">
        <v>721035</v>
      </c>
      <c r="BO27">
        <v>3320109</v>
      </c>
      <c r="BQ27">
        <v>0</v>
      </c>
      <c r="BS27">
        <v>7138205</v>
      </c>
      <c r="BT27">
        <v>694151</v>
      </c>
      <c r="BV27">
        <v>915316</v>
      </c>
    </row>
    <row r="28" spans="1:74" x14ac:dyDescent="0.3">
      <c r="A28" s="155">
        <v>83</v>
      </c>
      <c r="B28" t="s">
        <v>94</v>
      </c>
      <c r="D28">
        <v>14766135</v>
      </c>
      <c r="E28">
        <v>1499468031</v>
      </c>
      <c r="G28">
        <v>7912394</v>
      </c>
      <c r="H28">
        <v>5885123</v>
      </c>
      <c r="I28">
        <v>0</v>
      </c>
      <c r="J28">
        <v>0</v>
      </c>
      <c r="K28">
        <v>0</v>
      </c>
      <c r="L28">
        <v>14858048</v>
      </c>
      <c r="M28">
        <v>45203796</v>
      </c>
      <c r="N28">
        <v>133712</v>
      </c>
      <c r="O28">
        <v>5238161</v>
      </c>
      <c r="Q28">
        <v>0</v>
      </c>
      <c r="R28">
        <v>0</v>
      </c>
      <c r="S28">
        <v>2477359</v>
      </c>
      <c r="T28">
        <v>0</v>
      </c>
      <c r="V28">
        <v>12448968</v>
      </c>
      <c r="X28">
        <v>15915901</v>
      </c>
      <c r="Y28">
        <v>0</v>
      </c>
      <c r="Z28">
        <v>87046894</v>
      </c>
      <c r="AA28">
        <v>0</v>
      </c>
      <c r="AB28">
        <v>1221205</v>
      </c>
      <c r="AC28">
        <v>5480449</v>
      </c>
      <c r="AD28">
        <v>7896503</v>
      </c>
      <c r="AE28">
        <v>2831006</v>
      </c>
      <c r="AF28">
        <v>5017412</v>
      </c>
      <c r="AG28">
        <v>3070985</v>
      </c>
      <c r="AH28">
        <v>18644586</v>
      </c>
      <c r="AI28">
        <v>0</v>
      </c>
      <c r="AJ28">
        <v>0</v>
      </c>
      <c r="AK28">
        <v>0</v>
      </c>
      <c r="AL28">
        <v>2793746</v>
      </c>
      <c r="AM28">
        <v>7900862</v>
      </c>
      <c r="AN28">
        <v>1546704</v>
      </c>
      <c r="AO28">
        <v>131422642</v>
      </c>
      <c r="AP28">
        <v>3525915</v>
      </c>
      <c r="AQ28">
        <v>0</v>
      </c>
      <c r="AR28">
        <v>1079632</v>
      </c>
      <c r="AS28">
        <v>130448286</v>
      </c>
      <c r="AT28">
        <v>4961245</v>
      </c>
      <c r="AU28">
        <v>10258310</v>
      </c>
      <c r="AV28">
        <v>6744922</v>
      </c>
      <c r="AW28">
        <v>7350328</v>
      </c>
      <c r="AX28">
        <v>0</v>
      </c>
      <c r="AY28">
        <v>15684</v>
      </c>
      <c r="AZ28">
        <v>12505042</v>
      </c>
      <c r="BA28">
        <v>2368692</v>
      </c>
      <c r="BB28">
        <v>3202014</v>
      </c>
      <c r="BC28">
        <v>1262966</v>
      </c>
      <c r="BD28">
        <v>18223830</v>
      </c>
      <c r="BE28">
        <v>6584610</v>
      </c>
      <c r="BF28">
        <v>79602149</v>
      </c>
      <c r="BH28">
        <v>0</v>
      </c>
      <c r="BI28">
        <v>2354456</v>
      </c>
      <c r="BJ28">
        <v>28103059</v>
      </c>
      <c r="BK28">
        <v>6181557</v>
      </c>
      <c r="BL28">
        <v>59608690</v>
      </c>
      <c r="BM28">
        <v>0</v>
      </c>
      <c r="BN28">
        <v>22331405</v>
      </c>
      <c r="BO28">
        <v>14210173</v>
      </c>
      <c r="BQ28">
        <v>0</v>
      </c>
      <c r="BS28">
        <v>8647276</v>
      </c>
      <c r="BT28">
        <v>3084227</v>
      </c>
      <c r="BV28">
        <v>13928413</v>
      </c>
    </row>
    <row r="29" spans="1:74" x14ac:dyDescent="0.3">
      <c r="A29" s="155">
        <v>84</v>
      </c>
      <c r="B29" t="s">
        <v>218</v>
      </c>
      <c r="D29">
        <v>2536927</v>
      </c>
      <c r="E29">
        <v>282605040</v>
      </c>
      <c r="G29">
        <v>2790306</v>
      </c>
      <c r="H29">
        <v>1603883</v>
      </c>
      <c r="I29">
        <v>0</v>
      </c>
      <c r="J29">
        <v>0</v>
      </c>
      <c r="K29">
        <v>0</v>
      </c>
      <c r="L29">
        <v>1408334</v>
      </c>
      <c r="M29">
        <v>8890495</v>
      </c>
      <c r="N29">
        <v>0</v>
      </c>
      <c r="O29">
        <v>328854</v>
      </c>
      <c r="Q29">
        <v>0</v>
      </c>
      <c r="R29">
        <v>0</v>
      </c>
      <c r="S29">
        <v>1146272</v>
      </c>
      <c r="T29">
        <v>0</v>
      </c>
      <c r="V29">
        <v>1262344</v>
      </c>
      <c r="X29">
        <v>6839043</v>
      </c>
      <c r="Y29">
        <v>0</v>
      </c>
      <c r="Z29">
        <v>25099951</v>
      </c>
      <c r="AA29">
        <v>0</v>
      </c>
      <c r="AB29">
        <v>173731</v>
      </c>
      <c r="AC29">
        <v>186403</v>
      </c>
      <c r="AD29">
        <v>876030</v>
      </c>
      <c r="AE29">
        <v>644088</v>
      </c>
      <c r="AF29">
        <v>714418</v>
      </c>
      <c r="AG29">
        <v>466226</v>
      </c>
      <c r="AH29">
        <v>5328389</v>
      </c>
      <c r="AI29">
        <v>0</v>
      </c>
      <c r="AJ29">
        <v>0</v>
      </c>
      <c r="AK29">
        <v>0</v>
      </c>
      <c r="AL29">
        <v>726393</v>
      </c>
      <c r="AM29">
        <v>1127528</v>
      </c>
      <c r="AN29">
        <v>604188</v>
      </c>
      <c r="AO29">
        <v>30655034</v>
      </c>
      <c r="AP29">
        <v>1218019</v>
      </c>
      <c r="AQ29">
        <v>0</v>
      </c>
      <c r="AR29">
        <v>53999</v>
      </c>
      <c r="AS29">
        <v>24014366</v>
      </c>
      <c r="AT29">
        <v>281753</v>
      </c>
      <c r="AU29">
        <v>1104118</v>
      </c>
      <c r="AV29">
        <v>1604286</v>
      </c>
      <c r="AW29">
        <v>906607</v>
      </c>
      <c r="AX29">
        <v>0</v>
      </c>
      <c r="AY29">
        <v>0</v>
      </c>
      <c r="AZ29">
        <v>5361952</v>
      </c>
      <c r="BA29">
        <v>280691</v>
      </c>
      <c r="BB29">
        <v>530951</v>
      </c>
      <c r="BC29">
        <v>94081</v>
      </c>
      <c r="BD29">
        <v>5611868</v>
      </c>
      <c r="BE29">
        <v>1606427</v>
      </c>
      <c r="BF29">
        <v>12994139</v>
      </c>
      <c r="BH29">
        <v>0</v>
      </c>
      <c r="BI29">
        <v>243291</v>
      </c>
      <c r="BJ29">
        <v>9981885</v>
      </c>
      <c r="BK29">
        <v>947041</v>
      </c>
      <c r="BL29">
        <v>10337646</v>
      </c>
      <c r="BM29">
        <v>0</v>
      </c>
      <c r="BN29">
        <v>5512436</v>
      </c>
      <c r="BO29">
        <v>1573823</v>
      </c>
      <c r="BQ29">
        <v>0</v>
      </c>
      <c r="BS29">
        <v>1372281</v>
      </c>
      <c r="BT29">
        <v>492673</v>
      </c>
      <c r="BV29">
        <v>2371784</v>
      </c>
    </row>
    <row r="30" spans="1:74" x14ac:dyDescent="0.3">
      <c r="A30" s="155">
        <v>85</v>
      </c>
      <c r="B30" t="s">
        <v>220</v>
      </c>
      <c r="D30">
        <v>2584831</v>
      </c>
      <c r="E30">
        <v>161445767</v>
      </c>
      <c r="G30">
        <v>2253680</v>
      </c>
      <c r="H30">
        <v>1328268</v>
      </c>
      <c r="I30">
        <v>0</v>
      </c>
      <c r="J30">
        <v>0</v>
      </c>
      <c r="K30">
        <v>0</v>
      </c>
      <c r="L30">
        <v>1659270</v>
      </c>
      <c r="M30">
        <v>8736342</v>
      </c>
      <c r="N30">
        <v>0</v>
      </c>
      <c r="O30">
        <v>403944</v>
      </c>
      <c r="Q30">
        <v>0</v>
      </c>
      <c r="R30">
        <v>0</v>
      </c>
      <c r="S30">
        <v>921398</v>
      </c>
      <c r="T30">
        <v>0</v>
      </c>
      <c r="V30">
        <v>1482682</v>
      </c>
      <c r="X30">
        <v>7016320</v>
      </c>
      <c r="Y30">
        <v>0</v>
      </c>
      <c r="Z30">
        <v>27505503</v>
      </c>
      <c r="AA30">
        <v>0</v>
      </c>
      <c r="AB30">
        <v>276832</v>
      </c>
      <c r="AC30">
        <v>320738</v>
      </c>
      <c r="AD30">
        <v>1097585</v>
      </c>
      <c r="AE30">
        <v>640738</v>
      </c>
      <c r="AF30">
        <v>658125</v>
      </c>
      <c r="AG30">
        <v>609089</v>
      </c>
      <c r="AH30">
        <v>6175666</v>
      </c>
      <c r="AI30">
        <v>0</v>
      </c>
      <c r="AJ30">
        <v>0</v>
      </c>
      <c r="AK30">
        <v>0</v>
      </c>
      <c r="AL30">
        <v>724592</v>
      </c>
      <c r="AM30">
        <v>1331571</v>
      </c>
      <c r="AN30">
        <v>660914</v>
      </c>
      <c r="AO30">
        <v>22417549</v>
      </c>
      <c r="AP30">
        <v>915207</v>
      </c>
      <c r="AQ30">
        <v>0</v>
      </c>
      <c r="AR30">
        <v>67575</v>
      </c>
      <c r="AS30">
        <v>23867911</v>
      </c>
      <c r="AT30">
        <v>340133</v>
      </c>
      <c r="AU30">
        <v>908339</v>
      </c>
      <c r="AV30">
        <v>1596702</v>
      </c>
      <c r="AW30">
        <v>678826</v>
      </c>
      <c r="AX30">
        <v>0</v>
      </c>
      <c r="AY30">
        <v>0</v>
      </c>
      <c r="AZ30">
        <v>4247694</v>
      </c>
      <c r="BA30">
        <v>223046</v>
      </c>
      <c r="BB30">
        <v>469534</v>
      </c>
      <c r="BC30">
        <v>102355</v>
      </c>
      <c r="BD30">
        <v>3268333</v>
      </c>
      <c r="BE30">
        <v>1705086</v>
      </c>
      <c r="BF30">
        <v>9385994</v>
      </c>
      <c r="BH30">
        <v>0</v>
      </c>
      <c r="BI30">
        <v>183911</v>
      </c>
      <c r="BJ30">
        <v>6938963</v>
      </c>
      <c r="BK30">
        <v>1176757</v>
      </c>
      <c r="BL30">
        <v>8999808</v>
      </c>
      <c r="BM30">
        <v>0</v>
      </c>
      <c r="BN30">
        <v>4178847</v>
      </c>
      <c r="BO30">
        <v>1521981</v>
      </c>
      <c r="BQ30">
        <v>0</v>
      </c>
      <c r="BS30">
        <v>1963325</v>
      </c>
      <c r="BT30">
        <v>758391</v>
      </c>
      <c r="BV30">
        <v>2797252</v>
      </c>
    </row>
    <row r="31" spans="1:74" x14ac:dyDescent="0.3">
      <c r="A31" s="155">
        <v>88</v>
      </c>
      <c r="B31" t="s">
        <v>217</v>
      </c>
      <c r="D31">
        <v>2446017</v>
      </c>
      <c r="E31">
        <v>275944735</v>
      </c>
      <c r="G31">
        <v>2672973</v>
      </c>
      <c r="H31">
        <v>1512446</v>
      </c>
      <c r="I31">
        <v>0</v>
      </c>
      <c r="J31">
        <v>0</v>
      </c>
      <c r="K31">
        <v>0</v>
      </c>
      <c r="L31">
        <v>1373750</v>
      </c>
      <c r="M31">
        <v>8763890</v>
      </c>
      <c r="N31">
        <v>0</v>
      </c>
      <c r="O31">
        <v>328854</v>
      </c>
      <c r="Q31">
        <v>0</v>
      </c>
      <c r="R31">
        <v>0</v>
      </c>
      <c r="S31">
        <v>1112883</v>
      </c>
      <c r="T31">
        <v>0</v>
      </c>
      <c r="V31">
        <v>1181454</v>
      </c>
      <c r="X31">
        <v>6755042</v>
      </c>
      <c r="Y31">
        <v>0</v>
      </c>
      <c r="Z31">
        <v>23666405</v>
      </c>
      <c r="AA31">
        <v>0</v>
      </c>
      <c r="AB31">
        <v>173731</v>
      </c>
      <c r="AC31">
        <v>180188</v>
      </c>
      <c r="AD31">
        <v>861590</v>
      </c>
      <c r="AE31">
        <v>594367</v>
      </c>
      <c r="AF31">
        <v>696227</v>
      </c>
      <c r="AG31">
        <v>466226</v>
      </c>
      <c r="AH31">
        <v>5153694</v>
      </c>
      <c r="AI31">
        <v>0</v>
      </c>
      <c r="AJ31">
        <v>0</v>
      </c>
      <c r="AK31">
        <v>0</v>
      </c>
      <c r="AL31">
        <v>705259</v>
      </c>
      <c r="AM31">
        <v>1127528</v>
      </c>
      <c r="AN31">
        <v>354213</v>
      </c>
      <c r="AO31">
        <v>27827463</v>
      </c>
      <c r="AP31">
        <v>958999</v>
      </c>
      <c r="AQ31">
        <v>0</v>
      </c>
      <c r="AR31">
        <v>53999</v>
      </c>
      <c r="AS31">
        <v>23061022</v>
      </c>
      <c r="AT31">
        <v>281753</v>
      </c>
      <c r="AU31">
        <v>1053125</v>
      </c>
      <c r="AV31">
        <v>1580131</v>
      </c>
      <c r="AW31">
        <v>906607</v>
      </c>
      <c r="AX31">
        <v>0</v>
      </c>
      <c r="AY31">
        <v>0</v>
      </c>
      <c r="AZ31">
        <v>4893548</v>
      </c>
      <c r="BA31">
        <v>272576</v>
      </c>
      <c r="BB31">
        <v>530816</v>
      </c>
      <c r="BC31">
        <v>94081</v>
      </c>
      <c r="BD31">
        <v>3304132</v>
      </c>
      <c r="BE31">
        <v>1606427</v>
      </c>
      <c r="BF31">
        <v>12220983</v>
      </c>
      <c r="BH31">
        <v>0</v>
      </c>
      <c r="BI31">
        <v>243197</v>
      </c>
      <c r="BJ31">
        <v>9860823</v>
      </c>
      <c r="BK31">
        <v>875641</v>
      </c>
      <c r="BL31">
        <v>10337646</v>
      </c>
      <c r="BM31">
        <v>0</v>
      </c>
      <c r="BN31">
        <v>5510805</v>
      </c>
      <c r="BO31">
        <v>1457816</v>
      </c>
      <c r="BQ31">
        <v>0</v>
      </c>
      <c r="BS31">
        <v>1366131</v>
      </c>
      <c r="BT31">
        <v>411730</v>
      </c>
      <c r="BV31">
        <v>2154331</v>
      </c>
    </row>
    <row r="32" spans="1:74" x14ac:dyDescent="0.3">
      <c r="A32" s="155">
        <v>89</v>
      </c>
      <c r="B32" t="s">
        <v>221</v>
      </c>
      <c r="D32">
        <v>36376</v>
      </c>
      <c r="E32">
        <v>22563463</v>
      </c>
      <c r="G32">
        <v>35810</v>
      </c>
      <c r="H32">
        <v>0</v>
      </c>
      <c r="I32">
        <v>0</v>
      </c>
      <c r="J32">
        <v>0</v>
      </c>
      <c r="K32">
        <v>0</v>
      </c>
      <c r="L32">
        <v>18427</v>
      </c>
      <c r="M32">
        <v>281523</v>
      </c>
      <c r="N32">
        <v>0</v>
      </c>
      <c r="O32">
        <v>1000</v>
      </c>
      <c r="Q32">
        <v>0</v>
      </c>
      <c r="R32">
        <v>0</v>
      </c>
      <c r="S32">
        <v>37650</v>
      </c>
      <c r="T32">
        <v>0</v>
      </c>
      <c r="V32">
        <v>62981</v>
      </c>
      <c r="X32">
        <v>0</v>
      </c>
      <c r="Y32">
        <v>0</v>
      </c>
      <c r="Z32">
        <v>121783</v>
      </c>
      <c r="AA32">
        <v>0</v>
      </c>
      <c r="AB32">
        <v>0</v>
      </c>
      <c r="AC32">
        <v>0</v>
      </c>
      <c r="AD32">
        <v>0</v>
      </c>
      <c r="AE32">
        <v>6359</v>
      </c>
      <c r="AF32">
        <v>0</v>
      </c>
      <c r="AG32">
        <v>28509</v>
      </c>
      <c r="AH32">
        <v>90193</v>
      </c>
      <c r="AI32">
        <v>0</v>
      </c>
      <c r="AJ32">
        <v>0</v>
      </c>
      <c r="AK32">
        <v>0</v>
      </c>
      <c r="AL32">
        <v>61417</v>
      </c>
      <c r="AM32">
        <v>33201</v>
      </c>
      <c r="AN32">
        <v>0</v>
      </c>
      <c r="AO32">
        <v>1690959</v>
      </c>
      <c r="AP32">
        <v>52588</v>
      </c>
      <c r="AQ32">
        <v>0</v>
      </c>
      <c r="AR32">
        <v>0</v>
      </c>
      <c r="AS32">
        <v>1918424</v>
      </c>
      <c r="AT32">
        <v>0</v>
      </c>
      <c r="AU32">
        <v>7949</v>
      </c>
      <c r="AV32">
        <v>9077</v>
      </c>
      <c r="AW32">
        <v>7734</v>
      </c>
      <c r="AX32">
        <v>0</v>
      </c>
      <c r="AY32">
        <v>0</v>
      </c>
      <c r="AZ32">
        <v>61325</v>
      </c>
      <c r="BA32">
        <v>2076</v>
      </c>
      <c r="BB32">
        <v>0</v>
      </c>
      <c r="BC32">
        <v>0</v>
      </c>
      <c r="BD32">
        <v>0</v>
      </c>
      <c r="BE32">
        <v>66439</v>
      </c>
      <c r="BF32">
        <v>856887</v>
      </c>
      <c r="BH32">
        <v>0</v>
      </c>
      <c r="BI32">
        <v>0</v>
      </c>
      <c r="BJ32">
        <v>51375</v>
      </c>
      <c r="BK32">
        <v>0</v>
      </c>
      <c r="BL32">
        <v>12560</v>
      </c>
      <c r="BM32">
        <v>0</v>
      </c>
      <c r="BN32">
        <v>7407</v>
      </c>
      <c r="BO32">
        <v>0</v>
      </c>
      <c r="BQ32">
        <v>0</v>
      </c>
      <c r="BS32">
        <v>5428</v>
      </c>
      <c r="BT32">
        <v>11787</v>
      </c>
      <c r="BV32">
        <v>5731</v>
      </c>
    </row>
    <row r="33" spans="1:74" x14ac:dyDescent="0.3">
      <c r="A33" s="155">
        <v>90</v>
      </c>
      <c r="B33" t="s">
        <v>214</v>
      </c>
      <c r="D33">
        <v>0</v>
      </c>
      <c r="E33">
        <v>0</v>
      </c>
      <c r="G33">
        <v>0</v>
      </c>
      <c r="H33">
        <v>0</v>
      </c>
      <c r="I33">
        <v>0</v>
      </c>
      <c r="J33">
        <v>0</v>
      </c>
      <c r="K33">
        <v>0</v>
      </c>
      <c r="L33">
        <v>372401</v>
      </c>
      <c r="M33">
        <v>0</v>
      </c>
      <c r="N33">
        <v>0</v>
      </c>
      <c r="O33">
        <v>0</v>
      </c>
      <c r="Q33">
        <v>0</v>
      </c>
      <c r="R33">
        <v>0</v>
      </c>
      <c r="S33">
        <v>0</v>
      </c>
      <c r="T33">
        <v>0</v>
      </c>
      <c r="V33">
        <v>0</v>
      </c>
      <c r="X33">
        <v>0</v>
      </c>
      <c r="Y33">
        <v>0</v>
      </c>
      <c r="Z33">
        <v>37054904</v>
      </c>
      <c r="AA33">
        <v>0</v>
      </c>
      <c r="AB33">
        <v>0</v>
      </c>
      <c r="AC33">
        <v>0</v>
      </c>
      <c r="AD33">
        <v>0</v>
      </c>
      <c r="AE33">
        <v>0</v>
      </c>
      <c r="AF33">
        <v>0</v>
      </c>
      <c r="AG33">
        <v>0</v>
      </c>
      <c r="AH33">
        <v>0</v>
      </c>
      <c r="AI33">
        <v>0</v>
      </c>
      <c r="AJ33">
        <v>0</v>
      </c>
      <c r="AK33">
        <v>0</v>
      </c>
      <c r="AL33">
        <v>0</v>
      </c>
      <c r="AM33">
        <v>0</v>
      </c>
      <c r="AN33">
        <v>0</v>
      </c>
      <c r="AO33">
        <v>0</v>
      </c>
      <c r="AP33">
        <v>0</v>
      </c>
      <c r="AQ33">
        <v>0</v>
      </c>
      <c r="AR33">
        <v>0</v>
      </c>
      <c r="AS33">
        <v>0</v>
      </c>
      <c r="AT33">
        <v>0</v>
      </c>
      <c r="AU33">
        <v>0</v>
      </c>
      <c r="AV33">
        <v>1770529</v>
      </c>
      <c r="AW33">
        <v>0</v>
      </c>
      <c r="AX33">
        <v>0</v>
      </c>
      <c r="AY33">
        <v>0</v>
      </c>
      <c r="AZ33">
        <v>2791366</v>
      </c>
      <c r="BA33">
        <v>0</v>
      </c>
      <c r="BB33">
        <v>0</v>
      </c>
      <c r="BC33">
        <v>0</v>
      </c>
      <c r="BD33">
        <v>0</v>
      </c>
      <c r="BE33">
        <v>2261742</v>
      </c>
      <c r="BF33">
        <v>7780609</v>
      </c>
      <c r="BH33">
        <v>0</v>
      </c>
      <c r="BI33">
        <v>0</v>
      </c>
      <c r="BJ33">
        <v>11362912</v>
      </c>
      <c r="BK33">
        <v>0</v>
      </c>
      <c r="BL33">
        <v>0</v>
      </c>
      <c r="BM33">
        <v>0</v>
      </c>
      <c r="BN33">
        <v>7177432</v>
      </c>
      <c r="BO33">
        <v>0</v>
      </c>
      <c r="BQ33">
        <v>0</v>
      </c>
      <c r="BS33">
        <v>0</v>
      </c>
      <c r="BT33">
        <v>0</v>
      </c>
      <c r="BV33">
        <v>0</v>
      </c>
    </row>
    <row r="34" spans="1:74" x14ac:dyDescent="0.3">
      <c r="A34" s="155">
        <v>91</v>
      </c>
      <c r="B34" t="s">
        <v>215</v>
      </c>
      <c r="D34">
        <v>0</v>
      </c>
      <c r="E34">
        <v>0</v>
      </c>
      <c r="G34">
        <v>0</v>
      </c>
      <c r="H34">
        <v>0</v>
      </c>
      <c r="I34">
        <v>0</v>
      </c>
      <c r="J34">
        <v>0</v>
      </c>
      <c r="K34">
        <v>0</v>
      </c>
      <c r="L34">
        <v>555173</v>
      </c>
      <c r="M34">
        <v>0</v>
      </c>
      <c r="N34">
        <v>0</v>
      </c>
      <c r="O34">
        <v>0</v>
      </c>
      <c r="Q34">
        <v>0</v>
      </c>
      <c r="R34">
        <v>0</v>
      </c>
      <c r="S34">
        <v>0</v>
      </c>
      <c r="T34">
        <v>0</v>
      </c>
      <c r="V34">
        <v>0</v>
      </c>
      <c r="X34">
        <v>0</v>
      </c>
      <c r="Y34">
        <v>0</v>
      </c>
      <c r="Z34">
        <v>9552872</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229421</v>
      </c>
      <c r="AW34">
        <v>0</v>
      </c>
      <c r="AX34">
        <v>0</v>
      </c>
      <c r="AY34">
        <v>0</v>
      </c>
      <c r="AZ34">
        <v>1002740</v>
      </c>
      <c r="BA34">
        <v>0</v>
      </c>
      <c r="BB34">
        <v>0</v>
      </c>
      <c r="BC34">
        <v>0</v>
      </c>
      <c r="BD34">
        <v>0</v>
      </c>
      <c r="BE34">
        <v>370037</v>
      </c>
      <c r="BF34">
        <v>3223694</v>
      </c>
      <c r="BH34">
        <v>0</v>
      </c>
      <c r="BI34">
        <v>0</v>
      </c>
      <c r="BJ34">
        <v>1738621</v>
      </c>
      <c r="BK34">
        <v>0</v>
      </c>
      <c r="BL34">
        <v>0</v>
      </c>
      <c r="BM34">
        <v>0</v>
      </c>
      <c r="BN34">
        <v>479026</v>
      </c>
      <c r="BO34">
        <v>0</v>
      </c>
      <c r="BQ34">
        <v>0</v>
      </c>
      <c r="BS34">
        <v>0</v>
      </c>
      <c r="BT34">
        <v>0</v>
      </c>
      <c r="BV34">
        <v>0</v>
      </c>
    </row>
    <row r="35" spans="1:74" x14ac:dyDescent="0.3">
      <c r="A35" s="155">
        <v>93</v>
      </c>
      <c r="B35" t="s">
        <v>228</v>
      </c>
      <c r="D35">
        <v>0</v>
      </c>
      <c r="E35">
        <v>0</v>
      </c>
      <c r="G35">
        <v>0</v>
      </c>
      <c r="H35">
        <v>0</v>
      </c>
      <c r="I35">
        <v>0</v>
      </c>
      <c r="J35">
        <v>0</v>
      </c>
      <c r="K35">
        <v>0</v>
      </c>
      <c r="L35">
        <v>4406341</v>
      </c>
      <c r="M35">
        <v>0</v>
      </c>
      <c r="N35">
        <v>0</v>
      </c>
      <c r="O35">
        <v>0</v>
      </c>
      <c r="Q35">
        <v>0</v>
      </c>
      <c r="R35">
        <v>0</v>
      </c>
      <c r="S35">
        <v>0</v>
      </c>
      <c r="T35">
        <v>0</v>
      </c>
      <c r="V35">
        <v>0</v>
      </c>
      <c r="X35">
        <v>0</v>
      </c>
      <c r="Y35">
        <v>0</v>
      </c>
      <c r="Z35">
        <v>75005750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3425787</v>
      </c>
      <c r="AW35">
        <v>0</v>
      </c>
      <c r="AX35">
        <v>0</v>
      </c>
      <c r="AY35">
        <v>0</v>
      </c>
      <c r="AZ35">
        <v>7898598</v>
      </c>
      <c r="BA35">
        <v>0</v>
      </c>
      <c r="BB35">
        <v>0</v>
      </c>
      <c r="BC35">
        <v>0</v>
      </c>
      <c r="BD35">
        <v>0</v>
      </c>
      <c r="BE35">
        <v>2423298</v>
      </c>
      <c r="BF35">
        <v>22817091</v>
      </c>
      <c r="BH35">
        <v>0</v>
      </c>
      <c r="BI35">
        <v>0</v>
      </c>
      <c r="BJ35">
        <v>15833777</v>
      </c>
      <c r="BK35">
        <v>0</v>
      </c>
      <c r="BL35">
        <v>0</v>
      </c>
      <c r="BM35">
        <v>0</v>
      </c>
      <c r="BN35">
        <v>7812707</v>
      </c>
      <c r="BO35">
        <v>0</v>
      </c>
      <c r="BQ35">
        <v>0</v>
      </c>
      <c r="BS35">
        <v>0</v>
      </c>
      <c r="BT35">
        <v>0</v>
      </c>
      <c r="BV35">
        <v>0</v>
      </c>
    </row>
    <row r="36" spans="1:74" x14ac:dyDescent="0.3">
      <c r="A36" s="155">
        <v>94</v>
      </c>
      <c r="B36" t="s">
        <v>231</v>
      </c>
      <c r="D36">
        <v>0</v>
      </c>
      <c r="E36">
        <v>0</v>
      </c>
      <c r="G36">
        <v>0</v>
      </c>
      <c r="H36">
        <v>0</v>
      </c>
      <c r="I36">
        <v>0</v>
      </c>
      <c r="J36">
        <v>0</v>
      </c>
      <c r="K36">
        <v>0</v>
      </c>
      <c r="L36">
        <v>4626718</v>
      </c>
      <c r="M36">
        <v>0</v>
      </c>
      <c r="N36">
        <v>0</v>
      </c>
      <c r="O36">
        <v>0</v>
      </c>
      <c r="Q36">
        <v>0</v>
      </c>
      <c r="R36">
        <v>0</v>
      </c>
      <c r="S36">
        <v>0</v>
      </c>
      <c r="T36">
        <v>0</v>
      </c>
      <c r="V36">
        <v>0</v>
      </c>
      <c r="X36">
        <v>0</v>
      </c>
      <c r="Y36">
        <v>0</v>
      </c>
      <c r="Z36">
        <v>71592952</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2937202</v>
      </c>
      <c r="AW36">
        <v>0</v>
      </c>
      <c r="AX36">
        <v>0</v>
      </c>
      <c r="AY36">
        <v>0</v>
      </c>
      <c r="AZ36">
        <v>6884933</v>
      </c>
      <c r="BA36">
        <v>0</v>
      </c>
      <c r="BB36">
        <v>0</v>
      </c>
      <c r="BC36">
        <v>0</v>
      </c>
      <c r="BD36">
        <v>0</v>
      </c>
      <c r="BE36">
        <v>2546020</v>
      </c>
      <c r="BF36">
        <v>19024220</v>
      </c>
      <c r="BH36">
        <v>0</v>
      </c>
      <c r="BI36">
        <v>0</v>
      </c>
      <c r="BJ36">
        <v>14967655</v>
      </c>
      <c r="BK36">
        <v>0</v>
      </c>
      <c r="BL36">
        <v>0</v>
      </c>
      <c r="BM36">
        <v>0</v>
      </c>
      <c r="BN36">
        <v>7263825</v>
      </c>
      <c r="BO36">
        <v>0</v>
      </c>
      <c r="BQ36">
        <v>0</v>
      </c>
      <c r="BS36">
        <v>0</v>
      </c>
      <c r="BT36">
        <v>0</v>
      </c>
      <c r="BV36">
        <v>0</v>
      </c>
    </row>
    <row r="37" spans="1:74" x14ac:dyDescent="0.3">
      <c r="A37" s="155">
        <v>97</v>
      </c>
      <c r="B37" t="s">
        <v>227</v>
      </c>
      <c r="D37">
        <v>0</v>
      </c>
      <c r="E37">
        <v>0</v>
      </c>
      <c r="G37">
        <v>0</v>
      </c>
      <c r="H37">
        <v>0</v>
      </c>
      <c r="I37">
        <v>0</v>
      </c>
      <c r="J37">
        <v>0</v>
      </c>
      <c r="K37">
        <v>0</v>
      </c>
      <c r="L37">
        <v>4405354</v>
      </c>
      <c r="M37">
        <v>0</v>
      </c>
      <c r="N37">
        <v>0</v>
      </c>
      <c r="O37">
        <v>0</v>
      </c>
      <c r="Q37">
        <v>0</v>
      </c>
      <c r="R37">
        <v>0</v>
      </c>
      <c r="S37">
        <v>0</v>
      </c>
      <c r="T37">
        <v>0</v>
      </c>
      <c r="V37">
        <v>0</v>
      </c>
      <c r="X37">
        <v>0</v>
      </c>
      <c r="Y37">
        <v>0</v>
      </c>
      <c r="Z37">
        <v>74443295</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3417225</v>
      </c>
      <c r="AW37">
        <v>0</v>
      </c>
      <c r="AX37">
        <v>0</v>
      </c>
      <c r="AY37">
        <v>0</v>
      </c>
      <c r="AZ37">
        <v>7854091</v>
      </c>
      <c r="BA37">
        <v>0</v>
      </c>
      <c r="BB37">
        <v>0</v>
      </c>
      <c r="BC37">
        <v>0</v>
      </c>
      <c r="BD37">
        <v>0</v>
      </c>
      <c r="BE37">
        <v>2423298</v>
      </c>
      <c r="BF37">
        <v>22205245</v>
      </c>
      <c r="BH37">
        <v>0</v>
      </c>
      <c r="BI37">
        <v>0</v>
      </c>
      <c r="BJ37">
        <v>15560597</v>
      </c>
      <c r="BK37">
        <v>0</v>
      </c>
      <c r="BL37">
        <v>0</v>
      </c>
      <c r="BM37">
        <v>0</v>
      </c>
      <c r="BN37">
        <v>7743679</v>
      </c>
      <c r="BO37">
        <v>0</v>
      </c>
      <c r="BQ37">
        <v>0</v>
      </c>
      <c r="BS37">
        <v>0</v>
      </c>
      <c r="BT37">
        <v>0</v>
      </c>
      <c r="BV37">
        <v>0</v>
      </c>
    </row>
    <row r="38" spans="1:74" x14ac:dyDescent="0.3">
      <c r="A38" s="155">
        <v>98</v>
      </c>
      <c r="B38" t="s">
        <v>232</v>
      </c>
      <c r="D38">
        <v>0</v>
      </c>
      <c r="E38">
        <v>0</v>
      </c>
      <c r="G38">
        <v>0</v>
      </c>
      <c r="H38">
        <v>0</v>
      </c>
      <c r="I38">
        <v>0</v>
      </c>
      <c r="J38">
        <v>0</v>
      </c>
      <c r="K38">
        <v>0</v>
      </c>
      <c r="L38">
        <v>18263</v>
      </c>
      <c r="M38">
        <v>0</v>
      </c>
      <c r="N38">
        <v>0</v>
      </c>
      <c r="O38">
        <v>0</v>
      </c>
      <c r="Q38">
        <v>0</v>
      </c>
      <c r="R38">
        <v>0</v>
      </c>
      <c r="S38">
        <v>0</v>
      </c>
      <c r="T38">
        <v>0</v>
      </c>
      <c r="V38">
        <v>0</v>
      </c>
      <c r="X38">
        <v>0</v>
      </c>
      <c r="Y38">
        <v>0</v>
      </c>
      <c r="Z38">
        <v>53967</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c r="AU38">
        <v>0</v>
      </c>
      <c r="AV38">
        <v>0</v>
      </c>
      <c r="AW38">
        <v>0</v>
      </c>
      <c r="AX38">
        <v>0</v>
      </c>
      <c r="AY38">
        <v>0</v>
      </c>
      <c r="AZ38">
        <v>1485</v>
      </c>
      <c r="BA38">
        <v>0</v>
      </c>
      <c r="BB38">
        <v>0</v>
      </c>
      <c r="BC38">
        <v>0</v>
      </c>
      <c r="BD38">
        <v>0</v>
      </c>
      <c r="BE38">
        <v>6123</v>
      </c>
      <c r="BF38">
        <v>53387</v>
      </c>
      <c r="BH38">
        <v>0</v>
      </c>
      <c r="BI38">
        <v>0</v>
      </c>
      <c r="BJ38">
        <v>54644</v>
      </c>
      <c r="BK38">
        <v>0</v>
      </c>
      <c r="BL38">
        <v>0</v>
      </c>
      <c r="BM38">
        <v>0</v>
      </c>
      <c r="BN38">
        <v>0</v>
      </c>
      <c r="BO38">
        <v>0</v>
      </c>
      <c r="BQ38">
        <v>0</v>
      </c>
      <c r="BS38">
        <v>0</v>
      </c>
      <c r="BT38">
        <v>0</v>
      </c>
      <c r="BV38">
        <v>0</v>
      </c>
    </row>
    <row r="39" spans="1:74" x14ac:dyDescent="0.3">
      <c r="A39" s="155">
        <v>99</v>
      </c>
      <c r="B39" t="s">
        <v>229</v>
      </c>
      <c r="D39">
        <v>0</v>
      </c>
      <c r="E39">
        <v>0</v>
      </c>
      <c r="G39">
        <v>0</v>
      </c>
      <c r="H39">
        <v>0</v>
      </c>
      <c r="I39">
        <v>0</v>
      </c>
      <c r="J39">
        <v>0</v>
      </c>
      <c r="K39">
        <v>0</v>
      </c>
      <c r="L39">
        <v>3151423</v>
      </c>
      <c r="M39">
        <v>0</v>
      </c>
      <c r="N39">
        <v>0</v>
      </c>
      <c r="O39">
        <v>0</v>
      </c>
      <c r="Q39">
        <v>0</v>
      </c>
      <c r="R39">
        <v>0</v>
      </c>
      <c r="S39">
        <v>0</v>
      </c>
      <c r="T39">
        <v>0</v>
      </c>
      <c r="V39">
        <v>0</v>
      </c>
      <c r="X39">
        <v>0</v>
      </c>
      <c r="Y39">
        <v>0</v>
      </c>
      <c r="Z39">
        <v>52732148</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2914428</v>
      </c>
      <c r="AW39">
        <v>0</v>
      </c>
      <c r="AX39">
        <v>0</v>
      </c>
      <c r="AY39">
        <v>0</v>
      </c>
      <c r="AZ39">
        <v>5611573</v>
      </c>
      <c r="BA39">
        <v>0</v>
      </c>
      <c r="BB39">
        <v>0</v>
      </c>
      <c r="BC39">
        <v>0</v>
      </c>
      <c r="BD39">
        <v>0</v>
      </c>
      <c r="BE39">
        <v>1497425</v>
      </c>
      <c r="BF39">
        <v>13875773</v>
      </c>
      <c r="BH39">
        <v>0</v>
      </c>
      <c r="BI39">
        <v>0</v>
      </c>
      <c r="BJ39">
        <v>11821114</v>
      </c>
      <c r="BK39">
        <v>0</v>
      </c>
      <c r="BL39">
        <v>0</v>
      </c>
      <c r="BM39">
        <v>0</v>
      </c>
      <c r="BN39">
        <v>6780012</v>
      </c>
      <c r="BO39">
        <v>0</v>
      </c>
      <c r="BQ39">
        <v>0</v>
      </c>
      <c r="BS39">
        <v>0</v>
      </c>
      <c r="BT39">
        <v>0</v>
      </c>
      <c r="BV39">
        <v>0</v>
      </c>
    </row>
    <row r="40" spans="1:74" x14ac:dyDescent="0.3">
      <c r="A40" s="155">
        <v>100</v>
      </c>
      <c r="B40" t="s">
        <v>242</v>
      </c>
      <c r="D40">
        <v>0</v>
      </c>
      <c r="E40">
        <v>0</v>
      </c>
      <c r="G40">
        <v>0</v>
      </c>
      <c r="H40">
        <v>0</v>
      </c>
      <c r="I40">
        <v>0</v>
      </c>
      <c r="J40">
        <v>0</v>
      </c>
      <c r="K40">
        <v>0</v>
      </c>
      <c r="L40">
        <v>96820</v>
      </c>
      <c r="M40">
        <v>0</v>
      </c>
      <c r="N40">
        <v>0</v>
      </c>
      <c r="O40">
        <v>0</v>
      </c>
      <c r="Q40">
        <v>0</v>
      </c>
      <c r="R40">
        <v>0</v>
      </c>
      <c r="S40">
        <v>0</v>
      </c>
      <c r="T40">
        <v>0</v>
      </c>
      <c r="V40">
        <v>0</v>
      </c>
      <c r="X40">
        <v>0</v>
      </c>
      <c r="Y40">
        <v>0</v>
      </c>
      <c r="Z40">
        <v>2059697</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27833</v>
      </c>
      <c r="BA40">
        <v>0</v>
      </c>
      <c r="BB40">
        <v>0</v>
      </c>
      <c r="BC40">
        <v>0</v>
      </c>
      <c r="BD40">
        <v>0</v>
      </c>
      <c r="BE40">
        <v>16632</v>
      </c>
      <c r="BF40">
        <v>350179</v>
      </c>
      <c r="BH40">
        <v>0</v>
      </c>
      <c r="BI40">
        <v>0</v>
      </c>
      <c r="BJ40">
        <v>280755</v>
      </c>
      <c r="BK40">
        <v>0</v>
      </c>
      <c r="BL40">
        <v>0</v>
      </c>
      <c r="BM40">
        <v>0</v>
      </c>
      <c r="BN40">
        <v>0</v>
      </c>
      <c r="BO40">
        <v>0</v>
      </c>
      <c r="BQ40">
        <v>0</v>
      </c>
      <c r="BS40">
        <v>0</v>
      </c>
      <c r="BT40">
        <v>0</v>
      </c>
      <c r="BV40">
        <v>0</v>
      </c>
    </row>
    <row r="41" spans="1:74" x14ac:dyDescent="0.3">
      <c r="A41" s="155">
        <v>101</v>
      </c>
      <c r="B41" t="s">
        <v>241</v>
      </c>
      <c r="D41">
        <v>0</v>
      </c>
      <c r="E41">
        <v>0</v>
      </c>
      <c r="G41">
        <v>0</v>
      </c>
      <c r="H41">
        <v>0</v>
      </c>
      <c r="I41">
        <v>0</v>
      </c>
      <c r="J41">
        <v>0</v>
      </c>
      <c r="K41">
        <v>0</v>
      </c>
      <c r="L41">
        <v>63174</v>
      </c>
      <c r="M41">
        <v>0</v>
      </c>
      <c r="N41">
        <v>0</v>
      </c>
      <c r="O41">
        <v>0</v>
      </c>
      <c r="Q41">
        <v>0</v>
      </c>
      <c r="R41">
        <v>0</v>
      </c>
      <c r="S41">
        <v>0</v>
      </c>
      <c r="T41">
        <v>0</v>
      </c>
      <c r="V41">
        <v>0</v>
      </c>
      <c r="X41">
        <v>0</v>
      </c>
      <c r="Y41">
        <v>0</v>
      </c>
      <c r="Z41">
        <v>6565858</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X41">
        <v>0</v>
      </c>
      <c r="AY41">
        <v>0</v>
      </c>
      <c r="AZ41">
        <v>288769</v>
      </c>
      <c r="BA41">
        <v>0</v>
      </c>
      <c r="BB41">
        <v>0</v>
      </c>
      <c r="BC41">
        <v>0</v>
      </c>
      <c r="BD41">
        <v>0</v>
      </c>
      <c r="BE41">
        <v>9495</v>
      </c>
      <c r="BF41">
        <v>6509791</v>
      </c>
      <c r="BH41">
        <v>0</v>
      </c>
      <c r="BI41">
        <v>0</v>
      </c>
      <c r="BJ41">
        <v>462257</v>
      </c>
      <c r="BK41">
        <v>0</v>
      </c>
      <c r="BL41">
        <v>0</v>
      </c>
      <c r="BM41">
        <v>0</v>
      </c>
      <c r="BN41">
        <v>496815</v>
      </c>
      <c r="BO41">
        <v>0</v>
      </c>
      <c r="BQ41">
        <v>0</v>
      </c>
      <c r="BS41">
        <v>0</v>
      </c>
      <c r="BT41">
        <v>0</v>
      </c>
      <c r="BV41">
        <v>0</v>
      </c>
    </row>
    <row r="42" spans="1:74" x14ac:dyDescent="0.3">
      <c r="A42" s="155">
        <v>102</v>
      </c>
      <c r="B42" t="s">
        <v>255</v>
      </c>
      <c r="D42">
        <v>98.39</v>
      </c>
      <c r="E42">
        <v>99.82</v>
      </c>
      <c r="G42">
        <v>99.4</v>
      </c>
      <c r="H42">
        <v>98.96</v>
      </c>
      <c r="I42">
        <v>95.13</v>
      </c>
      <c r="J42">
        <v>97.21</v>
      </c>
      <c r="K42">
        <v>0</v>
      </c>
      <c r="L42">
        <v>93.31</v>
      </c>
      <c r="M42">
        <v>98.7</v>
      </c>
      <c r="N42">
        <v>93.7</v>
      </c>
      <c r="O42">
        <v>96.55</v>
      </c>
      <c r="Q42">
        <v>99.02</v>
      </c>
      <c r="R42">
        <v>98.6</v>
      </c>
      <c r="S42">
        <v>99.12</v>
      </c>
      <c r="T42">
        <v>98.77</v>
      </c>
      <c r="V42">
        <v>97.26</v>
      </c>
      <c r="X42">
        <v>98.81</v>
      </c>
      <c r="Y42">
        <v>98.55</v>
      </c>
      <c r="Z42">
        <v>95.13</v>
      </c>
      <c r="AA42">
        <v>99.85</v>
      </c>
      <c r="AB42">
        <v>51.03</v>
      </c>
      <c r="AC42">
        <v>90.45</v>
      </c>
      <c r="AD42">
        <v>96.46</v>
      </c>
      <c r="AE42">
        <v>94.64</v>
      </c>
      <c r="AF42">
        <v>99.53</v>
      </c>
      <c r="AG42">
        <v>93.41</v>
      </c>
      <c r="AH42">
        <v>99.11</v>
      </c>
      <c r="AI42">
        <v>94.16</v>
      </c>
      <c r="AJ42">
        <v>99.34</v>
      </c>
      <c r="AK42">
        <v>98.73</v>
      </c>
      <c r="AL42">
        <v>97.97</v>
      </c>
      <c r="AM42">
        <v>98.94</v>
      </c>
      <c r="AN42">
        <v>99.46</v>
      </c>
      <c r="AO42">
        <v>98.33</v>
      </c>
      <c r="AP42">
        <v>99.04</v>
      </c>
      <c r="AQ42">
        <v>96.56</v>
      </c>
      <c r="AR42">
        <v>94.17</v>
      </c>
      <c r="AS42">
        <v>99.22</v>
      </c>
      <c r="AT42">
        <v>97.68</v>
      </c>
      <c r="AU42">
        <v>97.29</v>
      </c>
      <c r="AV42">
        <v>95.39</v>
      </c>
      <c r="AW42">
        <v>87.91</v>
      </c>
      <c r="AX42">
        <v>99.65</v>
      </c>
      <c r="AY42">
        <v>95.71</v>
      </c>
      <c r="AZ42">
        <v>99.83</v>
      </c>
      <c r="BA42">
        <v>99.59</v>
      </c>
      <c r="BB42">
        <v>94.25</v>
      </c>
      <c r="BC42">
        <v>98.72</v>
      </c>
      <c r="BD42">
        <v>99.08</v>
      </c>
      <c r="BE42">
        <v>95.83</v>
      </c>
      <c r="BF42">
        <v>98.75</v>
      </c>
      <c r="BH42">
        <v>98.96</v>
      </c>
      <c r="BI42">
        <v>99.62</v>
      </c>
      <c r="BJ42">
        <v>99.87</v>
      </c>
      <c r="BK42">
        <v>99.42</v>
      </c>
      <c r="BL42">
        <v>99.83</v>
      </c>
      <c r="BM42">
        <v>99.85</v>
      </c>
      <c r="BN42">
        <v>99.2</v>
      </c>
      <c r="BO42">
        <v>98.87</v>
      </c>
      <c r="BQ42">
        <v>97.39</v>
      </c>
      <c r="BS42">
        <v>97.3</v>
      </c>
      <c r="BT42">
        <v>93.72</v>
      </c>
      <c r="BV42">
        <v>97.6</v>
      </c>
    </row>
    <row r="43" spans="1:74" x14ac:dyDescent="0.3">
      <c r="A43" s="155">
        <v>103</v>
      </c>
      <c r="B43" t="s">
        <v>256</v>
      </c>
      <c r="D43">
        <v>100</v>
      </c>
      <c r="E43">
        <v>100</v>
      </c>
      <c r="G43">
        <v>100</v>
      </c>
      <c r="H43">
        <v>100</v>
      </c>
      <c r="I43">
        <v>100</v>
      </c>
      <c r="J43">
        <v>98.54</v>
      </c>
      <c r="K43">
        <v>0</v>
      </c>
      <c r="L43">
        <v>100</v>
      </c>
      <c r="M43">
        <v>100</v>
      </c>
      <c r="N43">
        <v>100</v>
      </c>
      <c r="O43">
        <v>100</v>
      </c>
      <c r="Q43">
        <v>100</v>
      </c>
      <c r="R43">
        <v>100</v>
      </c>
      <c r="S43">
        <v>100</v>
      </c>
      <c r="T43">
        <v>100</v>
      </c>
      <c r="V43">
        <v>100</v>
      </c>
      <c r="X43">
        <v>100</v>
      </c>
      <c r="Y43">
        <v>100</v>
      </c>
      <c r="Z43">
        <v>99.87</v>
      </c>
      <c r="AA43">
        <v>100</v>
      </c>
      <c r="AB43">
        <v>100</v>
      </c>
      <c r="AC43">
        <v>100</v>
      </c>
      <c r="AD43">
        <v>100</v>
      </c>
      <c r="AE43">
        <v>100</v>
      </c>
      <c r="AF43">
        <v>100</v>
      </c>
      <c r="AG43">
        <v>100</v>
      </c>
      <c r="AH43">
        <v>99.81</v>
      </c>
      <c r="AI43">
        <v>100</v>
      </c>
      <c r="AJ43">
        <v>100</v>
      </c>
      <c r="AK43">
        <v>100</v>
      </c>
      <c r="AL43">
        <v>100</v>
      </c>
      <c r="AM43">
        <v>100</v>
      </c>
      <c r="AN43">
        <v>100</v>
      </c>
      <c r="AO43">
        <v>100</v>
      </c>
      <c r="AP43">
        <v>100</v>
      </c>
      <c r="AQ43">
        <v>100</v>
      </c>
      <c r="AR43">
        <v>100</v>
      </c>
      <c r="AS43">
        <v>98.22</v>
      </c>
      <c r="AT43">
        <v>100</v>
      </c>
      <c r="AU43">
        <v>100</v>
      </c>
      <c r="AV43">
        <v>100</v>
      </c>
      <c r="AW43">
        <v>100</v>
      </c>
      <c r="AX43">
        <v>100</v>
      </c>
      <c r="AY43">
        <v>100</v>
      </c>
      <c r="AZ43">
        <v>100</v>
      </c>
      <c r="BA43">
        <v>100</v>
      </c>
      <c r="BB43">
        <v>100</v>
      </c>
      <c r="BC43">
        <v>100</v>
      </c>
      <c r="BD43">
        <v>100</v>
      </c>
      <c r="BE43">
        <v>100</v>
      </c>
      <c r="BF43">
        <v>100</v>
      </c>
      <c r="BH43">
        <v>100</v>
      </c>
      <c r="BI43">
        <v>100</v>
      </c>
      <c r="BJ43">
        <v>100</v>
      </c>
      <c r="BK43">
        <v>100</v>
      </c>
      <c r="BL43">
        <v>100</v>
      </c>
      <c r="BM43">
        <v>100</v>
      </c>
      <c r="BN43">
        <v>100</v>
      </c>
      <c r="BO43">
        <v>100</v>
      </c>
      <c r="BQ43">
        <v>100</v>
      </c>
      <c r="BS43">
        <v>100</v>
      </c>
      <c r="BT43">
        <v>100</v>
      </c>
      <c r="BV43">
        <v>100</v>
      </c>
    </row>
    <row r="44" spans="1:74" x14ac:dyDescent="0.3">
      <c r="A44" s="155">
        <v>171</v>
      </c>
      <c r="B44" t="s">
        <v>208</v>
      </c>
      <c r="D44">
        <v>299619</v>
      </c>
      <c r="E44">
        <v>58489692</v>
      </c>
      <c r="G44">
        <v>203405</v>
      </c>
      <c r="H44">
        <v>0</v>
      </c>
      <c r="I44">
        <v>0</v>
      </c>
      <c r="J44">
        <v>0</v>
      </c>
      <c r="K44">
        <v>0</v>
      </c>
      <c r="L44">
        <v>186287</v>
      </c>
      <c r="M44">
        <v>547955</v>
      </c>
      <c r="N44">
        <v>0</v>
      </c>
      <c r="O44">
        <v>17567</v>
      </c>
      <c r="Q44">
        <v>0</v>
      </c>
      <c r="R44">
        <v>40848</v>
      </c>
      <c r="S44">
        <v>0</v>
      </c>
      <c r="T44">
        <v>1654341</v>
      </c>
      <c r="V44">
        <v>0</v>
      </c>
      <c r="X44">
        <v>428038</v>
      </c>
      <c r="Y44">
        <v>669</v>
      </c>
      <c r="Z44">
        <v>6306253</v>
      </c>
      <c r="AA44">
        <v>858300</v>
      </c>
      <c r="AB44">
        <v>0</v>
      </c>
      <c r="AC44">
        <v>0</v>
      </c>
      <c r="AD44">
        <v>3493</v>
      </c>
      <c r="AE44">
        <v>46512</v>
      </c>
      <c r="AF44">
        <v>15553</v>
      </c>
      <c r="AG44">
        <v>8301</v>
      </c>
      <c r="AH44">
        <v>448460</v>
      </c>
      <c r="AI44">
        <v>0</v>
      </c>
      <c r="AJ44">
        <v>154631</v>
      </c>
      <c r="AK44">
        <v>0</v>
      </c>
      <c r="AL44">
        <v>53114</v>
      </c>
      <c r="AM44">
        <v>274529</v>
      </c>
      <c r="AN44">
        <v>0</v>
      </c>
      <c r="AO44">
        <v>0</v>
      </c>
      <c r="AP44">
        <v>35671</v>
      </c>
      <c r="AQ44">
        <v>0</v>
      </c>
      <c r="AR44">
        <v>20652</v>
      </c>
      <c r="AS44">
        <v>1479948</v>
      </c>
      <c r="AT44">
        <v>12331</v>
      </c>
      <c r="AU44">
        <v>0</v>
      </c>
      <c r="AV44">
        <v>0</v>
      </c>
      <c r="AW44">
        <v>0</v>
      </c>
      <c r="AX44">
        <v>0</v>
      </c>
      <c r="AY44">
        <v>0</v>
      </c>
      <c r="AZ44">
        <v>255439</v>
      </c>
      <c r="BA44">
        <v>136605</v>
      </c>
      <c r="BB44">
        <v>0</v>
      </c>
      <c r="BC44">
        <v>0</v>
      </c>
      <c r="BD44">
        <v>380573</v>
      </c>
      <c r="BE44">
        <v>73153</v>
      </c>
      <c r="BF44">
        <v>6684906</v>
      </c>
      <c r="BH44">
        <v>0</v>
      </c>
      <c r="BI44">
        <v>0</v>
      </c>
      <c r="BJ44">
        <v>3168809</v>
      </c>
      <c r="BK44">
        <v>0</v>
      </c>
      <c r="BL44">
        <v>1462291</v>
      </c>
      <c r="BM44">
        <v>52128</v>
      </c>
      <c r="BN44">
        <v>386875</v>
      </c>
      <c r="BO44">
        <v>0</v>
      </c>
      <c r="BQ44">
        <v>2916281</v>
      </c>
      <c r="BS44">
        <v>81725</v>
      </c>
      <c r="BT44">
        <v>60953</v>
      </c>
      <c r="BV44">
        <v>74281</v>
      </c>
    </row>
    <row r="45" spans="1:74" x14ac:dyDescent="0.3">
      <c r="A45" s="155">
        <v>191</v>
      </c>
      <c r="B45" t="s">
        <v>224</v>
      </c>
      <c r="D45">
        <v>320955</v>
      </c>
      <c r="E45">
        <v>24654452</v>
      </c>
      <c r="G45">
        <v>0</v>
      </c>
      <c r="H45">
        <v>17124</v>
      </c>
      <c r="I45">
        <v>0</v>
      </c>
      <c r="J45">
        <v>0</v>
      </c>
      <c r="K45">
        <v>0</v>
      </c>
      <c r="L45">
        <v>3627376</v>
      </c>
      <c r="M45">
        <v>0</v>
      </c>
      <c r="N45">
        <v>0</v>
      </c>
      <c r="O45">
        <v>0</v>
      </c>
      <c r="Q45">
        <v>0</v>
      </c>
      <c r="R45">
        <v>0</v>
      </c>
      <c r="S45">
        <v>0</v>
      </c>
      <c r="T45">
        <v>0</v>
      </c>
      <c r="V45">
        <v>112324</v>
      </c>
      <c r="X45">
        <v>0</v>
      </c>
      <c r="Y45">
        <v>0</v>
      </c>
      <c r="Z45">
        <v>0</v>
      </c>
      <c r="AA45">
        <v>0</v>
      </c>
      <c r="AB45">
        <v>0</v>
      </c>
      <c r="AC45">
        <v>0</v>
      </c>
      <c r="AD45">
        <v>0</v>
      </c>
      <c r="AE45">
        <v>191914</v>
      </c>
      <c r="AF45">
        <v>73356</v>
      </c>
      <c r="AG45">
        <v>120800</v>
      </c>
      <c r="AH45">
        <v>0</v>
      </c>
      <c r="AI45">
        <v>0</v>
      </c>
      <c r="AJ45">
        <v>0</v>
      </c>
      <c r="AK45">
        <v>0</v>
      </c>
      <c r="AL45">
        <v>0</v>
      </c>
      <c r="AM45">
        <v>0</v>
      </c>
      <c r="AN45">
        <v>0</v>
      </c>
      <c r="AO45">
        <v>0</v>
      </c>
      <c r="AP45">
        <v>0</v>
      </c>
      <c r="AQ45">
        <v>0</v>
      </c>
      <c r="AR45">
        <v>0</v>
      </c>
      <c r="AS45">
        <v>5773856</v>
      </c>
      <c r="AT45">
        <v>80267</v>
      </c>
      <c r="AU45">
        <v>0</v>
      </c>
      <c r="AV45">
        <v>0</v>
      </c>
      <c r="AW45">
        <v>60594</v>
      </c>
      <c r="AX45">
        <v>0</v>
      </c>
      <c r="AY45">
        <v>0</v>
      </c>
      <c r="AZ45">
        <v>514726</v>
      </c>
      <c r="BA45">
        <v>0</v>
      </c>
      <c r="BB45">
        <v>0</v>
      </c>
      <c r="BC45">
        <v>0</v>
      </c>
      <c r="BD45">
        <v>181641</v>
      </c>
      <c r="BE45">
        <v>0</v>
      </c>
      <c r="BF45">
        <v>0</v>
      </c>
      <c r="BH45">
        <v>0</v>
      </c>
      <c r="BI45">
        <v>0</v>
      </c>
      <c r="BJ45">
        <v>1637045</v>
      </c>
      <c r="BK45">
        <v>297382</v>
      </c>
      <c r="BL45">
        <v>1950879</v>
      </c>
      <c r="BM45">
        <v>0</v>
      </c>
      <c r="BN45">
        <v>1385924</v>
      </c>
      <c r="BO45">
        <v>7147551</v>
      </c>
      <c r="BQ45">
        <v>0</v>
      </c>
      <c r="BS45">
        <v>773421</v>
      </c>
      <c r="BT45">
        <v>308001</v>
      </c>
      <c r="BV45">
        <v>13125</v>
      </c>
    </row>
    <row r="46" spans="1:74" x14ac:dyDescent="0.3">
      <c r="A46" s="155">
        <v>192</v>
      </c>
      <c r="B46" t="s">
        <v>235</v>
      </c>
      <c r="D46">
        <v>0</v>
      </c>
      <c r="E46">
        <v>0</v>
      </c>
      <c r="G46">
        <v>0</v>
      </c>
      <c r="H46">
        <v>0</v>
      </c>
      <c r="I46">
        <v>0</v>
      </c>
      <c r="J46">
        <v>0</v>
      </c>
      <c r="K46">
        <v>0</v>
      </c>
      <c r="L46">
        <v>0</v>
      </c>
      <c r="M46">
        <v>0</v>
      </c>
      <c r="N46">
        <v>0</v>
      </c>
      <c r="O46">
        <v>0</v>
      </c>
      <c r="Q46">
        <v>0</v>
      </c>
      <c r="R46">
        <v>0</v>
      </c>
      <c r="S46">
        <v>0</v>
      </c>
      <c r="T46">
        <v>0</v>
      </c>
      <c r="V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H46">
        <v>0</v>
      </c>
      <c r="BI46">
        <v>0</v>
      </c>
      <c r="BJ46">
        <v>0</v>
      </c>
      <c r="BK46">
        <v>0</v>
      </c>
      <c r="BL46">
        <v>0</v>
      </c>
      <c r="BM46">
        <v>0</v>
      </c>
      <c r="BN46">
        <v>0</v>
      </c>
      <c r="BO46">
        <v>0</v>
      </c>
      <c r="BQ46">
        <v>0</v>
      </c>
      <c r="BS46">
        <v>0</v>
      </c>
      <c r="BT46">
        <v>0</v>
      </c>
      <c r="BV46">
        <v>0</v>
      </c>
    </row>
    <row r="47" spans="1:74" x14ac:dyDescent="0.3">
      <c r="A47" s="155">
        <v>252</v>
      </c>
      <c r="B47" t="s">
        <v>95</v>
      </c>
      <c r="D47">
        <v>4455837</v>
      </c>
      <c r="E47">
        <v>871723156</v>
      </c>
      <c r="G47">
        <v>8211149</v>
      </c>
      <c r="H47">
        <v>2066394</v>
      </c>
      <c r="I47">
        <v>7453</v>
      </c>
      <c r="J47">
        <v>1229082</v>
      </c>
      <c r="K47">
        <v>4201999</v>
      </c>
      <c r="L47">
        <v>3025407</v>
      </c>
      <c r="M47">
        <v>21701997</v>
      </c>
      <c r="N47">
        <v>64919</v>
      </c>
      <c r="O47">
        <v>564738</v>
      </c>
      <c r="Q47">
        <v>743283</v>
      </c>
      <c r="R47">
        <v>1044396</v>
      </c>
      <c r="S47">
        <v>4341031</v>
      </c>
      <c r="T47">
        <v>10317966</v>
      </c>
      <c r="V47">
        <v>119593</v>
      </c>
      <c r="X47">
        <v>20424510</v>
      </c>
      <c r="Y47">
        <v>1833276</v>
      </c>
      <c r="Z47">
        <v>82832384</v>
      </c>
      <c r="AA47">
        <v>42408350</v>
      </c>
      <c r="AB47">
        <v>59813</v>
      </c>
      <c r="AC47">
        <v>786491</v>
      </c>
      <c r="AD47">
        <v>1105091</v>
      </c>
      <c r="AE47">
        <v>534284</v>
      </c>
      <c r="AF47">
        <v>594835</v>
      </c>
      <c r="AG47">
        <v>320426</v>
      </c>
      <c r="AH47">
        <v>4213765</v>
      </c>
      <c r="AI47">
        <v>96260</v>
      </c>
      <c r="AJ47">
        <v>4033964</v>
      </c>
      <c r="AK47">
        <v>96515</v>
      </c>
      <c r="AL47">
        <v>1135563</v>
      </c>
      <c r="AM47">
        <v>4414732</v>
      </c>
      <c r="AN47">
        <v>562744</v>
      </c>
      <c r="AO47">
        <v>52713117</v>
      </c>
      <c r="AP47">
        <v>1359699</v>
      </c>
      <c r="AQ47">
        <v>41174</v>
      </c>
      <c r="AR47">
        <v>219813</v>
      </c>
      <c r="AS47">
        <v>33978733</v>
      </c>
      <c r="AT47">
        <v>535881</v>
      </c>
      <c r="AU47">
        <v>3396773</v>
      </c>
      <c r="AV47">
        <v>2282696</v>
      </c>
      <c r="AW47">
        <v>323107</v>
      </c>
      <c r="AX47">
        <v>2850510</v>
      </c>
      <c r="AY47">
        <v>243948</v>
      </c>
      <c r="AZ47">
        <v>7615420</v>
      </c>
      <c r="BA47">
        <v>1869820</v>
      </c>
      <c r="BB47">
        <v>10753</v>
      </c>
      <c r="BC47">
        <v>112492</v>
      </c>
      <c r="BD47">
        <v>15375134</v>
      </c>
      <c r="BE47">
        <v>520361</v>
      </c>
      <c r="BF47">
        <v>58692544</v>
      </c>
      <c r="BH47">
        <v>118624</v>
      </c>
      <c r="BI47">
        <v>276363</v>
      </c>
      <c r="BJ47">
        <v>26734766</v>
      </c>
      <c r="BK47">
        <v>1468859</v>
      </c>
      <c r="BL47">
        <v>38421771</v>
      </c>
      <c r="BM47">
        <v>10250586</v>
      </c>
      <c r="BN47">
        <v>12319591</v>
      </c>
      <c r="BO47">
        <v>1599230</v>
      </c>
      <c r="BQ47">
        <v>4817908</v>
      </c>
      <c r="BS47">
        <v>3256206</v>
      </c>
      <c r="BT47">
        <v>1184545</v>
      </c>
      <c r="BV47">
        <v>3398944</v>
      </c>
    </row>
    <row r="48" spans="1:74" x14ac:dyDescent="0.3">
      <c r="A48" s="155">
        <v>253</v>
      </c>
      <c r="B48" t="s">
        <v>96</v>
      </c>
      <c r="D48">
        <v>1580401</v>
      </c>
      <c r="E48">
        <v>347817432</v>
      </c>
      <c r="G48">
        <v>1673850</v>
      </c>
      <c r="H48">
        <v>744359</v>
      </c>
      <c r="I48">
        <v>1671</v>
      </c>
      <c r="J48">
        <v>120140</v>
      </c>
      <c r="K48">
        <v>229848</v>
      </c>
      <c r="L48">
        <v>289035</v>
      </c>
      <c r="M48">
        <v>7629188</v>
      </c>
      <c r="N48">
        <v>67857</v>
      </c>
      <c r="O48">
        <v>127661</v>
      </c>
      <c r="Q48">
        <v>180347</v>
      </c>
      <c r="R48">
        <v>156228</v>
      </c>
      <c r="S48">
        <v>163479</v>
      </c>
      <c r="T48">
        <v>1029308</v>
      </c>
      <c r="V48">
        <v>71170</v>
      </c>
      <c r="X48">
        <v>5165802</v>
      </c>
      <c r="Y48">
        <v>555763</v>
      </c>
      <c r="Z48">
        <v>17819682</v>
      </c>
      <c r="AA48">
        <v>1663260</v>
      </c>
      <c r="AB48">
        <v>140291</v>
      </c>
      <c r="AC48">
        <v>62334</v>
      </c>
      <c r="AD48">
        <v>123352</v>
      </c>
      <c r="AE48">
        <v>716609</v>
      </c>
      <c r="AF48">
        <v>100158</v>
      </c>
      <c r="AG48">
        <v>235072</v>
      </c>
      <c r="AH48">
        <v>1275143</v>
      </c>
      <c r="AI48">
        <v>49902</v>
      </c>
      <c r="AJ48">
        <v>473143</v>
      </c>
      <c r="AK48">
        <v>29587</v>
      </c>
      <c r="AL48">
        <v>211234</v>
      </c>
      <c r="AM48">
        <v>1339655</v>
      </c>
      <c r="AN48">
        <v>123249</v>
      </c>
      <c r="AO48">
        <v>6232617</v>
      </c>
      <c r="AP48">
        <v>178836</v>
      </c>
      <c r="AQ48">
        <v>49492</v>
      </c>
      <c r="AR48">
        <v>126176</v>
      </c>
      <c r="AS48">
        <v>10456936</v>
      </c>
      <c r="AT48">
        <v>97198</v>
      </c>
      <c r="AU48">
        <v>741855</v>
      </c>
      <c r="AV48">
        <v>659348</v>
      </c>
      <c r="AW48">
        <v>98497</v>
      </c>
      <c r="AX48">
        <v>602982</v>
      </c>
      <c r="AY48">
        <v>151478</v>
      </c>
      <c r="AZ48">
        <v>1392870</v>
      </c>
      <c r="BA48">
        <v>144832</v>
      </c>
      <c r="BB48">
        <v>53405</v>
      </c>
      <c r="BC48">
        <v>60042</v>
      </c>
      <c r="BD48">
        <v>808563</v>
      </c>
      <c r="BE48">
        <v>445798</v>
      </c>
      <c r="BF48">
        <v>8914945</v>
      </c>
      <c r="BH48">
        <v>50442</v>
      </c>
      <c r="BI48">
        <v>79453</v>
      </c>
      <c r="BJ48">
        <v>4454018</v>
      </c>
      <c r="BK48">
        <v>221528</v>
      </c>
      <c r="BL48">
        <v>2520513</v>
      </c>
      <c r="BM48">
        <v>4394136</v>
      </c>
      <c r="BN48">
        <v>1619558</v>
      </c>
      <c r="BO48">
        <v>696315</v>
      </c>
      <c r="BQ48">
        <v>1203549</v>
      </c>
      <c r="BS48">
        <v>817738</v>
      </c>
      <c r="BT48">
        <v>585172</v>
      </c>
      <c r="BV48">
        <v>57120</v>
      </c>
    </row>
    <row r="49" spans="1:74" x14ac:dyDescent="0.3">
      <c r="A49" s="155">
        <v>254</v>
      </c>
      <c r="B49" t="s">
        <v>97</v>
      </c>
      <c r="D49">
        <v>5029451</v>
      </c>
      <c r="E49">
        <v>48174289</v>
      </c>
      <c r="G49">
        <v>3541639</v>
      </c>
      <c r="H49">
        <v>1093318</v>
      </c>
      <c r="I49">
        <v>74954</v>
      </c>
      <c r="J49">
        <v>1459686</v>
      </c>
      <c r="K49">
        <v>7893416</v>
      </c>
      <c r="L49">
        <v>-835015</v>
      </c>
      <c r="M49">
        <v>-1243689</v>
      </c>
      <c r="N49">
        <v>845405</v>
      </c>
      <c r="O49">
        <v>1148345</v>
      </c>
      <c r="Q49">
        <v>785744</v>
      </c>
      <c r="R49">
        <v>1128295</v>
      </c>
      <c r="S49">
        <v>1418669</v>
      </c>
      <c r="T49">
        <v>-4157659</v>
      </c>
      <c r="V49">
        <v>1226563</v>
      </c>
      <c r="X49">
        <v>-1643426</v>
      </c>
      <c r="Y49">
        <v>1531569</v>
      </c>
      <c r="Z49">
        <v>12861880</v>
      </c>
      <c r="AA49">
        <v>13488724</v>
      </c>
      <c r="AB49">
        <v>257423</v>
      </c>
      <c r="AC49">
        <v>577408</v>
      </c>
      <c r="AD49">
        <v>403476</v>
      </c>
      <c r="AE49">
        <v>2403701</v>
      </c>
      <c r="AF49">
        <v>460479</v>
      </c>
      <c r="AG49">
        <v>-111110</v>
      </c>
      <c r="AH49">
        <v>-1511984</v>
      </c>
      <c r="AI49">
        <v>556343</v>
      </c>
      <c r="AJ49">
        <v>2077599</v>
      </c>
      <c r="AK49">
        <v>640367</v>
      </c>
      <c r="AL49">
        <v>749538</v>
      </c>
      <c r="AM49">
        <v>776666</v>
      </c>
      <c r="AN49">
        <v>654252</v>
      </c>
      <c r="AO49">
        <v>13011426</v>
      </c>
      <c r="AP49">
        <v>1402273</v>
      </c>
      <c r="AQ49">
        <v>689401</v>
      </c>
      <c r="AR49">
        <v>692183</v>
      </c>
      <c r="AS49">
        <v>-24418101</v>
      </c>
      <c r="AT49">
        <v>406922</v>
      </c>
      <c r="AU49">
        <v>6608151</v>
      </c>
      <c r="AV49">
        <v>732360</v>
      </c>
      <c r="AW49">
        <v>508405</v>
      </c>
      <c r="AX49">
        <v>52010</v>
      </c>
      <c r="AY49">
        <v>497430</v>
      </c>
      <c r="AZ49">
        <v>-2093620</v>
      </c>
      <c r="BA49">
        <v>875600</v>
      </c>
      <c r="BB49">
        <v>169253</v>
      </c>
      <c r="BC49">
        <v>1416601</v>
      </c>
      <c r="BD49">
        <v>6183399</v>
      </c>
      <c r="BE49">
        <v>652740</v>
      </c>
      <c r="BF49">
        <v>-8387389</v>
      </c>
      <c r="BH49">
        <v>314379</v>
      </c>
      <c r="BI49">
        <v>460651</v>
      </c>
      <c r="BJ49">
        <v>-2568353</v>
      </c>
      <c r="BK49">
        <v>1399338</v>
      </c>
      <c r="BL49">
        <v>10164133</v>
      </c>
      <c r="BM49">
        <v>4640081</v>
      </c>
      <c r="BN49">
        <v>639686</v>
      </c>
      <c r="BO49">
        <v>2617058</v>
      </c>
      <c r="BQ49">
        <v>1972596</v>
      </c>
      <c r="BS49">
        <v>499101</v>
      </c>
      <c r="BT49">
        <v>863739</v>
      </c>
      <c r="BV49">
        <v>3892364</v>
      </c>
    </row>
    <row r="50" spans="1:74" x14ac:dyDescent="0.3">
      <c r="A50" s="155">
        <v>255</v>
      </c>
      <c r="B50" t="s">
        <v>188</v>
      </c>
      <c r="D50">
        <v>1023442</v>
      </c>
      <c r="E50">
        <v>96336161</v>
      </c>
      <c r="G50">
        <v>1058703</v>
      </c>
      <c r="H50">
        <v>759502</v>
      </c>
      <c r="I50">
        <v>2150</v>
      </c>
      <c r="J50">
        <v>308919</v>
      </c>
      <c r="K50">
        <v>530062</v>
      </c>
      <c r="L50">
        <v>-153404</v>
      </c>
      <c r="M50">
        <v>748005</v>
      </c>
      <c r="N50">
        <v>86361</v>
      </c>
      <c r="O50">
        <v>216209</v>
      </c>
      <c r="Q50">
        <v>225160</v>
      </c>
      <c r="R50">
        <v>420836</v>
      </c>
      <c r="S50">
        <v>572633</v>
      </c>
      <c r="T50">
        <v>5902615</v>
      </c>
      <c r="V50">
        <v>118298</v>
      </c>
      <c r="X50">
        <v>1225513</v>
      </c>
      <c r="Y50">
        <v>260291</v>
      </c>
      <c r="Z50">
        <v>4113072</v>
      </c>
      <c r="AA50">
        <v>7720267</v>
      </c>
      <c r="AB50">
        <v>52960</v>
      </c>
      <c r="AC50">
        <v>75725</v>
      </c>
      <c r="AD50">
        <v>131031</v>
      </c>
      <c r="AE50">
        <v>296518</v>
      </c>
      <c r="AF50">
        <v>68932</v>
      </c>
      <c r="AG50">
        <v>394678</v>
      </c>
      <c r="AH50">
        <v>-1083296</v>
      </c>
      <c r="AI50">
        <v>43557</v>
      </c>
      <c r="AJ50">
        <v>422519</v>
      </c>
      <c r="AK50">
        <v>16566</v>
      </c>
      <c r="AL50">
        <v>578280</v>
      </c>
      <c r="AM50">
        <v>400932</v>
      </c>
      <c r="AN50">
        <v>127331</v>
      </c>
      <c r="AO50">
        <v>17468211</v>
      </c>
      <c r="AP50">
        <v>364161</v>
      </c>
      <c r="AQ50">
        <v>55044</v>
      </c>
      <c r="AR50">
        <v>101135</v>
      </c>
      <c r="AS50">
        <v>9425333</v>
      </c>
      <c r="AT50">
        <v>-29545</v>
      </c>
      <c r="AU50">
        <v>687760</v>
      </c>
      <c r="AV50">
        <v>187136</v>
      </c>
      <c r="AW50">
        <v>95483</v>
      </c>
      <c r="AX50">
        <v>629506</v>
      </c>
      <c r="AY50">
        <v>180926</v>
      </c>
      <c r="AZ50">
        <v>1610378</v>
      </c>
      <c r="BA50">
        <v>166107</v>
      </c>
      <c r="BB50">
        <v>-17916</v>
      </c>
      <c r="BC50">
        <v>81266</v>
      </c>
      <c r="BD50">
        <v>1394406</v>
      </c>
      <c r="BE50">
        <v>-37321</v>
      </c>
      <c r="BF50">
        <v>7338090</v>
      </c>
      <c r="BH50">
        <v>130646</v>
      </c>
      <c r="BI50">
        <v>4489</v>
      </c>
      <c r="BJ50">
        <v>1460512</v>
      </c>
      <c r="BK50">
        <v>196516</v>
      </c>
      <c r="BL50">
        <v>2501761</v>
      </c>
      <c r="BM50">
        <v>2161521</v>
      </c>
      <c r="BN50">
        <v>1785804</v>
      </c>
      <c r="BO50">
        <v>579549</v>
      </c>
      <c r="BQ50">
        <v>628784</v>
      </c>
      <c r="BS50">
        <v>414411</v>
      </c>
      <c r="BT50">
        <v>154091</v>
      </c>
      <c r="BV50">
        <v>920072</v>
      </c>
    </row>
    <row r="51" spans="1:74" x14ac:dyDescent="0.3">
      <c r="A51" s="155">
        <v>327</v>
      </c>
      <c r="B51" t="s">
        <v>881</v>
      </c>
      <c r="D51">
        <v>147075</v>
      </c>
      <c r="E51">
        <v>47383098</v>
      </c>
      <c r="G51">
        <v>7275</v>
      </c>
      <c r="H51">
        <v>170615</v>
      </c>
      <c r="I51">
        <v>0</v>
      </c>
      <c r="J51">
        <v>0</v>
      </c>
      <c r="K51">
        <v>0</v>
      </c>
      <c r="L51">
        <v>120034</v>
      </c>
      <c r="M51">
        <v>1291926</v>
      </c>
      <c r="N51">
        <v>0</v>
      </c>
      <c r="O51">
        <v>0</v>
      </c>
      <c r="Q51">
        <v>0</v>
      </c>
      <c r="R51">
        <v>0</v>
      </c>
      <c r="S51">
        <v>183357</v>
      </c>
      <c r="T51">
        <v>0</v>
      </c>
      <c r="V51">
        <v>227497</v>
      </c>
      <c r="X51">
        <v>566447</v>
      </c>
      <c r="Y51">
        <v>0</v>
      </c>
      <c r="Z51">
        <v>1955212</v>
      </c>
      <c r="AA51">
        <v>0</v>
      </c>
      <c r="AB51">
        <v>21402</v>
      </c>
      <c r="AC51">
        <v>43900</v>
      </c>
      <c r="AD51">
        <v>73285</v>
      </c>
      <c r="AE51">
        <v>51151</v>
      </c>
      <c r="AF51">
        <v>3500</v>
      </c>
      <c r="AG51">
        <v>10300</v>
      </c>
      <c r="AH51">
        <v>860226</v>
      </c>
      <c r="AI51">
        <v>0</v>
      </c>
      <c r="AJ51">
        <v>0</v>
      </c>
      <c r="AK51">
        <v>0</v>
      </c>
      <c r="AL51">
        <v>1699</v>
      </c>
      <c r="AM51">
        <v>18750</v>
      </c>
      <c r="AN51">
        <v>25256</v>
      </c>
      <c r="AO51">
        <v>2278119</v>
      </c>
      <c r="AP51">
        <v>0</v>
      </c>
      <c r="AQ51">
        <v>0</v>
      </c>
      <c r="AR51">
        <v>0</v>
      </c>
      <c r="AS51">
        <v>2497422</v>
      </c>
      <c r="AT51">
        <v>31576</v>
      </c>
      <c r="AU51">
        <v>5436</v>
      </c>
      <c r="AV51">
        <v>10500</v>
      </c>
      <c r="AW51">
        <v>290525</v>
      </c>
      <c r="AX51">
        <v>0</v>
      </c>
      <c r="AY51">
        <v>0</v>
      </c>
      <c r="AZ51">
        <v>182438</v>
      </c>
      <c r="BA51">
        <v>7224</v>
      </c>
      <c r="BB51">
        <v>0</v>
      </c>
      <c r="BC51">
        <v>50</v>
      </c>
      <c r="BD51">
        <v>114950</v>
      </c>
      <c r="BE51">
        <v>55000</v>
      </c>
      <c r="BF51">
        <v>440622</v>
      </c>
      <c r="BH51">
        <v>0</v>
      </c>
      <c r="BI51">
        <v>55734</v>
      </c>
      <c r="BJ51">
        <v>10000</v>
      </c>
      <c r="BK51">
        <v>31974</v>
      </c>
      <c r="BL51">
        <v>3968628</v>
      </c>
      <c r="BM51">
        <v>0</v>
      </c>
      <c r="BN51">
        <v>2827985</v>
      </c>
      <c r="BO51">
        <v>218471</v>
      </c>
      <c r="BQ51">
        <v>0</v>
      </c>
      <c r="BS51">
        <v>38920</v>
      </c>
      <c r="BT51">
        <v>0</v>
      </c>
      <c r="BV51">
        <v>48845</v>
      </c>
    </row>
    <row r="52" spans="1:74" x14ac:dyDescent="0.3">
      <c r="A52" s="155">
        <v>328</v>
      </c>
      <c r="B52" t="s">
        <v>304</v>
      </c>
      <c r="D52">
        <v>5487965</v>
      </c>
      <c r="E52">
        <v>853578426</v>
      </c>
      <c r="G52">
        <v>1122849</v>
      </c>
      <c r="H52">
        <v>0</v>
      </c>
      <c r="I52">
        <v>0</v>
      </c>
      <c r="J52">
        <v>0</v>
      </c>
      <c r="K52">
        <v>0</v>
      </c>
      <c r="L52">
        <v>12175115</v>
      </c>
      <c r="M52">
        <v>2598632</v>
      </c>
      <c r="N52">
        <v>133712</v>
      </c>
      <c r="O52">
        <v>0</v>
      </c>
      <c r="Q52">
        <v>0</v>
      </c>
      <c r="R52">
        <v>0</v>
      </c>
      <c r="S52">
        <v>220070</v>
      </c>
      <c r="T52">
        <v>0</v>
      </c>
      <c r="V52">
        <v>109460</v>
      </c>
      <c r="X52">
        <v>123985</v>
      </c>
      <c r="Y52">
        <v>0</v>
      </c>
      <c r="Z52">
        <v>290195</v>
      </c>
      <c r="AA52">
        <v>0</v>
      </c>
      <c r="AB52">
        <v>0</v>
      </c>
      <c r="AC52">
        <v>4100178</v>
      </c>
      <c r="AD52">
        <v>0</v>
      </c>
      <c r="AE52">
        <v>223795</v>
      </c>
      <c r="AF52">
        <v>0</v>
      </c>
      <c r="AG52">
        <v>120800</v>
      </c>
      <c r="AH52">
        <v>20265444</v>
      </c>
      <c r="AI52">
        <v>0</v>
      </c>
      <c r="AJ52">
        <v>0</v>
      </c>
      <c r="AK52">
        <v>0</v>
      </c>
      <c r="AL52">
        <v>0</v>
      </c>
      <c r="AM52">
        <v>1072026</v>
      </c>
      <c r="AN52">
        <v>0</v>
      </c>
      <c r="AO52">
        <v>33595164</v>
      </c>
      <c r="AP52">
        <v>0</v>
      </c>
      <c r="AQ52">
        <v>0</v>
      </c>
      <c r="AR52">
        <v>0</v>
      </c>
      <c r="AS52">
        <v>9152428</v>
      </c>
      <c r="AT52">
        <v>80267</v>
      </c>
      <c r="AU52">
        <v>0</v>
      </c>
      <c r="AV52">
        <v>0</v>
      </c>
      <c r="AW52">
        <v>187943</v>
      </c>
      <c r="AX52">
        <v>0</v>
      </c>
      <c r="AY52">
        <v>0</v>
      </c>
      <c r="AZ52">
        <v>451213</v>
      </c>
      <c r="BA52">
        <v>0</v>
      </c>
      <c r="BB52">
        <v>0</v>
      </c>
      <c r="BC52">
        <v>0</v>
      </c>
      <c r="BD52">
        <v>396325</v>
      </c>
      <c r="BE52">
        <v>0</v>
      </c>
      <c r="BF52">
        <v>263870</v>
      </c>
      <c r="BH52">
        <v>0</v>
      </c>
      <c r="BI52">
        <v>0</v>
      </c>
      <c r="BJ52">
        <v>16045816</v>
      </c>
      <c r="BK52">
        <v>905940</v>
      </c>
      <c r="BL52">
        <v>2872000</v>
      </c>
      <c r="BM52">
        <v>0</v>
      </c>
      <c r="BN52">
        <v>75000</v>
      </c>
      <c r="BO52">
        <v>97050</v>
      </c>
      <c r="BQ52">
        <v>0</v>
      </c>
      <c r="BS52">
        <v>115970</v>
      </c>
      <c r="BT52">
        <v>0</v>
      </c>
      <c r="BV52">
        <v>38870</v>
      </c>
    </row>
    <row r="53" spans="1:74" x14ac:dyDescent="0.3">
      <c r="A53" s="155">
        <v>331</v>
      </c>
      <c r="B53" t="s">
        <v>238</v>
      </c>
      <c r="D53">
        <v>267414</v>
      </c>
      <c r="E53">
        <v>37057606</v>
      </c>
      <c r="G53">
        <v>172437</v>
      </c>
      <c r="H53">
        <v>0</v>
      </c>
      <c r="I53">
        <v>0</v>
      </c>
      <c r="J53">
        <v>0</v>
      </c>
      <c r="K53">
        <v>0</v>
      </c>
      <c r="L53">
        <v>120292</v>
      </c>
      <c r="M53">
        <v>1315627</v>
      </c>
      <c r="N53">
        <v>0</v>
      </c>
      <c r="O53">
        <v>19536</v>
      </c>
      <c r="Q53">
        <v>0</v>
      </c>
      <c r="R53">
        <v>0</v>
      </c>
      <c r="S53">
        <v>240000</v>
      </c>
      <c r="T53">
        <v>0</v>
      </c>
      <c r="V53">
        <v>160946</v>
      </c>
      <c r="X53">
        <v>0</v>
      </c>
      <c r="Y53">
        <v>0</v>
      </c>
      <c r="Z53">
        <v>1286614</v>
      </c>
      <c r="AA53">
        <v>0</v>
      </c>
      <c r="AB53">
        <v>31442</v>
      </c>
      <c r="AC53">
        <v>48971</v>
      </c>
      <c r="AD53">
        <v>12745</v>
      </c>
      <c r="AE53">
        <v>376340</v>
      </c>
      <c r="AF53">
        <v>50000</v>
      </c>
      <c r="AG53">
        <v>27600</v>
      </c>
      <c r="AH53">
        <v>997327</v>
      </c>
      <c r="AI53">
        <v>0</v>
      </c>
      <c r="AJ53">
        <v>0</v>
      </c>
      <c r="AK53">
        <v>0</v>
      </c>
      <c r="AL53">
        <v>53027</v>
      </c>
      <c r="AM53">
        <v>108395</v>
      </c>
      <c r="AN53">
        <v>0</v>
      </c>
      <c r="AO53">
        <v>3516846</v>
      </c>
      <c r="AP53">
        <v>56496</v>
      </c>
      <c r="AQ53">
        <v>0</v>
      </c>
      <c r="AR53">
        <v>0</v>
      </c>
      <c r="AS53">
        <v>2710792</v>
      </c>
      <c r="AT53">
        <v>60327</v>
      </c>
      <c r="AU53">
        <v>83735</v>
      </c>
      <c r="AV53">
        <v>43000</v>
      </c>
      <c r="AW53">
        <v>19000</v>
      </c>
      <c r="AX53">
        <v>0</v>
      </c>
      <c r="AY53">
        <v>0</v>
      </c>
      <c r="AZ53">
        <v>114137</v>
      </c>
      <c r="BA53">
        <v>31471</v>
      </c>
      <c r="BB53">
        <v>0</v>
      </c>
      <c r="BC53">
        <v>0</v>
      </c>
      <c r="BD53">
        <v>0</v>
      </c>
      <c r="BE53">
        <v>111359</v>
      </c>
      <c r="BF53">
        <v>5176262</v>
      </c>
      <c r="BH53">
        <v>0</v>
      </c>
      <c r="BI53">
        <v>0</v>
      </c>
      <c r="BJ53">
        <v>454622</v>
      </c>
      <c r="BK53">
        <v>90592</v>
      </c>
      <c r="BL53">
        <v>197913</v>
      </c>
      <c r="BM53">
        <v>0</v>
      </c>
      <c r="BN53">
        <v>137998</v>
      </c>
      <c r="BO53">
        <v>41310</v>
      </c>
      <c r="BQ53">
        <v>0</v>
      </c>
      <c r="BS53">
        <v>517010</v>
      </c>
      <c r="BT53">
        <v>36537</v>
      </c>
      <c r="BV53">
        <v>64684</v>
      </c>
    </row>
    <row r="54" spans="1:74" x14ac:dyDescent="0.3">
      <c r="A54" s="155">
        <v>332</v>
      </c>
      <c r="B54" t="s">
        <v>239</v>
      </c>
      <c r="D54">
        <v>2667671</v>
      </c>
      <c r="E54">
        <v>190033861</v>
      </c>
      <c r="G54">
        <v>661590</v>
      </c>
      <c r="H54">
        <v>0</v>
      </c>
      <c r="I54">
        <v>0</v>
      </c>
      <c r="J54">
        <v>0</v>
      </c>
      <c r="K54">
        <v>0</v>
      </c>
      <c r="L54">
        <v>4094969</v>
      </c>
      <c r="M54">
        <v>2691395</v>
      </c>
      <c r="N54">
        <v>0</v>
      </c>
      <c r="O54">
        <v>56521</v>
      </c>
      <c r="Q54">
        <v>0</v>
      </c>
      <c r="R54">
        <v>0</v>
      </c>
      <c r="S54">
        <v>129930</v>
      </c>
      <c r="T54">
        <v>0</v>
      </c>
      <c r="V54">
        <v>178520</v>
      </c>
      <c r="X54">
        <v>224159</v>
      </c>
      <c r="Y54">
        <v>0</v>
      </c>
      <c r="Z54">
        <v>1251216</v>
      </c>
      <c r="AA54">
        <v>0</v>
      </c>
      <c r="AB54">
        <v>0</v>
      </c>
      <c r="AC54">
        <v>501299</v>
      </c>
      <c r="AD54">
        <v>76935</v>
      </c>
      <c r="AE54">
        <v>259324</v>
      </c>
      <c r="AF54">
        <v>289298</v>
      </c>
      <c r="AG54">
        <v>0</v>
      </c>
      <c r="AH54">
        <v>2345171</v>
      </c>
      <c r="AI54">
        <v>0</v>
      </c>
      <c r="AJ54">
        <v>0</v>
      </c>
      <c r="AK54">
        <v>0</v>
      </c>
      <c r="AL54">
        <v>81007</v>
      </c>
      <c r="AM54">
        <v>921171</v>
      </c>
      <c r="AN54">
        <v>15436</v>
      </c>
      <c r="AO54">
        <v>12487911</v>
      </c>
      <c r="AP54">
        <v>200578</v>
      </c>
      <c r="AQ54">
        <v>0</v>
      </c>
      <c r="AR54">
        <v>0</v>
      </c>
      <c r="AS54">
        <v>5284421</v>
      </c>
      <c r="AT54">
        <v>438402</v>
      </c>
      <c r="AU54">
        <v>283000</v>
      </c>
      <c r="AV54">
        <v>0</v>
      </c>
      <c r="AW54">
        <v>217231</v>
      </c>
      <c r="AX54">
        <v>0</v>
      </c>
      <c r="AY54">
        <v>0</v>
      </c>
      <c r="AZ54">
        <v>838415</v>
      </c>
      <c r="BA54">
        <v>57926</v>
      </c>
      <c r="BB54">
        <v>7205</v>
      </c>
      <c r="BC54">
        <v>36908</v>
      </c>
      <c r="BD54">
        <v>625651</v>
      </c>
      <c r="BE54">
        <v>0</v>
      </c>
      <c r="BF54">
        <v>820380</v>
      </c>
      <c r="BH54">
        <v>0</v>
      </c>
      <c r="BI54">
        <v>0</v>
      </c>
      <c r="BJ54">
        <v>12175564</v>
      </c>
      <c r="BK54">
        <v>100838</v>
      </c>
      <c r="BL54">
        <v>2125651</v>
      </c>
      <c r="BM54">
        <v>0</v>
      </c>
      <c r="BN54">
        <v>696808</v>
      </c>
      <c r="BO54">
        <v>180606</v>
      </c>
      <c r="BQ54">
        <v>0</v>
      </c>
      <c r="BS54">
        <v>536674</v>
      </c>
      <c r="BT54">
        <v>48795</v>
      </c>
      <c r="BV54">
        <v>462474</v>
      </c>
    </row>
    <row r="55" spans="1:74" x14ac:dyDescent="0.3">
      <c r="A55" s="155">
        <v>333</v>
      </c>
      <c r="B55" t="s">
        <v>176</v>
      </c>
      <c r="D55">
        <v>8760752</v>
      </c>
      <c r="E55">
        <v>628854885</v>
      </c>
      <c r="G55">
        <v>6653080</v>
      </c>
      <c r="H55">
        <v>1632179</v>
      </c>
      <c r="I55">
        <v>74302</v>
      </c>
      <c r="J55">
        <v>1451060</v>
      </c>
      <c r="K55">
        <v>8029553</v>
      </c>
      <c r="L55">
        <v>1934212</v>
      </c>
      <c r="M55">
        <v>15164650</v>
      </c>
      <c r="N55">
        <v>844936</v>
      </c>
      <c r="O55">
        <v>1341578</v>
      </c>
      <c r="Q55">
        <v>794787</v>
      </c>
      <c r="R55">
        <v>1238164</v>
      </c>
      <c r="S55">
        <v>1620286</v>
      </c>
      <c r="T55">
        <v>6928558</v>
      </c>
      <c r="V55">
        <v>2313993</v>
      </c>
      <c r="X55">
        <v>7777295</v>
      </c>
      <c r="Y55">
        <v>1951247</v>
      </c>
      <c r="Z55">
        <v>38397327</v>
      </c>
      <c r="AA55">
        <v>18928501</v>
      </c>
      <c r="AB55">
        <v>231263</v>
      </c>
      <c r="AC55">
        <v>539592</v>
      </c>
      <c r="AD55">
        <v>1055360</v>
      </c>
      <c r="AE55">
        <v>2193092</v>
      </c>
      <c r="AF55">
        <v>478535</v>
      </c>
      <c r="AG55">
        <v>449928</v>
      </c>
      <c r="AH55">
        <v>3526033</v>
      </c>
      <c r="AI55">
        <v>555587</v>
      </c>
      <c r="AJ55">
        <v>3801863</v>
      </c>
      <c r="AK55">
        <v>636593</v>
      </c>
      <c r="AL55">
        <v>945618</v>
      </c>
      <c r="AM55">
        <v>2168369</v>
      </c>
      <c r="AN55">
        <v>707939</v>
      </c>
      <c r="AO55">
        <v>31823062</v>
      </c>
      <c r="AP55">
        <v>1410475</v>
      </c>
      <c r="AQ55">
        <v>702278</v>
      </c>
      <c r="AR55">
        <v>693999</v>
      </c>
      <c r="AS55">
        <v>28473800</v>
      </c>
      <c r="AT55">
        <v>388990</v>
      </c>
      <c r="AU55">
        <v>6831762</v>
      </c>
      <c r="AV55">
        <v>1447753</v>
      </c>
      <c r="AW55">
        <v>404079</v>
      </c>
      <c r="AX55">
        <v>253023</v>
      </c>
      <c r="AY55">
        <v>497585</v>
      </c>
      <c r="AZ55">
        <v>4916489</v>
      </c>
      <c r="BA55">
        <v>1158774</v>
      </c>
      <c r="BB55">
        <v>173677</v>
      </c>
      <c r="BC55">
        <v>1432382</v>
      </c>
      <c r="BD55">
        <v>7677116</v>
      </c>
      <c r="BE55">
        <v>1105446</v>
      </c>
      <c r="BF55">
        <v>15427740</v>
      </c>
      <c r="BH55">
        <v>302822</v>
      </c>
      <c r="BI55">
        <v>471752</v>
      </c>
      <c r="BJ55">
        <v>13710851</v>
      </c>
      <c r="BK55">
        <v>1610717</v>
      </c>
      <c r="BL55">
        <v>15279031</v>
      </c>
      <c r="BM55">
        <v>8718583</v>
      </c>
      <c r="BN55">
        <v>7410382</v>
      </c>
      <c r="BO55">
        <v>3030242</v>
      </c>
      <c r="BQ55">
        <v>2935335</v>
      </c>
      <c r="BS55">
        <v>2703706</v>
      </c>
      <c r="BT55">
        <v>1257383</v>
      </c>
      <c r="BV55">
        <v>3994307</v>
      </c>
    </row>
    <row r="56" spans="1:74" x14ac:dyDescent="0.3">
      <c r="A56" s="155">
        <v>334</v>
      </c>
      <c r="B56" t="s">
        <v>261</v>
      </c>
      <c r="D56">
        <v>11732352</v>
      </c>
      <c r="E56">
        <v>1877439023</v>
      </c>
      <c r="G56">
        <v>19069237</v>
      </c>
      <c r="H56">
        <v>5228194</v>
      </c>
      <c r="I56">
        <v>15918</v>
      </c>
      <c r="J56">
        <v>630517</v>
      </c>
      <c r="K56">
        <v>5721670</v>
      </c>
      <c r="L56">
        <v>7432397</v>
      </c>
      <c r="M56">
        <v>80829273</v>
      </c>
      <c r="N56">
        <v>146221</v>
      </c>
      <c r="O56">
        <v>1303811</v>
      </c>
      <c r="Q56">
        <v>1104517</v>
      </c>
      <c r="R56">
        <v>1572045</v>
      </c>
      <c r="S56">
        <v>5891228</v>
      </c>
      <c r="T56">
        <v>36610701</v>
      </c>
      <c r="V56">
        <v>593185</v>
      </c>
      <c r="X56">
        <v>38133562</v>
      </c>
      <c r="Y56">
        <v>4377191</v>
      </c>
      <c r="Z56">
        <v>225954451</v>
      </c>
      <c r="AA56">
        <v>43929522</v>
      </c>
      <c r="AB56">
        <v>91672</v>
      </c>
      <c r="AC56">
        <v>1344846</v>
      </c>
      <c r="AD56">
        <v>3995814</v>
      </c>
      <c r="AE56">
        <v>2845233</v>
      </c>
      <c r="AF56">
        <v>910011</v>
      </c>
      <c r="AG56">
        <v>1993879</v>
      </c>
      <c r="AH56">
        <v>20141263</v>
      </c>
      <c r="AI56">
        <v>131729</v>
      </c>
      <c r="AJ56">
        <v>9397732</v>
      </c>
      <c r="AK56">
        <v>128131</v>
      </c>
      <c r="AL56">
        <v>2811647</v>
      </c>
      <c r="AM56">
        <v>13357937</v>
      </c>
      <c r="AN56">
        <v>0</v>
      </c>
      <c r="AO56">
        <v>114646647</v>
      </c>
      <c r="AP56">
        <v>3099390</v>
      </c>
      <c r="AQ56">
        <v>406781</v>
      </c>
      <c r="AR56">
        <v>476209</v>
      </c>
      <c r="AS56">
        <v>93559373</v>
      </c>
      <c r="AT56">
        <v>763334</v>
      </c>
      <c r="AU56">
        <v>5996749</v>
      </c>
      <c r="AV56">
        <v>6467838</v>
      </c>
      <c r="AW56">
        <v>830774</v>
      </c>
      <c r="AX56">
        <v>1864281</v>
      </c>
      <c r="AY56">
        <v>332512</v>
      </c>
      <c r="AZ56">
        <v>17572130</v>
      </c>
      <c r="BA56">
        <v>4934802</v>
      </c>
      <c r="BB56">
        <v>197781</v>
      </c>
      <c r="BC56">
        <v>329655</v>
      </c>
      <c r="BD56">
        <v>15742584</v>
      </c>
      <c r="BE56">
        <v>1508630</v>
      </c>
      <c r="BF56">
        <v>82683079</v>
      </c>
      <c r="BH56">
        <v>467224</v>
      </c>
      <c r="BI56">
        <v>351009</v>
      </c>
      <c r="BJ56">
        <v>83411186</v>
      </c>
      <c r="BK56">
        <v>2498696</v>
      </c>
      <c r="BL56">
        <v>57591992</v>
      </c>
      <c r="BM56">
        <v>17557478</v>
      </c>
      <c r="BN56">
        <v>21136218</v>
      </c>
      <c r="BO56">
        <v>2158356</v>
      </c>
      <c r="BQ56">
        <v>11458076</v>
      </c>
      <c r="BS56">
        <v>6656265</v>
      </c>
      <c r="BT56">
        <v>2915367</v>
      </c>
      <c r="BV56">
        <v>5903935</v>
      </c>
    </row>
    <row r="57" spans="1:74" x14ac:dyDescent="0.3">
      <c r="A57" s="155">
        <v>335</v>
      </c>
      <c r="B57" t="s">
        <v>109</v>
      </c>
      <c r="D57">
        <v>0</v>
      </c>
      <c r="E57">
        <v>0</v>
      </c>
      <c r="G57">
        <v>0</v>
      </c>
      <c r="H57">
        <v>0</v>
      </c>
      <c r="I57">
        <v>0</v>
      </c>
      <c r="J57">
        <v>0</v>
      </c>
      <c r="K57">
        <v>0</v>
      </c>
      <c r="L57">
        <v>0</v>
      </c>
      <c r="M57">
        <v>2289822</v>
      </c>
      <c r="N57">
        <v>0</v>
      </c>
      <c r="O57">
        <v>0</v>
      </c>
      <c r="Q57">
        <v>0</v>
      </c>
      <c r="R57">
        <v>0</v>
      </c>
      <c r="S57">
        <v>3424</v>
      </c>
      <c r="T57">
        <v>0</v>
      </c>
      <c r="V57">
        <v>1100000</v>
      </c>
      <c r="X57">
        <v>0</v>
      </c>
      <c r="Y57">
        <v>0</v>
      </c>
      <c r="Z57">
        <v>10585238</v>
      </c>
      <c r="AA57">
        <v>0</v>
      </c>
      <c r="AB57">
        <v>65492</v>
      </c>
      <c r="AC57">
        <v>132</v>
      </c>
      <c r="AD57">
        <v>199836</v>
      </c>
      <c r="AE57">
        <v>0</v>
      </c>
      <c r="AF57">
        <v>0</v>
      </c>
      <c r="AG57">
        <v>0</v>
      </c>
      <c r="AH57">
        <v>0</v>
      </c>
      <c r="AI57">
        <v>0</v>
      </c>
      <c r="AJ57">
        <v>0</v>
      </c>
      <c r="AK57">
        <v>0</v>
      </c>
      <c r="AL57">
        <v>0</v>
      </c>
      <c r="AM57">
        <v>0</v>
      </c>
      <c r="AN57">
        <v>0</v>
      </c>
      <c r="AO57">
        <v>0</v>
      </c>
      <c r="AP57">
        <v>0</v>
      </c>
      <c r="AQ57">
        <v>0</v>
      </c>
      <c r="AR57">
        <v>0</v>
      </c>
      <c r="AS57">
        <v>0</v>
      </c>
      <c r="AT57">
        <v>3703</v>
      </c>
      <c r="AU57">
        <v>0</v>
      </c>
      <c r="AV57">
        <v>0</v>
      </c>
      <c r="AW57">
        <v>0</v>
      </c>
      <c r="AX57">
        <v>1270768</v>
      </c>
      <c r="AY57">
        <v>0</v>
      </c>
      <c r="AZ57">
        <v>0</v>
      </c>
      <c r="BA57">
        <v>0</v>
      </c>
      <c r="BB57">
        <v>0</v>
      </c>
      <c r="BC57">
        <v>0</v>
      </c>
      <c r="BD57">
        <v>0</v>
      </c>
      <c r="BE57">
        <v>0</v>
      </c>
      <c r="BF57">
        <v>5441118</v>
      </c>
      <c r="BH57">
        <v>0</v>
      </c>
      <c r="BI57">
        <v>45574</v>
      </c>
      <c r="BJ57">
        <v>4375021</v>
      </c>
      <c r="BK57">
        <v>0</v>
      </c>
      <c r="BL57">
        <v>2376570</v>
      </c>
      <c r="BM57">
        <v>0</v>
      </c>
      <c r="BN57">
        <v>631977</v>
      </c>
      <c r="BO57">
        <v>274558</v>
      </c>
      <c r="BQ57">
        <v>0</v>
      </c>
      <c r="BS57">
        <v>312383</v>
      </c>
      <c r="BT57">
        <v>0</v>
      </c>
      <c r="BV57">
        <v>22621</v>
      </c>
    </row>
    <row r="58" spans="1:74" x14ac:dyDescent="0.3">
      <c r="A58" s="155">
        <v>336</v>
      </c>
      <c r="B58" t="s">
        <v>882</v>
      </c>
      <c r="D58">
        <v>613261</v>
      </c>
      <c r="E58">
        <v>279537188</v>
      </c>
      <c r="G58">
        <v>352525</v>
      </c>
      <c r="H58">
        <v>74063</v>
      </c>
      <c r="I58">
        <v>0</v>
      </c>
      <c r="J58">
        <v>597</v>
      </c>
      <c r="K58">
        <v>271523</v>
      </c>
      <c r="L58">
        <v>363288</v>
      </c>
      <c r="M58">
        <v>3991688</v>
      </c>
      <c r="N58">
        <v>2892</v>
      </c>
      <c r="O58">
        <v>190986</v>
      </c>
      <c r="Q58">
        <v>23899</v>
      </c>
      <c r="R58">
        <v>336644</v>
      </c>
      <c r="S58">
        <v>33250</v>
      </c>
      <c r="T58">
        <v>1242731</v>
      </c>
      <c r="V58">
        <v>1105513</v>
      </c>
      <c r="X58">
        <v>350600</v>
      </c>
      <c r="Y58">
        <v>108184</v>
      </c>
      <c r="Z58">
        <v>21924742</v>
      </c>
      <c r="AA58">
        <v>2140999</v>
      </c>
      <c r="AB58">
        <v>72574</v>
      </c>
      <c r="AC58">
        <v>17486</v>
      </c>
      <c r="AD58">
        <v>250661</v>
      </c>
      <c r="AE58">
        <v>52985</v>
      </c>
      <c r="AF58">
        <v>29513</v>
      </c>
      <c r="AG58">
        <v>63698</v>
      </c>
      <c r="AH58">
        <v>8320103</v>
      </c>
      <c r="AI58">
        <v>3654</v>
      </c>
      <c r="AJ58">
        <v>744988</v>
      </c>
      <c r="AK58">
        <v>0</v>
      </c>
      <c r="AL58">
        <v>155301</v>
      </c>
      <c r="AM58">
        <v>1448426</v>
      </c>
      <c r="AN58">
        <v>38825</v>
      </c>
      <c r="AO58">
        <v>6524866</v>
      </c>
      <c r="AP58">
        <v>73243</v>
      </c>
      <c r="AQ58">
        <v>15311</v>
      </c>
      <c r="AR58">
        <v>12869</v>
      </c>
      <c r="AS58">
        <v>3501072</v>
      </c>
      <c r="AT58">
        <v>18722</v>
      </c>
      <c r="AU58">
        <v>170422</v>
      </c>
      <c r="AV58">
        <v>11382</v>
      </c>
      <c r="AW58">
        <v>16602</v>
      </c>
      <c r="AX58">
        <v>1274358</v>
      </c>
      <c r="AY58">
        <v>18045</v>
      </c>
      <c r="AZ58">
        <v>345072</v>
      </c>
      <c r="BA58">
        <v>244640</v>
      </c>
      <c r="BB58">
        <v>23121</v>
      </c>
      <c r="BC58">
        <v>38210</v>
      </c>
      <c r="BD58">
        <v>1006218</v>
      </c>
      <c r="BE58">
        <v>147122</v>
      </c>
      <c r="BF58">
        <v>9704208</v>
      </c>
      <c r="BH58">
        <v>66638</v>
      </c>
      <c r="BI58">
        <v>57716</v>
      </c>
      <c r="BJ58">
        <v>5344704</v>
      </c>
      <c r="BK58">
        <v>225044</v>
      </c>
      <c r="BL58">
        <v>4647544</v>
      </c>
      <c r="BM58">
        <v>1344298</v>
      </c>
      <c r="BN58">
        <v>1954368</v>
      </c>
      <c r="BO58">
        <v>325034</v>
      </c>
      <c r="BQ58">
        <v>203482</v>
      </c>
      <c r="BS58">
        <v>670990</v>
      </c>
      <c r="BT58">
        <v>89373</v>
      </c>
      <c r="BV58">
        <v>450353</v>
      </c>
    </row>
    <row r="59" spans="1:74" x14ac:dyDescent="0.3">
      <c r="A59" s="155">
        <v>337</v>
      </c>
      <c r="B59" t="s">
        <v>245</v>
      </c>
      <c r="D59">
        <v>1078021</v>
      </c>
      <c r="E59">
        <v>594774857</v>
      </c>
      <c r="G59">
        <v>771204</v>
      </c>
      <c r="H59">
        <v>78512</v>
      </c>
      <c r="I59">
        <v>0</v>
      </c>
      <c r="J59">
        <v>0</v>
      </c>
      <c r="K59">
        <v>0</v>
      </c>
      <c r="L59">
        <v>1284705</v>
      </c>
      <c r="M59">
        <v>7011472</v>
      </c>
      <c r="N59">
        <v>0</v>
      </c>
      <c r="O59">
        <v>80496</v>
      </c>
      <c r="Q59">
        <v>0</v>
      </c>
      <c r="R59">
        <v>27131</v>
      </c>
      <c r="S59">
        <v>0</v>
      </c>
      <c r="T59">
        <v>0</v>
      </c>
      <c r="V59">
        <v>0</v>
      </c>
      <c r="X59">
        <v>5923816</v>
      </c>
      <c r="Y59">
        <v>864713</v>
      </c>
      <c r="Z59">
        <v>48856292</v>
      </c>
      <c r="AA59">
        <v>3585000</v>
      </c>
      <c r="AB59">
        <v>0</v>
      </c>
      <c r="AC59">
        <v>0</v>
      </c>
      <c r="AD59">
        <v>0</v>
      </c>
      <c r="AE59">
        <v>267868</v>
      </c>
      <c r="AF59">
        <v>186474</v>
      </c>
      <c r="AG59">
        <v>66490</v>
      </c>
      <c r="AH59">
        <v>0</v>
      </c>
      <c r="AI59">
        <v>0</v>
      </c>
      <c r="AJ59">
        <v>400359</v>
      </c>
      <c r="AK59">
        <v>0</v>
      </c>
      <c r="AL59">
        <v>815222</v>
      </c>
      <c r="AM59">
        <v>1136947</v>
      </c>
      <c r="AN59">
        <v>0</v>
      </c>
      <c r="AO59">
        <v>6824788</v>
      </c>
      <c r="AP59">
        <v>303432</v>
      </c>
      <c r="AQ59">
        <v>0</v>
      </c>
      <c r="AR59">
        <v>274509</v>
      </c>
      <c r="AS59">
        <v>11328565</v>
      </c>
      <c r="AT59">
        <v>12124</v>
      </c>
      <c r="AU59">
        <v>0</v>
      </c>
      <c r="AV59">
        <v>0</v>
      </c>
      <c r="AW59">
        <v>0</v>
      </c>
      <c r="AX59">
        <v>0</v>
      </c>
      <c r="AY59">
        <v>0</v>
      </c>
      <c r="AZ59">
        <v>1692111</v>
      </c>
      <c r="BA59">
        <v>815625</v>
      </c>
      <c r="BB59">
        <v>0</v>
      </c>
      <c r="BC59">
        <v>0</v>
      </c>
      <c r="BD59">
        <v>2375716</v>
      </c>
      <c r="BE59">
        <v>386883</v>
      </c>
      <c r="BF59">
        <v>14318129</v>
      </c>
      <c r="BH59">
        <v>0</v>
      </c>
      <c r="BI59">
        <v>0</v>
      </c>
      <c r="BJ59">
        <v>4686704</v>
      </c>
      <c r="BK59">
        <v>0</v>
      </c>
      <c r="BL59">
        <v>6317716</v>
      </c>
      <c r="BM59">
        <v>5545541</v>
      </c>
      <c r="BN59">
        <v>3157733</v>
      </c>
      <c r="BO59">
        <v>0</v>
      </c>
      <c r="BQ59">
        <v>2878206</v>
      </c>
      <c r="BS59">
        <v>0</v>
      </c>
      <c r="BT59">
        <v>563603</v>
      </c>
      <c r="BV59">
        <v>103588</v>
      </c>
    </row>
    <row r="60" spans="1:74" x14ac:dyDescent="0.3">
      <c r="A60" s="155">
        <v>338</v>
      </c>
      <c r="B60" t="s">
        <v>108</v>
      </c>
      <c r="D60">
        <v>6151158</v>
      </c>
      <c r="E60">
        <v>1132445666</v>
      </c>
      <c r="G60">
        <v>5199519</v>
      </c>
      <c r="H60">
        <v>4843676</v>
      </c>
      <c r="I60">
        <v>0</v>
      </c>
      <c r="J60">
        <v>597</v>
      </c>
      <c r="K60">
        <v>336023</v>
      </c>
      <c r="L60">
        <v>8685502</v>
      </c>
      <c r="M60">
        <v>25601158</v>
      </c>
      <c r="N60">
        <v>2892</v>
      </c>
      <c r="O60">
        <v>357603</v>
      </c>
      <c r="Q60">
        <v>611330</v>
      </c>
      <c r="R60">
        <v>764489</v>
      </c>
      <c r="S60">
        <v>726762</v>
      </c>
      <c r="T60">
        <v>26188723</v>
      </c>
      <c r="V60">
        <v>1181807</v>
      </c>
      <c r="X60">
        <v>15932891</v>
      </c>
      <c r="Y60">
        <v>1466904</v>
      </c>
      <c r="Z60">
        <v>142808777</v>
      </c>
      <c r="AA60">
        <v>11044740</v>
      </c>
      <c r="AB60">
        <v>72574</v>
      </c>
      <c r="AC60">
        <v>69274</v>
      </c>
      <c r="AD60">
        <v>1166898</v>
      </c>
      <c r="AE60">
        <v>401832</v>
      </c>
      <c r="AF60">
        <v>209047</v>
      </c>
      <c r="AG60">
        <v>1327001</v>
      </c>
      <c r="AH60">
        <v>11706599</v>
      </c>
      <c r="AI60">
        <v>3654</v>
      </c>
      <c r="AJ60">
        <v>3430412</v>
      </c>
      <c r="AK60">
        <v>65811</v>
      </c>
      <c r="AL60">
        <v>1076444</v>
      </c>
      <c r="AM60">
        <v>4178794</v>
      </c>
      <c r="AN60">
        <v>77700</v>
      </c>
      <c r="AO60">
        <v>38777846</v>
      </c>
      <c r="AP60">
        <v>610332</v>
      </c>
      <c r="AQ60">
        <v>63753</v>
      </c>
      <c r="AR60">
        <v>497762</v>
      </c>
      <c r="AS60">
        <v>78983721</v>
      </c>
      <c r="AT60">
        <v>18757</v>
      </c>
      <c r="AU60">
        <v>991121</v>
      </c>
      <c r="AV60">
        <v>1119824</v>
      </c>
      <c r="AW60">
        <v>410281</v>
      </c>
      <c r="AX60">
        <v>1495031</v>
      </c>
      <c r="AY60">
        <v>97388</v>
      </c>
      <c r="AZ60">
        <v>10896443</v>
      </c>
      <c r="BA60">
        <v>1512411</v>
      </c>
      <c r="BB60">
        <v>23121</v>
      </c>
      <c r="BC60">
        <v>69323</v>
      </c>
      <c r="BD60">
        <v>6568556</v>
      </c>
      <c r="BE60">
        <v>1342187</v>
      </c>
      <c r="BF60">
        <v>51734689</v>
      </c>
      <c r="BH60">
        <v>235278</v>
      </c>
      <c r="BI60">
        <v>57716</v>
      </c>
      <c r="BJ60">
        <v>29236583</v>
      </c>
      <c r="BK60">
        <v>864938</v>
      </c>
      <c r="BL60">
        <v>21177746</v>
      </c>
      <c r="BM60">
        <v>12367127</v>
      </c>
      <c r="BN60">
        <v>11625285</v>
      </c>
      <c r="BO60">
        <v>540196</v>
      </c>
      <c r="BQ60">
        <v>4417908</v>
      </c>
      <c r="BS60">
        <v>4348572</v>
      </c>
      <c r="BT60">
        <v>1209038</v>
      </c>
      <c r="BV60">
        <v>1716762</v>
      </c>
    </row>
    <row r="61" spans="1:74" x14ac:dyDescent="0.3">
      <c r="A61" s="155">
        <v>339</v>
      </c>
      <c r="B61" t="s">
        <v>181</v>
      </c>
      <c r="D61">
        <v>671322</v>
      </c>
      <c r="E61">
        <v>48598545</v>
      </c>
      <c r="G61">
        <v>556934</v>
      </c>
      <c r="H61">
        <v>366317</v>
      </c>
      <c r="I61">
        <v>0</v>
      </c>
      <c r="J61">
        <v>0</v>
      </c>
      <c r="K61">
        <v>47837</v>
      </c>
      <c r="L61">
        <v>513158</v>
      </c>
      <c r="M61">
        <v>991243</v>
      </c>
      <c r="N61">
        <v>0</v>
      </c>
      <c r="O61">
        <v>39890</v>
      </c>
      <c r="Q61">
        <v>33347</v>
      </c>
      <c r="R61">
        <v>276307</v>
      </c>
      <c r="S61">
        <v>56988</v>
      </c>
      <c r="T61">
        <v>1987795</v>
      </c>
      <c r="V61">
        <v>0</v>
      </c>
      <c r="X61">
        <v>1112998</v>
      </c>
      <c r="Y61">
        <v>10335</v>
      </c>
      <c r="Z61">
        <v>14939430</v>
      </c>
      <c r="AA61">
        <v>3398013</v>
      </c>
      <c r="AB61">
        <v>2998</v>
      </c>
      <c r="AC61">
        <v>81078</v>
      </c>
      <c r="AD61">
        <v>84280</v>
      </c>
      <c r="AE61">
        <v>112838</v>
      </c>
      <c r="AF61">
        <v>158839</v>
      </c>
      <c r="AG61">
        <v>169585</v>
      </c>
      <c r="AH61">
        <v>1007573</v>
      </c>
      <c r="AI61">
        <v>12810</v>
      </c>
      <c r="AJ61">
        <v>284095</v>
      </c>
      <c r="AK61">
        <v>23667</v>
      </c>
      <c r="AL61">
        <v>12499</v>
      </c>
      <c r="AM61">
        <v>244766</v>
      </c>
      <c r="AN61">
        <v>90882</v>
      </c>
      <c r="AO61">
        <v>5583966</v>
      </c>
      <c r="AP61">
        <v>147742</v>
      </c>
      <c r="AQ61">
        <v>0</v>
      </c>
      <c r="AR61">
        <v>45</v>
      </c>
      <c r="AS61">
        <v>5371001</v>
      </c>
      <c r="AT61">
        <v>38607</v>
      </c>
      <c r="AU61">
        <v>285221</v>
      </c>
      <c r="AV61">
        <v>236257</v>
      </c>
      <c r="AW61">
        <v>10200</v>
      </c>
      <c r="AX61">
        <v>63270</v>
      </c>
      <c r="AY61">
        <v>0</v>
      </c>
      <c r="AZ61">
        <v>1149167</v>
      </c>
      <c r="BA61">
        <v>24837</v>
      </c>
      <c r="BB61">
        <v>0</v>
      </c>
      <c r="BC61">
        <v>22000</v>
      </c>
      <c r="BD61">
        <v>977614</v>
      </c>
      <c r="BE61">
        <v>309798</v>
      </c>
      <c r="BF61">
        <v>3367789</v>
      </c>
      <c r="BH61">
        <v>34626</v>
      </c>
      <c r="BI61">
        <v>52344</v>
      </c>
      <c r="BJ61">
        <v>2646053</v>
      </c>
      <c r="BK61">
        <v>251508</v>
      </c>
      <c r="BL61">
        <v>2608860</v>
      </c>
      <c r="BM61">
        <v>201405</v>
      </c>
      <c r="BN61">
        <v>2681540</v>
      </c>
      <c r="BO61">
        <v>125506</v>
      </c>
      <c r="BQ61">
        <v>164606</v>
      </c>
      <c r="BS61">
        <v>330631</v>
      </c>
      <c r="BT61">
        <v>185584</v>
      </c>
      <c r="BV61">
        <v>33363</v>
      </c>
    </row>
    <row r="62" spans="1:74" x14ac:dyDescent="0.3">
      <c r="A62" s="155">
        <v>341</v>
      </c>
      <c r="B62" t="s">
        <v>883</v>
      </c>
      <c r="D62">
        <v>4909291</v>
      </c>
      <c r="E62">
        <v>464574782</v>
      </c>
      <c r="G62">
        <v>6257416</v>
      </c>
      <c r="H62">
        <v>2891739</v>
      </c>
      <c r="I62">
        <v>28757</v>
      </c>
      <c r="J62">
        <v>413022</v>
      </c>
      <c r="K62">
        <v>1225022</v>
      </c>
      <c r="L62">
        <v>2837136</v>
      </c>
      <c r="M62">
        <v>16194414</v>
      </c>
      <c r="N62">
        <v>132211</v>
      </c>
      <c r="O62">
        <v>653967</v>
      </c>
      <c r="Q62">
        <v>461547</v>
      </c>
      <c r="R62">
        <v>1417505</v>
      </c>
      <c r="S62">
        <v>1550783</v>
      </c>
      <c r="T62">
        <v>13894484</v>
      </c>
      <c r="V62">
        <v>580010</v>
      </c>
      <c r="X62">
        <v>8049473</v>
      </c>
      <c r="Y62">
        <v>1915155</v>
      </c>
      <c r="Z62">
        <v>56102164</v>
      </c>
      <c r="AA62">
        <v>10447911</v>
      </c>
      <c r="AB62">
        <v>343105</v>
      </c>
      <c r="AC62">
        <v>323828</v>
      </c>
      <c r="AD62">
        <v>1186435</v>
      </c>
      <c r="AE62">
        <v>1204926</v>
      </c>
      <c r="AF62">
        <v>234153</v>
      </c>
      <c r="AG62">
        <v>857105</v>
      </c>
      <c r="AH62">
        <v>10144858</v>
      </c>
      <c r="AI62">
        <v>133957</v>
      </c>
      <c r="AJ62">
        <v>2381627</v>
      </c>
      <c r="AK62">
        <v>153038</v>
      </c>
      <c r="AL62">
        <v>936106</v>
      </c>
      <c r="AM62">
        <v>4126229</v>
      </c>
      <c r="AN62">
        <v>315576</v>
      </c>
      <c r="AO62">
        <v>38011463</v>
      </c>
      <c r="AP62">
        <v>1345813</v>
      </c>
      <c r="AQ62">
        <v>161336</v>
      </c>
      <c r="AR62">
        <v>233295</v>
      </c>
      <c r="AS62">
        <v>31142328</v>
      </c>
      <c r="AT62">
        <v>287389</v>
      </c>
      <c r="AU62">
        <v>2359670</v>
      </c>
      <c r="AV62">
        <v>1627159</v>
      </c>
      <c r="AW62">
        <v>403148</v>
      </c>
      <c r="AX62">
        <v>315757</v>
      </c>
      <c r="AY62">
        <v>245779</v>
      </c>
      <c r="AZ62">
        <v>5875466</v>
      </c>
      <c r="BA62">
        <v>1982708</v>
      </c>
      <c r="BB62">
        <v>33445</v>
      </c>
      <c r="BC62">
        <v>383052</v>
      </c>
      <c r="BD62">
        <v>5036095</v>
      </c>
      <c r="BE62">
        <v>1038154</v>
      </c>
      <c r="BF62">
        <v>26359151</v>
      </c>
      <c r="BH62">
        <v>326737</v>
      </c>
      <c r="BI62">
        <v>182717</v>
      </c>
      <c r="BJ62">
        <v>12925826</v>
      </c>
      <c r="BK62">
        <v>1200409</v>
      </c>
      <c r="BL62">
        <v>19257096</v>
      </c>
      <c r="BM62">
        <v>8158473</v>
      </c>
      <c r="BN62">
        <v>6424114</v>
      </c>
      <c r="BO62">
        <v>1759854</v>
      </c>
      <c r="BQ62">
        <v>3454419</v>
      </c>
      <c r="BS62">
        <v>2801907</v>
      </c>
      <c r="BT62">
        <v>1248150</v>
      </c>
      <c r="BV62">
        <v>2485120</v>
      </c>
    </row>
    <row r="63" spans="1:74" x14ac:dyDescent="0.3">
      <c r="A63" s="155">
        <v>343</v>
      </c>
      <c r="B63" t="s">
        <v>246</v>
      </c>
      <c r="D63">
        <v>277104</v>
      </c>
      <c r="E63">
        <v>62843280</v>
      </c>
      <c r="G63">
        <v>186174</v>
      </c>
      <c r="H63">
        <v>0</v>
      </c>
      <c r="I63">
        <v>0</v>
      </c>
      <c r="J63">
        <v>0</v>
      </c>
      <c r="K63">
        <v>0</v>
      </c>
      <c r="L63">
        <v>175860</v>
      </c>
      <c r="M63">
        <v>420132</v>
      </c>
      <c r="N63">
        <v>0</v>
      </c>
      <c r="O63">
        <v>14729</v>
      </c>
      <c r="Q63">
        <v>0</v>
      </c>
      <c r="R63">
        <v>36722</v>
      </c>
      <c r="S63">
        <v>0</v>
      </c>
      <c r="T63">
        <v>0</v>
      </c>
      <c r="V63">
        <v>0</v>
      </c>
      <c r="X63">
        <v>242882</v>
      </c>
      <c r="Y63">
        <v>607</v>
      </c>
      <c r="Z63">
        <v>4728133</v>
      </c>
      <c r="AA63">
        <v>757000</v>
      </c>
      <c r="AB63">
        <v>0</v>
      </c>
      <c r="AC63">
        <v>0</v>
      </c>
      <c r="AD63">
        <v>0</v>
      </c>
      <c r="AE63">
        <v>46403</v>
      </c>
      <c r="AF63">
        <v>10606</v>
      </c>
      <c r="AG63">
        <v>5183</v>
      </c>
      <c r="AH63">
        <v>0</v>
      </c>
      <c r="AI63">
        <v>0</v>
      </c>
      <c r="AJ63">
        <v>131404</v>
      </c>
      <c r="AK63">
        <v>0</v>
      </c>
      <c r="AL63">
        <v>16712</v>
      </c>
      <c r="AM63">
        <v>233199</v>
      </c>
      <c r="AN63">
        <v>0</v>
      </c>
      <c r="AO63">
        <v>1102791</v>
      </c>
      <c r="AP63">
        <v>24438</v>
      </c>
      <c r="AQ63">
        <v>0</v>
      </c>
      <c r="AR63">
        <v>8619</v>
      </c>
      <c r="AS63">
        <v>1171244</v>
      </c>
      <c r="AT63">
        <v>11952</v>
      </c>
      <c r="AU63">
        <v>0</v>
      </c>
      <c r="AV63">
        <v>0</v>
      </c>
      <c r="AW63">
        <v>0</v>
      </c>
      <c r="AX63">
        <v>0</v>
      </c>
      <c r="AY63">
        <v>0</v>
      </c>
      <c r="AZ63">
        <v>192530</v>
      </c>
      <c r="BA63">
        <v>112500</v>
      </c>
      <c r="BB63">
        <v>0</v>
      </c>
      <c r="BC63">
        <v>0</v>
      </c>
      <c r="BD63">
        <v>303919</v>
      </c>
      <c r="BE63">
        <v>62795</v>
      </c>
      <c r="BF63">
        <v>9072044</v>
      </c>
      <c r="BH63">
        <v>0</v>
      </c>
      <c r="BI63">
        <v>0</v>
      </c>
      <c r="BJ63">
        <v>2901446</v>
      </c>
      <c r="BK63">
        <v>0</v>
      </c>
      <c r="BL63">
        <v>1713453</v>
      </c>
      <c r="BM63">
        <v>0</v>
      </c>
      <c r="BN63">
        <v>476817</v>
      </c>
      <c r="BO63">
        <v>0</v>
      </c>
      <c r="BQ63">
        <v>2857146</v>
      </c>
      <c r="BS63">
        <v>0</v>
      </c>
      <c r="BT63">
        <v>36494</v>
      </c>
      <c r="BV63">
        <v>70765</v>
      </c>
    </row>
    <row r="64" spans="1:74" x14ac:dyDescent="0.3">
      <c r="A64" s="155">
        <v>344</v>
      </c>
      <c r="B64" t="s">
        <v>179</v>
      </c>
      <c r="D64">
        <v>27992</v>
      </c>
      <c r="E64">
        <v>15792311</v>
      </c>
      <c r="G64">
        <v>17231</v>
      </c>
      <c r="H64">
        <v>0</v>
      </c>
      <c r="I64">
        <v>0</v>
      </c>
      <c r="J64">
        <v>0</v>
      </c>
      <c r="K64">
        <v>0</v>
      </c>
      <c r="L64">
        <v>10427</v>
      </c>
      <c r="M64">
        <v>0</v>
      </c>
      <c r="N64">
        <v>0</v>
      </c>
      <c r="O64">
        <v>2838</v>
      </c>
      <c r="Q64">
        <v>0</v>
      </c>
      <c r="R64">
        <v>4126</v>
      </c>
      <c r="S64">
        <v>0</v>
      </c>
      <c r="T64">
        <v>288651</v>
      </c>
      <c r="V64">
        <v>0</v>
      </c>
      <c r="X64">
        <v>157835</v>
      </c>
      <c r="Y64">
        <v>23630</v>
      </c>
      <c r="Z64">
        <v>1564995</v>
      </c>
      <c r="AA64">
        <v>101300</v>
      </c>
      <c r="AB64">
        <v>0</v>
      </c>
      <c r="AC64">
        <v>0</v>
      </c>
      <c r="AD64">
        <v>0</v>
      </c>
      <c r="AE64">
        <v>109</v>
      </c>
      <c r="AF64">
        <v>4947</v>
      </c>
      <c r="AG64">
        <v>3118</v>
      </c>
      <c r="AH64">
        <v>70204</v>
      </c>
      <c r="AI64">
        <v>0</v>
      </c>
      <c r="AJ64">
        <v>23227</v>
      </c>
      <c r="AK64">
        <v>0</v>
      </c>
      <c r="AL64">
        <v>36401</v>
      </c>
      <c r="AM64">
        <v>41330</v>
      </c>
      <c r="AN64">
        <v>0</v>
      </c>
      <c r="AO64">
        <v>220517</v>
      </c>
      <c r="AP64">
        <v>11233</v>
      </c>
      <c r="AQ64">
        <v>0</v>
      </c>
      <c r="AR64">
        <v>12033</v>
      </c>
      <c r="AS64">
        <v>295932</v>
      </c>
      <c r="AT64">
        <v>379</v>
      </c>
      <c r="AU64">
        <v>0</v>
      </c>
      <c r="AV64">
        <v>0</v>
      </c>
      <c r="AW64">
        <v>15244</v>
      </c>
      <c r="AX64">
        <v>0</v>
      </c>
      <c r="AY64">
        <v>0</v>
      </c>
      <c r="AZ64">
        <v>57273</v>
      </c>
      <c r="BA64">
        <v>24105</v>
      </c>
      <c r="BB64">
        <v>0</v>
      </c>
      <c r="BC64">
        <v>0</v>
      </c>
      <c r="BD64">
        <v>61504</v>
      </c>
      <c r="BE64">
        <v>10357</v>
      </c>
      <c r="BF64">
        <v>243713</v>
      </c>
      <c r="BH64">
        <v>0</v>
      </c>
      <c r="BI64">
        <v>0</v>
      </c>
      <c r="BJ64">
        <v>221057</v>
      </c>
      <c r="BK64">
        <v>0</v>
      </c>
      <c r="BL64">
        <v>159016</v>
      </c>
      <c r="BM64">
        <v>52128</v>
      </c>
      <c r="BN64">
        <v>67486</v>
      </c>
      <c r="BO64">
        <v>0</v>
      </c>
      <c r="BQ64">
        <v>59135</v>
      </c>
      <c r="BS64">
        <v>14560</v>
      </c>
      <c r="BT64">
        <v>24659</v>
      </c>
      <c r="BV64">
        <v>3516</v>
      </c>
    </row>
    <row r="65" spans="1:74" x14ac:dyDescent="0.3">
      <c r="A65" s="155">
        <v>349</v>
      </c>
      <c r="B65" t="s">
        <v>114</v>
      </c>
      <c r="D65">
        <v>7650735</v>
      </c>
      <c r="E65">
        <v>1000586610</v>
      </c>
      <c r="G65">
        <v>2616550</v>
      </c>
      <c r="H65">
        <v>166614</v>
      </c>
      <c r="I65">
        <v>0</v>
      </c>
      <c r="J65">
        <v>0</v>
      </c>
      <c r="K65">
        <v>0</v>
      </c>
      <c r="L65">
        <v>4984053</v>
      </c>
      <c r="M65">
        <v>21070549</v>
      </c>
      <c r="N65">
        <v>0</v>
      </c>
      <c r="O65">
        <v>234294</v>
      </c>
      <c r="Q65">
        <v>0</v>
      </c>
      <c r="R65">
        <v>0</v>
      </c>
      <c r="S65">
        <v>1421290</v>
      </c>
      <c r="T65">
        <v>0</v>
      </c>
      <c r="V65">
        <v>2890860</v>
      </c>
      <c r="X65">
        <v>2140850</v>
      </c>
      <c r="Y65">
        <v>0</v>
      </c>
      <c r="Z65">
        <v>16470772</v>
      </c>
      <c r="AA65">
        <v>0</v>
      </c>
      <c r="AB65">
        <v>366114</v>
      </c>
      <c r="AC65">
        <v>1054569</v>
      </c>
      <c r="AD65">
        <v>741626</v>
      </c>
      <c r="AE65">
        <v>1638404</v>
      </c>
      <c r="AF65">
        <v>190298</v>
      </c>
      <c r="AG65">
        <v>936844</v>
      </c>
      <c r="AH65">
        <v>27367836</v>
      </c>
      <c r="AI65">
        <v>0</v>
      </c>
      <c r="AJ65">
        <v>0</v>
      </c>
      <c r="AK65">
        <v>0</v>
      </c>
      <c r="AL65">
        <v>1473607</v>
      </c>
      <c r="AM65">
        <v>1672604</v>
      </c>
      <c r="AN65">
        <v>98804</v>
      </c>
      <c r="AO65">
        <v>56993455</v>
      </c>
      <c r="AP65">
        <v>2292455</v>
      </c>
      <c r="AQ65">
        <v>0</v>
      </c>
      <c r="AR65">
        <v>17080</v>
      </c>
      <c r="AS65">
        <v>74955951</v>
      </c>
      <c r="AT65">
        <v>1525923</v>
      </c>
      <c r="AU65">
        <v>478442</v>
      </c>
      <c r="AV65">
        <v>392799</v>
      </c>
      <c r="AW65">
        <v>209098</v>
      </c>
      <c r="AX65">
        <v>0</v>
      </c>
      <c r="AY65">
        <v>0</v>
      </c>
      <c r="AZ65">
        <v>4414484</v>
      </c>
      <c r="BA65">
        <v>102640</v>
      </c>
      <c r="BB65">
        <v>28926</v>
      </c>
      <c r="BC65">
        <v>8427</v>
      </c>
      <c r="BD65">
        <v>881345</v>
      </c>
      <c r="BE65">
        <v>2948258</v>
      </c>
      <c r="BF65">
        <v>65338874</v>
      </c>
      <c r="BH65">
        <v>0</v>
      </c>
      <c r="BI65">
        <v>60375</v>
      </c>
      <c r="BJ65">
        <v>14470582</v>
      </c>
      <c r="BK65">
        <v>1058554</v>
      </c>
      <c r="BL65">
        <v>2315504</v>
      </c>
      <c r="BM65">
        <v>0</v>
      </c>
      <c r="BN65">
        <v>3064251</v>
      </c>
      <c r="BO65">
        <v>3646393</v>
      </c>
      <c r="BQ65">
        <v>0</v>
      </c>
      <c r="BS65">
        <v>7865282</v>
      </c>
      <c r="BT65">
        <v>816554</v>
      </c>
      <c r="BV65">
        <v>1173166</v>
      </c>
    </row>
    <row r="66" spans="1:74" x14ac:dyDescent="0.3">
      <c r="A66" s="155">
        <v>350</v>
      </c>
      <c r="B66" t="s">
        <v>884</v>
      </c>
      <c r="D66">
        <v>32631</v>
      </c>
      <c r="E66">
        <v>-16329246</v>
      </c>
      <c r="G66">
        <v>0</v>
      </c>
      <c r="H66">
        <v>0</v>
      </c>
      <c r="I66">
        <v>0</v>
      </c>
      <c r="J66">
        <v>0</v>
      </c>
      <c r="K66">
        <v>0</v>
      </c>
      <c r="L66">
        <v>10171</v>
      </c>
      <c r="M66">
        <v>570527</v>
      </c>
      <c r="N66">
        <v>0</v>
      </c>
      <c r="O66">
        <v>1847</v>
      </c>
      <c r="Q66">
        <v>0</v>
      </c>
      <c r="R66">
        <v>0</v>
      </c>
      <c r="S66">
        <v>2852</v>
      </c>
      <c r="T66">
        <v>0</v>
      </c>
      <c r="V66">
        <v>65537</v>
      </c>
      <c r="X66">
        <v>6304</v>
      </c>
      <c r="Y66">
        <v>0</v>
      </c>
      <c r="Z66">
        <v>164751</v>
      </c>
      <c r="AA66">
        <v>0</v>
      </c>
      <c r="AB66">
        <v>13804</v>
      </c>
      <c r="AC66">
        <v>256019</v>
      </c>
      <c r="AD66">
        <v>30957</v>
      </c>
      <c r="AE66">
        <v>69239</v>
      </c>
      <c r="AF66">
        <v>35000</v>
      </c>
      <c r="AG66">
        <v>71665</v>
      </c>
      <c r="AH66">
        <v>0</v>
      </c>
      <c r="AI66">
        <v>0</v>
      </c>
      <c r="AJ66">
        <v>0</v>
      </c>
      <c r="AK66">
        <v>0</v>
      </c>
      <c r="AL66">
        <v>7</v>
      </c>
      <c r="AM66">
        <v>501981</v>
      </c>
      <c r="AN66">
        <v>16</v>
      </c>
      <c r="AO66">
        <v>140764</v>
      </c>
      <c r="AP66">
        <v>4</v>
      </c>
      <c r="AQ66">
        <v>0</v>
      </c>
      <c r="AR66">
        <v>2094</v>
      </c>
      <c r="AS66">
        <v>389210</v>
      </c>
      <c r="AT66">
        <v>0</v>
      </c>
      <c r="AU66">
        <v>25021</v>
      </c>
      <c r="AV66">
        <v>11365</v>
      </c>
      <c r="AW66">
        <v>6657</v>
      </c>
      <c r="AX66">
        <v>0</v>
      </c>
      <c r="AY66">
        <v>2</v>
      </c>
      <c r="AZ66">
        <v>6626</v>
      </c>
      <c r="BA66">
        <v>0</v>
      </c>
      <c r="BB66">
        <v>369</v>
      </c>
      <c r="BC66">
        <v>1135</v>
      </c>
      <c r="BD66">
        <v>3097</v>
      </c>
      <c r="BE66">
        <v>657</v>
      </c>
      <c r="BF66">
        <v>30248</v>
      </c>
      <c r="BH66">
        <v>0</v>
      </c>
      <c r="BI66">
        <v>219</v>
      </c>
      <c r="BJ66">
        <v>7186</v>
      </c>
      <c r="BK66">
        <v>112924</v>
      </c>
      <c r="BL66">
        <v>1214110</v>
      </c>
      <c r="BM66">
        <v>0</v>
      </c>
      <c r="BN66">
        <v>1042975</v>
      </c>
      <c r="BO66">
        <v>1008</v>
      </c>
      <c r="BQ66">
        <v>0</v>
      </c>
      <c r="BS66">
        <v>76390</v>
      </c>
      <c r="BT66">
        <v>3522</v>
      </c>
      <c r="BV66">
        <v>0</v>
      </c>
    </row>
    <row r="67" spans="1:74" x14ac:dyDescent="0.3">
      <c r="A67" s="155">
        <v>351</v>
      </c>
      <c r="B67" t="s">
        <v>223</v>
      </c>
      <c r="D67">
        <v>36376</v>
      </c>
      <c r="E67">
        <v>23937504</v>
      </c>
      <c r="G67">
        <v>63769</v>
      </c>
      <c r="H67">
        <v>0</v>
      </c>
      <c r="I67">
        <v>0</v>
      </c>
      <c r="J67">
        <v>0</v>
      </c>
      <c r="K67">
        <v>0</v>
      </c>
      <c r="L67">
        <v>18427</v>
      </c>
      <c r="M67">
        <v>281523</v>
      </c>
      <c r="N67">
        <v>0</v>
      </c>
      <c r="O67">
        <v>1000</v>
      </c>
      <c r="Q67">
        <v>0</v>
      </c>
      <c r="R67">
        <v>0</v>
      </c>
      <c r="S67">
        <v>37650</v>
      </c>
      <c r="T67">
        <v>0</v>
      </c>
      <c r="V67">
        <v>62981</v>
      </c>
      <c r="X67">
        <v>0</v>
      </c>
      <c r="Y67">
        <v>0</v>
      </c>
      <c r="Z67">
        <v>146061</v>
      </c>
      <c r="AA67">
        <v>0</v>
      </c>
      <c r="AB67">
        <v>0</v>
      </c>
      <c r="AC67">
        <v>0</v>
      </c>
      <c r="AD67">
        <v>0</v>
      </c>
      <c r="AE67">
        <v>6359</v>
      </c>
      <c r="AF67">
        <v>0</v>
      </c>
      <c r="AG67">
        <v>28509</v>
      </c>
      <c r="AH67">
        <v>41749</v>
      </c>
      <c r="AI67">
        <v>0</v>
      </c>
      <c r="AJ67">
        <v>0</v>
      </c>
      <c r="AK67">
        <v>0</v>
      </c>
      <c r="AL67">
        <v>61417</v>
      </c>
      <c r="AM67">
        <v>33201</v>
      </c>
      <c r="AN67">
        <v>0</v>
      </c>
      <c r="AO67">
        <v>1690959</v>
      </c>
      <c r="AP67">
        <v>52588</v>
      </c>
      <c r="AQ67">
        <v>0</v>
      </c>
      <c r="AR67">
        <v>0</v>
      </c>
      <c r="AS67">
        <v>1954841</v>
      </c>
      <c r="AT67">
        <v>0</v>
      </c>
      <c r="AU67">
        <v>7949</v>
      </c>
      <c r="AV67">
        <v>9077</v>
      </c>
      <c r="AW67">
        <v>7734</v>
      </c>
      <c r="AX67">
        <v>0</v>
      </c>
      <c r="AY67">
        <v>0</v>
      </c>
      <c r="AZ67">
        <v>61325</v>
      </c>
      <c r="BA67">
        <v>2076</v>
      </c>
      <c r="BB67">
        <v>0</v>
      </c>
      <c r="BC67">
        <v>0</v>
      </c>
      <c r="BD67">
        <v>499275</v>
      </c>
      <c r="BE67">
        <v>66349</v>
      </c>
      <c r="BF67">
        <v>856887</v>
      </c>
      <c r="BH67">
        <v>0</v>
      </c>
      <c r="BI67">
        <v>0</v>
      </c>
      <c r="BJ67">
        <v>51375</v>
      </c>
      <c r="BK67">
        <v>0</v>
      </c>
      <c r="BL67">
        <v>12560</v>
      </c>
      <c r="BM67">
        <v>0</v>
      </c>
      <c r="BN67">
        <v>7407</v>
      </c>
      <c r="BO67">
        <v>41310</v>
      </c>
      <c r="BQ67">
        <v>0</v>
      </c>
      <c r="BS67">
        <v>5428</v>
      </c>
      <c r="BT67">
        <v>11787</v>
      </c>
      <c r="BV67">
        <v>5981</v>
      </c>
    </row>
    <row r="68" spans="1:74" x14ac:dyDescent="0.3">
      <c r="A68" s="155">
        <v>352</v>
      </c>
      <c r="B68" t="s">
        <v>225</v>
      </c>
      <c r="D68">
        <v>0</v>
      </c>
      <c r="E68">
        <v>90000</v>
      </c>
      <c r="G68">
        <v>0</v>
      </c>
      <c r="H68">
        <v>0</v>
      </c>
      <c r="I68">
        <v>0</v>
      </c>
      <c r="J68">
        <v>0</v>
      </c>
      <c r="K68">
        <v>0</v>
      </c>
      <c r="L68">
        <v>67846</v>
      </c>
      <c r="M68">
        <v>328700</v>
      </c>
      <c r="N68">
        <v>0</v>
      </c>
      <c r="O68">
        <v>0</v>
      </c>
      <c r="Q68">
        <v>0</v>
      </c>
      <c r="R68">
        <v>0</v>
      </c>
      <c r="S68">
        <v>0</v>
      </c>
      <c r="T68">
        <v>0</v>
      </c>
      <c r="V68">
        <v>0</v>
      </c>
      <c r="X68">
        <v>6140</v>
      </c>
      <c r="Y68">
        <v>0</v>
      </c>
      <c r="Z68">
        <v>0</v>
      </c>
      <c r="AA68">
        <v>0</v>
      </c>
      <c r="AB68">
        <v>0</v>
      </c>
      <c r="AC68">
        <v>0</v>
      </c>
      <c r="AD68">
        <v>0</v>
      </c>
      <c r="AE68">
        <v>0</v>
      </c>
      <c r="AF68">
        <v>130501</v>
      </c>
      <c r="AG68">
        <v>0</v>
      </c>
      <c r="AH68">
        <v>0</v>
      </c>
      <c r="AI68">
        <v>0</v>
      </c>
      <c r="AJ68">
        <v>0</v>
      </c>
      <c r="AK68">
        <v>0</v>
      </c>
      <c r="AL68">
        <v>81007</v>
      </c>
      <c r="AM68">
        <v>0</v>
      </c>
      <c r="AN68">
        <v>0</v>
      </c>
      <c r="AO68">
        <v>0</v>
      </c>
      <c r="AP68">
        <v>0</v>
      </c>
      <c r="AQ68">
        <v>0</v>
      </c>
      <c r="AR68">
        <v>0</v>
      </c>
      <c r="AS68">
        <v>138543</v>
      </c>
      <c r="AT68">
        <v>60674</v>
      </c>
      <c r="AU68">
        <v>0</v>
      </c>
      <c r="AV68">
        <v>0</v>
      </c>
      <c r="AW68">
        <v>416570</v>
      </c>
      <c r="AX68">
        <v>0</v>
      </c>
      <c r="AY68">
        <v>0</v>
      </c>
      <c r="AZ68">
        <v>1131535</v>
      </c>
      <c r="BA68">
        <v>0</v>
      </c>
      <c r="BB68">
        <v>0</v>
      </c>
      <c r="BC68">
        <v>0</v>
      </c>
      <c r="BD68">
        <v>19818</v>
      </c>
      <c r="BE68">
        <v>0</v>
      </c>
      <c r="BF68">
        <v>943000</v>
      </c>
      <c r="BH68">
        <v>0</v>
      </c>
      <c r="BI68">
        <v>0</v>
      </c>
      <c r="BJ68">
        <v>0</v>
      </c>
      <c r="BK68">
        <v>0</v>
      </c>
      <c r="BL68">
        <v>0</v>
      </c>
      <c r="BM68">
        <v>0</v>
      </c>
      <c r="BN68">
        <v>0</v>
      </c>
      <c r="BO68">
        <v>0</v>
      </c>
      <c r="BQ68">
        <v>0</v>
      </c>
      <c r="BS68">
        <v>50000</v>
      </c>
      <c r="BT68">
        <v>0</v>
      </c>
      <c r="BV68">
        <v>318863</v>
      </c>
    </row>
    <row r="69" spans="1:74" x14ac:dyDescent="0.3">
      <c r="A69" s="155">
        <v>353</v>
      </c>
      <c r="B69" t="s">
        <v>226</v>
      </c>
      <c r="D69">
        <v>0</v>
      </c>
      <c r="E69">
        <v>0</v>
      </c>
      <c r="G69">
        <v>0</v>
      </c>
      <c r="H69">
        <v>0</v>
      </c>
      <c r="I69">
        <v>0</v>
      </c>
      <c r="J69">
        <v>0</v>
      </c>
      <c r="K69">
        <v>0</v>
      </c>
      <c r="L69">
        <v>0</v>
      </c>
      <c r="M69">
        <v>328700</v>
      </c>
      <c r="N69">
        <v>0</v>
      </c>
      <c r="O69">
        <v>0</v>
      </c>
      <c r="Q69">
        <v>0</v>
      </c>
      <c r="R69">
        <v>0</v>
      </c>
      <c r="S69">
        <v>0</v>
      </c>
      <c r="T69">
        <v>0</v>
      </c>
      <c r="V69">
        <v>0</v>
      </c>
      <c r="X69">
        <v>0</v>
      </c>
      <c r="Y69">
        <v>0</v>
      </c>
      <c r="Z69">
        <v>0</v>
      </c>
      <c r="AA69">
        <v>0</v>
      </c>
      <c r="AB69">
        <v>0</v>
      </c>
      <c r="AC69">
        <v>0</v>
      </c>
      <c r="AD69">
        <v>0</v>
      </c>
      <c r="AE69">
        <v>0</v>
      </c>
      <c r="AF69">
        <v>0</v>
      </c>
      <c r="AG69">
        <v>0</v>
      </c>
      <c r="AH69">
        <v>0</v>
      </c>
      <c r="AI69">
        <v>0</v>
      </c>
      <c r="AJ69">
        <v>0</v>
      </c>
      <c r="AK69">
        <v>0</v>
      </c>
      <c r="AL69">
        <v>0</v>
      </c>
      <c r="AM69">
        <v>0</v>
      </c>
      <c r="AN69">
        <v>0</v>
      </c>
      <c r="AO69">
        <v>0</v>
      </c>
      <c r="AP69">
        <v>20000</v>
      </c>
      <c r="AQ69">
        <v>0</v>
      </c>
      <c r="AR69">
        <v>0</v>
      </c>
      <c r="AS69">
        <v>0</v>
      </c>
      <c r="AT69">
        <v>0</v>
      </c>
      <c r="AU69">
        <v>0</v>
      </c>
      <c r="AV69">
        <v>0</v>
      </c>
      <c r="AW69">
        <v>383868</v>
      </c>
      <c r="AX69">
        <v>0</v>
      </c>
      <c r="AY69">
        <v>0</v>
      </c>
      <c r="AZ69">
        <v>0</v>
      </c>
      <c r="BA69">
        <v>0</v>
      </c>
      <c r="BB69">
        <v>3250</v>
      </c>
      <c r="BC69">
        <v>0</v>
      </c>
      <c r="BD69">
        <v>0</v>
      </c>
      <c r="BE69">
        <v>0</v>
      </c>
      <c r="BF69">
        <v>10000</v>
      </c>
      <c r="BH69">
        <v>0</v>
      </c>
      <c r="BI69">
        <v>0</v>
      </c>
      <c r="BJ69">
        <v>117640</v>
      </c>
      <c r="BK69">
        <v>0</v>
      </c>
      <c r="BL69">
        <v>52937</v>
      </c>
      <c r="BM69">
        <v>0</v>
      </c>
      <c r="BN69">
        <v>0</v>
      </c>
      <c r="BO69">
        <v>0</v>
      </c>
      <c r="BQ69">
        <v>0</v>
      </c>
      <c r="BS69">
        <v>0</v>
      </c>
      <c r="BT69">
        <v>0</v>
      </c>
      <c r="BV69">
        <v>0</v>
      </c>
    </row>
    <row r="70" spans="1:74" x14ac:dyDescent="0.3">
      <c r="A70" s="155">
        <v>356</v>
      </c>
      <c r="B70" t="s">
        <v>305</v>
      </c>
      <c r="D70">
        <v>0</v>
      </c>
      <c r="E70">
        <v>0</v>
      </c>
      <c r="G70">
        <v>0</v>
      </c>
      <c r="H70">
        <v>0</v>
      </c>
      <c r="I70">
        <v>0</v>
      </c>
      <c r="J70">
        <v>0</v>
      </c>
      <c r="K70">
        <v>0</v>
      </c>
      <c r="L70">
        <v>3967260</v>
      </c>
      <c r="M70">
        <v>0</v>
      </c>
      <c r="N70">
        <v>0</v>
      </c>
      <c r="O70">
        <v>0</v>
      </c>
      <c r="Q70">
        <v>0</v>
      </c>
      <c r="R70">
        <v>0</v>
      </c>
      <c r="S70">
        <v>0</v>
      </c>
      <c r="T70">
        <v>0</v>
      </c>
      <c r="V70">
        <v>0</v>
      </c>
      <c r="X70">
        <v>0</v>
      </c>
      <c r="Y70">
        <v>0</v>
      </c>
      <c r="Z70">
        <v>92182631</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1952627</v>
      </c>
      <c r="AW70">
        <v>0</v>
      </c>
      <c r="AX70">
        <v>0</v>
      </c>
      <c r="AY70">
        <v>0</v>
      </c>
      <c r="AZ70">
        <v>8720854</v>
      </c>
      <c r="BA70">
        <v>0</v>
      </c>
      <c r="BB70">
        <v>0</v>
      </c>
      <c r="BC70">
        <v>0</v>
      </c>
      <c r="BD70">
        <v>0</v>
      </c>
      <c r="BE70">
        <v>3265685</v>
      </c>
      <c r="BF70">
        <v>35299359</v>
      </c>
      <c r="BH70">
        <v>0</v>
      </c>
      <c r="BI70">
        <v>0</v>
      </c>
      <c r="BJ70">
        <v>19249458</v>
      </c>
      <c r="BK70">
        <v>0</v>
      </c>
      <c r="BL70">
        <v>0</v>
      </c>
      <c r="BM70">
        <v>0</v>
      </c>
      <c r="BN70">
        <v>16862411</v>
      </c>
      <c r="BO70">
        <v>0</v>
      </c>
      <c r="BQ70">
        <v>0</v>
      </c>
      <c r="BS70">
        <v>0</v>
      </c>
      <c r="BT70">
        <v>0</v>
      </c>
      <c r="BV70">
        <v>0</v>
      </c>
    </row>
    <row r="71" spans="1:74" x14ac:dyDescent="0.3">
      <c r="A71" s="155">
        <v>357</v>
      </c>
      <c r="B71" t="s">
        <v>306</v>
      </c>
      <c r="D71">
        <v>0</v>
      </c>
      <c r="E71">
        <v>0</v>
      </c>
      <c r="G71">
        <v>0</v>
      </c>
      <c r="H71">
        <v>0</v>
      </c>
      <c r="I71">
        <v>0</v>
      </c>
      <c r="J71">
        <v>0</v>
      </c>
      <c r="K71">
        <v>0</v>
      </c>
      <c r="L71">
        <v>3168528</v>
      </c>
      <c r="M71">
        <v>0</v>
      </c>
      <c r="N71">
        <v>0</v>
      </c>
      <c r="O71">
        <v>0</v>
      </c>
      <c r="Q71">
        <v>0</v>
      </c>
      <c r="R71">
        <v>0</v>
      </c>
      <c r="S71">
        <v>0</v>
      </c>
      <c r="T71">
        <v>0</v>
      </c>
      <c r="V71">
        <v>0</v>
      </c>
      <c r="X71">
        <v>0</v>
      </c>
      <c r="Y71">
        <v>0</v>
      </c>
      <c r="Z71">
        <v>39692239</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1692088</v>
      </c>
      <c r="AW71">
        <v>0</v>
      </c>
      <c r="AX71">
        <v>0</v>
      </c>
      <c r="AY71">
        <v>0</v>
      </c>
      <c r="AZ71">
        <v>7501412</v>
      </c>
      <c r="BA71">
        <v>0</v>
      </c>
      <c r="BB71">
        <v>0</v>
      </c>
      <c r="BC71">
        <v>0</v>
      </c>
      <c r="BD71">
        <v>0</v>
      </c>
      <c r="BE71">
        <v>2689386</v>
      </c>
      <c r="BF71">
        <v>15854157</v>
      </c>
      <c r="BH71">
        <v>0</v>
      </c>
      <c r="BI71">
        <v>0</v>
      </c>
      <c r="BJ71">
        <v>10512096</v>
      </c>
      <c r="BK71">
        <v>0</v>
      </c>
      <c r="BL71">
        <v>0</v>
      </c>
      <c r="BM71">
        <v>0</v>
      </c>
      <c r="BN71">
        <v>5645128</v>
      </c>
      <c r="BO71">
        <v>0</v>
      </c>
      <c r="BQ71">
        <v>0</v>
      </c>
      <c r="BS71">
        <v>0</v>
      </c>
      <c r="BT71">
        <v>0</v>
      </c>
      <c r="BV71">
        <v>0</v>
      </c>
    </row>
    <row r="72" spans="1:74" x14ac:dyDescent="0.3">
      <c r="A72" s="155">
        <v>359</v>
      </c>
      <c r="B72" t="s">
        <v>247</v>
      </c>
      <c r="D72">
        <v>0</v>
      </c>
      <c r="E72">
        <v>0</v>
      </c>
      <c r="G72">
        <v>0</v>
      </c>
      <c r="H72">
        <v>0</v>
      </c>
      <c r="I72">
        <v>0</v>
      </c>
      <c r="J72">
        <v>0</v>
      </c>
      <c r="K72">
        <v>0</v>
      </c>
      <c r="L72">
        <v>400372</v>
      </c>
      <c r="M72">
        <v>0</v>
      </c>
      <c r="N72">
        <v>0</v>
      </c>
      <c r="O72">
        <v>0</v>
      </c>
      <c r="Q72">
        <v>0</v>
      </c>
      <c r="R72">
        <v>0</v>
      </c>
      <c r="S72">
        <v>0</v>
      </c>
      <c r="T72">
        <v>0</v>
      </c>
      <c r="V72">
        <v>0</v>
      </c>
      <c r="X72">
        <v>0</v>
      </c>
      <c r="Y72">
        <v>0</v>
      </c>
      <c r="Z72">
        <v>4123867</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51616</v>
      </c>
      <c r="BA72">
        <v>0</v>
      </c>
      <c r="BB72">
        <v>0</v>
      </c>
      <c r="BC72">
        <v>0</v>
      </c>
      <c r="BD72">
        <v>0</v>
      </c>
      <c r="BE72">
        <v>146546</v>
      </c>
      <c r="BF72">
        <v>2418987</v>
      </c>
      <c r="BH72">
        <v>0</v>
      </c>
      <c r="BI72">
        <v>0</v>
      </c>
      <c r="BJ72">
        <v>1862328</v>
      </c>
      <c r="BK72">
        <v>0</v>
      </c>
      <c r="BL72">
        <v>0</v>
      </c>
      <c r="BM72">
        <v>0</v>
      </c>
      <c r="BN72">
        <v>21086</v>
      </c>
      <c r="BO72">
        <v>0</v>
      </c>
      <c r="BQ72">
        <v>0</v>
      </c>
      <c r="BS72">
        <v>0</v>
      </c>
      <c r="BT72">
        <v>0</v>
      </c>
      <c r="BV72">
        <v>0</v>
      </c>
    </row>
    <row r="73" spans="1:74" x14ac:dyDescent="0.3">
      <c r="A73" s="155">
        <v>360</v>
      </c>
      <c r="B73" t="s">
        <v>117</v>
      </c>
      <c r="D73">
        <v>0</v>
      </c>
      <c r="E73">
        <v>0</v>
      </c>
      <c r="G73">
        <v>0</v>
      </c>
      <c r="H73">
        <v>0</v>
      </c>
      <c r="I73">
        <v>0</v>
      </c>
      <c r="J73">
        <v>0</v>
      </c>
      <c r="K73">
        <v>0</v>
      </c>
      <c r="L73">
        <v>1445107</v>
      </c>
      <c r="M73">
        <v>0</v>
      </c>
      <c r="N73">
        <v>0</v>
      </c>
      <c r="O73">
        <v>0</v>
      </c>
      <c r="Q73">
        <v>0</v>
      </c>
      <c r="R73">
        <v>0</v>
      </c>
      <c r="S73">
        <v>0</v>
      </c>
      <c r="T73">
        <v>0</v>
      </c>
      <c r="V73">
        <v>0</v>
      </c>
      <c r="X73">
        <v>0</v>
      </c>
      <c r="Y73">
        <v>0</v>
      </c>
      <c r="Z73">
        <v>21919447</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445221</v>
      </c>
      <c r="AW73">
        <v>0</v>
      </c>
      <c r="AX73">
        <v>0</v>
      </c>
      <c r="AY73">
        <v>0</v>
      </c>
      <c r="AZ73">
        <v>2980347</v>
      </c>
      <c r="BA73">
        <v>0</v>
      </c>
      <c r="BB73">
        <v>0</v>
      </c>
      <c r="BC73">
        <v>0</v>
      </c>
      <c r="BD73">
        <v>0</v>
      </c>
      <c r="BE73">
        <v>684848</v>
      </c>
      <c r="BF73">
        <v>6124632</v>
      </c>
      <c r="BH73">
        <v>0</v>
      </c>
      <c r="BI73">
        <v>0</v>
      </c>
      <c r="BJ73">
        <v>5907746</v>
      </c>
      <c r="BK73">
        <v>0</v>
      </c>
      <c r="BL73">
        <v>0</v>
      </c>
      <c r="BM73">
        <v>0</v>
      </c>
      <c r="BN73">
        <v>1704101</v>
      </c>
      <c r="BO73">
        <v>0</v>
      </c>
      <c r="BQ73">
        <v>0</v>
      </c>
      <c r="BS73">
        <v>0</v>
      </c>
      <c r="BT73">
        <v>0</v>
      </c>
      <c r="BV73">
        <v>0</v>
      </c>
    </row>
    <row r="74" spans="1:74" x14ac:dyDescent="0.3">
      <c r="A74" s="155">
        <v>361</v>
      </c>
      <c r="B74" t="s">
        <v>98</v>
      </c>
      <c r="D74">
        <v>0</v>
      </c>
      <c r="E74">
        <v>0</v>
      </c>
      <c r="G74">
        <v>0</v>
      </c>
      <c r="H74">
        <v>0</v>
      </c>
      <c r="I74">
        <v>0</v>
      </c>
      <c r="J74">
        <v>0</v>
      </c>
      <c r="K74">
        <v>0</v>
      </c>
      <c r="L74">
        <v>798043</v>
      </c>
      <c r="M74">
        <v>0</v>
      </c>
      <c r="N74">
        <v>0</v>
      </c>
      <c r="O74">
        <v>0</v>
      </c>
      <c r="Q74">
        <v>0</v>
      </c>
      <c r="R74">
        <v>0</v>
      </c>
      <c r="S74">
        <v>0</v>
      </c>
      <c r="T74">
        <v>0</v>
      </c>
      <c r="V74">
        <v>0</v>
      </c>
      <c r="X74">
        <v>0</v>
      </c>
      <c r="Y74">
        <v>0</v>
      </c>
      <c r="Z74">
        <v>37640756</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2072223</v>
      </c>
      <c r="AW74">
        <v>0</v>
      </c>
      <c r="AX74">
        <v>0</v>
      </c>
      <c r="AY74">
        <v>0</v>
      </c>
      <c r="AZ74">
        <v>1871482</v>
      </c>
      <c r="BA74">
        <v>0</v>
      </c>
      <c r="BB74">
        <v>0</v>
      </c>
      <c r="BC74">
        <v>0</v>
      </c>
      <c r="BD74">
        <v>0</v>
      </c>
      <c r="BE74">
        <v>2396215</v>
      </c>
      <c r="BF74">
        <v>11024735</v>
      </c>
      <c r="BH74">
        <v>0</v>
      </c>
      <c r="BI74">
        <v>0</v>
      </c>
      <c r="BJ74">
        <v>11751896</v>
      </c>
      <c r="BK74">
        <v>0</v>
      </c>
      <c r="BL74">
        <v>0</v>
      </c>
      <c r="BM74">
        <v>0</v>
      </c>
      <c r="BN74">
        <v>6946713</v>
      </c>
      <c r="BO74">
        <v>0</v>
      </c>
      <c r="BQ74">
        <v>0</v>
      </c>
      <c r="BS74">
        <v>0</v>
      </c>
      <c r="BT74">
        <v>0</v>
      </c>
      <c r="BV74">
        <v>0</v>
      </c>
    </row>
    <row r="75" spans="1:74" x14ac:dyDescent="0.3">
      <c r="A75" s="155">
        <v>362</v>
      </c>
      <c r="B75" t="s">
        <v>99</v>
      </c>
      <c r="D75">
        <v>0</v>
      </c>
      <c r="E75">
        <v>0</v>
      </c>
      <c r="G75">
        <v>0</v>
      </c>
      <c r="H75">
        <v>0</v>
      </c>
      <c r="I75">
        <v>0</v>
      </c>
      <c r="J75">
        <v>0</v>
      </c>
      <c r="K75">
        <v>0</v>
      </c>
      <c r="L75">
        <v>1279996</v>
      </c>
      <c r="M75">
        <v>0</v>
      </c>
      <c r="N75">
        <v>0</v>
      </c>
      <c r="O75">
        <v>0</v>
      </c>
      <c r="Q75">
        <v>0</v>
      </c>
      <c r="R75">
        <v>0</v>
      </c>
      <c r="S75">
        <v>0</v>
      </c>
      <c r="T75">
        <v>0</v>
      </c>
      <c r="V75">
        <v>0</v>
      </c>
      <c r="X75">
        <v>0</v>
      </c>
      <c r="Y75">
        <v>0</v>
      </c>
      <c r="Z75">
        <v>88693124</v>
      </c>
      <c r="AA75">
        <v>0</v>
      </c>
      <c r="AB75">
        <v>0</v>
      </c>
      <c r="AC75">
        <v>0</v>
      </c>
      <c r="AD75">
        <v>0</v>
      </c>
      <c r="AE75">
        <v>0</v>
      </c>
      <c r="AF75">
        <v>0</v>
      </c>
      <c r="AG75">
        <v>0</v>
      </c>
      <c r="AH75">
        <v>0</v>
      </c>
      <c r="AI75">
        <v>0</v>
      </c>
      <c r="AJ75">
        <v>0</v>
      </c>
      <c r="AK75">
        <v>0</v>
      </c>
      <c r="AL75">
        <v>0</v>
      </c>
      <c r="AM75">
        <v>0</v>
      </c>
      <c r="AN75">
        <v>0</v>
      </c>
      <c r="AO75">
        <v>0</v>
      </c>
      <c r="AP75">
        <v>0</v>
      </c>
      <c r="AQ75">
        <v>0</v>
      </c>
      <c r="AR75">
        <v>0</v>
      </c>
      <c r="AS75">
        <v>0</v>
      </c>
      <c r="AT75">
        <v>0</v>
      </c>
      <c r="AU75">
        <v>0</v>
      </c>
      <c r="AV75">
        <v>2344305</v>
      </c>
      <c r="AW75">
        <v>0</v>
      </c>
      <c r="AX75">
        <v>0</v>
      </c>
      <c r="AY75">
        <v>0</v>
      </c>
      <c r="AZ75">
        <v>3472569</v>
      </c>
      <c r="BA75">
        <v>0</v>
      </c>
      <c r="BB75">
        <v>0</v>
      </c>
      <c r="BC75">
        <v>0</v>
      </c>
      <c r="BD75">
        <v>0</v>
      </c>
      <c r="BE75">
        <v>2866639</v>
      </c>
      <c r="BF75">
        <v>34099703</v>
      </c>
      <c r="BH75">
        <v>0</v>
      </c>
      <c r="BI75">
        <v>0</v>
      </c>
      <c r="BJ75">
        <v>19930142</v>
      </c>
      <c r="BK75">
        <v>0</v>
      </c>
      <c r="BL75">
        <v>0</v>
      </c>
      <c r="BM75">
        <v>0</v>
      </c>
      <c r="BN75">
        <v>18163960</v>
      </c>
      <c r="BO75">
        <v>0</v>
      </c>
      <c r="BQ75">
        <v>0</v>
      </c>
      <c r="BS75">
        <v>0</v>
      </c>
      <c r="BT75">
        <v>0</v>
      </c>
      <c r="BV75">
        <v>0</v>
      </c>
    </row>
    <row r="76" spans="1:74" x14ac:dyDescent="0.3">
      <c r="A76" s="155">
        <v>363</v>
      </c>
      <c r="B76" t="s">
        <v>233</v>
      </c>
      <c r="D76">
        <v>0</v>
      </c>
      <c r="E76">
        <v>0</v>
      </c>
      <c r="G76">
        <v>0</v>
      </c>
      <c r="H76">
        <v>0</v>
      </c>
      <c r="I76">
        <v>0</v>
      </c>
      <c r="J76">
        <v>0</v>
      </c>
      <c r="K76">
        <v>0</v>
      </c>
      <c r="L76">
        <v>5364</v>
      </c>
      <c r="M76">
        <v>0</v>
      </c>
      <c r="N76">
        <v>0</v>
      </c>
      <c r="O76">
        <v>0</v>
      </c>
      <c r="Q76">
        <v>0</v>
      </c>
      <c r="R76">
        <v>0</v>
      </c>
      <c r="S76">
        <v>0</v>
      </c>
      <c r="T76">
        <v>0</v>
      </c>
      <c r="V76">
        <v>0</v>
      </c>
      <c r="X76">
        <v>0</v>
      </c>
      <c r="Y76">
        <v>0</v>
      </c>
      <c r="Z76">
        <v>912310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0</v>
      </c>
      <c r="AU76">
        <v>0</v>
      </c>
      <c r="AV76">
        <v>15361</v>
      </c>
      <c r="AW76">
        <v>0</v>
      </c>
      <c r="AX76">
        <v>0</v>
      </c>
      <c r="AY76">
        <v>0</v>
      </c>
      <c r="AZ76">
        <v>3001</v>
      </c>
      <c r="BA76">
        <v>0</v>
      </c>
      <c r="BB76">
        <v>0</v>
      </c>
      <c r="BC76">
        <v>0</v>
      </c>
      <c r="BD76">
        <v>0</v>
      </c>
      <c r="BE76">
        <v>32743</v>
      </c>
      <c r="BF76">
        <v>3998</v>
      </c>
      <c r="BH76">
        <v>0</v>
      </c>
      <c r="BI76">
        <v>0</v>
      </c>
      <c r="BJ76">
        <v>10712</v>
      </c>
      <c r="BK76">
        <v>0</v>
      </c>
      <c r="BL76">
        <v>0</v>
      </c>
      <c r="BM76">
        <v>0</v>
      </c>
      <c r="BN76">
        <v>111413</v>
      </c>
      <c r="BO76">
        <v>0</v>
      </c>
      <c r="BQ76">
        <v>0</v>
      </c>
      <c r="BS76">
        <v>0</v>
      </c>
      <c r="BT76">
        <v>0</v>
      </c>
      <c r="BV76">
        <v>0</v>
      </c>
    </row>
    <row r="77" spans="1:74" x14ac:dyDescent="0.3">
      <c r="A77" s="155">
        <v>364</v>
      </c>
      <c r="B77" t="s">
        <v>234</v>
      </c>
      <c r="D77">
        <v>0</v>
      </c>
      <c r="E77">
        <v>0</v>
      </c>
      <c r="G77">
        <v>0</v>
      </c>
      <c r="H77">
        <v>0</v>
      </c>
      <c r="I77">
        <v>0</v>
      </c>
      <c r="J77">
        <v>0</v>
      </c>
      <c r="K77">
        <v>0</v>
      </c>
      <c r="L77">
        <v>18263</v>
      </c>
      <c r="M77">
        <v>0</v>
      </c>
      <c r="N77">
        <v>0</v>
      </c>
      <c r="O77">
        <v>0</v>
      </c>
      <c r="Q77">
        <v>0</v>
      </c>
      <c r="R77">
        <v>0</v>
      </c>
      <c r="S77">
        <v>0</v>
      </c>
      <c r="T77">
        <v>0</v>
      </c>
      <c r="V77">
        <v>0</v>
      </c>
      <c r="X77">
        <v>0</v>
      </c>
      <c r="Y77">
        <v>0</v>
      </c>
      <c r="Z77">
        <v>71235</v>
      </c>
      <c r="AA77">
        <v>0</v>
      </c>
      <c r="AB77">
        <v>0</v>
      </c>
      <c r="AC77">
        <v>0</v>
      </c>
      <c r="AD77">
        <v>0</v>
      </c>
      <c r="AE77">
        <v>0</v>
      </c>
      <c r="AF77">
        <v>0</v>
      </c>
      <c r="AG77">
        <v>0</v>
      </c>
      <c r="AH77">
        <v>0</v>
      </c>
      <c r="AI77">
        <v>0</v>
      </c>
      <c r="AJ77">
        <v>0</v>
      </c>
      <c r="AK77">
        <v>0</v>
      </c>
      <c r="AL77">
        <v>0</v>
      </c>
      <c r="AM77">
        <v>0</v>
      </c>
      <c r="AN77">
        <v>0</v>
      </c>
      <c r="AO77">
        <v>0</v>
      </c>
      <c r="AP77">
        <v>0</v>
      </c>
      <c r="AQ77">
        <v>0</v>
      </c>
      <c r="AR77">
        <v>0</v>
      </c>
      <c r="AS77">
        <v>0</v>
      </c>
      <c r="AT77">
        <v>0</v>
      </c>
      <c r="AU77">
        <v>0</v>
      </c>
      <c r="AV77">
        <v>0</v>
      </c>
      <c r="AW77">
        <v>0</v>
      </c>
      <c r="AX77">
        <v>0</v>
      </c>
      <c r="AY77">
        <v>0</v>
      </c>
      <c r="AZ77">
        <v>1485</v>
      </c>
      <c r="BA77">
        <v>0</v>
      </c>
      <c r="BB77">
        <v>0</v>
      </c>
      <c r="BC77">
        <v>0</v>
      </c>
      <c r="BD77">
        <v>0</v>
      </c>
      <c r="BE77">
        <v>6123</v>
      </c>
      <c r="BF77">
        <v>53387</v>
      </c>
      <c r="BH77">
        <v>0</v>
      </c>
      <c r="BI77">
        <v>0</v>
      </c>
      <c r="BJ77">
        <v>54644</v>
      </c>
      <c r="BK77">
        <v>0</v>
      </c>
      <c r="BL77">
        <v>0</v>
      </c>
      <c r="BM77">
        <v>0</v>
      </c>
      <c r="BN77">
        <v>0</v>
      </c>
      <c r="BO77">
        <v>0</v>
      </c>
      <c r="BQ77">
        <v>0</v>
      </c>
      <c r="BS77">
        <v>0</v>
      </c>
      <c r="BT77">
        <v>0</v>
      </c>
      <c r="BV77">
        <v>0</v>
      </c>
    </row>
    <row r="78" spans="1:74" x14ac:dyDescent="0.3">
      <c r="A78" s="155">
        <v>365</v>
      </c>
      <c r="B78" t="s">
        <v>236</v>
      </c>
      <c r="D78">
        <v>0</v>
      </c>
      <c r="E78">
        <v>0</v>
      </c>
      <c r="G78">
        <v>0</v>
      </c>
      <c r="H78">
        <v>0</v>
      </c>
      <c r="I78">
        <v>0</v>
      </c>
      <c r="J78">
        <v>0</v>
      </c>
      <c r="K78">
        <v>0</v>
      </c>
      <c r="L78">
        <v>0</v>
      </c>
      <c r="M78">
        <v>0</v>
      </c>
      <c r="N78">
        <v>0</v>
      </c>
      <c r="O78">
        <v>0</v>
      </c>
      <c r="Q78">
        <v>0</v>
      </c>
      <c r="R78">
        <v>0</v>
      </c>
      <c r="S78">
        <v>0</v>
      </c>
      <c r="T78">
        <v>0</v>
      </c>
      <c r="V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H78">
        <v>0</v>
      </c>
      <c r="BI78">
        <v>0</v>
      </c>
      <c r="BJ78">
        <v>0</v>
      </c>
      <c r="BK78">
        <v>0</v>
      </c>
      <c r="BL78">
        <v>0</v>
      </c>
      <c r="BM78">
        <v>0</v>
      </c>
      <c r="BN78">
        <v>0</v>
      </c>
      <c r="BO78">
        <v>0</v>
      </c>
      <c r="BQ78">
        <v>0</v>
      </c>
      <c r="BS78">
        <v>0</v>
      </c>
      <c r="BT78">
        <v>0</v>
      </c>
      <c r="BV78">
        <v>0</v>
      </c>
    </row>
    <row r="79" spans="1:74" x14ac:dyDescent="0.3">
      <c r="A79" s="155">
        <v>366</v>
      </c>
      <c r="B79" t="s">
        <v>885</v>
      </c>
      <c r="D79">
        <v>0</v>
      </c>
      <c r="E79">
        <v>0</v>
      </c>
      <c r="G79">
        <v>0</v>
      </c>
      <c r="H79">
        <v>0</v>
      </c>
      <c r="I79">
        <v>0</v>
      </c>
      <c r="J79">
        <v>0</v>
      </c>
      <c r="K79">
        <v>0</v>
      </c>
      <c r="L79">
        <v>30994</v>
      </c>
      <c r="M79">
        <v>0</v>
      </c>
      <c r="N79">
        <v>0</v>
      </c>
      <c r="O79">
        <v>0</v>
      </c>
      <c r="Q79">
        <v>0</v>
      </c>
      <c r="R79">
        <v>0</v>
      </c>
      <c r="S79">
        <v>0</v>
      </c>
      <c r="T79">
        <v>0</v>
      </c>
      <c r="V79">
        <v>0</v>
      </c>
      <c r="X79">
        <v>0</v>
      </c>
      <c r="Y79">
        <v>0</v>
      </c>
      <c r="Z79">
        <v>2550000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33599</v>
      </c>
      <c r="AW79">
        <v>0</v>
      </c>
      <c r="AX79">
        <v>0</v>
      </c>
      <c r="AY79">
        <v>0</v>
      </c>
      <c r="AZ79">
        <v>175000</v>
      </c>
      <c r="BA79">
        <v>0</v>
      </c>
      <c r="BB79">
        <v>0</v>
      </c>
      <c r="BC79">
        <v>0</v>
      </c>
      <c r="BD79">
        <v>0</v>
      </c>
      <c r="BE79">
        <v>0</v>
      </c>
      <c r="BF79">
        <v>1305818</v>
      </c>
      <c r="BH79">
        <v>0</v>
      </c>
      <c r="BI79">
        <v>0</v>
      </c>
      <c r="BJ79">
        <v>0</v>
      </c>
      <c r="BK79">
        <v>0</v>
      </c>
      <c r="BL79">
        <v>0</v>
      </c>
      <c r="BM79">
        <v>0</v>
      </c>
      <c r="BN79">
        <v>0</v>
      </c>
      <c r="BO79">
        <v>0</v>
      </c>
      <c r="BQ79">
        <v>0</v>
      </c>
      <c r="BS79">
        <v>0</v>
      </c>
      <c r="BT79">
        <v>0</v>
      </c>
      <c r="BV79">
        <v>0</v>
      </c>
    </row>
    <row r="80" spans="1:74" x14ac:dyDescent="0.3">
      <c r="A80" s="155">
        <v>368</v>
      </c>
      <c r="B80" t="s">
        <v>191</v>
      </c>
      <c r="D80">
        <v>0</v>
      </c>
      <c r="E80">
        <v>78874</v>
      </c>
      <c r="G80">
        <v>0</v>
      </c>
      <c r="H80">
        <v>0</v>
      </c>
      <c r="I80">
        <v>0</v>
      </c>
      <c r="J80">
        <v>0</v>
      </c>
      <c r="K80">
        <v>0</v>
      </c>
      <c r="L80">
        <v>0</v>
      </c>
      <c r="M80">
        <v>0</v>
      </c>
      <c r="N80">
        <v>0</v>
      </c>
      <c r="O80">
        <v>0</v>
      </c>
      <c r="Q80">
        <v>0</v>
      </c>
      <c r="R80">
        <v>0</v>
      </c>
      <c r="S80">
        <v>0</v>
      </c>
      <c r="T80">
        <v>0</v>
      </c>
      <c r="V80">
        <v>0</v>
      </c>
      <c r="X80">
        <v>0</v>
      </c>
      <c r="Y80">
        <v>0</v>
      </c>
      <c r="Z80">
        <v>238941</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H80">
        <v>0</v>
      </c>
      <c r="BI80">
        <v>0</v>
      </c>
      <c r="BJ80">
        <v>0</v>
      </c>
      <c r="BK80">
        <v>0</v>
      </c>
      <c r="BL80">
        <v>879051</v>
      </c>
      <c r="BM80">
        <v>0</v>
      </c>
      <c r="BN80">
        <v>2003</v>
      </c>
      <c r="BO80">
        <v>0</v>
      </c>
      <c r="BQ80">
        <v>0</v>
      </c>
      <c r="BS80">
        <v>0</v>
      </c>
      <c r="BT80">
        <v>0</v>
      </c>
      <c r="BV80">
        <v>0</v>
      </c>
    </row>
    <row r="81" spans="1:74" x14ac:dyDescent="0.3">
      <c r="A81" s="155">
        <v>369</v>
      </c>
      <c r="B81" t="s">
        <v>196</v>
      </c>
      <c r="D81">
        <v>2496114</v>
      </c>
      <c r="E81">
        <v>21422923</v>
      </c>
      <c r="G81">
        <v>3228685</v>
      </c>
      <c r="H81">
        <v>906440</v>
      </c>
      <c r="I81">
        <v>37637</v>
      </c>
      <c r="J81">
        <v>421357</v>
      </c>
      <c r="K81">
        <v>1184614</v>
      </c>
      <c r="L81">
        <v>1612986</v>
      </c>
      <c r="M81">
        <v>2715897</v>
      </c>
      <c r="N81">
        <v>158873</v>
      </c>
      <c r="O81">
        <v>124950</v>
      </c>
      <c r="Q81">
        <v>282957</v>
      </c>
      <c r="R81">
        <v>737840</v>
      </c>
      <c r="S81">
        <v>310649</v>
      </c>
      <c r="T81">
        <v>6245429</v>
      </c>
      <c r="V81">
        <v>336171</v>
      </c>
      <c r="X81">
        <v>4178169</v>
      </c>
      <c r="Y81">
        <v>1001827</v>
      </c>
      <c r="Z81">
        <v>27001006</v>
      </c>
      <c r="AA81">
        <v>1509553</v>
      </c>
      <c r="AB81">
        <v>244248</v>
      </c>
      <c r="AC81">
        <v>130724</v>
      </c>
      <c r="AD81">
        <v>675434</v>
      </c>
      <c r="AE81">
        <v>840187</v>
      </c>
      <c r="AF81">
        <v>298452</v>
      </c>
      <c r="AG81">
        <v>177979</v>
      </c>
      <c r="AH81">
        <v>1750912</v>
      </c>
      <c r="AI81">
        <v>78673</v>
      </c>
      <c r="AJ81">
        <v>1656580</v>
      </c>
      <c r="AK81">
        <v>93258</v>
      </c>
      <c r="AL81">
        <v>636048</v>
      </c>
      <c r="AM81">
        <v>2088190</v>
      </c>
      <c r="AN81">
        <v>18887</v>
      </c>
      <c r="AO81">
        <v>17942884</v>
      </c>
      <c r="AP81">
        <v>391984</v>
      </c>
      <c r="AQ81">
        <v>127675</v>
      </c>
      <c r="AR81">
        <v>174665</v>
      </c>
      <c r="AS81">
        <v>4686274</v>
      </c>
      <c r="AT81">
        <v>91771</v>
      </c>
      <c r="AU81">
        <v>326654</v>
      </c>
      <c r="AV81">
        <v>916525</v>
      </c>
      <c r="AW81">
        <v>230591</v>
      </c>
      <c r="AX81">
        <v>143401</v>
      </c>
      <c r="AY81">
        <v>98331</v>
      </c>
      <c r="AZ81">
        <v>1143520</v>
      </c>
      <c r="BA81">
        <v>552145</v>
      </c>
      <c r="BB81">
        <v>19232</v>
      </c>
      <c r="BC81">
        <v>55869</v>
      </c>
      <c r="BD81">
        <v>3450036</v>
      </c>
      <c r="BE81">
        <v>658603</v>
      </c>
      <c r="BF81">
        <v>3283408</v>
      </c>
      <c r="BH81">
        <v>131463</v>
      </c>
      <c r="BI81">
        <v>75538</v>
      </c>
      <c r="BJ81">
        <v>5257824</v>
      </c>
      <c r="BK81">
        <v>744196</v>
      </c>
      <c r="BL81">
        <v>7503653</v>
      </c>
      <c r="BM81">
        <v>628668</v>
      </c>
      <c r="BN81">
        <v>1910964</v>
      </c>
      <c r="BO81">
        <v>1247713</v>
      </c>
      <c r="BQ81">
        <v>1410670</v>
      </c>
      <c r="BS81">
        <v>434030</v>
      </c>
      <c r="BT81">
        <v>652667</v>
      </c>
      <c r="BV81">
        <v>1225395</v>
      </c>
    </row>
    <row r="82" spans="1:74" x14ac:dyDescent="0.3">
      <c r="A82" s="155">
        <v>370</v>
      </c>
      <c r="B82" t="s">
        <v>198</v>
      </c>
      <c r="D82">
        <v>299619</v>
      </c>
      <c r="E82">
        <v>58489692</v>
      </c>
      <c r="G82">
        <v>203405</v>
      </c>
      <c r="H82">
        <v>0</v>
      </c>
      <c r="I82">
        <v>0</v>
      </c>
      <c r="J82">
        <v>0</v>
      </c>
      <c r="K82">
        <v>0</v>
      </c>
      <c r="L82">
        <v>186287</v>
      </c>
      <c r="M82">
        <v>437342</v>
      </c>
      <c r="N82">
        <v>0</v>
      </c>
      <c r="O82">
        <v>17567</v>
      </c>
      <c r="Q82">
        <v>0</v>
      </c>
      <c r="R82">
        <v>40848</v>
      </c>
      <c r="S82">
        <v>0</v>
      </c>
      <c r="T82">
        <v>1654341</v>
      </c>
      <c r="V82">
        <v>0</v>
      </c>
      <c r="X82">
        <v>428038</v>
      </c>
      <c r="Y82">
        <v>669</v>
      </c>
      <c r="Z82">
        <v>6000052</v>
      </c>
      <c r="AA82">
        <v>609738</v>
      </c>
      <c r="AB82">
        <v>0</v>
      </c>
      <c r="AC82">
        <v>0</v>
      </c>
      <c r="AD82">
        <v>3493</v>
      </c>
      <c r="AE82">
        <v>46512</v>
      </c>
      <c r="AF82">
        <v>15553</v>
      </c>
      <c r="AG82">
        <v>8301</v>
      </c>
      <c r="AH82">
        <v>448460</v>
      </c>
      <c r="AI82">
        <v>0</v>
      </c>
      <c r="AJ82">
        <v>154631</v>
      </c>
      <c r="AK82">
        <v>0</v>
      </c>
      <c r="AL82">
        <v>53114</v>
      </c>
      <c r="AM82">
        <v>274529</v>
      </c>
      <c r="AN82">
        <v>0</v>
      </c>
      <c r="AO82">
        <v>1297221</v>
      </c>
      <c r="AP82">
        <v>35671</v>
      </c>
      <c r="AQ82">
        <v>0</v>
      </c>
      <c r="AR82">
        <v>20652</v>
      </c>
      <c r="AS82">
        <v>1449112</v>
      </c>
      <c r="AT82">
        <v>12331</v>
      </c>
      <c r="AU82">
        <v>0</v>
      </c>
      <c r="AV82">
        <v>0</v>
      </c>
      <c r="AW82">
        <v>26969</v>
      </c>
      <c r="AX82">
        <v>0</v>
      </c>
      <c r="AY82">
        <v>0</v>
      </c>
      <c r="AZ82">
        <v>255439</v>
      </c>
      <c r="BA82">
        <v>112500</v>
      </c>
      <c r="BB82">
        <v>0</v>
      </c>
      <c r="BC82">
        <v>0</v>
      </c>
      <c r="BD82">
        <v>380573</v>
      </c>
      <c r="BE82">
        <v>73153</v>
      </c>
      <c r="BF82">
        <v>6684906</v>
      </c>
      <c r="BH82">
        <v>0</v>
      </c>
      <c r="BI82">
        <v>0</v>
      </c>
      <c r="BJ82">
        <v>3168809</v>
      </c>
      <c r="BK82">
        <v>0</v>
      </c>
      <c r="BL82">
        <v>1462291</v>
      </c>
      <c r="BM82">
        <v>52128</v>
      </c>
      <c r="BN82">
        <v>386875</v>
      </c>
      <c r="BO82">
        <v>0</v>
      </c>
      <c r="BQ82">
        <v>0</v>
      </c>
      <c r="BS82">
        <v>0</v>
      </c>
      <c r="BT82">
        <v>60953</v>
      </c>
      <c r="BV82">
        <v>74281</v>
      </c>
    </row>
    <row r="83" spans="1:74" x14ac:dyDescent="0.3">
      <c r="A83" s="155">
        <v>371</v>
      </c>
      <c r="B83" t="s">
        <v>248</v>
      </c>
      <c r="D83">
        <v>0</v>
      </c>
      <c r="E83">
        <v>64960480</v>
      </c>
      <c r="G83">
        <v>0</v>
      </c>
      <c r="H83">
        <v>0</v>
      </c>
      <c r="I83">
        <v>0</v>
      </c>
      <c r="J83">
        <v>0</v>
      </c>
      <c r="K83">
        <v>0</v>
      </c>
      <c r="L83">
        <v>0</v>
      </c>
      <c r="M83">
        <v>0</v>
      </c>
      <c r="N83">
        <v>0</v>
      </c>
      <c r="O83">
        <v>0</v>
      </c>
      <c r="Q83">
        <v>0</v>
      </c>
      <c r="R83">
        <v>0</v>
      </c>
      <c r="S83">
        <v>0</v>
      </c>
      <c r="T83">
        <v>0</v>
      </c>
      <c r="V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H83">
        <v>0</v>
      </c>
      <c r="BI83">
        <v>0</v>
      </c>
      <c r="BJ83">
        <v>0</v>
      </c>
      <c r="BK83">
        <v>0</v>
      </c>
      <c r="BL83">
        <v>0</v>
      </c>
      <c r="BM83">
        <v>0</v>
      </c>
      <c r="BN83">
        <v>0</v>
      </c>
      <c r="BO83">
        <v>0</v>
      </c>
      <c r="BQ83">
        <v>0</v>
      </c>
      <c r="BS83">
        <v>0</v>
      </c>
      <c r="BT83">
        <v>0</v>
      </c>
      <c r="BV83">
        <v>0</v>
      </c>
    </row>
    <row r="84" spans="1:74" x14ac:dyDescent="0.3">
      <c r="A84" s="155">
        <v>373</v>
      </c>
      <c r="B84" t="s">
        <v>302</v>
      </c>
      <c r="D84">
        <v>6267559</v>
      </c>
      <c r="E84">
        <v>1087635877</v>
      </c>
      <c r="G84">
        <v>11236847</v>
      </c>
      <c r="H84">
        <v>3211704</v>
      </c>
      <c r="I84">
        <v>11965</v>
      </c>
      <c r="J84">
        <v>116026</v>
      </c>
      <c r="K84">
        <v>1946549</v>
      </c>
      <c r="L84">
        <v>4400538</v>
      </c>
      <c r="M84">
        <v>54828022</v>
      </c>
      <c r="N84">
        <v>85817</v>
      </c>
      <c r="O84">
        <v>748144</v>
      </c>
      <c r="Q84">
        <v>461913</v>
      </c>
      <c r="R84">
        <v>842299</v>
      </c>
      <c r="S84">
        <v>2555715</v>
      </c>
      <c r="T84">
        <v>19406301</v>
      </c>
      <c r="V84">
        <v>473592</v>
      </c>
      <c r="X84">
        <v>14308122</v>
      </c>
      <c r="Y84">
        <v>2092288</v>
      </c>
      <c r="Z84">
        <v>113099523</v>
      </c>
      <c r="AA84">
        <v>14570566</v>
      </c>
      <c r="AB84">
        <v>91672</v>
      </c>
      <c r="AC84">
        <v>716662</v>
      </c>
      <c r="AD84">
        <v>2961235</v>
      </c>
      <c r="AE84">
        <v>2069134</v>
      </c>
      <c r="AF84">
        <v>418067</v>
      </c>
      <c r="AG84">
        <v>1628268</v>
      </c>
      <c r="AH84">
        <v>13813699</v>
      </c>
      <c r="AI84">
        <v>45919</v>
      </c>
      <c r="AJ84">
        <v>5981333</v>
      </c>
      <c r="AK84">
        <v>102394</v>
      </c>
      <c r="AL84">
        <v>952505</v>
      </c>
      <c r="AM84">
        <v>8264855</v>
      </c>
      <c r="AN84">
        <v>0</v>
      </c>
      <c r="AO84">
        <v>66293296</v>
      </c>
      <c r="AP84">
        <v>1607334</v>
      </c>
      <c r="AQ84">
        <v>377607</v>
      </c>
      <c r="AR84">
        <v>157387</v>
      </c>
      <c r="AS84">
        <v>56971003</v>
      </c>
      <c r="AT84">
        <v>333341</v>
      </c>
      <c r="AU84">
        <v>3672815</v>
      </c>
      <c r="AV84">
        <v>4533341</v>
      </c>
      <c r="AW84">
        <v>360594</v>
      </c>
      <c r="AX84">
        <v>551921</v>
      </c>
      <c r="AY84">
        <v>225159</v>
      </c>
      <c r="AZ84">
        <v>10969322</v>
      </c>
      <c r="BA84">
        <v>2746327</v>
      </c>
      <c r="BB84">
        <v>197781</v>
      </c>
      <c r="BC84">
        <v>232979</v>
      </c>
      <c r="BD84">
        <v>5637116</v>
      </c>
      <c r="BE84">
        <v>1041532</v>
      </c>
      <c r="BF84">
        <v>36645264</v>
      </c>
      <c r="BH84">
        <v>362899</v>
      </c>
      <c r="BI84">
        <v>91794</v>
      </c>
      <c r="BJ84">
        <v>61033470</v>
      </c>
      <c r="BK84">
        <v>1316881</v>
      </c>
      <c r="BL84">
        <v>27382882</v>
      </c>
      <c r="BM84">
        <v>9548378</v>
      </c>
      <c r="BN84">
        <v>9642438</v>
      </c>
      <c r="BO84">
        <v>1315802</v>
      </c>
      <c r="BQ84">
        <v>4420617</v>
      </c>
      <c r="BS84">
        <v>3850952</v>
      </c>
      <c r="BT84">
        <v>1217219</v>
      </c>
      <c r="BV84">
        <v>3193688</v>
      </c>
    </row>
    <row r="85" spans="1:74" x14ac:dyDescent="0.3">
      <c r="A85" s="155">
        <v>375</v>
      </c>
      <c r="B85" t="s">
        <v>213</v>
      </c>
      <c r="D85">
        <v>6330136</v>
      </c>
      <c r="E85">
        <v>441659463</v>
      </c>
      <c r="G85">
        <v>2149104</v>
      </c>
      <c r="H85">
        <v>1350291</v>
      </c>
      <c r="I85">
        <v>0</v>
      </c>
      <c r="J85">
        <v>0</v>
      </c>
      <c r="K85">
        <v>0</v>
      </c>
      <c r="L85">
        <v>90078</v>
      </c>
      <c r="M85">
        <v>7566430</v>
      </c>
      <c r="N85">
        <v>0</v>
      </c>
      <c r="O85">
        <v>549199</v>
      </c>
      <c r="Q85">
        <v>0</v>
      </c>
      <c r="R85">
        <v>0</v>
      </c>
      <c r="S85">
        <v>2218848</v>
      </c>
      <c r="T85">
        <v>0</v>
      </c>
      <c r="V85">
        <v>408822</v>
      </c>
      <c r="X85">
        <v>3242290</v>
      </c>
      <c r="Y85">
        <v>0</v>
      </c>
      <c r="Z85">
        <v>12465178</v>
      </c>
      <c r="AA85">
        <v>0</v>
      </c>
      <c r="AB85">
        <v>19982</v>
      </c>
      <c r="AC85">
        <v>96465</v>
      </c>
      <c r="AD85">
        <v>581880</v>
      </c>
      <c r="AE85">
        <v>-1953262</v>
      </c>
      <c r="AF85">
        <v>452529</v>
      </c>
      <c r="AG85">
        <v>46924</v>
      </c>
      <c r="AH85">
        <v>1363875</v>
      </c>
      <c r="AI85">
        <v>0</v>
      </c>
      <c r="AJ85">
        <v>0</v>
      </c>
      <c r="AK85">
        <v>0</v>
      </c>
      <c r="AL85">
        <v>989713</v>
      </c>
      <c r="AM85">
        <v>1081715</v>
      </c>
      <c r="AN85">
        <v>367490</v>
      </c>
      <c r="AO85">
        <v>39160404</v>
      </c>
      <c r="AP85">
        <v>868188</v>
      </c>
      <c r="AQ85">
        <v>0</v>
      </c>
      <c r="AR85">
        <v>73906</v>
      </c>
      <c r="AS85">
        <v>4019836</v>
      </c>
      <c r="AT85">
        <v>709137</v>
      </c>
      <c r="AU85">
        <v>5005897</v>
      </c>
      <c r="AV85">
        <v>715089</v>
      </c>
      <c r="AW85">
        <v>0</v>
      </c>
      <c r="AX85">
        <v>0</v>
      </c>
      <c r="AY85">
        <v>0</v>
      </c>
      <c r="AZ85">
        <v>5628881</v>
      </c>
      <c r="BA85">
        <v>309135</v>
      </c>
      <c r="BB85">
        <v>768127</v>
      </c>
      <c r="BC85">
        <v>579577</v>
      </c>
      <c r="BD85">
        <v>7268887</v>
      </c>
      <c r="BE85">
        <v>376081</v>
      </c>
      <c r="BF85">
        <v>9170030</v>
      </c>
      <c r="BH85">
        <v>0</v>
      </c>
      <c r="BI85">
        <v>865343</v>
      </c>
      <c r="BJ85">
        <v>12887080</v>
      </c>
      <c r="BK85">
        <v>1077266</v>
      </c>
      <c r="BL85">
        <v>18409486</v>
      </c>
      <c r="BM85">
        <v>0</v>
      </c>
      <c r="BN85">
        <v>3112932</v>
      </c>
      <c r="BO85">
        <v>1327707</v>
      </c>
      <c r="BQ85">
        <v>0</v>
      </c>
      <c r="BS85">
        <v>365073</v>
      </c>
      <c r="BT85">
        <v>564385</v>
      </c>
      <c r="BV85">
        <v>179721</v>
      </c>
    </row>
    <row r="86" spans="1:74" x14ac:dyDescent="0.3">
      <c r="A86" s="155">
        <v>376</v>
      </c>
      <c r="B86" t="s">
        <v>100</v>
      </c>
      <c r="D86">
        <v>0</v>
      </c>
      <c r="E86">
        <v>0</v>
      </c>
      <c r="G86">
        <v>0</v>
      </c>
      <c r="H86">
        <v>2</v>
      </c>
      <c r="I86">
        <v>0</v>
      </c>
      <c r="J86">
        <v>0</v>
      </c>
      <c r="K86">
        <v>0</v>
      </c>
      <c r="L86">
        <v>0</v>
      </c>
      <c r="M86">
        <v>0</v>
      </c>
      <c r="N86">
        <v>0</v>
      </c>
      <c r="O86">
        <v>0</v>
      </c>
      <c r="Q86">
        <v>0</v>
      </c>
      <c r="R86">
        <v>0</v>
      </c>
      <c r="S86">
        <v>0</v>
      </c>
      <c r="T86">
        <v>0</v>
      </c>
      <c r="V86">
        <v>34000</v>
      </c>
      <c r="X86">
        <v>-682957</v>
      </c>
      <c r="Y86">
        <v>0</v>
      </c>
      <c r="Z86">
        <v>0</v>
      </c>
      <c r="AA86">
        <v>0</v>
      </c>
      <c r="AB86">
        <v>0</v>
      </c>
      <c r="AC86">
        <v>3375</v>
      </c>
      <c r="AD86">
        <v>0</v>
      </c>
      <c r="AE86">
        <v>0</v>
      </c>
      <c r="AF86">
        <v>0</v>
      </c>
      <c r="AG86">
        <v>0</v>
      </c>
      <c r="AH86">
        <v>0</v>
      </c>
      <c r="AI86">
        <v>0</v>
      </c>
      <c r="AJ86">
        <v>2212</v>
      </c>
      <c r="AK86">
        <v>0</v>
      </c>
      <c r="AL86">
        <v>0</v>
      </c>
      <c r="AM86">
        <v>0</v>
      </c>
      <c r="AN86">
        <v>8295</v>
      </c>
      <c r="AO86">
        <v>0</v>
      </c>
      <c r="AP86">
        <v>0</v>
      </c>
      <c r="AQ86">
        <v>0</v>
      </c>
      <c r="AR86">
        <v>0</v>
      </c>
      <c r="AS86">
        <v>0</v>
      </c>
      <c r="AT86">
        <v>0</v>
      </c>
      <c r="AU86">
        <v>0</v>
      </c>
      <c r="AV86">
        <v>0</v>
      </c>
      <c r="AW86">
        <v>-92</v>
      </c>
      <c r="AX86">
        <v>0</v>
      </c>
      <c r="AY86">
        <v>0</v>
      </c>
      <c r="AZ86">
        <v>0</v>
      </c>
      <c r="BA86">
        <v>-35366</v>
      </c>
      <c r="BB86">
        <v>0</v>
      </c>
      <c r="BC86">
        <v>0</v>
      </c>
      <c r="BD86">
        <v>0</v>
      </c>
      <c r="BE86">
        <v>0</v>
      </c>
      <c r="BF86">
        <v>0</v>
      </c>
      <c r="BH86">
        <v>0</v>
      </c>
      <c r="BI86">
        <v>0</v>
      </c>
      <c r="BJ86">
        <v>287162</v>
      </c>
      <c r="BK86">
        <v>0</v>
      </c>
      <c r="BL86">
        <v>0</v>
      </c>
      <c r="BM86">
        <v>0</v>
      </c>
      <c r="BN86">
        <v>0</v>
      </c>
      <c r="BO86">
        <v>0</v>
      </c>
      <c r="BQ86">
        <v>0</v>
      </c>
      <c r="BS86">
        <v>0</v>
      </c>
      <c r="BT86">
        <v>0</v>
      </c>
      <c r="BV86">
        <v>0</v>
      </c>
    </row>
    <row r="87" spans="1:74" x14ac:dyDescent="0.3">
      <c r="A87" s="155">
        <v>377</v>
      </c>
      <c r="B87" t="s">
        <v>101</v>
      </c>
      <c r="D87">
        <v>0</v>
      </c>
      <c r="E87">
        <v>0</v>
      </c>
      <c r="G87">
        <v>0</v>
      </c>
      <c r="H87">
        <v>0</v>
      </c>
      <c r="I87">
        <v>0</v>
      </c>
      <c r="J87">
        <v>0</v>
      </c>
      <c r="K87">
        <v>0</v>
      </c>
      <c r="L87">
        <v>0</v>
      </c>
      <c r="M87">
        <v>0</v>
      </c>
      <c r="N87">
        <v>0</v>
      </c>
      <c r="O87">
        <v>0</v>
      </c>
      <c r="Q87">
        <v>0</v>
      </c>
      <c r="R87">
        <v>0</v>
      </c>
      <c r="S87">
        <v>0</v>
      </c>
      <c r="T87">
        <v>0</v>
      </c>
      <c r="V87">
        <v>0</v>
      </c>
      <c r="X87">
        <v>124806</v>
      </c>
      <c r="Y87">
        <v>0</v>
      </c>
      <c r="Z87">
        <v>0</v>
      </c>
      <c r="AA87">
        <v>0</v>
      </c>
      <c r="AB87">
        <v>0</v>
      </c>
      <c r="AC87">
        <v>0</v>
      </c>
      <c r="AD87">
        <v>0</v>
      </c>
      <c r="AE87">
        <v>0</v>
      </c>
      <c r="AF87">
        <v>0</v>
      </c>
      <c r="AG87">
        <v>0</v>
      </c>
      <c r="AH87">
        <v>0</v>
      </c>
      <c r="AI87">
        <v>0</v>
      </c>
      <c r="AJ87">
        <v>0</v>
      </c>
      <c r="AK87">
        <v>0</v>
      </c>
      <c r="AL87">
        <v>0</v>
      </c>
      <c r="AM87">
        <v>0</v>
      </c>
      <c r="AN87">
        <v>-378</v>
      </c>
      <c r="AO87">
        <v>0</v>
      </c>
      <c r="AP87">
        <v>0</v>
      </c>
      <c r="AQ87">
        <v>0</v>
      </c>
      <c r="AR87">
        <v>0</v>
      </c>
      <c r="AS87">
        <v>0</v>
      </c>
      <c r="AT87">
        <v>0</v>
      </c>
      <c r="AU87">
        <v>0</v>
      </c>
      <c r="AV87">
        <v>0</v>
      </c>
      <c r="AW87">
        <v>-2</v>
      </c>
      <c r="AX87">
        <v>0</v>
      </c>
      <c r="AY87">
        <v>0</v>
      </c>
      <c r="AZ87">
        <v>0</v>
      </c>
      <c r="BA87">
        <v>-86588</v>
      </c>
      <c r="BB87">
        <v>0</v>
      </c>
      <c r="BC87">
        <v>0</v>
      </c>
      <c r="BD87">
        <v>0</v>
      </c>
      <c r="BE87">
        <v>0</v>
      </c>
      <c r="BF87">
        <v>0</v>
      </c>
      <c r="BH87">
        <v>0</v>
      </c>
      <c r="BI87">
        <v>0</v>
      </c>
      <c r="BJ87">
        <v>0</v>
      </c>
      <c r="BK87">
        <v>0</v>
      </c>
      <c r="BL87">
        <v>-2284991</v>
      </c>
      <c r="BM87">
        <v>0</v>
      </c>
      <c r="BN87">
        <v>0</v>
      </c>
      <c r="BO87">
        <v>0</v>
      </c>
      <c r="BQ87">
        <v>0</v>
      </c>
      <c r="BS87">
        <v>0</v>
      </c>
      <c r="BT87">
        <v>0</v>
      </c>
      <c r="BV87">
        <v>0</v>
      </c>
    </row>
    <row r="88" spans="1:74" x14ac:dyDescent="0.3">
      <c r="A88" s="155">
        <v>378</v>
      </c>
      <c r="B88" t="s">
        <v>102</v>
      </c>
      <c r="D88">
        <v>0</v>
      </c>
      <c r="E88">
        <v>0</v>
      </c>
      <c r="G88">
        <v>0</v>
      </c>
      <c r="H88">
        <v>0</v>
      </c>
      <c r="I88">
        <v>0</v>
      </c>
      <c r="J88">
        <v>0</v>
      </c>
      <c r="K88">
        <v>0</v>
      </c>
      <c r="L88">
        <v>0</v>
      </c>
      <c r="M88">
        <v>0</v>
      </c>
      <c r="N88">
        <v>0</v>
      </c>
      <c r="O88">
        <v>0</v>
      </c>
      <c r="Q88">
        <v>0</v>
      </c>
      <c r="R88">
        <v>0</v>
      </c>
      <c r="S88">
        <v>0</v>
      </c>
      <c r="T88">
        <v>0</v>
      </c>
      <c r="V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H88">
        <v>0</v>
      </c>
      <c r="BI88">
        <v>0</v>
      </c>
      <c r="BJ88">
        <v>0</v>
      </c>
      <c r="BK88">
        <v>0</v>
      </c>
      <c r="BL88">
        <v>0</v>
      </c>
      <c r="BM88">
        <v>0</v>
      </c>
      <c r="BN88">
        <v>0</v>
      </c>
      <c r="BO88">
        <v>0</v>
      </c>
      <c r="BQ88">
        <v>0</v>
      </c>
      <c r="BS88">
        <v>0</v>
      </c>
      <c r="BT88">
        <v>0</v>
      </c>
      <c r="BV88">
        <v>0</v>
      </c>
    </row>
    <row r="89" spans="1:74" x14ac:dyDescent="0.3">
      <c r="A89" s="155">
        <v>379</v>
      </c>
      <c r="B89" t="s">
        <v>110</v>
      </c>
      <c r="D89">
        <v>10396524</v>
      </c>
      <c r="E89">
        <v>468222882</v>
      </c>
      <c r="G89">
        <v>7985717</v>
      </c>
      <c r="H89">
        <v>2424765</v>
      </c>
      <c r="I89">
        <v>76625</v>
      </c>
      <c r="J89">
        <v>1580423</v>
      </c>
      <c r="K89">
        <v>8272224</v>
      </c>
      <c r="L89">
        <v>3002092</v>
      </c>
      <c r="M89">
        <v>17523640</v>
      </c>
      <c r="N89">
        <v>916154</v>
      </c>
      <c r="O89">
        <v>1336515</v>
      </c>
      <c r="Q89">
        <v>1478306</v>
      </c>
      <c r="R89">
        <v>1712177</v>
      </c>
      <c r="S89">
        <v>1406168</v>
      </c>
      <c r="T89">
        <v>8409854</v>
      </c>
      <c r="V89">
        <v>2428704</v>
      </c>
      <c r="X89">
        <v>6712431</v>
      </c>
      <c r="Y89">
        <v>2185840</v>
      </c>
      <c r="Z89">
        <v>75916666</v>
      </c>
      <c r="AA89">
        <v>10344759</v>
      </c>
      <c r="AB89">
        <v>404796</v>
      </c>
      <c r="AC89">
        <v>681684</v>
      </c>
      <c r="AD89">
        <v>1222418</v>
      </c>
      <c r="AE89">
        <v>2747006</v>
      </c>
      <c r="AF89">
        <v>582892</v>
      </c>
      <c r="AG89">
        <v>685000</v>
      </c>
      <c r="AH89">
        <v>3725945</v>
      </c>
      <c r="AI89">
        <v>349488</v>
      </c>
      <c r="AJ89">
        <v>4676093</v>
      </c>
      <c r="AK89">
        <v>669954</v>
      </c>
      <c r="AL89">
        <v>1159494</v>
      </c>
      <c r="AM89">
        <v>3264943</v>
      </c>
      <c r="AN89">
        <v>831750</v>
      </c>
      <c r="AO89">
        <v>31864132</v>
      </c>
      <c r="AP89">
        <v>1674426</v>
      </c>
      <c r="AQ89">
        <v>802475</v>
      </c>
      <c r="AR89">
        <v>1041455</v>
      </c>
      <c r="AS89">
        <v>30992148</v>
      </c>
      <c r="AT89">
        <v>509350</v>
      </c>
      <c r="AU89">
        <v>7246624</v>
      </c>
      <c r="AV89">
        <v>1732477</v>
      </c>
      <c r="AW89">
        <v>603385</v>
      </c>
      <c r="AX89">
        <v>353062</v>
      </c>
      <c r="AY89">
        <v>666946</v>
      </c>
      <c r="AZ89">
        <v>6566434</v>
      </c>
      <c r="BA89">
        <v>1255136</v>
      </c>
      <c r="BB89">
        <v>229079</v>
      </c>
      <c r="BC89">
        <v>1500029</v>
      </c>
      <c r="BD89">
        <v>8771781</v>
      </c>
      <c r="BE89">
        <v>1624576</v>
      </c>
      <c r="BF89">
        <v>17941744</v>
      </c>
      <c r="BH89">
        <v>513750</v>
      </c>
      <c r="BI89">
        <v>552027</v>
      </c>
      <c r="BJ89">
        <v>17370279</v>
      </c>
      <c r="BK89">
        <v>1895210</v>
      </c>
      <c r="BL89">
        <v>19766744</v>
      </c>
      <c r="BM89">
        <v>11816537</v>
      </c>
      <c r="BN89">
        <v>7690216</v>
      </c>
      <c r="BO89">
        <v>3314622</v>
      </c>
      <c r="BQ89">
        <v>3242594</v>
      </c>
      <c r="BS89">
        <v>3158741</v>
      </c>
      <c r="BT89">
        <v>1891867</v>
      </c>
      <c r="BV89">
        <v>4980814</v>
      </c>
    </row>
    <row r="90" spans="1:74" x14ac:dyDescent="0.3">
      <c r="A90" s="155">
        <v>380</v>
      </c>
      <c r="B90" t="s">
        <v>113</v>
      </c>
      <c r="D90">
        <v>133785</v>
      </c>
      <c r="E90">
        <v>17341652</v>
      </c>
      <c r="G90">
        <v>46526</v>
      </c>
      <c r="H90">
        <v>48109</v>
      </c>
      <c r="I90">
        <v>652</v>
      </c>
      <c r="J90">
        <v>9223</v>
      </c>
      <c r="K90">
        <v>0</v>
      </c>
      <c r="L90">
        <v>781043</v>
      </c>
      <c r="M90">
        <v>1534313</v>
      </c>
      <c r="N90">
        <v>3361</v>
      </c>
      <c r="O90">
        <v>12026</v>
      </c>
      <c r="Q90">
        <v>488444</v>
      </c>
      <c r="R90">
        <v>46413</v>
      </c>
      <c r="S90">
        <v>7208</v>
      </c>
      <c r="T90">
        <v>275931</v>
      </c>
      <c r="V90">
        <v>40632</v>
      </c>
      <c r="X90">
        <v>62208</v>
      </c>
      <c r="Y90">
        <v>27975</v>
      </c>
      <c r="Z90">
        <v>12988277</v>
      </c>
      <c r="AA90">
        <v>26134</v>
      </c>
      <c r="AB90">
        <v>33242</v>
      </c>
      <c r="AC90">
        <v>79758</v>
      </c>
      <c r="AD90">
        <v>0</v>
      </c>
      <c r="AE90">
        <v>55371</v>
      </c>
      <c r="AF90">
        <v>1199</v>
      </c>
      <c r="AG90">
        <v>126135</v>
      </c>
      <c r="AH90">
        <v>494515</v>
      </c>
      <c r="AI90">
        <v>3634</v>
      </c>
      <c r="AJ90">
        <v>12567</v>
      </c>
      <c r="AK90">
        <v>3774</v>
      </c>
      <c r="AL90">
        <v>2642</v>
      </c>
      <c r="AM90">
        <v>43179</v>
      </c>
      <c r="AN90">
        <v>562</v>
      </c>
      <c r="AO90">
        <v>1754274</v>
      </c>
      <c r="AP90">
        <v>14725</v>
      </c>
      <c r="AQ90">
        <v>2263</v>
      </c>
      <c r="AR90">
        <v>3922</v>
      </c>
      <c r="AS90">
        <v>492693</v>
      </c>
      <c r="AT90">
        <v>19459</v>
      </c>
      <c r="AU90">
        <v>47007</v>
      </c>
      <c r="AV90">
        <v>119961</v>
      </c>
      <c r="AW90">
        <v>81683</v>
      </c>
      <c r="AX90">
        <v>146633</v>
      </c>
      <c r="AY90">
        <v>17882</v>
      </c>
      <c r="AZ90">
        <v>172043</v>
      </c>
      <c r="BA90">
        <v>9893</v>
      </c>
      <c r="BB90">
        <v>1997</v>
      </c>
      <c r="BC90">
        <v>7604</v>
      </c>
      <c r="BD90">
        <v>46604</v>
      </c>
      <c r="BE90">
        <v>73332</v>
      </c>
      <c r="BF90">
        <v>443182</v>
      </c>
      <c r="BH90">
        <v>160486</v>
      </c>
      <c r="BI90">
        <v>822</v>
      </c>
      <c r="BJ90">
        <v>711171</v>
      </c>
      <c r="BK90">
        <v>32397</v>
      </c>
      <c r="BL90">
        <v>3053351</v>
      </c>
      <c r="BM90">
        <v>9406</v>
      </c>
      <c r="BN90">
        <v>28959</v>
      </c>
      <c r="BO90">
        <v>2130</v>
      </c>
      <c r="BQ90">
        <v>115188</v>
      </c>
      <c r="BS90">
        <v>118808</v>
      </c>
      <c r="BT90">
        <v>49312</v>
      </c>
      <c r="BV90">
        <v>145799</v>
      </c>
    </row>
    <row r="91" spans="1:74" x14ac:dyDescent="0.3">
      <c r="A91" s="155">
        <v>381</v>
      </c>
      <c r="B91" t="s">
        <v>105</v>
      </c>
      <c r="D91">
        <v>22416870</v>
      </c>
      <c r="E91">
        <v>2500054641</v>
      </c>
      <c r="G91">
        <v>10528944</v>
      </c>
      <c r="H91">
        <v>6051737</v>
      </c>
      <c r="I91">
        <v>0</v>
      </c>
      <c r="J91">
        <v>0</v>
      </c>
      <c r="K91">
        <v>0</v>
      </c>
      <c r="L91">
        <v>19842101</v>
      </c>
      <c r="M91">
        <v>66274345</v>
      </c>
      <c r="N91">
        <v>133712</v>
      </c>
      <c r="O91">
        <v>5472455</v>
      </c>
      <c r="Q91">
        <v>0</v>
      </c>
      <c r="R91">
        <v>0</v>
      </c>
      <c r="S91">
        <v>3898649</v>
      </c>
      <c r="T91">
        <v>0</v>
      </c>
      <c r="V91">
        <v>15339828</v>
      </c>
      <c r="X91">
        <v>18056751</v>
      </c>
      <c r="Y91">
        <v>0</v>
      </c>
      <c r="Z91">
        <v>103517666</v>
      </c>
      <c r="AA91">
        <v>0</v>
      </c>
      <c r="AB91">
        <v>1587319</v>
      </c>
      <c r="AC91">
        <v>6535018</v>
      </c>
      <c r="AD91">
        <v>8638129</v>
      </c>
      <c r="AE91">
        <v>4469410</v>
      </c>
      <c r="AF91">
        <v>5207710</v>
      </c>
      <c r="AG91">
        <v>4007829</v>
      </c>
      <c r="AH91">
        <v>46012422</v>
      </c>
      <c r="AI91">
        <v>0</v>
      </c>
      <c r="AJ91">
        <v>0</v>
      </c>
      <c r="AK91">
        <v>0</v>
      </c>
      <c r="AL91">
        <v>4267353</v>
      </c>
      <c r="AM91">
        <v>9573466</v>
      </c>
      <c r="AN91">
        <v>1645508</v>
      </c>
      <c r="AO91">
        <v>188416097</v>
      </c>
      <c r="AP91">
        <v>5818370</v>
      </c>
      <c r="AQ91">
        <v>0</v>
      </c>
      <c r="AR91">
        <v>1096712</v>
      </c>
      <c r="AS91">
        <v>205404237</v>
      </c>
      <c r="AT91">
        <v>6487168</v>
      </c>
      <c r="AU91">
        <v>10736752</v>
      </c>
      <c r="AV91">
        <v>7137721</v>
      </c>
      <c r="AW91">
        <v>7559426</v>
      </c>
      <c r="AX91">
        <v>0</v>
      </c>
      <c r="AY91">
        <v>15684</v>
      </c>
      <c r="AZ91">
        <v>16919526</v>
      </c>
      <c r="BA91">
        <v>2471332</v>
      </c>
      <c r="BB91">
        <v>3230940</v>
      </c>
      <c r="BC91">
        <v>1271393</v>
      </c>
      <c r="BD91">
        <v>19105175</v>
      </c>
      <c r="BE91">
        <v>9532868</v>
      </c>
      <c r="BF91">
        <v>144941023</v>
      </c>
      <c r="BH91">
        <v>0</v>
      </c>
      <c r="BI91">
        <v>2414831</v>
      </c>
      <c r="BJ91">
        <v>42573641</v>
      </c>
      <c r="BK91">
        <v>7240111</v>
      </c>
      <c r="BL91">
        <v>61924194</v>
      </c>
      <c r="BM91">
        <v>0</v>
      </c>
      <c r="BN91">
        <v>25395656</v>
      </c>
      <c r="BO91">
        <v>17856566</v>
      </c>
      <c r="BQ91">
        <v>0</v>
      </c>
      <c r="BS91">
        <v>16512558</v>
      </c>
      <c r="BT91">
        <v>3900781</v>
      </c>
      <c r="BV91">
        <v>15101579</v>
      </c>
    </row>
    <row r="92" spans="1:74" x14ac:dyDescent="0.3">
      <c r="A92" s="155">
        <v>382</v>
      </c>
      <c r="B92" t="s">
        <v>106</v>
      </c>
      <c r="D92">
        <v>0</v>
      </c>
      <c r="E92">
        <v>0</v>
      </c>
      <c r="G92">
        <v>0</v>
      </c>
      <c r="H92">
        <v>0</v>
      </c>
      <c r="I92">
        <v>0</v>
      </c>
      <c r="J92">
        <v>0</v>
      </c>
      <c r="K92">
        <v>0</v>
      </c>
      <c r="L92">
        <v>2725103</v>
      </c>
      <c r="M92">
        <v>0</v>
      </c>
      <c r="N92">
        <v>0</v>
      </c>
      <c r="O92">
        <v>0</v>
      </c>
      <c r="Q92">
        <v>0</v>
      </c>
      <c r="R92">
        <v>0</v>
      </c>
      <c r="S92">
        <v>0</v>
      </c>
      <c r="T92">
        <v>0</v>
      </c>
      <c r="V92">
        <v>0</v>
      </c>
      <c r="X92">
        <v>0</v>
      </c>
      <c r="Y92">
        <v>0</v>
      </c>
      <c r="Z92">
        <v>110612571</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2789526</v>
      </c>
      <c r="AW92">
        <v>0</v>
      </c>
      <c r="AX92">
        <v>0</v>
      </c>
      <c r="AY92">
        <v>0</v>
      </c>
      <c r="AZ92">
        <v>6452916</v>
      </c>
      <c r="BA92">
        <v>0</v>
      </c>
      <c r="BB92">
        <v>0</v>
      </c>
      <c r="BC92">
        <v>0</v>
      </c>
      <c r="BD92">
        <v>0</v>
      </c>
      <c r="BE92">
        <v>3551487</v>
      </c>
      <c r="BF92">
        <v>40224335</v>
      </c>
      <c r="BH92">
        <v>0</v>
      </c>
      <c r="BI92">
        <v>0</v>
      </c>
      <c r="BJ92">
        <v>25837888</v>
      </c>
      <c r="BK92">
        <v>0</v>
      </c>
      <c r="BL92">
        <v>0</v>
      </c>
      <c r="BM92">
        <v>0</v>
      </c>
      <c r="BN92">
        <v>19868061</v>
      </c>
      <c r="BO92">
        <v>0</v>
      </c>
      <c r="BQ92">
        <v>0</v>
      </c>
      <c r="BS92">
        <v>0</v>
      </c>
      <c r="BT92">
        <v>0</v>
      </c>
      <c r="BV92">
        <v>0</v>
      </c>
    </row>
    <row r="93" spans="1:74" x14ac:dyDescent="0.3">
      <c r="A93" s="155">
        <v>383</v>
      </c>
      <c r="B93" t="s">
        <v>212</v>
      </c>
      <c r="D93">
        <v>0</v>
      </c>
      <c r="E93">
        <v>0</v>
      </c>
      <c r="G93">
        <v>0</v>
      </c>
      <c r="H93">
        <v>0</v>
      </c>
      <c r="I93">
        <v>0</v>
      </c>
      <c r="J93">
        <v>0</v>
      </c>
      <c r="K93">
        <v>0</v>
      </c>
      <c r="L93">
        <v>0</v>
      </c>
      <c r="M93">
        <v>0</v>
      </c>
      <c r="N93">
        <v>0</v>
      </c>
      <c r="O93">
        <v>0</v>
      </c>
      <c r="Q93">
        <v>0</v>
      </c>
      <c r="R93">
        <v>0</v>
      </c>
      <c r="S93">
        <v>0</v>
      </c>
      <c r="T93">
        <v>0</v>
      </c>
      <c r="V93">
        <v>0</v>
      </c>
      <c r="X93">
        <v>0</v>
      </c>
      <c r="Y93">
        <v>0</v>
      </c>
      <c r="Z93">
        <v>0</v>
      </c>
      <c r="AA93">
        <v>0</v>
      </c>
      <c r="AB93">
        <v>0</v>
      </c>
      <c r="AC93">
        <v>0</v>
      </c>
      <c r="AD93">
        <v>0</v>
      </c>
      <c r="AE93">
        <v>0</v>
      </c>
      <c r="AF93">
        <v>0</v>
      </c>
      <c r="AG93">
        <v>0</v>
      </c>
      <c r="AH93">
        <v>0</v>
      </c>
      <c r="AI93">
        <v>0</v>
      </c>
      <c r="AJ93">
        <v>0</v>
      </c>
      <c r="AK93">
        <v>0</v>
      </c>
      <c r="AL93">
        <v>0</v>
      </c>
      <c r="AM93">
        <v>0</v>
      </c>
      <c r="AN93">
        <v>2511</v>
      </c>
      <c r="AO93">
        <v>0</v>
      </c>
      <c r="AP93">
        <v>0</v>
      </c>
      <c r="AQ93">
        <v>0</v>
      </c>
      <c r="AR93">
        <v>17080</v>
      </c>
      <c r="AS93">
        <v>0</v>
      </c>
      <c r="AT93">
        <v>0</v>
      </c>
      <c r="AU93">
        <v>0</v>
      </c>
      <c r="AV93">
        <v>0</v>
      </c>
      <c r="AW93">
        <v>0</v>
      </c>
      <c r="AX93">
        <v>0</v>
      </c>
      <c r="AY93">
        <v>0</v>
      </c>
      <c r="AZ93">
        <v>0</v>
      </c>
      <c r="BA93">
        <v>0</v>
      </c>
      <c r="BB93">
        <v>0</v>
      </c>
      <c r="BC93">
        <v>2492</v>
      </c>
      <c r="BD93">
        <v>0</v>
      </c>
      <c r="BE93">
        <v>0</v>
      </c>
      <c r="BF93">
        <v>0</v>
      </c>
      <c r="BH93">
        <v>0</v>
      </c>
      <c r="BI93">
        <v>0</v>
      </c>
      <c r="BJ93">
        <v>0</v>
      </c>
      <c r="BK93">
        <v>0</v>
      </c>
      <c r="BL93">
        <v>0</v>
      </c>
      <c r="BM93">
        <v>0</v>
      </c>
      <c r="BN93">
        <v>0</v>
      </c>
      <c r="BO93">
        <v>0</v>
      </c>
      <c r="BQ93">
        <v>0</v>
      </c>
      <c r="BS93">
        <v>0</v>
      </c>
      <c r="BT93">
        <v>0</v>
      </c>
      <c r="BV93">
        <v>0</v>
      </c>
    </row>
    <row r="94" spans="1:74" x14ac:dyDescent="0.3">
      <c r="A94" s="155">
        <v>384</v>
      </c>
      <c r="B94" t="s">
        <v>116</v>
      </c>
      <c r="D94">
        <v>0</v>
      </c>
      <c r="E94">
        <v>0</v>
      </c>
      <c r="G94">
        <v>0</v>
      </c>
      <c r="H94">
        <v>0</v>
      </c>
      <c r="I94">
        <v>0</v>
      </c>
      <c r="J94">
        <v>0</v>
      </c>
      <c r="K94">
        <v>0</v>
      </c>
      <c r="L94">
        <v>0</v>
      </c>
      <c r="M94">
        <v>0</v>
      </c>
      <c r="N94">
        <v>0</v>
      </c>
      <c r="O94">
        <v>0</v>
      </c>
      <c r="Q94">
        <v>0</v>
      </c>
      <c r="R94">
        <v>0</v>
      </c>
      <c r="S94">
        <v>0</v>
      </c>
      <c r="T94">
        <v>0</v>
      </c>
      <c r="V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47080</v>
      </c>
      <c r="BH94">
        <v>0</v>
      </c>
      <c r="BI94">
        <v>0</v>
      </c>
      <c r="BJ94">
        <v>0</v>
      </c>
      <c r="BK94">
        <v>0</v>
      </c>
      <c r="BL94">
        <v>0</v>
      </c>
      <c r="BM94">
        <v>0</v>
      </c>
      <c r="BN94">
        <v>0</v>
      </c>
      <c r="BO94">
        <v>0</v>
      </c>
      <c r="BQ94">
        <v>0</v>
      </c>
      <c r="BS94">
        <v>0</v>
      </c>
      <c r="BT94">
        <v>0</v>
      </c>
      <c r="BV94">
        <v>0</v>
      </c>
    </row>
    <row r="95" spans="1:74" x14ac:dyDescent="0.3">
      <c r="A95" s="155">
        <v>385</v>
      </c>
      <c r="B95" t="s">
        <v>107</v>
      </c>
      <c r="D95">
        <v>17216847</v>
      </c>
      <c r="E95">
        <v>2400160543</v>
      </c>
      <c r="G95">
        <v>18626157</v>
      </c>
      <c r="H95">
        <v>8747747</v>
      </c>
      <c r="I95">
        <v>84078</v>
      </c>
      <c r="J95">
        <v>2809505</v>
      </c>
      <c r="K95">
        <v>12661286</v>
      </c>
      <c r="L95">
        <v>11164929</v>
      </c>
      <c r="M95">
        <v>53688654</v>
      </c>
      <c r="N95">
        <v>981073</v>
      </c>
      <c r="O95">
        <v>2198347</v>
      </c>
      <c r="Q95">
        <v>2320704</v>
      </c>
      <c r="R95">
        <v>3093408</v>
      </c>
      <c r="S95">
        <v>6649941</v>
      </c>
      <c r="T95">
        <v>33378338</v>
      </c>
      <c r="V95">
        <v>2599133</v>
      </c>
      <c r="X95">
        <v>39879777</v>
      </c>
      <c r="Y95">
        <v>5387512</v>
      </c>
      <c r="Z95">
        <v>256322723</v>
      </c>
      <c r="AA95">
        <v>68605074</v>
      </c>
      <c r="AB95">
        <v>530101</v>
      </c>
      <c r="AC95">
        <v>1495507</v>
      </c>
      <c r="AD95">
        <v>2798817</v>
      </c>
      <c r="AE95">
        <v>4056426</v>
      </c>
      <c r="AF95">
        <v>1364519</v>
      </c>
      <c r="AG95">
        <v>1771389</v>
      </c>
      <c r="AH95">
        <v>15683523</v>
      </c>
      <c r="AI95">
        <v>706159</v>
      </c>
      <c r="AJ95">
        <v>10015118</v>
      </c>
      <c r="AK95">
        <v>832280</v>
      </c>
      <c r="AL95">
        <v>3172779</v>
      </c>
      <c r="AM95">
        <v>10709847</v>
      </c>
      <c r="AN95">
        <v>1417945</v>
      </c>
      <c r="AO95">
        <v>110735006</v>
      </c>
      <c r="AP95">
        <v>3551140</v>
      </c>
      <c r="AQ95">
        <v>843820</v>
      </c>
      <c r="AR95">
        <v>1535934</v>
      </c>
      <c r="AS95">
        <v>99001289</v>
      </c>
      <c r="AT95">
        <v>1058758</v>
      </c>
      <c r="AU95">
        <v>11737900</v>
      </c>
      <c r="AV95">
        <v>4794228</v>
      </c>
      <c r="AW95">
        <v>1340290</v>
      </c>
      <c r="AX95">
        <v>5000533</v>
      </c>
      <c r="AY95">
        <v>990244</v>
      </c>
      <c r="AZ95">
        <v>17811113</v>
      </c>
      <c r="BA95">
        <v>4402663</v>
      </c>
      <c r="BB95">
        <v>256532</v>
      </c>
      <c r="BC95">
        <v>1658458</v>
      </c>
      <c r="BD95">
        <v>28935652</v>
      </c>
      <c r="BE95">
        <v>2961086</v>
      </c>
      <c r="BF95">
        <v>110954789</v>
      </c>
      <c r="BH95">
        <v>718723</v>
      </c>
      <c r="BI95">
        <v>874183</v>
      </c>
      <c r="BJ95">
        <v>57857014</v>
      </c>
      <c r="BK95">
        <v>3954663</v>
      </c>
      <c r="BL95">
        <v>72284163</v>
      </c>
      <c r="BM95">
        <v>31651930</v>
      </c>
      <c r="BN95">
        <v>26204120</v>
      </c>
      <c r="BO95">
        <v>5452799</v>
      </c>
      <c r="BQ95">
        <v>12411961</v>
      </c>
      <c r="BS95">
        <v>8921617</v>
      </c>
      <c r="BT95">
        <v>3842494</v>
      </c>
      <c r="BV95">
        <v>9065190</v>
      </c>
    </row>
    <row r="96" spans="1:74" x14ac:dyDescent="0.3">
      <c r="A96" s="155">
        <v>386</v>
      </c>
      <c r="B96" t="s">
        <v>185</v>
      </c>
      <c r="D96">
        <v>0</v>
      </c>
      <c r="E96">
        <v>13268982</v>
      </c>
      <c r="G96">
        <v>0</v>
      </c>
      <c r="H96">
        <v>0</v>
      </c>
      <c r="I96">
        <v>0</v>
      </c>
      <c r="J96">
        <v>0</v>
      </c>
      <c r="K96">
        <v>0</v>
      </c>
      <c r="L96">
        <v>0</v>
      </c>
      <c r="M96">
        <v>0</v>
      </c>
      <c r="N96">
        <v>0</v>
      </c>
      <c r="O96">
        <v>0</v>
      </c>
      <c r="Q96">
        <v>0</v>
      </c>
      <c r="R96">
        <v>0</v>
      </c>
      <c r="S96">
        <v>0</v>
      </c>
      <c r="T96">
        <v>0</v>
      </c>
      <c r="V96">
        <v>0</v>
      </c>
      <c r="X96">
        <v>6140</v>
      </c>
      <c r="Y96">
        <v>0</v>
      </c>
      <c r="Z96">
        <v>5580577</v>
      </c>
      <c r="AA96">
        <v>0</v>
      </c>
      <c r="AB96">
        <v>0</v>
      </c>
      <c r="AC96">
        <v>0</v>
      </c>
      <c r="AD96">
        <v>0</v>
      </c>
      <c r="AE96">
        <v>0</v>
      </c>
      <c r="AF96">
        <v>0</v>
      </c>
      <c r="AG96">
        <v>0</v>
      </c>
      <c r="AH96">
        <v>0</v>
      </c>
      <c r="AI96">
        <v>0</v>
      </c>
      <c r="AJ96">
        <v>0</v>
      </c>
      <c r="AK96">
        <v>0</v>
      </c>
      <c r="AL96">
        <v>0</v>
      </c>
      <c r="AM96">
        <v>0</v>
      </c>
      <c r="AN96">
        <v>0</v>
      </c>
      <c r="AO96">
        <v>0</v>
      </c>
      <c r="AP96">
        <v>20000</v>
      </c>
      <c r="AQ96">
        <v>0</v>
      </c>
      <c r="AR96">
        <v>0</v>
      </c>
      <c r="AS96">
        <v>0</v>
      </c>
      <c r="AT96">
        <v>0</v>
      </c>
      <c r="AU96">
        <v>0</v>
      </c>
      <c r="AV96">
        <v>33599</v>
      </c>
      <c r="AW96">
        <v>0</v>
      </c>
      <c r="AX96">
        <v>0</v>
      </c>
      <c r="AY96">
        <v>0</v>
      </c>
      <c r="AZ96">
        <v>175000</v>
      </c>
      <c r="BA96">
        <v>0</v>
      </c>
      <c r="BB96">
        <v>3250</v>
      </c>
      <c r="BC96">
        <v>0</v>
      </c>
      <c r="BD96">
        <v>0</v>
      </c>
      <c r="BE96">
        <v>0</v>
      </c>
      <c r="BF96">
        <v>6144877</v>
      </c>
      <c r="BH96">
        <v>0</v>
      </c>
      <c r="BI96">
        <v>0</v>
      </c>
      <c r="BJ96">
        <v>445040</v>
      </c>
      <c r="BK96">
        <v>0</v>
      </c>
      <c r="BL96">
        <v>52937</v>
      </c>
      <c r="BM96">
        <v>0</v>
      </c>
      <c r="BN96">
        <v>0</v>
      </c>
      <c r="BO96">
        <v>0</v>
      </c>
      <c r="BQ96">
        <v>0</v>
      </c>
      <c r="BS96">
        <v>0</v>
      </c>
      <c r="BT96">
        <v>0</v>
      </c>
      <c r="BV96">
        <v>0</v>
      </c>
    </row>
    <row r="97" spans="1:74" x14ac:dyDescent="0.3">
      <c r="A97" s="155">
        <v>387</v>
      </c>
      <c r="B97" t="s">
        <v>186</v>
      </c>
      <c r="D97">
        <v>0</v>
      </c>
      <c r="E97">
        <v>72009439</v>
      </c>
      <c r="G97">
        <v>0</v>
      </c>
      <c r="H97">
        <v>0</v>
      </c>
      <c r="I97">
        <v>0</v>
      </c>
      <c r="J97">
        <v>0</v>
      </c>
      <c r="K97">
        <v>0</v>
      </c>
      <c r="L97">
        <v>36852</v>
      </c>
      <c r="M97">
        <v>0</v>
      </c>
      <c r="N97">
        <v>0</v>
      </c>
      <c r="O97">
        <v>0</v>
      </c>
      <c r="Q97">
        <v>0</v>
      </c>
      <c r="R97">
        <v>0</v>
      </c>
      <c r="S97">
        <v>0</v>
      </c>
      <c r="T97">
        <v>0</v>
      </c>
      <c r="V97">
        <v>0</v>
      </c>
      <c r="X97">
        <v>0</v>
      </c>
      <c r="Y97">
        <v>0</v>
      </c>
      <c r="Z97">
        <v>2805577</v>
      </c>
      <c r="AA97">
        <v>0</v>
      </c>
      <c r="AB97">
        <v>0</v>
      </c>
      <c r="AC97">
        <v>0</v>
      </c>
      <c r="AD97">
        <v>0</v>
      </c>
      <c r="AE97">
        <v>0</v>
      </c>
      <c r="AF97">
        <v>130501</v>
      </c>
      <c r="AG97">
        <v>0</v>
      </c>
      <c r="AH97">
        <v>0</v>
      </c>
      <c r="AI97">
        <v>0</v>
      </c>
      <c r="AJ97">
        <v>0</v>
      </c>
      <c r="AK97">
        <v>0</v>
      </c>
      <c r="AL97">
        <v>81007</v>
      </c>
      <c r="AM97">
        <v>0</v>
      </c>
      <c r="AN97">
        <v>0</v>
      </c>
      <c r="AO97">
        <v>3575040</v>
      </c>
      <c r="AP97">
        <v>0</v>
      </c>
      <c r="AQ97">
        <v>0</v>
      </c>
      <c r="AR97">
        <v>0</v>
      </c>
      <c r="AS97">
        <v>138543</v>
      </c>
      <c r="AT97">
        <v>60674</v>
      </c>
      <c r="AU97">
        <v>0</v>
      </c>
      <c r="AV97">
        <v>0</v>
      </c>
      <c r="AW97">
        <v>0</v>
      </c>
      <c r="AX97">
        <v>0</v>
      </c>
      <c r="AY97">
        <v>0</v>
      </c>
      <c r="AZ97">
        <v>1131535</v>
      </c>
      <c r="BA97">
        <v>0</v>
      </c>
      <c r="BB97">
        <v>0</v>
      </c>
      <c r="BC97">
        <v>0</v>
      </c>
      <c r="BD97">
        <v>19817</v>
      </c>
      <c r="BE97">
        <v>0</v>
      </c>
      <c r="BF97">
        <v>2671941</v>
      </c>
      <c r="BH97">
        <v>0</v>
      </c>
      <c r="BI97">
        <v>0</v>
      </c>
      <c r="BJ97">
        <v>327400</v>
      </c>
      <c r="BK97">
        <v>0</v>
      </c>
      <c r="BL97">
        <v>0</v>
      </c>
      <c r="BM97">
        <v>0</v>
      </c>
      <c r="BN97">
        <v>0</v>
      </c>
      <c r="BO97">
        <v>0</v>
      </c>
      <c r="BQ97">
        <v>0</v>
      </c>
      <c r="BS97">
        <v>50000</v>
      </c>
      <c r="BT97">
        <v>0</v>
      </c>
      <c r="BV97">
        <v>318863</v>
      </c>
    </row>
    <row r="98" spans="1:74" x14ac:dyDescent="0.3">
      <c r="A98" s="155">
        <v>388</v>
      </c>
      <c r="B98" t="s">
        <v>180</v>
      </c>
      <c r="D98">
        <v>5645025</v>
      </c>
      <c r="E98">
        <v>475904080</v>
      </c>
      <c r="G98">
        <v>6093581</v>
      </c>
      <c r="H98">
        <v>2648678</v>
      </c>
      <c r="I98">
        <v>36762</v>
      </c>
      <c r="J98">
        <v>222732</v>
      </c>
      <c r="K98">
        <v>992797</v>
      </c>
      <c r="L98">
        <v>4220642</v>
      </c>
      <c r="M98">
        <v>17590338</v>
      </c>
      <c r="N98">
        <v>89072</v>
      </c>
      <c r="O98">
        <v>651076</v>
      </c>
      <c r="Q98">
        <v>394730</v>
      </c>
      <c r="R98">
        <v>1342699</v>
      </c>
      <c r="S98">
        <v>1855790</v>
      </c>
      <c r="T98">
        <v>15768265</v>
      </c>
      <c r="V98">
        <v>535533</v>
      </c>
      <c r="X98">
        <v>10024667</v>
      </c>
      <c r="Y98">
        <v>1958364</v>
      </c>
      <c r="Z98">
        <v>78565933</v>
      </c>
      <c r="AA98">
        <v>10679182</v>
      </c>
      <c r="AB98">
        <v>312174</v>
      </c>
      <c r="AC98">
        <v>348425</v>
      </c>
      <c r="AD98">
        <v>1299512</v>
      </c>
      <c r="AE98">
        <v>1267225</v>
      </c>
      <c r="AF98">
        <v>419672</v>
      </c>
      <c r="AG98">
        <v>1126235</v>
      </c>
      <c r="AH98">
        <v>13635309</v>
      </c>
      <c r="AI98">
        <v>111606</v>
      </c>
      <c r="AJ98">
        <v>3086329</v>
      </c>
      <c r="AK98">
        <v>173560</v>
      </c>
      <c r="AL98">
        <v>736680</v>
      </c>
      <c r="AM98">
        <v>4850088</v>
      </c>
      <c r="AN98">
        <v>363984</v>
      </c>
      <c r="AO98">
        <v>38994093</v>
      </c>
      <c r="AP98">
        <v>1195100</v>
      </c>
      <c r="AQ98">
        <v>117420</v>
      </c>
      <c r="AR98">
        <v>146191</v>
      </c>
      <c r="AS98">
        <v>33627863</v>
      </c>
      <c r="AT98">
        <v>308448</v>
      </c>
      <c r="AU98">
        <v>2352325</v>
      </c>
      <c r="AV98">
        <v>2093099</v>
      </c>
      <c r="AW98">
        <v>362157</v>
      </c>
      <c r="AX98">
        <v>439677</v>
      </c>
      <c r="AY98">
        <v>257033</v>
      </c>
      <c r="AZ98">
        <v>5932327</v>
      </c>
      <c r="BA98">
        <v>1964742</v>
      </c>
      <c r="BB98">
        <v>58080</v>
      </c>
      <c r="BC98">
        <v>331717</v>
      </c>
      <c r="BD98">
        <v>5649863</v>
      </c>
      <c r="BE98">
        <v>1490396</v>
      </c>
      <c r="BF98">
        <v>29595132</v>
      </c>
      <c r="BH98">
        <v>602378</v>
      </c>
      <c r="BI98">
        <v>239868</v>
      </c>
      <c r="BJ98">
        <v>15022738</v>
      </c>
      <c r="BK98">
        <v>1304559</v>
      </c>
      <c r="BL98">
        <v>20184212</v>
      </c>
      <c r="BM98">
        <v>6849740</v>
      </c>
      <c r="BN98">
        <v>7770177</v>
      </c>
      <c r="BO98">
        <v>1512702</v>
      </c>
      <c r="BQ98">
        <v>3453666</v>
      </c>
      <c r="BS98">
        <v>3416296</v>
      </c>
      <c r="BT98">
        <v>1354963</v>
      </c>
      <c r="BV98">
        <v>2400090</v>
      </c>
    </row>
    <row r="99" spans="1:74" x14ac:dyDescent="0.3">
      <c r="A99" s="155">
        <v>389</v>
      </c>
      <c r="B99" t="s">
        <v>187</v>
      </c>
      <c r="D99">
        <v>0</v>
      </c>
      <c r="E99">
        <v>0</v>
      </c>
      <c r="G99">
        <v>0</v>
      </c>
      <c r="H99">
        <v>0</v>
      </c>
      <c r="I99">
        <v>0</v>
      </c>
      <c r="J99">
        <v>0</v>
      </c>
      <c r="K99">
        <v>0</v>
      </c>
      <c r="L99">
        <v>0</v>
      </c>
      <c r="M99">
        <v>0</v>
      </c>
      <c r="N99">
        <v>0</v>
      </c>
      <c r="O99">
        <v>0</v>
      </c>
      <c r="Q99">
        <v>0</v>
      </c>
      <c r="R99">
        <v>0</v>
      </c>
      <c r="S99">
        <v>0</v>
      </c>
      <c r="T99">
        <v>0</v>
      </c>
      <c r="V99">
        <v>0</v>
      </c>
      <c r="X99">
        <v>0</v>
      </c>
      <c r="Y99">
        <v>0</v>
      </c>
      <c r="Z99">
        <v>0</v>
      </c>
      <c r="AA99">
        <v>0</v>
      </c>
      <c r="AB99">
        <v>0</v>
      </c>
      <c r="AC99">
        <v>0</v>
      </c>
      <c r="AD99">
        <v>0</v>
      </c>
      <c r="AE99">
        <v>0</v>
      </c>
      <c r="AF99">
        <v>0</v>
      </c>
      <c r="AG99">
        <v>0</v>
      </c>
      <c r="AH99">
        <v>41929</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H99">
        <v>0</v>
      </c>
      <c r="BI99">
        <v>0</v>
      </c>
      <c r="BJ99">
        <v>0</v>
      </c>
      <c r="BK99">
        <v>0</v>
      </c>
      <c r="BL99">
        <v>0</v>
      </c>
      <c r="BM99">
        <v>0</v>
      </c>
      <c r="BN99">
        <v>-3899</v>
      </c>
      <c r="BO99">
        <v>0</v>
      </c>
      <c r="BQ99">
        <v>0</v>
      </c>
      <c r="BS99">
        <v>0</v>
      </c>
      <c r="BT99">
        <v>0</v>
      </c>
      <c r="BV99">
        <v>0</v>
      </c>
    </row>
    <row r="100" spans="1:74" x14ac:dyDescent="0.3">
      <c r="A100" s="155">
        <v>391</v>
      </c>
      <c r="B100" t="s">
        <v>192</v>
      </c>
      <c r="D100">
        <v>721974</v>
      </c>
      <c r="E100">
        <v>68468668</v>
      </c>
      <c r="G100">
        <v>846328</v>
      </c>
      <c r="H100">
        <v>205747</v>
      </c>
      <c r="I100">
        <v>0</v>
      </c>
      <c r="J100">
        <v>70230</v>
      </c>
      <c r="K100">
        <v>229848</v>
      </c>
      <c r="L100">
        <v>287125</v>
      </c>
      <c r="M100">
        <v>7216356</v>
      </c>
      <c r="N100">
        <v>0</v>
      </c>
      <c r="O100">
        <v>59199</v>
      </c>
      <c r="Q100">
        <v>50331</v>
      </c>
      <c r="R100">
        <v>111563</v>
      </c>
      <c r="S100">
        <v>163479</v>
      </c>
      <c r="T100">
        <v>1029308</v>
      </c>
      <c r="V100">
        <v>71011</v>
      </c>
      <c r="X100">
        <v>1246104</v>
      </c>
      <c r="Y100">
        <v>252653</v>
      </c>
      <c r="Z100">
        <v>7535970</v>
      </c>
      <c r="AA100">
        <v>1171947</v>
      </c>
      <c r="AB100">
        <v>59784</v>
      </c>
      <c r="AC100">
        <v>11541</v>
      </c>
      <c r="AD100">
        <v>123061</v>
      </c>
      <c r="AE100">
        <v>128666</v>
      </c>
      <c r="AF100">
        <v>35586</v>
      </c>
      <c r="AG100">
        <v>235072</v>
      </c>
      <c r="AH100">
        <v>1028422</v>
      </c>
      <c r="AI100">
        <v>12056</v>
      </c>
      <c r="AJ100">
        <v>245548</v>
      </c>
      <c r="AK100">
        <v>8132</v>
      </c>
      <c r="AL100">
        <v>204171</v>
      </c>
      <c r="AM100">
        <v>524940</v>
      </c>
      <c r="AN100">
        <v>48401</v>
      </c>
      <c r="AO100">
        <v>5481142</v>
      </c>
      <c r="AP100">
        <v>138416</v>
      </c>
      <c r="AQ100">
        <v>19948</v>
      </c>
      <c r="AR100">
        <v>27320</v>
      </c>
      <c r="AS100">
        <v>5546081</v>
      </c>
      <c r="AT100">
        <v>27264</v>
      </c>
      <c r="AU100">
        <v>251000</v>
      </c>
      <c r="AV100">
        <v>76287</v>
      </c>
      <c r="AW100">
        <v>37970</v>
      </c>
      <c r="AX100">
        <v>32084</v>
      </c>
      <c r="AY100">
        <v>25058</v>
      </c>
      <c r="AZ100">
        <v>748280</v>
      </c>
      <c r="BA100">
        <v>120888</v>
      </c>
      <c r="BB100">
        <v>16967</v>
      </c>
      <c r="BC100">
        <v>12315</v>
      </c>
      <c r="BD100">
        <v>603698</v>
      </c>
      <c r="BE100">
        <v>658536</v>
      </c>
      <c r="BF100">
        <v>5928438</v>
      </c>
      <c r="BH100">
        <v>37159</v>
      </c>
      <c r="BI100">
        <v>36498</v>
      </c>
      <c r="BJ100">
        <v>3539444</v>
      </c>
      <c r="BK100">
        <v>125123</v>
      </c>
      <c r="BL100">
        <v>2421321</v>
      </c>
      <c r="BM100">
        <v>2067392</v>
      </c>
      <c r="BN100">
        <v>852935</v>
      </c>
      <c r="BO100">
        <v>380098</v>
      </c>
      <c r="BQ100">
        <v>351756</v>
      </c>
      <c r="BS100">
        <v>400032</v>
      </c>
      <c r="BT100">
        <v>134439</v>
      </c>
      <c r="BV100">
        <v>47273</v>
      </c>
    </row>
    <row r="101" spans="1:74" x14ac:dyDescent="0.3">
      <c r="A101" s="155">
        <v>500</v>
      </c>
      <c r="B101" t="s">
        <v>175</v>
      </c>
      <c r="D101">
        <v>826680</v>
      </c>
      <c r="E101">
        <v>87376163</v>
      </c>
      <c r="G101">
        <v>827522</v>
      </c>
      <c r="H101">
        <v>4136872</v>
      </c>
      <c r="I101">
        <v>1671</v>
      </c>
      <c r="J101">
        <v>49910</v>
      </c>
      <c r="K101">
        <v>187063</v>
      </c>
      <c r="L101">
        <v>3003682</v>
      </c>
      <c r="M101">
        <v>298182</v>
      </c>
      <c r="N101">
        <v>67857</v>
      </c>
      <c r="O101">
        <v>68462</v>
      </c>
      <c r="Q101">
        <v>229131</v>
      </c>
      <c r="R101">
        <v>316036</v>
      </c>
      <c r="S101">
        <v>115745</v>
      </c>
      <c r="T101">
        <v>1064417</v>
      </c>
      <c r="V101">
        <v>159</v>
      </c>
      <c r="X101">
        <v>1106964</v>
      </c>
      <c r="Y101">
        <v>345683</v>
      </c>
      <c r="Z101">
        <v>14708830</v>
      </c>
      <c r="AA101">
        <v>491313</v>
      </c>
      <c r="AB101">
        <v>145999</v>
      </c>
      <c r="AC101">
        <v>50793</v>
      </c>
      <c r="AD101">
        <v>200127</v>
      </c>
      <c r="AE101">
        <v>254725</v>
      </c>
      <c r="AF101">
        <v>64572</v>
      </c>
      <c r="AG101">
        <v>0</v>
      </c>
      <c r="AH101">
        <v>1589529</v>
      </c>
      <c r="AI101">
        <v>37846</v>
      </c>
      <c r="AJ101">
        <v>749923</v>
      </c>
      <c r="AK101">
        <v>87266</v>
      </c>
      <c r="AL101">
        <v>7063</v>
      </c>
      <c r="AM101">
        <v>1264850</v>
      </c>
      <c r="AN101">
        <v>74848</v>
      </c>
      <c r="AO101">
        <v>3299361</v>
      </c>
      <c r="AP101">
        <v>178836</v>
      </c>
      <c r="AQ101">
        <v>77986</v>
      </c>
      <c r="AR101">
        <v>316214</v>
      </c>
      <c r="AS101">
        <v>8426874</v>
      </c>
      <c r="AT101">
        <v>73637</v>
      </c>
      <c r="AU101">
        <v>1079000</v>
      </c>
      <c r="AV101">
        <v>164512</v>
      </c>
      <c r="AW101">
        <v>60527</v>
      </c>
      <c r="AX101">
        <v>1806981</v>
      </c>
      <c r="AY101">
        <v>205770</v>
      </c>
      <c r="AZ101">
        <v>632526</v>
      </c>
      <c r="BA101">
        <v>0</v>
      </c>
      <c r="BB101">
        <v>52595</v>
      </c>
      <c r="BC101">
        <v>47727</v>
      </c>
      <c r="BD101">
        <v>1811704</v>
      </c>
      <c r="BE101">
        <v>408029</v>
      </c>
      <c r="BF101">
        <v>14869171</v>
      </c>
      <c r="BH101">
        <v>88430</v>
      </c>
      <c r="BI101">
        <v>88529</v>
      </c>
      <c r="BJ101">
        <v>5418484</v>
      </c>
      <c r="BK101">
        <v>562523</v>
      </c>
      <c r="BL101">
        <v>3218296</v>
      </c>
      <c r="BM101">
        <v>8885169</v>
      </c>
      <c r="BN101">
        <v>807223</v>
      </c>
      <c r="BO101">
        <v>344659</v>
      </c>
      <c r="BQ101">
        <v>869049</v>
      </c>
      <c r="BS101">
        <v>730089</v>
      </c>
      <c r="BT101">
        <v>450733</v>
      </c>
      <c r="BV101">
        <v>683118</v>
      </c>
    </row>
    <row r="102" spans="1:74" x14ac:dyDescent="0.3">
      <c r="A102" s="155">
        <v>502</v>
      </c>
      <c r="B102" t="s">
        <v>177</v>
      </c>
      <c r="D102">
        <v>6580904</v>
      </c>
      <c r="E102">
        <v>627454568</v>
      </c>
      <c r="G102">
        <v>3009086</v>
      </c>
      <c r="H102">
        <v>1027109</v>
      </c>
      <c r="I102">
        <v>0</v>
      </c>
      <c r="J102">
        <v>0</v>
      </c>
      <c r="K102">
        <v>0</v>
      </c>
      <c r="L102">
        <v>656795</v>
      </c>
      <c r="M102">
        <v>6937486</v>
      </c>
      <c r="N102">
        <v>0</v>
      </c>
      <c r="O102">
        <v>528665</v>
      </c>
      <c r="Q102">
        <v>0</v>
      </c>
      <c r="R102">
        <v>0</v>
      </c>
      <c r="S102">
        <v>1834448</v>
      </c>
      <c r="T102">
        <v>0</v>
      </c>
      <c r="V102">
        <v>546326</v>
      </c>
      <c r="X102">
        <v>3773158</v>
      </c>
      <c r="Y102">
        <v>0</v>
      </c>
      <c r="Z102">
        <v>72210462</v>
      </c>
      <c r="AA102">
        <v>0</v>
      </c>
      <c r="AB102">
        <v>0</v>
      </c>
      <c r="AC102">
        <v>108601</v>
      </c>
      <c r="AD102">
        <v>763895</v>
      </c>
      <c r="AE102">
        <v>462830</v>
      </c>
      <c r="AF102">
        <v>341396</v>
      </c>
      <c r="AG102">
        <v>90996</v>
      </c>
      <c r="AH102">
        <v>2509388</v>
      </c>
      <c r="AI102">
        <v>0</v>
      </c>
      <c r="AJ102">
        <v>0</v>
      </c>
      <c r="AK102">
        <v>0</v>
      </c>
      <c r="AL102">
        <v>969961</v>
      </c>
      <c r="AM102">
        <v>880868</v>
      </c>
      <c r="AN102">
        <v>355740</v>
      </c>
      <c r="AO102">
        <v>41354766</v>
      </c>
      <c r="AP102">
        <v>573062</v>
      </c>
      <c r="AQ102">
        <v>0</v>
      </c>
      <c r="AR102">
        <v>70201</v>
      </c>
      <c r="AS102">
        <v>14910027</v>
      </c>
      <c r="AT102">
        <v>697869</v>
      </c>
      <c r="AU102">
        <v>4813925</v>
      </c>
      <c r="AV102">
        <v>2366428</v>
      </c>
      <c r="AW102">
        <v>0</v>
      </c>
      <c r="AX102">
        <v>0</v>
      </c>
      <c r="AY102">
        <v>15684</v>
      </c>
      <c r="AZ102">
        <v>8792021</v>
      </c>
      <c r="BA102">
        <v>307999</v>
      </c>
      <c r="BB102">
        <v>716063</v>
      </c>
      <c r="BC102">
        <v>568246</v>
      </c>
      <c r="BD102">
        <v>6853897</v>
      </c>
      <c r="BE102">
        <v>2528855</v>
      </c>
      <c r="BF102">
        <v>30029521</v>
      </c>
      <c r="BH102">
        <v>0</v>
      </c>
      <c r="BI102">
        <v>879953</v>
      </c>
      <c r="BJ102">
        <v>25540218</v>
      </c>
      <c r="BK102">
        <v>796874</v>
      </c>
      <c r="BL102">
        <v>16365072</v>
      </c>
      <c r="BM102">
        <v>0</v>
      </c>
      <c r="BN102">
        <v>11488495</v>
      </c>
      <c r="BO102">
        <v>1289439</v>
      </c>
      <c r="BQ102">
        <v>0</v>
      </c>
      <c r="BS102">
        <v>767563</v>
      </c>
      <c r="BT102">
        <v>556544</v>
      </c>
      <c r="BV102">
        <v>201157</v>
      </c>
    </row>
    <row r="103" spans="1:74" x14ac:dyDescent="0.3">
      <c r="A103" s="155">
        <v>503</v>
      </c>
      <c r="B103" t="s">
        <v>178</v>
      </c>
      <c r="D103">
        <v>69375</v>
      </c>
      <c r="E103">
        <v>44081921</v>
      </c>
      <c r="G103">
        <v>0</v>
      </c>
      <c r="H103">
        <v>961532</v>
      </c>
      <c r="I103">
        <v>0</v>
      </c>
      <c r="J103">
        <v>0</v>
      </c>
      <c r="K103">
        <v>0</v>
      </c>
      <c r="L103">
        <v>325839</v>
      </c>
      <c r="M103">
        <v>1745809</v>
      </c>
      <c r="N103">
        <v>0</v>
      </c>
      <c r="O103">
        <v>24550</v>
      </c>
      <c r="Q103">
        <v>0</v>
      </c>
      <c r="R103">
        <v>0</v>
      </c>
      <c r="S103">
        <v>278781</v>
      </c>
      <c r="T103">
        <v>0</v>
      </c>
      <c r="V103">
        <v>81556</v>
      </c>
      <c r="X103">
        <v>123768</v>
      </c>
      <c r="Y103">
        <v>0</v>
      </c>
      <c r="Z103">
        <v>9557258</v>
      </c>
      <c r="AA103">
        <v>0</v>
      </c>
      <c r="AB103">
        <v>14175</v>
      </c>
      <c r="AC103">
        <v>72737</v>
      </c>
      <c r="AD103">
        <v>97955</v>
      </c>
      <c r="AE103">
        <v>262695</v>
      </c>
      <c r="AF103">
        <v>80469</v>
      </c>
      <c r="AG103">
        <v>0</v>
      </c>
      <c r="AH103">
        <v>3074841</v>
      </c>
      <c r="AI103">
        <v>0</v>
      </c>
      <c r="AJ103">
        <v>0</v>
      </c>
      <c r="AK103">
        <v>0</v>
      </c>
      <c r="AL103">
        <v>0</v>
      </c>
      <c r="AM103">
        <v>0</v>
      </c>
      <c r="AN103">
        <v>15990</v>
      </c>
      <c r="AO103">
        <v>7993332</v>
      </c>
      <c r="AP103">
        <v>255067</v>
      </c>
      <c r="AQ103">
        <v>0</v>
      </c>
      <c r="AR103">
        <v>17080</v>
      </c>
      <c r="AS103">
        <v>731032</v>
      </c>
      <c r="AT103">
        <v>46167</v>
      </c>
      <c r="AU103">
        <v>103142</v>
      </c>
      <c r="AV103">
        <v>107298</v>
      </c>
      <c r="AW103">
        <v>0</v>
      </c>
      <c r="AX103">
        <v>0</v>
      </c>
      <c r="AY103">
        <v>0</v>
      </c>
      <c r="AZ103">
        <v>98460</v>
      </c>
      <c r="BA103">
        <v>0</v>
      </c>
      <c r="BB103">
        <v>8561</v>
      </c>
      <c r="BC103">
        <v>5935</v>
      </c>
      <c r="BD103">
        <v>150503</v>
      </c>
      <c r="BE103">
        <v>335848</v>
      </c>
      <c r="BF103">
        <v>592006</v>
      </c>
      <c r="BH103">
        <v>0</v>
      </c>
      <c r="BI103">
        <v>25956</v>
      </c>
      <c r="BJ103">
        <v>854674</v>
      </c>
      <c r="BK103">
        <v>75312</v>
      </c>
      <c r="BL103">
        <v>1753372</v>
      </c>
      <c r="BM103">
        <v>0</v>
      </c>
      <c r="BN103">
        <v>3811196</v>
      </c>
      <c r="BO103">
        <v>7023812</v>
      </c>
      <c r="BQ103">
        <v>0</v>
      </c>
      <c r="BS103">
        <v>60000</v>
      </c>
      <c r="BT103">
        <v>43932</v>
      </c>
      <c r="BV103">
        <v>57103</v>
      </c>
    </row>
    <row r="104" spans="1:74" x14ac:dyDescent="0.3">
      <c r="A104" s="155">
        <v>504</v>
      </c>
      <c r="B104" t="s">
        <v>182</v>
      </c>
      <c r="D104">
        <v>1087854</v>
      </c>
      <c r="E104">
        <v>77541506</v>
      </c>
      <c r="G104">
        <v>155354</v>
      </c>
      <c r="H104">
        <v>150124</v>
      </c>
      <c r="I104">
        <v>10155</v>
      </c>
      <c r="J104">
        <v>0</v>
      </c>
      <c r="K104">
        <v>250000</v>
      </c>
      <c r="L104">
        <v>753796</v>
      </c>
      <c r="M104">
        <v>847345</v>
      </c>
      <c r="N104">
        <v>43222</v>
      </c>
      <c r="O104">
        <v>173428</v>
      </c>
      <c r="Q104">
        <v>124996</v>
      </c>
      <c r="R104">
        <v>69723</v>
      </c>
      <c r="S104">
        <v>820652</v>
      </c>
      <c r="T104">
        <v>5788601</v>
      </c>
      <c r="V104">
        <v>73821</v>
      </c>
      <c r="X104">
        <v>465293</v>
      </c>
      <c r="Y104">
        <v>274165</v>
      </c>
      <c r="Z104">
        <v>8209652</v>
      </c>
      <c r="AA104">
        <v>111518</v>
      </c>
      <c r="AB104">
        <v>19031</v>
      </c>
      <c r="AC104">
        <v>19244</v>
      </c>
      <c r="AD104">
        <v>159828</v>
      </c>
      <c r="AE104">
        <v>245979</v>
      </c>
      <c r="AF104">
        <v>95612</v>
      </c>
      <c r="AG104">
        <v>165907</v>
      </c>
      <c r="AH104">
        <v>1357653</v>
      </c>
      <c r="AI104">
        <v>8396</v>
      </c>
      <c r="AJ104">
        <v>843126</v>
      </c>
      <c r="AK104">
        <v>13421</v>
      </c>
      <c r="AL104">
        <v>47112</v>
      </c>
      <c r="AM104">
        <v>880025</v>
      </c>
      <c r="AN104">
        <v>84857</v>
      </c>
      <c r="AO104">
        <v>4751078</v>
      </c>
      <c r="AP104">
        <v>45706</v>
      </c>
      <c r="AQ104">
        <v>11128</v>
      </c>
      <c r="AR104">
        <v>13986</v>
      </c>
      <c r="AS104">
        <v>3154193</v>
      </c>
      <c r="AT104">
        <v>13581</v>
      </c>
      <c r="AU104">
        <v>395194</v>
      </c>
      <c r="AV104">
        <v>383220</v>
      </c>
      <c r="AW104">
        <v>44292</v>
      </c>
      <c r="AX104">
        <v>35601</v>
      </c>
      <c r="AY104">
        <v>74510</v>
      </c>
      <c r="AZ104">
        <v>1170504</v>
      </c>
      <c r="BA104">
        <v>123304</v>
      </c>
      <c r="BB104">
        <v>3469</v>
      </c>
      <c r="BC104">
        <v>7931</v>
      </c>
      <c r="BD104">
        <v>305279</v>
      </c>
      <c r="BE104">
        <v>55123</v>
      </c>
      <c r="BF104">
        <v>1938770</v>
      </c>
      <c r="BH104">
        <v>35914</v>
      </c>
      <c r="BI104">
        <v>9296</v>
      </c>
      <c r="BJ104">
        <v>623779</v>
      </c>
      <c r="BK104">
        <v>49158</v>
      </c>
      <c r="BL104">
        <v>727120</v>
      </c>
      <c r="BM104">
        <v>507933</v>
      </c>
      <c r="BN104">
        <v>454226</v>
      </c>
      <c r="BO104">
        <v>74914</v>
      </c>
      <c r="BQ104">
        <v>126537</v>
      </c>
      <c r="BS104">
        <v>566415</v>
      </c>
      <c r="BT104">
        <v>75320</v>
      </c>
      <c r="BV104">
        <v>470542</v>
      </c>
    </row>
    <row r="105" spans="1:74" x14ac:dyDescent="0.3">
      <c r="A105" s="155">
        <v>505</v>
      </c>
      <c r="B105" t="s">
        <v>183</v>
      </c>
      <c r="D105">
        <v>0</v>
      </c>
      <c r="E105">
        <v>40265865</v>
      </c>
      <c r="G105">
        <v>182580</v>
      </c>
      <c r="H105">
        <v>0</v>
      </c>
      <c r="I105">
        <v>0</v>
      </c>
      <c r="J105">
        <v>118629</v>
      </c>
      <c r="K105">
        <v>0</v>
      </c>
      <c r="L105">
        <v>0</v>
      </c>
      <c r="M105">
        <v>305341</v>
      </c>
      <c r="N105">
        <v>0</v>
      </c>
      <c r="O105">
        <v>0</v>
      </c>
      <c r="Q105">
        <v>0</v>
      </c>
      <c r="R105">
        <v>0</v>
      </c>
      <c r="S105">
        <v>0</v>
      </c>
      <c r="T105">
        <v>0</v>
      </c>
      <c r="V105">
        <v>0</v>
      </c>
      <c r="X105">
        <v>1616276</v>
      </c>
      <c r="Y105">
        <v>19000</v>
      </c>
      <c r="Z105">
        <v>652759</v>
      </c>
      <c r="AA105">
        <v>4442007</v>
      </c>
      <c r="AB105">
        <v>0</v>
      </c>
      <c r="AC105">
        <v>0</v>
      </c>
      <c r="AD105">
        <v>0</v>
      </c>
      <c r="AE105">
        <v>0</v>
      </c>
      <c r="AF105">
        <v>130501</v>
      </c>
      <c r="AG105">
        <v>328316</v>
      </c>
      <c r="AH105">
        <v>0</v>
      </c>
      <c r="AI105">
        <v>0</v>
      </c>
      <c r="AJ105">
        <v>0</v>
      </c>
      <c r="AK105">
        <v>0</v>
      </c>
      <c r="AL105">
        <v>400250</v>
      </c>
      <c r="AM105">
        <v>0</v>
      </c>
      <c r="AN105">
        <v>0</v>
      </c>
      <c r="AO105">
        <v>11690837</v>
      </c>
      <c r="AP105">
        <v>0</v>
      </c>
      <c r="AQ105">
        <v>0</v>
      </c>
      <c r="AR105">
        <v>0</v>
      </c>
      <c r="AS105">
        <v>3524217</v>
      </c>
      <c r="AT105">
        <v>0</v>
      </c>
      <c r="AU105">
        <v>0</v>
      </c>
      <c r="AV105">
        <v>0</v>
      </c>
      <c r="AW105">
        <v>0</v>
      </c>
      <c r="AX105">
        <v>654555</v>
      </c>
      <c r="AY105">
        <v>117670</v>
      </c>
      <c r="AZ105">
        <v>304103</v>
      </c>
      <c r="BA105">
        <v>0</v>
      </c>
      <c r="BB105">
        <v>0</v>
      </c>
      <c r="BC105">
        <v>0</v>
      </c>
      <c r="BD105">
        <v>745098</v>
      </c>
      <c r="BE105">
        <v>50000</v>
      </c>
      <c r="BF105">
        <v>1794576</v>
      </c>
      <c r="BH105">
        <v>335747</v>
      </c>
      <c r="BI105">
        <v>0</v>
      </c>
      <c r="BJ105">
        <v>169952</v>
      </c>
      <c r="BK105">
        <v>0</v>
      </c>
      <c r="BL105">
        <v>39960</v>
      </c>
      <c r="BM105">
        <v>143450</v>
      </c>
      <c r="BN105">
        <v>0</v>
      </c>
      <c r="BO105">
        <v>131977</v>
      </c>
      <c r="BQ105">
        <v>336888</v>
      </c>
      <c r="BS105">
        <v>181754</v>
      </c>
      <c r="BT105">
        <v>0</v>
      </c>
      <c r="BV105">
        <v>650000</v>
      </c>
    </row>
    <row r="106" spans="1:74" x14ac:dyDescent="0.3">
      <c r="A106" s="155">
        <v>506</v>
      </c>
      <c r="B106" t="s">
        <v>189</v>
      </c>
      <c r="D106">
        <v>8760189</v>
      </c>
      <c r="E106">
        <v>360750806</v>
      </c>
      <c r="G106">
        <v>6453080</v>
      </c>
      <c r="H106">
        <v>1632179</v>
      </c>
      <c r="I106">
        <v>74302</v>
      </c>
      <c r="J106">
        <v>1451060</v>
      </c>
      <c r="K106">
        <v>8029553</v>
      </c>
      <c r="L106">
        <v>1934212</v>
      </c>
      <c r="M106">
        <v>12375584</v>
      </c>
      <c r="N106">
        <v>844936</v>
      </c>
      <c r="O106">
        <v>1195309</v>
      </c>
      <c r="Q106">
        <v>794787</v>
      </c>
      <c r="R106">
        <v>1238164</v>
      </c>
      <c r="S106">
        <v>1213491</v>
      </c>
      <c r="T106">
        <v>6928558</v>
      </c>
      <c r="V106">
        <v>2313993</v>
      </c>
      <c r="X106">
        <v>4932308</v>
      </c>
      <c r="Y106">
        <v>1745534</v>
      </c>
      <c r="Z106">
        <v>34122410</v>
      </c>
      <c r="AA106">
        <v>8787676</v>
      </c>
      <c r="AB106">
        <v>231263</v>
      </c>
      <c r="AC106">
        <v>539592</v>
      </c>
      <c r="AD106">
        <v>1055360</v>
      </c>
      <c r="AE106">
        <v>2193092</v>
      </c>
      <c r="AF106">
        <v>478535</v>
      </c>
      <c r="AG106">
        <v>449928</v>
      </c>
      <c r="AH106">
        <v>3555423</v>
      </c>
      <c r="AI106">
        <v>295952</v>
      </c>
      <c r="AJ106">
        <v>3670158</v>
      </c>
      <c r="AK106">
        <v>636593</v>
      </c>
      <c r="AL106">
        <v>945618</v>
      </c>
      <c r="AM106">
        <v>1834795</v>
      </c>
      <c r="AN106">
        <v>707939</v>
      </c>
      <c r="AO106">
        <v>22851036</v>
      </c>
      <c r="AP106">
        <v>1342449</v>
      </c>
      <c r="AQ106">
        <v>702278</v>
      </c>
      <c r="AR106">
        <v>693999</v>
      </c>
      <c r="AS106">
        <v>23662166</v>
      </c>
      <c r="AT106">
        <v>388990</v>
      </c>
      <c r="AU106">
        <v>6457762</v>
      </c>
      <c r="AV106">
        <v>1340611</v>
      </c>
      <c r="AW106">
        <v>404078</v>
      </c>
      <c r="AX106">
        <v>253023</v>
      </c>
      <c r="AY106">
        <v>497585</v>
      </c>
      <c r="AZ106">
        <v>4916489</v>
      </c>
      <c r="BA106">
        <v>1124355</v>
      </c>
      <c r="BB106">
        <v>173677</v>
      </c>
      <c r="BC106">
        <v>1432382</v>
      </c>
      <c r="BD106">
        <v>7677116</v>
      </c>
      <c r="BE106">
        <v>1105446</v>
      </c>
      <c r="BF106">
        <v>9061559</v>
      </c>
      <c r="BH106">
        <v>302822</v>
      </c>
      <c r="BI106">
        <v>471752</v>
      </c>
      <c r="BJ106">
        <v>13463298</v>
      </c>
      <c r="BK106">
        <v>1610717</v>
      </c>
      <c r="BL106">
        <v>13245019</v>
      </c>
      <c r="BM106">
        <v>8633551</v>
      </c>
      <c r="BN106">
        <v>6690147</v>
      </c>
      <c r="BO106">
        <v>2862293</v>
      </c>
      <c r="BQ106">
        <v>2425602</v>
      </c>
      <c r="BS106">
        <v>2191913</v>
      </c>
      <c r="BT106">
        <v>1257383</v>
      </c>
      <c r="BV106">
        <v>3994307</v>
      </c>
    </row>
    <row r="107" spans="1:74" x14ac:dyDescent="0.3">
      <c r="A107" s="155">
        <v>507</v>
      </c>
      <c r="B107" t="s">
        <v>886</v>
      </c>
      <c r="D107">
        <v>0</v>
      </c>
      <c r="E107">
        <v>0</v>
      </c>
      <c r="G107">
        <v>0</v>
      </c>
      <c r="H107">
        <v>0</v>
      </c>
      <c r="I107">
        <v>0</v>
      </c>
      <c r="J107">
        <v>0</v>
      </c>
      <c r="K107">
        <v>0</v>
      </c>
      <c r="L107">
        <v>0</v>
      </c>
      <c r="M107">
        <v>-86949</v>
      </c>
      <c r="N107">
        <v>0</v>
      </c>
      <c r="O107">
        <v>0</v>
      </c>
      <c r="Q107">
        <v>0</v>
      </c>
      <c r="R107">
        <v>0</v>
      </c>
      <c r="S107">
        <v>0</v>
      </c>
      <c r="T107">
        <v>0</v>
      </c>
      <c r="V107">
        <v>0</v>
      </c>
      <c r="X107">
        <v>0</v>
      </c>
      <c r="Y107">
        <v>0</v>
      </c>
      <c r="Z107">
        <v>0</v>
      </c>
      <c r="AA107">
        <v>0</v>
      </c>
      <c r="AB107">
        <v>0</v>
      </c>
      <c r="AC107">
        <v>0</v>
      </c>
      <c r="AD107">
        <v>0</v>
      </c>
      <c r="AE107">
        <v>0</v>
      </c>
      <c r="AF107">
        <v>0</v>
      </c>
      <c r="AG107">
        <v>0</v>
      </c>
      <c r="AH107">
        <v>0</v>
      </c>
      <c r="AI107">
        <v>0</v>
      </c>
      <c r="AJ107">
        <v>45628</v>
      </c>
      <c r="AK107">
        <v>0</v>
      </c>
      <c r="AL107">
        <v>0</v>
      </c>
      <c r="AM107">
        <v>0</v>
      </c>
      <c r="AN107">
        <v>2970</v>
      </c>
      <c r="AO107">
        <v>0</v>
      </c>
      <c r="AP107">
        <v>0</v>
      </c>
      <c r="AQ107">
        <v>0</v>
      </c>
      <c r="AR107">
        <v>0</v>
      </c>
      <c r="AS107">
        <v>0</v>
      </c>
      <c r="AT107">
        <v>0</v>
      </c>
      <c r="AU107">
        <v>0</v>
      </c>
      <c r="AV107">
        <v>0</v>
      </c>
      <c r="AW107">
        <v>9</v>
      </c>
      <c r="AX107">
        <v>-141911</v>
      </c>
      <c r="AY107">
        <v>7801</v>
      </c>
      <c r="AZ107">
        <v>0</v>
      </c>
      <c r="BA107">
        <v>-35366</v>
      </c>
      <c r="BB107">
        <v>0</v>
      </c>
      <c r="BC107">
        <v>0</v>
      </c>
      <c r="BD107">
        <v>0</v>
      </c>
      <c r="BE107">
        <v>0</v>
      </c>
      <c r="BF107">
        <v>0</v>
      </c>
      <c r="BH107">
        <v>0</v>
      </c>
      <c r="BI107">
        <v>0</v>
      </c>
      <c r="BJ107">
        <v>287162</v>
      </c>
      <c r="BK107">
        <v>0</v>
      </c>
      <c r="BL107">
        <v>0</v>
      </c>
      <c r="BM107">
        <v>0</v>
      </c>
      <c r="BN107">
        <v>0</v>
      </c>
      <c r="BO107">
        <v>0</v>
      </c>
      <c r="BQ107">
        <v>0</v>
      </c>
      <c r="BS107">
        <v>0</v>
      </c>
      <c r="BT107">
        <v>0</v>
      </c>
      <c r="BV107">
        <v>0</v>
      </c>
    </row>
    <row r="108" spans="1:74" x14ac:dyDescent="0.3">
      <c r="A108" s="155">
        <v>508</v>
      </c>
      <c r="B108" t="s">
        <v>204</v>
      </c>
      <c r="D108">
        <v>0</v>
      </c>
      <c r="E108">
        <v>0</v>
      </c>
      <c r="G108">
        <v>0</v>
      </c>
      <c r="H108">
        <v>0</v>
      </c>
      <c r="I108">
        <v>0</v>
      </c>
      <c r="J108">
        <v>0</v>
      </c>
      <c r="K108">
        <v>0</v>
      </c>
      <c r="L108">
        <v>0</v>
      </c>
      <c r="M108">
        <v>0</v>
      </c>
      <c r="N108">
        <v>0</v>
      </c>
      <c r="O108">
        <v>0</v>
      </c>
      <c r="Q108">
        <v>0</v>
      </c>
      <c r="R108">
        <v>0</v>
      </c>
      <c r="S108">
        <v>0</v>
      </c>
      <c r="T108">
        <v>0</v>
      </c>
      <c r="V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H108">
        <v>0</v>
      </c>
      <c r="BI108">
        <v>0</v>
      </c>
      <c r="BJ108">
        <v>0</v>
      </c>
      <c r="BK108">
        <v>0</v>
      </c>
      <c r="BL108">
        <v>0</v>
      </c>
      <c r="BM108">
        <v>0</v>
      </c>
      <c r="BN108">
        <v>0</v>
      </c>
      <c r="BO108">
        <v>0</v>
      </c>
      <c r="BQ108">
        <v>0</v>
      </c>
      <c r="BS108">
        <v>0</v>
      </c>
      <c r="BT108">
        <v>0</v>
      </c>
      <c r="BV108">
        <v>0</v>
      </c>
    </row>
    <row r="109" spans="1:74" x14ac:dyDescent="0.3">
      <c r="A109" s="155">
        <v>509</v>
      </c>
      <c r="B109" t="s">
        <v>205</v>
      </c>
      <c r="D109">
        <v>0</v>
      </c>
      <c r="E109">
        <v>0</v>
      </c>
      <c r="G109">
        <v>0</v>
      </c>
      <c r="H109">
        <v>0</v>
      </c>
      <c r="I109">
        <v>0</v>
      </c>
      <c r="J109">
        <v>0</v>
      </c>
      <c r="K109">
        <v>0</v>
      </c>
      <c r="L109">
        <v>0</v>
      </c>
      <c r="M109">
        <v>0</v>
      </c>
      <c r="N109">
        <v>0</v>
      </c>
      <c r="O109">
        <v>0</v>
      </c>
      <c r="Q109">
        <v>0</v>
      </c>
      <c r="R109">
        <v>0</v>
      </c>
      <c r="S109">
        <v>0</v>
      </c>
      <c r="T109">
        <v>0</v>
      </c>
      <c r="V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H109">
        <v>0</v>
      </c>
      <c r="BI109">
        <v>0</v>
      </c>
      <c r="BJ109">
        <v>0</v>
      </c>
      <c r="BK109">
        <v>0</v>
      </c>
      <c r="BL109">
        <v>0</v>
      </c>
      <c r="BM109">
        <v>0</v>
      </c>
      <c r="BN109">
        <v>0</v>
      </c>
      <c r="BO109">
        <v>0</v>
      </c>
      <c r="BQ109">
        <v>0</v>
      </c>
      <c r="BS109">
        <v>0</v>
      </c>
      <c r="BT109">
        <v>0</v>
      </c>
      <c r="BV109">
        <v>0</v>
      </c>
    </row>
    <row r="110" spans="1:74" x14ac:dyDescent="0.3">
      <c r="A110" s="155">
        <v>510</v>
      </c>
      <c r="B110" t="s">
        <v>211</v>
      </c>
      <c r="D110">
        <v>15545</v>
      </c>
      <c r="E110">
        <v>12673119</v>
      </c>
      <c r="G110">
        <v>92032</v>
      </c>
      <c r="H110">
        <v>0</v>
      </c>
      <c r="I110">
        <v>0</v>
      </c>
      <c r="J110">
        <v>0</v>
      </c>
      <c r="K110">
        <v>0</v>
      </c>
      <c r="L110">
        <v>99782</v>
      </c>
      <c r="M110">
        <v>228059</v>
      </c>
      <c r="N110">
        <v>0</v>
      </c>
      <c r="O110">
        <v>0</v>
      </c>
      <c r="Q110">
        <v>0</v>
      </c>
      <c r="R110">
        <v>0</v>
      </c>
      <c r="S110">
        <v>0</v>
      </c>
      <c r="T110">
        <v>0</v>
      </c>
      <c r="V110">
        <v>7727</v>
      </c>
      <c r="X110">
        <v>148863</v>
      </c>
      <c r="Y110">
        <v>0</v>
      </c>
      <c r="Z110">
        <v>186238</v>
      </c>
      <c r="AA110">
        <v>0</v>
      </c>
      <c r="AB110">
        <v>0</v>
      </c>
      <c r="AC110">
        <v>0</v>
      </c>
      <c r="AD110">
        <v>0</v>
      </c>
      <c r="AE110">
        <v>0</v>
      </c>
      <c r="AF110">
        <v>0</v>
      </c>
      <c r="AG110">
        <v>4750</v>
      </c>
      <c r="AH110">
        <v>0</v>
      </c>
      <c r="AI110">
        <v>0</v>
      </c>
      <c r="AJ110">
        <v>0</v>
      </c>
      <c r="AK110">
        <v>0</v>
      </c>
      <c r="AL110">
        <v>0</v>
      </c>
      <c r="AM110">
        <v>0</v>
      </c>
      <c r="AN110">
        <v>0</v>
      </c>
      <c r="AO110">
        <v>896157</v>
      </c>
      <c r="AP110">
        <v>0</v>
      </c>
      <c r="AQ110">
        <v>0</v>
      </c>
      <c r="AR110">
        <v>0</v>
      </c>
      <c r="AS110">
        <v>190991</v>
      </c>
      <c r="AT110">
        <v>0</v>
      </c>
      <c r="AU110">
        <v>114480</v>
      </c>
      <c r="AV110">
        <v>31532</v>
      </c>
      <c r="AW110">
        <v>0</v>
      </c>
      <c r="AX110">
        <v>0</v>
      </c>
      <c r="AY110">
        <v>0</v>
      </c>
      <c r="AZ110">
        <v>101268</v>
      </c>
      <c r="BA110">
        <v>0</v>
      </c>
      <c r="BB110">
        <v>0</v>
      </c>
      <c r="BC110">
        <v>0</v>
      </c>
      <c r="BD110">
        <v>176242</v>
      </c>
      <c r="BE110">
        <v>30713</v>
      </c>
      <c r="BF110">
        <v>731194</v>
      </c>
      <c r="BH110">
        <v>0</v>
      </c>
      <c r="BI110">
        <v>0</v>
      </c>
      <c r="BJ110">
        <v>233352</v>
      </c>
      <c r="BK110">
        <v>32046</v>
      </c>
      <c r="BL110">
        <v>0</v>
      </c>
      <c r="BM110">
        <v>0</v>
      </c>
      <c r="BN110">
        <v>0</v>
      </c>
      <c r="BO110">
        <v>46645</v>
      </c>
      <c r="BQ110">
        <v>0</v>
      </c>
      <c r="BS110">
        <v>0</v>
      </c>
      <c r="BT110">
        <v>500</v>
      </c>
      <c r="BV110">
        <v>0</v>
      </c>
    </row>
    <row r="111" spans="1:74" x14ac:dyDescent="0.3">
      <c r="A111" s="155">
        <v>511</v>
      </c>
      <c r="B111" t="s">
        <v>216</v>
      </c>
      <c r="D111">
        <v>0</v>
      </c>
      <c r="E111">
        <v>0</v>
      </c>
      <c r="G111">
        <v>0</v>
      </c>
      <c r="H111">
        <v>0</v>
      </c>
      <c r="I111">
        <v>0</v>
      </c>
      <c r="J111">
        <v>0</v>
      </c>
      <c r="K111">
        <v>0</v>
      </c>
      <c r="L111">
        <v>420651</v>
      </c>
      <c r="M111">
        <v>0</v>
      </c>
      <c r="N111">
        <v>0</v>
      </c>
      <c r="O111">
        <v>0</v>
      </c>
      <c r="Q111">
        <v>0</v>
      </c>
      <c r="R111">
        <v>0</v>
      </c>
      <c r="S111">
        <v>0</v>
      </c>
      <c r="T111">
        <v>0</v>
      </c>
      <c r="V111">
        <v>0</v>
      </c>
      <c r="X111">
        <v>0</v>
      </c>
      <c r="Y111">
        <v>0</v>
      </c>
      <c r="Z111">
        <v>1601368</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311925</v>
      </c>
      <c r="AW111">
        <v>0</v>
      </c>
      <c r="AX111">
        <v>0</v>
      </c>
      <c r="AY111">
        <v>0</v>
      </c>
      <c r="AZ111">
        <v>309179</v>
      </c>
      <c r="BA111">
        <v>0</v>
      </c>
      <c r="BB111">
        <v>0</v>
      </c>
      <c r="BC111">
        <v>0</v>
      </c>
      <c r="BD111">
        <v>0</v>
      </c>
      <c r="BE111">
        <v>29976</v>
      </c>
      <c r="BF111">
        <v>1118686</v>
      </c>
      <c r="BH111">
        <v>0</v>
      </c>
      <c r="BI111">
        <v>0</v>
      </c>
      <c r="BJ111">
        <v>1481258</v>
      </c>
      <c r="BK111">
        <v>0</v>
      </c>
      <c r="BL111">
        <v>0</v>
      </c>
      <c r="BM111">
        <v>0</v>
      </c>
      <c r="BN111">
        <v>0</v>
      </c>
      <c r="BO111">
        <v>0</v>
      </c>
      <c r="BQ111">
        <v>0</v>
      </c>
      <c r="BS111">
        <v>0</v>
      </c>
      <c r="BT111">
        <v>0</v>
      </c>
      <c r="BV111">
        <v>0</v>
      </c>
    </row>
    <row r="112" spans="1:74" x14ac:dyDescent="0.3">
      <c r="A112" s="155">
        <v>512</v>
      </c>
      <c r="B112" t="s">
        <v>243</v>
      </c>
      <c r="D112">
        <v>0</v>
      </c>
      <c r="E112">
        <v>142600618</v>
      </c>
      <c r="G112">
        <v>110384</v>
      </c>
      <c r="H112">
        <v>0</v>
      </c>
      <c r="I112">
        <v>0</v>
      </c>
      <c r="J112">
        <v>0</v>
      </c>
      <c r="K112">
        <v>0</v>
      </c>
      <c r="L112">
        <v>0</v>
      </c>
      <c r="M112">
        <v>0</v>
      </c>
      <c r="N112">
        <v>0</v>
      </c>
      <c r="O112">
        <v>0</v>
      </c>
      <c r="Q112">
        <v>0</v>
      </c>
      <c r="R112">
        <v>0</v>
      </c>
      <c r="S112">
        <v>0</v>
      </c>
      <c r="T112">
        <v>0</v>
      </c>
      <c r="V112">
        <v>0</v>
      </c>
      <c r="X112">
        <v>0</v>
      </c>
      <c r="Y112">
        <v>0</v>
      </c>
      <c r="Z112">
        <v>239012</v>
      </c>
      <c r="AA112">
        <v>0</v>
      </c>
      <c r="AB112">
        <v>0</v>
      </c>
      <c r="AC112">
        <v>0</v>
      </c>
      <c r="AD112">
        <v>0</v>
      </c>
      <c r="AE112">
        <v>0</v>
      </c>
      <c r="AF112">
        <v>0</v>
      </c>
      <c r="AG112">
        <v>0</v>
      </c>
      <c r="AH112">
        <v>0</v>
      </c>
      <c r="AI112">
        <v>0</v>
      </c>
      <c r="AJ112">
        <v>0</v>
      </c>
      <c r="AK112">
        <v>0</v>
      </c>
      <c r="AL112">
        <v>0</v>
      </c>
      <c r="AM112">
        <v>0</v>
      </c>
      <c r="AN112">
        <v>0</v>
      </c>
      <c r="AO112">
        <v>62130</v>
      </c>
      <c r="AP112">
        <v>0</v>
      </c>
      <c r="AQ112">
        <v>0</v>
      </c>
      <c r="AR112">
        <v>0</v>
      </c>
      <c r="AS112">
        <v>3943887</v>
      </c>
      <c r="AT112">
        <v>0</v>
      </c>
      <c r="AU112">
        <v>0</v>
      </c>
      <c r="AV112">
        <v>0</v>
      </c>
      <c r="AW112">
        <v>0</v>
      </c>
      <c r="AX112">
        <v>0</v>
      </c>
      <c r="AY112">
        <v>0</v>
      </c>
      <c r="AZ112">
        <v>0</v>
      </c>
      <c r="BA112">
        <v>0</v>
      </c>
      <c r="BB112">
        <v>0</v>
      </c>
      <c r="BC112">
        <v>0</v>
      </c>
      <c r="BD112">
        <v>0</v>
      </c>
      <c r="BE112">
        <v>0</v>
      </c>
      <c r="BF112">
        <v>0</v>
      </c>
      <c r="BH112">
        <v>0</v>
      </c>
      <c r="BI112">
        <v>0</v>
      </c>
      <c r="BJ112">
        <v>216934</v>
      </c>
      <c r="BK112">
        <v>0</v>
      </c>
      <c r="BL112">
        <v>26572</v>
      </c>
      <c r="BM112">
        <v>0</v>
      </c>
      <c r="BN112">
        <v>67986</v>
      </c>
      <c r="BO112">
        <v>0</v>
      </c>
      <c r="BQ112">
        <v>0</v>
      </c>
      <c r="BS112">
        <v>0</v>
      </c>
      <c r="BT112">
        <v>0</v>
      </c>
      <c r="BV112">
        <v>0</v>
      </c>
    </row>
    <row r="113" spans="1:74" x14ac:dyDescent="0.3">
      <c r="A113" s="155">
        <v>513</v>
      </c>
      <c r="B113" t="s">
        <v>249</v>
      </c>
      <c r="D113">
        <v>0</v>
      </c>
      <c r="E113">
        <v>0</v>
      </c>
      <c r="G113">
        <v>0</v>
      </c>
      <c r="H113">
        <v>0</v>
      </c>
      <c r="I113">
        <v>0</v>
      </c>
      <c r="J113">
        <v>0</v>
      </c>
      <c r="K113">
        <v>0</v>
      </c>
      <c r="L113">
        <v>84006</v>
      </c>
      <c r="M113">
        <v>0</v>
      </c>
      <c r="N113">
        <v>0</v>
      </c>
      <c r="O113">
        <v>0</v>
      </c>
      <c r="Q113">
        <v>0</v>
      </c>
      <c r="R113">
        <v>0</v>
      </c>
      <c r="S113">
        <v>0</v>
      </c>
      <c r="T113">
        <v>0</v>
      </c>
      <c r="V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H113">
        <v>0</v>
      </c>
      <c r="BI113">
        <v>0</v>
      </c>
      <c r="BJ113">
        <v>0</v>
      </c>
      <c r="BK113">
        <v>0</v>
      </c>
      <c r="BL113">
        <v>0</v>
      </c>
      <c r="BM113">
        <v>0</v>
      </c>
      <c r="BN113">
        <v>0</v>
      </c>
      <c r="BO113">
        <v>0</v>
      </c>
      <c r="BQ113">
        <v>0</v>
      </c>
      <c r="BS113">
        <v>0</v>
      </c>
      <c r="BT113">
        <v>0</v>
      </c>
      <c r="BV113">
        <v>0</v>
      </c>
    </row>
    <row r="114" spans="1:74" x14ac:dyDescent="0.3">
      <c r="A114" s="155">
        <v>514</v>
      </c>
      <c r="B114" t="s">
        <v>250</v>
      </c>
      <c r="D114">
        <v>0</v>
      </c>
      <c r="E114">
        <v>0</v>
      </c>
      <c r="G114">
        <v>0</v>
      </c>
      <c r="H114">
        <v>0</v>
      </c>
      <c r="I114">
        <v>0</v>
      </c>
      <c r="J114">
        <v>0</v>
      </c>
      <c r="K114">
        <v>0</v>
      </c>
      <c r="L114">
        <v>115000</v>
      </c>
      <c r="M114">
        <v>0</v>
      </c>
      <c r="N114">
        <v>0</v>
      </c>
      <c r="O114">
        <v>0</v>
      </c>
      <c r="Q114">
        <v>0</v>
      </c>
      <c r="R114">
        <v>0</v>
      </c>
      <c r="S114">
        <v>0</v>
      </c>
      <c r="T114">
        <v>0</v>
      </c>
      <c r="V114">
        <v>0</v>
      </c>
      <c r="X114">
        <v>0</v>
      </c>
      <c r="Y114">
        <v>0</v>
      </c>
      <c r="Z114">
        <v>3007582</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33599</v>
      </c>
      <c r="AW114">
        <v>0</v>
      </c>
      <c r="AX114">
        <v>0</v>
      </c>
      <c r="AY114">
        <v>0</v>
      </c>
      <c r="AZ114">
        <v>175000</v>
      </c>
      <c r="BA114">
        <v>0</v>
      </c>
      <c r="BB114">
        <v>0</v>
      </c>
      <c r="BC114">
        <v>0</v>
      </c>
      <c r="BD114">
        <v>0</v>
      </c>
      <c r="BE114">
        <v>0</v>
      </c>
      <c r="BF114">
        <v>900000</v>
      </c>
      <c r="BH114">
        <v>0</v>
      </c>
      <c r="BI114">
        <v>0</v>
      </c>
      <c r="BJ114">
        <v>0</v>
      </c>
      <c r="BK114">
        <v>0</v>
      </c>
      <c r="BL114">
        <v>0</v>
      </c>
      <c r="BM114">
        <v>0</v>
      </c>
      <c r="BN114">
        <v>0</v>
      </c>
      <c r="BO114">
        <v>0</v>
      </c>
      <c r="BQ114">
        <v>0</v>
      </c>
      <c r="BS114">
        <v>0</v>
      </c>
      <c r="BT114">
        <v>0</v>
      </c>
      <c r="BV114">
        <v>0</v>
      </c>
    </row>
    <row r="115" spans="1:74" x14ac:dyDescent="0.3">
      <c r="A115" s="1040">
        <v>515</v>
      </c>
      <c r="B115" s="1041" t="s">
        <v>262</v>
      </c>
      <c r="D115">
        <v>8705</v>
      </c>
      <c r="E115">
        <v>90607912</v>
      </c>
      <c r="G115">
        <v>2309554</v>
      </c>
      <c r="H115">
        <v>8770</v>
      </c>
      <c r="I115">
        <v>0</v>
      </c>
      <c r="J115">
        <v>0</v>
      </c>
      <c r="K115">
        <v>0</v>
      </c>
      <c r="L115">
        <v>0</v>
      </c>
      <c r="M115">
        <v>0</v>
      </c>
      <c r="N115">
        <v>0</v>
      </c>
      <c r="O115">
        <v>0</v>
      </c>
      <c r="Q115">
        <v>0</v>
      </c>
      <c r="R115">
        <v>0</v>
      </c>
      <c r="S115">
        <v>8960</v>
      </c>
      <c r="T115">
        <v>0</v>
      </c>
      <c r="V115">
        <v>0</v>
      </c>
      <c r="X115">
        <v>1195278</v>
      </c>
      <c r="Y115">
        <v>0</v>
      </c>
      <c r="Z115">
        <v>52783602</v>
      </c>
      <c r="AA115">
        <v>0</v>
      </c>
      <c r="AB115">
        <v>0</v>
      </c>
      <c r="AC115">
        <v>0</v>
      </c>
      <c r="AD115">
        <v>0</v>
      </c>
      <c r="AE115">
        <v>0</v>
      </c>
      <c r="AF115">
        <v>0</v>
      </c>
      <c r="AG115">
        <v>0</v>
      </c>
      <c r="AH115">
        <v>12829325</v>
      </c>
      <c r="AI115">
        <v>0</v>
      </c>
      <c r="AJ115">
        <v>0</v>
      </c>
      <c r="AK115">
        <v>0</v>
      </c>
      <c r="AL115">
        <v>16731</v>
      </c>
      <c r="AM115">
        <v>0</v>
      </c>
      <c r="AN115">
        <v>0</v>
      </c>
      <c r="AO115">
        <v>20999557</v>
      </c>
      <c r="AP115">
        <v>0</v>
      </c>
      <c r="AQ115">
        <v>0</v>
      </c>
      <c r="AR115">
        <v>0</v>
      </c>
      <c r="AS115">
        <v>514524</v>
      </c>
      <c r="AT115">
        <v>6504</v>
      </c>
      <c r="AU115">
        <v>0</v>
      </c>
      <c r="AV115">
        <v>0</v>
      </c>
      <c r="AW115">
        <v>0</v>
      </c>
      <c r="AX115">
        <v>0</v>
      </c>
      <c r="AY115">
        <v>0</v>
      </c>
      <c r="AZ115">
        <v>1200140</v>
      </c>
      <c r="BA115">
        <v>0</v>
      </c>
      <c r="BB115">
        <v>0</v>
      </c>
      <c r="BC115">
        <v>949</v>
      </c>
      <c r="BD115">
        <v>0</v>
      </c>
      <c r="BE115">
        <v>0</v>
      </c>
      <c r="BF115">
        <v>50513691</v>
      </c>
      <c r="BH115">
        <v>0</v>
      </c>
      <c r="BI115">
        <v>2863</v>
      </c>
      <c r="BJ115">
        <v>0</v>
      </c>
      <c r="BK115">
        <v>250062</v>
      </c>
      <c r="BL115">
        <v>1875684</v>
      </c>
      <c r="BM115">
        <v>0</v>
      </c>
      <c r="BN115">
        <v>0</v>
      </c>
      <c r="BO115">
        <v>0</v>
      </c>
      <c r="BQ115">
        <v>0</v>
      </c>
      <c r="BS115">
        <v>2459636</v>
      </c>
      <c r="BT115">
        <v>0</v>
      </c>
      <c r="BV115">
        <v>0</v>
      </c>
    </row>
    <row r="116" spans="1:74" x14ac:dyDescent="0.3">
      <c r="A116" s="1040">
        <v>516</v>
      </c>
      <c r="B116" s="1041" t="s">
        <v>263</v>
      </c>
      <c r="D116">
        <v>21307101</v>
      </c>
      <c r="E116">
        <v>1382724930</v>
      </c>
      <c r="G116">
        <v>7412172</v>
      </c>
      <c r="H116">
        <v>6839604</v>
      </c>
      <c r="I116">
        <v>0</v>
      </c>
      <c r="J116">
        <v>0</v>
      </c>
      <c r="K116">
        <v>0</v>
      </c>
      <c r="L116">
        <v>16316591</v>
      </c>
      <c r="M116">
        <v>87201922</v>
      </c>
      <c r="N116">
        <v>0</v>
      </c>
      <c r="O116">
        <v>6892205</v>
      </c>
      <c r="Q116">
        <v>0</v>
      </c>
      <c r="R116">
        <v>0</v>
      </c>
      <c r="S116">
        <v>5818448</v>
      </c>
      <c r="T116">
        <v>0</v>
      </c>
      <c r="V116">
        <v>21732796</v>
      </c>
      <c r="X116">
        <v>34426295</v>
      </c>
      <c r="Y116">
        <v>0</v>
      </c>
      <c r="Z116">
        <v>0</v>
      </c>
      <c r="AA116">
        <v>0</v>
      </c>
      <c r="AB116">
        <v>2490612</v>
      </c>
      <c r="AC116">
        <v>4363431</v>
      </c>
      <c r="AD116">
        <v>11130976</v>
      </c>
      <c r="AE116">
        <v>6224171</v>
      </c>
      <c r="AF116">
        <v>7224198</v>
      </c>
      <c r="AG116">
        <v>7536225</v>
      </c>
      <c r="AH116">
        <v>23931096</v>
      </c>
      <c r="AI116">
        <v>0</v>
      </c>
      <c r="AJ116">
        <v>0</v>
      </c>
      <c r="AK116">
        <v>0</v>
      </c>
      <c r="AL116">
        <v>5789798</v>
      </c>
      <c r="AM116">
        <v>12533887</v>
      </c>
      <c r="AN116">
        <v>3078525</v>
      </c>
      <c r="AO116">
        <v>186930676</v>
      </c>
      <c r="AP116">
        <v>6038563</v>
      </c>
      <c r="AQ116">
        <v>0</v>
      </c>
      <c r="AR116">
        <v>1289393</v>
      </c>
      <c r="AS116">
        <v>261225225</v>
      </c>
      <c r="AT116">
        <v>7351931</v>
      </c>
      <c r="AU116">
        <v>7130180</v>
      </c>
      <c r="AV116">
        <v>16472210</v>
      </c>
      <c r="AW116">
        <v>8496043</v>
      </c>
      <c r="AX116">
        <v>0</v>
      </c>
      <c r="AY116">
        <v>0</v>
      </c>
      <c r="AZ116">
        <v>19382104</v>
      </c>
      <c r="BA116">
        <v>3046825</v>
      </c>
      <c r="BB116">
        <v>4110738</v>
      </c>
      <c r="BC116">
        <v>1678431</v>
      </c>
      <c r="BD116">
        <v>15948460</v>
      </c>
      <c r="BE116">
        <v>12732207</v>
      </c>
      <c r="BF116">
        <v>121209447</v>
      </c>
      <c r="BH116">
        <v>0</v>
      </c>
      <c r="BI116">
        <v>2523166</v>
      </c>
      <c r="BJ116">
        <v>20362179</v>
      </c>
      <c r="BK116">
        <v>11397760</v>
      </c>
      <c r="BL116">
        <v>62535537</v>
      </c>
      <c r="BM116">
        <v>0</v>
      </c>
      <c r="BN116">
        <v>20813369</v>
      </c>
      <c r="BO116">
        <v>12739301</v>
      </c>
      <c r="BQ116">
        <v>0</v>
      </c>
      <c r="BS116">
        <v>7282934</v>
      </c>
      <c r="BT116">
        <v>4535873</v>
      </c>
      <c r="BV116">
        <v>26105480</v>
      </c>
    </row>
    <row r="117" spans="1:74" x14ac:dyDescent="0.3">
      <c r="A117" s="1040">
        <v>517</v>
      </c>
      <c r="B117" s="1041" t="s">
        <v>264</v>
      </c>
      <c r="D117">
        <v>0</v>
      </c>
      <c r="E117">
        <v>224349165</v>
      </c>
      <c r="G117">
        <v>3405999</v>
      </c>
      <c r="H117">
        <v>0</v>
      </c>
      <c r="I117">
        <v>0</v>
      </c>
      <c r="J117">
        <v>0</v>
      </c>
      <c r="K117">
        <v>0</v>
      </c>
      <c r="L117">
        <v>0</v>
      </c>
      <c r="M117">
        <v>0</v>
      </c>
      <c r="N117">
        <v>0</v>
      </c>
      <c r="O117">
        <v>0</v>
      </c>
      <c r="Q117">
        <v>0</v>
      </c>
      <c r="R117">
        <v>0</v>
      </c>
      <c r="S117">
        <v>0</v>
      </c>
      <c r="T117">
        <v>0</v>
      </c>
      <c r="V117">
        <v>0</v>
      </c>
      <c r="X117">
        <v>0</v>
      </c>
      <c r="Y117">
        <v>0</v>
      </c>
      <c r="Z117">
        <v>69535126</v>
      </c>
      <c r="AA117">
        <v>0</v>
      </c>
      <c r="AB117">
        <v>0</v>
      </c>
      <c r="AC117">
        <v>0</v>
      </c>
      <c r="AD117">
        <v>0</v>
      </c>
      <c r="AE117">
        <v>0</v>
      </c>
      <c r="AF117">
        <v>0</v>
      </c>
      <c r="AG117">
        <v>0</v>
      </c>
      <c r="AH117">
        <v>0</v>
      </c>
      <c r="AI117">
        <v>0</v>
      </c>
      <c r="AJ117">
        <v>0</v>
      </c>
      <c r="AK117">
        <v>0</v>
      </c>
      <c r="AL117">
        <v>0</v>
      </c>
      <c r="AM117">
        <v>42284</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H117">
        <v>0</v>
      </c>
      <c r="BI117">
        <v>0</v>
      </c>
      <c r="BJ117">
        <v>0</v>
      </c>
      <c r="BK117">
        <v>26691</v>
      </c>
      <c r="BL117">
        <v>0</v>
      </c>
      <c r="BM117">
        <v>0</v>
      </c>
      <c r="BN117">
        <v>0</v>
      </c>
      <c r="BO117">
        <v>0</v>
      </c>
      <c r="BQ117">
        <v>0</v>
      </c>
      <c r="BS117">
        <v>13190565</v>
      </c>
      <c r="BT117">
        <v>0</v>
      </c>
      <c r="BV117">
        <v>0</v>
      </c>
    </row>
    <row r="118" spans="1:74" x14ac:dyDescent="0.3">
      <c r="A118" s="1040">
        <v>518</v>
      </c>
      <c r="B118" s="1041" t="s">
        <v>265</v>
      </c>
      <c r="D118">
        <v>4717447</v>
      </c>
      <c r="E118">
        <v>32361595</v>
      </c>
      <c r="G118">
        <v>3095134</v>
      </c>
      <c r="H118">
        <v>668388</v>
      </c>
      <c r="I118">
        <v>0</v>
      </c>
      <c r="J118">
        <v>0</v>
      </c>
      <c r="K118">
        <v>0</v>
      </c>
      <c r="L118">
        <v>1179668</v>
      </c>
      <c r="M118">
        <v>3807035</v>
      </c>
      <c r="N118">
        <v>0</v>
      </c>
      <c r="O118">
        <v>147444</v>
      </c>
      <c r="Q118">
        <v>0</v>
      </c>
      <c r="R118">
        <v>0</v>
      </c>
      <c r="S118">
        <v>464600</v>
      </c>
      <c r="T118">
        <v>0</v>
      </c>
      <c r="V118">
        <v>434887</v>
      </c>
      <c r="X118">
        <v>4564236</v>
      </c>
      <c r="Y118">
        <v>0</v>
      </c>
      <c r="Z118">
        <v>47522743</v>
      </c>
      <c r="AA118">
        <v>0</v>
      </c>
      <c r="AB118">
        <v>48945</v>
      </c>
      <c r="AC118">
        <v>31496</v>
      </c>
      <c r="AD118">
        <v>738400</v>
      </c>
      <c r="AE118">
        <v>596356</v>
      </c>
      <c r="AF118">
        <v>400348</v>
      </c>
      <c r="AG118">
        <v>458407</v>
      </c>
      <c r="AH118">
        <v>5056963</v>
      </c>
      <c r="AI118">
        <v>0</v>
      </c>
      <c r="AJ118">
        <v>0</v>
      </c>
      <c r="AK118">
        <v>0</v>
      </c>
      <c r="AL118">
        <v>302440</v>
      </c>
      <c r="AM118">
        <v>683645</v>
      </c>
      <c r="AN118">
        <v>364780</v>
      </c>
      <c r="AO118">
        <v>13151912</v>
      </c>
      <c r="AP118">
        <v>504565</v>
      </c>
      <c r="AQ118">
        <v>0</v>
      </c>
      <c r="AR118">
        <v>3360</v>
      </c>
      <c r="AS118">
        <v>5020068</v>
      </c>
      <c r="AT118">
        <v>165304</v>
      </c>
      <c r="AU118">
        <v>1603690</v>
      </c>
      <c r="AV118">
        <v>587074</v>
      </c>
      <c r="AW118">
        <v>48503</v>
      </c>
      <c r="AX118">
        <v>0</v>
      </c>
      <c r="AY118">
        <v>0</v>
      </c>
      <c r="AZ118">
        <v>1555715</v>
      </c>
      <c r="BA118">
        <v>407814</v>
      </c>
      <c r="BB118">
        <v>100197</v>
      </c>
      <c r="BC118">
        <v>162057</v>
      </c>
      <c r="BD118">
        <v>1337983</v>
      </c>
      <c r="BE118">
        <v>571379</v>
      </c>
      <c r="BF118">
        <v>5092247</v>
      </c>
      <c r="BH118">
        <v>0</v>
      </c>
      <c r="BI118">
        <v>34710</v>
      </c>
      <c r="BJ118">
        <v>3141994</v>
      </c>
      <c r="BK118">
        <v>635283</v>
      </c>
      <c r="BL118">
        <v>4914304</v>
      </c>
      <c r="BM118">
        <v>0</v>
      </c>
      <c r="BN118">
        <v>1650067</v>
      </c>
      <c r="BO118">
        <v>213846</v>
      </c>
      <c r="BQ118">
        <v>0</v>
      </c>
      <c r="BS118">
        <v>1167346</v>
      </c>
      <c r="BT118">
        <v>150255</v>
      </c>
      <c r="BV118">
        <v>584897</v>
      </c>
    </row>
    <row r="119" spans="1:74" x14ac:dyDescent="0.3">
      <c r="A119" s="155">
        <v>519</v>
      </c>
      <c r="B119" t="s">
        <v>266</v>
      </c>
      <c r="D119">
        <v>478</v>
      </c>
      <c r="E119">
        <v>2530790</v>
      </c>
      <c r="G119">
        <v>69120</v>
      </c>
      <c r="H119">
        <v>0</v>
      </c>
      <c r="I119">
        <v>0</v>
      </c>
      <c r="J119">
        <v>0</v>
      </c>
      <c r="K119">
        <v>0</v>
      </c>
      <c r="L119">
        <v>0</v>
      </c>
      <c r="M119">
        <v>0</v>
      </c>
      <c r="N119">
        <v>0</v>
      </c>
      <c r="O119">
        <v>0</v>
      </c>
      <c r="Q119">
        <v>0</v>
      </c>
      <c r="R119">
        <v>0</v>
      </c>
      <c r="S119">
        <v>224</v>
      </c>
      <c r="T119">
        <v>0</v>
      </c>
      <c r="V119">
        <v>0</v>
      </c>
      <c r="X119">
        <v>28724</v>
      </c>
      <c r="Y119">
        <v>0</v>
      </c>
      <c r="Z119">
        <v>927271</v>
      </c>
      <c r="AA119">
        <v>0</v>
      </c>
      <c r="AB119">
        <v>0</v>
      </c>
      <c r="AC119">
        <v>0</v>
      </c>
      <c r="AD119">
        <v>0</v>
      </c>
      <c r="AE119">
        <v>0</v>
      </c>
      <c r="AF119">
        <v>0</v>
      </c>
      <c r="AG119">
        <v>0</v>
      </c>
      <c r="AH119">
        <v>199973</v>
      </c>
      <c r="AI119">
        <v>0</v>
      </c>
      <c r="AJ119">
        <v>0</v>
      </c>
      <c r="AK119">
        <v>0</v>
      </c>
      <c r="AL119">
        <v>0</v>
      </c>
      <c r="AM119">
        <v>0</v>
      </c>
      <c r="AN119">
        <v>0</v>
      </c>
      <c r="AO119">
        <v>370319</v>
      </c>
      <c r="AP119">
        <v>0</v>
      </c>
      <c r="AQ119">
        <v>0</v>
      </c>
      <c r="AR119">
        <v>0</v>
      </c>
      <c r="AS119">
        <v>12585</v>
      </c>
      <c r="AT119">
        <v>163</v>
      </c>
      <c r="AU119">
        <v>0</v>
      </c>
      <c r="AV119">
        <v>0</v>
      </c>
      <c r="AW119">
        <v>0</v>
      </c>
      <c r="AX119">
        <v>0</v>
      </c>
      <c r="AY119">
        <v>0</v>
      </c>
      <c r="AZ119">
        <v>26573</v>
      </c>
      <c r="BA119">
        <v>0</v>
      </c>
      <c r="BB119">
        <v>0</v>
      </c>
      <c r="BC119">
        <v>0</v>
      </c>
      <c r="BD119">
        <v>0</v>
      </c>
      <c r="BE119">
        <v>0</v>
      </c>
      <c r="BF119">
        <v>564377</v>
      </c>
      <c r="BH119">
        <v>0</v>
      </c>
      <c r="BI119">
        <v>143</v>
      </c>
      <c r="BJ119">
        <v>0</v>
      </c>
      <c r="BK119">
        <v>7725</v>
      </c>
      <c r="BL119">
        <v>29587</v>
      </c>
      <c r="BM119">
        <v>0</v>
      </c>
      <c r="BN119">
        <v>0</v>
      </c>
      <c r="BO119">
        <v>0</v>
      </c>
      <c r="BQ119">
        <v>0</v>
      </c>
      <c r="BS119">
        <v>49016</v>
      </c>
      <c r="BT119">
        <v>0</v>
      </c>
      <c r="BV119">
        <v>0</v>
      </c>
    </row>
    <row r="120" spans="1:74" x14ac:dyDescent="0.3">
      <c r="A120" s="155">
        <v>520</v>
      </c>
      <c r="B120" t="s">
        <v>267</v>
      </c>
      <c r="D120">
        <v>536560</v>
      </c>
      <c r="E120">
        <v>31233135</v>
      </c>
      <c r="G120">
        <v>110662</v>
      </c>
      <c r="H120">
        <v>146707</v>
      </c>
      <c r="I120">
        <v>0</v>
      </c>
      <c r="J120">
        <v>0</v>
      </c>
      <c r="K120">
        <v>0</v>
      </c>
      <c r="L120">
        <v>411266</v>
      </c>
      <c r="M120">
        <v>1821812</v>
      </c>
      <c r="N120">
        <v>0</v>
      </c>
      <c r="O120">
        <v>175665</v>
      </c>
      <c r="Q120">
        <v>0</v>
      </c>
      <c r="R120">
        <v>0</v>
      </c>
      <c r="S120">
        <v>118334</v>
      </c>
      <c r="T120">
        <v>0</v>
      </c>
      <c r="V120">
        <v>482706</v>
      </c>
      <c r="X120">
        <v>785225</v>
      </c>
      <c r="Y120">
        <v>0</v>
      </c>
      <c r="Z120">
        <v>0</v>
      </c>
      <c r="AA120">
        <v>0</v>
      </c>
      <c r="AB120">
        <v>62265</v>
      </c>
      <c r="AC120">
        <v>106964</v>
      </c>
      <c r="AD120">
        <v>277214</v>
      </c>
      <c r="AE120">
        <v>153349</v>
      </c>
      <c r="AF120">
        <v>177106</v>
      </c>
      <c r="AG120">
        <v>140019</v>
      </c>
      <c r="AH120">
        <v>445035</v>
      </c>
      <c r="AI120">
        <v>0</v>
      </c>
      <c r="AJ120">
        <v>0</v>
      </c>
      <c r="AK120">
        <v>0</v>
      </c>
      <c r="AL120">
        <v>132416</v>
      </c>
      <c r="AM120">
        <v>306482</v>
      </c>
      <c r="AN120">
        <v>72346</v>
      </c>
      <c r="AO120">
        <v>4180891</v>
      </c>
      <c r="AP120">
        <v>116820</v>
      </c>
      <c r="AQ120">
        <v>0</v>
      </c>
      <c r="AR120">
        <v>25788</v>
      </c>
      <c r="AS120">
        <v>5997379</v>
      </c>
      <c r="AT120">
        <v>165221</v>
      </c>
      <c r="AU120">
        <v>140769</v>
      </c>
      <c r="AV120">
        <v>524114</v>
      </c>
      <c r="AW120">
        <v>161816</v>
      </c>
      <c r="AX120">
        <v>0</v>
      </c>
      <c r="AY120">
        <v>0</v>
      </c>
      <c r="AZ120">
        <v>542265</v>
      </c>
      <c r="BA120">
        <v>62217</v>
      </c>
      <c r="BB120">
        <v>102055</v>
      </c>
      <c r="BC120">
        <v>46022</v>
      </c>
      <c r="BD120">
        <v>437194</v>
      </c>
      <c r="BE120">
        <v>287541</v>
      </c>
      <c r="BF120">
        <v>2077565</v>
      </c>
      <c r="BH120">
        <v>0</v>
      </c>
      <c r="BI120">
        <v>49448</v>
      </c>
      <c r="BJ120">
        <v>492584</v>
      </c>
      <c r="BK120">
        <v>276701</v>
      </c>
      <c r="BL120">
        <v>1581388</v>
      </c>
      <c r="BM120">
        <v>0</v>
      </c>
      <c r="BN120">
        <v>478501</v>
      </c>
      <c r="BO120">
        <v>231239</v>
      </c>
      <c r="BQ120">
        <v>0</v>
      </c>
      <c r="BS120">
        <v>204167</v>
      </c>
      <c r="BT120">
        <v>108940</v>
      </c>
      <c r="BV120">
        <v>607358</v>
      </c>
    </row>
    <row r="121" spans="1:74" x14ac:dyDescent="0.3">
      <c r="A121" s="155">
        <v>521</v>
      </c>
      <c r="B121" t="s">
        <v>268</v>
      </c>
      <c r="D121">
        <v>0</v>
      </c>
      <c r="E121">
        <v>11478039</v>
      </c>
      <c r="G121">
        <v>125988</v>
      </c>
      <c r="H121">
        <v>0</v>
      </c>
      <c r="I121">
        <v>0</v>
      </c>
      <c r="J121">
        <v>0</v>
      </c>
      <c r="K121">
        <v>0</v>
      </c>
      <c r="L121">
        <v>0</v>
      </c>
      <c r="M121">
        <v>0</v>
      </c>
      <c r="N121">
        <v>0</v>
      </c>
      <c r="O121">
        <v>0</v>
      </c>
      <c r="Q121">
        <v>0</v>
      </c>
      <c r="R121">
        <v>0</v>
      </c>
      <c r="S121">
        <v>0</v>
      </c>
      <c r="T121">
        <v>0</v>
      </c>
      <c r="V121">
        <v>0</v>
      </c>
      <c r="X121">
        <v>0</v>
      </c>
      <c r="Y121">
        <v>0</v>
      </c>
      <c r="Z121">
        <v>932977</v>
      </c>
      <c r="AA121">
        <v>0</v>
      </c>
      <c r="AB121">
        <v>0</v>
      </c>
      <c r="AC121">
        <v>0</v>
      </c>
      <c r="AD121">
        <v>0</v>
      </c>
      <c r="AE121">
        <v>0</v>
      </c>
      <c r="AF121">
        <v>0</v>
      </c>
      <c r="AG121">
        <v>0</v>
      </c>
      <c r="AH121">
        <v>0</v>
      </c>
      <c r="AI121">
        <v>0</v>
      </c>
      <c r="AJ121">
        <v>0</v>
      </c>
      <c r="AK121">
        <v>0</v>
      </c>
      <c r="AL121">
        <v>0</v>
      </c>
      <c r="AM121">
        <v>1791</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H121">
        <v>0</v>
      </c>
      <c r="BI121">
        <v>0</v>
      </c>
      <c r="BJ121">
        <v>0</v>
      </c>
      <c r="BK121">
        <v>1446</v>
      </c>
      <c r="BL121">
        <v>0</v>
      </c>
      <c r="BM121">
        <v>0</v>
      </c>
      <c r="BN121">
        <v>0</v>
      </c>
      <c r="BO121">
        <v>0</v>
      </c>
      <c r="BQ121">
        <v>0</v>
      </c>
      <c r="BS121">
        <v>425875</v>
      </c>
      <c r="BT121">
        <v>0</v>
      </c>
      <c r="BV121">
        <v>0</v>
      </c>
    </row>
    <row r="122" spans="1:74" x14ac:dyDescent="0.3">
      <c r="A122" s="155">
        <v>522</v>
      </c>
      <c r="B122" t="s">
        <v>269</v>
      </c>
      <c r="D122">
        <v>359323</v>
      </c>
      <c r="E122">
        <v>2533577</v>
      </c>
      <c r="G122">
        <v>115093</v>
      </c>
      <c r="H122">
        <v>42949</v>
      </c>
      <c r="I122">
        <v>0</v>
      </c>
      <c r="J122">
        <v>0</v>
      </c>
      <c r="K122">
        <v>0</v>
      </c>
      <c r="L122">
        <v>99182</v>
      </c>
      <c r="M122">
        <v>173903</v>
      </c>
      <c r="N122">
        <v>0</v>
      </c>
      <c r="O122">
        <v>15054</v>
      </c>
      <c r="Q122">
        <v>0</v>
      </c>
      <c r="R122">
        <v>0</v>
      </c>
      <c r="S122">
        <v>21849</v>
      </c>
      <c r="T122">
        <v>0</v>
      </c>
      <c r="V122">
        <v>24623</v>
      </c>
      <c r="X122">
        <v>322836</v>
      </c>
      <c r="Y122">
        <v>0</v>
      </c>
      <c r="Z122">
        <v>1669769</v>
      </c>
      <c r="AA122">
        <v>0</v>
      </c>
      <c r="AB122">
        <v>0</v>
      </c>
      <c r="AC122">
        <v>433</v>
      </c>
      <c r="AD122">
        <v>83323</v>
      </c>
      <c r="AE122">
        <v>27988</v>
      </c>
      <c r="AF122">
        <v>47159</v>
      </c>
      <c r="AG122">
        <v>0</v>
      </c>
      <c r="AH122">
        <v>229180</v>
      </c>
      <c r="AI122">
        <v>0</v>
      </c>
      <c r="AJ122">
        <v>0</v>
      </c>
      <c r="AK122">
        <v>0</v>
      </c>
      <c r="AL122">
        <v>10344</v>
      </c>
      <c r="AM122">
        <v>62831</v>
      </c>
      <c r="AN122">
        <v>34854</v>
      </c>
      <c r="AO122">
        <v>464268</v>
      </c>
      <c r="AP122">
        <v>39416</v>
      </c>
      <c r="AQ122">
        <v>0</v>
      </c>
      <c r="AR122">
        <v>0</v>
      </c>
      <c r="AS122">
        <v>441013</v>
      </c>
      <c r="AT122">
        <v>9953</v>
      </c>
      <c r="AU122">
        <v>80484</v>
      </c>
      <c r="AV122">
        <v>12517</v>
      </c>
      <c r="AW122">
        <v>3345</v>
      </c>
      <c r="AX122">
        <v>0</v>
      </c>
      <c r="AY122">
        <v>0</v>
      </c>
      <c r="AZ122">
        <v>72326</v>
      </c>
      <c r="BA122">
        <v>17658</v>
      </c>
      <c r="BB122">
        <v>6727</v>
      </c>
      <c r="BC122">
        <v>4216</v>
      </c>
      <c r="BD122">
        <v>99738</v>
      </c>
      <c r="BE122">
        <v>38767</v>
      </c>
      <c r="BF122">
        <v>147836</v>
      </c>
      <c r="BH122">
        <v>0</v>
      </c>
      <c r="BI122">
        <v>1921</v>
      </c>
      <c r="BJ122">
        <v>161639</v>
      </c>
      <c r="BK122">
        <v>39223</v>
      </c>
      <c r="BL122">
        <v>429835</v>
      </c>
      <c r="BM122">
        <v>0</v>
      </c>
      <c r="BN122">
        <v>118638</v>
      </c>
      <c r="BO122">
        <v>4665</v>
      </c>
      <c r="BQ122">
        <v>0</v>
      </c>
      <c r="BS122">
        <v>44205</v>
      </c>
      <c r="BT122">
        <v>716</v>
      </c>
      <c r="BV122">
        <v>36235</v>
      </c>
    </row>
    <row r="123" spans="1:74" x14ac:dyDescent="0.3">
      <c r="A123" s="552">
        <v>523</v>
      </c>
      <c r="B123" s="553" t="s">
        <v>270</v>
      </c>
      <c r="D123">
        <v>2370</v>
      </c>
      <c r="E123">
        <v>55221949</v>
      </c>
      <c r="G123">
        <v>1965416</v>
      </c>
      <c r="H123">
        <v>8770</v>
      </c>
      <c r="I123">
        <v>0</v>
      </c>
      <c r="J123">
        <v>0</v>
      </c>
      <c r="K123">
        <v>0</v>
      </c>
      <c r="L123">
        <v>0</v>
      </c>
      <c r="M123">
        <v>0</v>
      </c>
      <c r="N123">
        <v>0</v>
      </c>
      <c r="O123">
        <v>0</v>
      </c>
      <c r="Q123">
        <v>0</v>
      </c>
      <c r="R123">
        <v>0</v>
      </c>
      <c r="S123">
        <v>2688</v>
      </c>
      <c r="T123">
        <v>0</v>
      </c>
      <c r="V123">
        <v>0</v>
      </c>
      <c r="X123">
        <v>954158</v>
      </c>
      <c r="Y123">
        <v>0</v>
      </c>
      <c r="Z123">
        <v>29322823</v>
      </c>
      <c r="AA123">
        <v>0</v>
      </c>
      <c r="AB123">
        <v>0</v>
      </c>
      <c r="AC123">
        <v>0</v>
      </c>
      <c r="AD123">
        <v>0</v>
      </c>
      <c r="AE123">
        <v>0</v>
      </c>
      <c r="AF123">
        <v>0</v>
      </c>
      <c r="AG123">
        <v>0</v>
      </c>
      <c r="AH123">
        <v>7546832</v>
      </c>
      <c r="AI123">
        <v>0</v>
      </c>
      <c r="AJ123">
        <v>0</v>
      </c>
      <c r="AK123">
        <v>0</v>
      </c>
      <c r="AL123">
        <v>16731</v>
      </c>
      <c r="AM123">
        <v>0</v>
      </c>
      <c r="AN123">
        <v>0</v>
      </c>
      <c r="AO123">
        <v>13220753</v>
      </c>
      <c r="AP123">
        <v>0</v>
      </c>
      <c r="AQ123">
        <v>0</v>
      </c>
      <c r="AR123">
        <v>0</v>
      </c>
      <c r="AS123">
        <v>364960</v>
      </c>
      <c r="AT123">
        <v>2277</v>
      </c>
      <c r="AU123">
        <v>0</v>
      </c>
      <c r="AV123">
        <v>0</v>
      </c>
      <c r="AW123">
        <v>0</v>
      </c>
      <c r="AX123">
        <v>0</v>
      </c>
      <c r="AY123">
        <v>0</v>
      </c>
      <c r="AZ123">
        <v>1042999</v>
      </c>
      <c r="BA123">
        <v>0</v>
      </c>
      <c r="BB123">
        <v>0</v>
      </c>
      <c r="BC123">
        <v>949</v>
      </c>
      <c r="BD123">
        <v>0</v>
      </c>
      <c r="BE123">
        <v>0</v>
      </c>
      <c r="BF123">
        <v>17851153</v>
      </c>
      <c r="BH123">
        <v>0</v>
      </c>
      <c r="BI123">
        <v>2720</v>
      </c>
      <c r="BJ123">
        <v>0</v>
      </c>
      <c r="BK123">
        <v>152219</v>
      </c>
      <c r="BL123">
        <v>487836</v>
      </c>
      <c r="BM123">
        <v>0</v>
      </c>
      <c r="BN123">
        <v>0</v>
      </c>
      <c r="BO123">
        <v>0</v>
      </c>
      <c r="BQ123">
        <v>0</v>
      </c>
      <c r="BS123">
        <v>1871445</v>
      </c>
      <c r="BT123">
        <v>0</v>
      </c>
      <c r="BV123">
        <v>0</v>
      </c>
    </row>
    <row r="124" spans="1:74" x14ac:dyDescent="0.3">
      <c r="A124" s="552">
        <v>524</v>
      </c>
      <c r="B124" s="553" t="s">
        <v>271</v>
      </c>
      <c r="D124">
        <v>14082560</v>
      </c>
      <c r="E124">
        <v>540335400</v>
      </c>
      <c r="G124">
        <v>5701740</v>
      </c>
      <c r="H124">
        <v>3679980</v>
      </c>
      <c r="I124">
        <v>0</v>
      </c>
      <c r="J124">
        <v>0</v>
      </c>
      <c r="K124">
        <v>0</v>
      </c>
      <c r="L124">
        <v>10314857</v>
      </c>
      <c r="M124">
        <v>38678682</v>
      </c>
      <c r="N124">
        <v>0</v>
      </c>
      <c r="O124">
        <v>2097962</v>
      </c>
      <c r="Q124">
        <v>0</v>
      </c>
      <c r="R124">
        <v>0</v>
      </c>
      <c r="S124">
        <v>4963701</v>
      </c>
      <c r="T124">
        <v>0</v>
      </c>
      <c r="V124">
        <v>7798742</v>
      </c>
      <c r="X124">
        <v>24143799</v>
      </c>
      <c r="Y124">
        <v>0</v>
      </c>
      <c r="Z124">
        <v>0</v>
      </c>
      <c r="AA124">
        <v>0</v>
      </c>
      <c r="AB124">
        <v>1021376</v>
      </c>
      <c r="AC124">
        <v>2291237</v>
      </c>
      <c r="AD124">
        <v>3982216</v>
      </c>
      <c r="AE124">
        <v>3951358</v>
      </c>
      <c r="AF124">
        <v>2763052</v>
      </c>
      <c r="AG124">
        <v>3950699</v>
      </c>
      <c r="AH124">
        <v>11280404</v>
      </c>
      <c r="AI124">
        <v>0</v>
      </c>
      <c r="AJ124">
        <v>0</v>
      </c>
      <c r="AK124">
        <v>0</v>
      </c>
      <c r="AL124">
        <v>2731021</v>
      </c>
      <c r="AM124">
        <v>5536396</v>
      </c>
      <c r="AN124">
        <v>2015843</v>
      </c>
      <c r="AO124">
        <v>99835698</v>
      </c>
      <c r="AP124">
        <v>1344662</v>
      </c>
      <c r="AQ124">
        <v>0</v>
      </c>
      <c r="AR124">
        <v>283667</v>
      </c>
      <c r="AS124">
        <v>94704711</v>
      </c>
      <c r="AT124">
        <v>1884733</v>
      </c>
      <c r="AU124">
        <v>2799465</v>
      </c>
      <c r="AV124">
        <v>10389114</v>
      </c>
      <c r="AW124">
        <v>2605964</v>
      </c>
      <c r="AX124">
        <v>0</v>
      </c>
      <c r="AY124">
        <v>0</v>
      </c>
      <c r="AZ124">
        <v>11387576</v>
      </c>
      <c r="BA124">
        <v>966896</v>
      </c>
      <c r="BB124">
        <v>1724958</v>
      </c>
      <c r="BC124">
        <v>1010240</v>
      </c>
      <c r="BD124">
        <v>6022137</v>
      </c>
      <c r="BE124">
        <v>4125260</v>
      </c>
      <c r="BF124">
        <v>26126034</v>
      </c>
      <c r="BH124">
        <v>0</v>
      </c>
      <c r="BI124">
        <v>1100490</v>
      </c>
      <c r="BJ124">
        <v>11188285</v>
      </c>
      <c r="BK124">
        <v>7056112</v>
      </c>
      <c r="BL124">
        <v>30870555</v>
      </c>
      <c r="BM124">
        <v>0</v>
      </c>
      <c r="BN124">
        <v>7993548</v>
      </c>
      <c r="BO124">
        <v>3831171</v>
      </c>
      <c r="BQ124">
        <v>0</v>
      </c>
      <c r="BS124">
        <v>3235750</v>
      </c>
      <c r="BT124">
        <v>1369960</v>
      </c>
      <c r="BV124">
        <v>11621565</v>
      </c>
    </row>
    <row r="125" spans="1:74" x14ac:dyDescent="0.3">
      <c r="A125" s="552">
        <v>525</v>
      </c>
      <c r="B125" s="553" t="s">
        <v>272</v>
      </c>
      <c r="D125">
        <v>0</v>
      </c>
      <c r="E125">
        <v>109761996</v>
      </c>
      <c r="G125">
        <v>1589377</v>
      </c>
      <c r="H125">
        <v>0</v>
      </c>
      <c r="I125">
        <v>0</v>
      </c>
      <c r="J125">
        <v>0</v>
      </c>
      <c r="K125">
        <v>0</v>
      </c>
      <c r="L125">
        <v>0</v>
      </c>
      <c r="M125">
        <v>0</v>
      </c>
      <c r="N125">
        <v>0</v>
      </c>
      <c r="O125">
        <v>0</v>
      </c>
      <c r="Q125">
        <v>0</v>
      </c>
      <c r="R125">
        <v>0</v>
      </c>
      <c r="S125">
        <v>0</v>
      </c>
      <c r="T125">
        <v>0</v>
      </c>
      <c r="V125">
        <v>0</v>
      </c>
      <c r="X125">
        <v>0</v>
      </c>
      <c r="Y125">
        <v>0</v>
      </c>
      <c r="Z125">
        <v>25913953</v>
      </c>
      <c r="AA125">
        <v>0</v>
      </c>
      <c r="AB125">
        <v>0</v>
      </c>
      <c r="AC125">
        <v>0</v>
      </c>
      <c r="AD125">
        <v>0</v>
      </c>
      <c r="AE125">
        <v>0</v>
      </c>
      <c r="AF125">
        <v>0</v>
      </c>
      <c r="AG125">
        <v>0</v>
      </c>
      <c r="AH125">
        <v>0</v>
      </c>
      <c r="AI125">
        <v>0</v>
      </c>
      <c r="AJ125">
        <v>0</v>
      </c>
      <c r="AK125">
        <v>0</v>
      </c>
      <c r="AL125">
        <v>0</v>
      </c>
      <c r="AM125">
        <v>11833</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H125">
        <v>0</v>
      </c>
      <c r="BI125">
        <v>0</v>
      </c>
      <c r="BJ125">
        <v>0</v>
      </c>
      <c r="BK125">
        <v>11772</v>
      </c>
      <c r="BL125">
        <v>0</v>
      </c>
      <c r="BM125">
        <v>0</v>
      </c>
      <c r="BN125">
        <v>0</v>
      </c>
      <c r="BO125">
        <v>0</v>
      </c>
      <c r="BQ125">
        <v>0</v>
      </c>
      <c r="BS125">
        <v>2956468</v>
      </c>
      <c r="BT125">
        <v>0</v>
      </c>
      <c r="BV125">
        <v>0</v>
      </c>
    </row>
    <row r="126" spans="1:74" x14ac:dyDescent="0.3">
      <c r="A126" s="552">
        <v>526</v>
      </c>
      <c r="B126" s="553" t="s">
        <v>273</v>
      </c>
      <c r="D126">
        <v>2579405</v>
      </c>
      <c r="E126">
        <v>26755857</v>
      </c>
      <c r="G126">
        <v>1490982</v>
      </c>
      <c r="H126">
        <v>394995</v>
      </c>
      <c r="I126">
        <v>0</v>
      </c>
      <c r="J126">
        <v>0</v>
      </c>
      <c r="K126">
        <v>0</v>
      </c>
      <c r="L126">
        <v>633062</v>
      </c>
      <c r="M126">
        <v>2497885</v>
      </c>
      <c r="N126">
        <v>0</v>
      </c>
      <c r="O126">
        <v>80438</v>
      </c>
      <c r="Q126">
        <v>0</v>
      </c>
      <c r="R126">
        <v>0</v>
      </c>
      <c r="S126">
        <v>295535</v>
      </c>
      <c r="T126">
        <v>0</v>
      </c>
      <c r="V126">
        <v>331047</v>
      </c>
      <c r="X126">
        <v>3125896</v>
      </c>
      <c r="Y126">
        <v>0</v>
      </c>
      <c r="Z126">
        <v>36707603</v>
      </c>
      <c r="AA126">
        <v>0</v>
      </c>
      <c r="AB126">
        <v>48945</v>
      </c>
      <c r="AC126">
        <v>31279</v>
      </c>
      <c r="AD126">
        <v>518369</v>
      </c>
      <c r="AE126">
        <v>444012</v>
      </c>
      <c r="AF126">
        <v>200111</v>
      </c>
      <c r="AG126">
        <v>458024</v>
      </c>
      <c r="AH126">
        <v>4004095</v>
      </c>
      <c r="AI126">
        <v>0</v>
      </c>
      <c r="AJ126">
        <v>0</v>
      </c>
      <c r="AK126">
        <v>0</v>
      </c>
      <c r="AL126">
        <v>157230</v>
      </c>
      <c r="AM126">
        <v>468929</v>
      </c>
      <c r="AN126">
        <v>273504</v>
      </c>
      <c r="AO126">
        <v>11992513</v>
      </c>
      <c r="AP126">
        <v>395388</v>
      </c>
      <c r="AQ126">
        <v>0</v>
      </c>
      <c r="AR126">
        <v>3360</v>
      </c>
      <c r="AS126">
        <v>3557395</v>
      </c>
      <c r="AT126">
        <v>77943</v>
      </c>
      <c r="AU126">
        <v>395058</v>
      </c>
      <c r="AV126">
        <v>467837</v>
      </c>
      <c r="AW126">
        <v>24808</v>
      </c>
      <c r="AX126">
        <v>0</v>
      </c>
      <c r="AY126">
        <v>0</v>
      </c>
      <c r="AZ126">
        <v>1171139</v>
      </c>
      <c r="BA126">
        <v>369169</v>
      </c>
      <c r="BB126">
        <v>52090</v>
      </c>
      <c r="BC126">
        <v>146910</v>
      </c>
      <c r="BD126">
        <v>820638</v>
      </c>
      <c r="BE126">
        <v>492290</v>
      </c>
      <c r="BF126">
        <v>4593856</v>
      </c>
      <c r="BH126">
        <v>0</v>
      </c>
      <c r="BI126">
        <v>24150</v>
      </c>
      <c r="BJ126">
        <v>2378659</v>
      </c>
      <c r="BK126">
        <v>502492</v>
      </c>
      <c r="BL126">
        <v>3049977</v>
      </c>
      <c r="BM126">
        <v>0</v>
      </c>
      <c r="BN126">
        <v>1142324</v>
      </c>
      <c r="BO126">
        <v>171286</v>
      </c>
      <c r="BQ126">
        <v>0</v>
      </c>
      <c r="BS126">
        <v>771290</v>
      </c>
      <c r="BT126">
        <v>102175</v>
      </c>
      <c r="BV126">
        <v>492519</v>
      </c>
    </row>
    <row r="127" spans="1:74" x14ac:dyDescent="0.3">
      <c r="A127" s="155">
        <v>527</v>
      </c>
      <c r="B127" t="s">
        <v>274</v>
      </c>
      <c r="D127">
        <v>0</v>
      </c>
      <c r="E127">
        <v>0</v>
      </c>
      <c r="G127">
        <v>0</v>
      </c>
      <c r="H127">
        <v>0</v>
      </c>
      <c r="I127">
        <v>0</v>
      </c>
      <c r="J127">
        <v>0</v>
      </c>
      <c r="K127">
        <v>0</v>
      </c>
      <c r="L127">
        <v>0</v>
      </c>
      <c r="M127">
        <v>0</v>
      </c>
      <c r="N127">
        <v>0</v>
      </c>
      <c r="O127">
        <v>0</v>
      </c>
      <c r="Q127">
        <v>0</v>
      </c>
      <c r="R127">
        <v>0</v>
      </c>
      <c r="S127">
        <v>0</v>
      </c>
      <c r="T127">
        <v>0</v>
      </c>
      <c r="V127">
        <v>0</v>
      </c>
      <c r="X127">
        <v>0</v>
      </c>
      <c r="Y127">
        <v>0</v>
      </c>
      <c r="Z127">
        <v>635117</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11543</v>
      </c>
      <c r="AW127">
        <v>0</v>
      </c>
      <c r="AX127">
        <v>0</v>
      </c>
      <c r="AY127">
        <v>0</v>
      </c>
      <c r="AZ127">
        <v>703656</v>
      </c>
      <c r="BA127">
        <v>0</v>
      </c>
      <c r="BB127">
        <v>0</v>
      </c>
      <c r="BC127">
        <v>0</v>
      </c>
      <c r="BD127">
        <v>0</v>
      </c>
      <c r="BE127">
        <v>0</v>
      </c>
      <c r="BF127">
        <v>5950046</v>
      </c>
      <c r="BH127">
        <v>0</v>
      </c>
      <c r="BI127">
        <v>0</v>
      </c>
      <c r="BJ127">
        <v>1303212</v>
      </c>
      <c r="BK127">
        <v>0</v>
      </c>
      <c r="BL127">
        <v>0</v>
      </c>
      <c r="BM127">
        <v>0</v>
      </c>
      <c r="BN127">
        <v>0</v>
      </c>
      <c r="BO127">
        <v>0</v>
      </c>
      <c r="BQ127">
        <v>0</v>
      </c>
      <c r="BS127">
        <v>0</v>
      </c>
      <c r="BT127">
        <v>0</v>
      </c>
      <c r="BV127">
        <v>0</v>
      </c>
    </row>
    <row r="128" spans="1:74" x14ac:dyDescent="0.3">
      <c r="A128" s="155">
        <v>528</v>
      </c>
      <c r="B128" t="s">
        <v>257</v>
      </c>
      <c r="D128">
        <v>2325084</v>
      </c>
      <c r="E128">
        <v>273569624</v>
      </c>
      <c r="G128">
        <v>2686801</v>
      </c>
      <c r="H128">
        <v>1257330</v>
      </c>
      <c r="I128">
        <v>1212</v>
      </c>
      <c r="J128">
        <v>94132</v>
      </c>
      <c r="K128">
        <v>0</v>
      </c>
      <c r="L128">
        <v>1065693</v>
      </c>
      <c r="M128">
        <v>8309377</v>
      </c>
      <c r="N128">
        <v>9894</v>
      </c>
      <c r="O128">
        <v>223134</v>
      </c>
      <c r="Q128">
        <v>158995</v>
      </c>
      <c r="R128">
        <v>617077</v>
      </c>
      <c r="S128">
        <v>726352</v>
      </c>
      <c r="T128">
        <v>7351970</v>
      </c>
      <c r="V128">
        <v>284165</v>
      </c>
      <c r="X128">
        <v>3610288</v>
      </c>
      <c r="Y128">
        <v>864875</v>
      </c>
      <c r="Z128">
        <v>25455340</v>
      </c>
      <c r="AA128">
        <v>5784360</v>
      </c>
      <c r="AB128">
        <v>67887</v>
      </c>
      <c r="AC128">
        <v>122959</v>
      </c>
      <c r="AD128">
        <v>495402</v>
      </c>
      <c r="AE128">
        <v>512837</v>
      </c>
      <c r="AF128">
        <v>117106</v>
      </c>
      <c r="AG128">
        <v>355220</v>
      </c>
      <c r="AH128">
        <v>4597731</v>
      </c>
      <c r="AI128">
        <v>23541</v>
      </c>
      <c r="AJ128">
        <v>1438096</v>
      </c>
      <c r="AK128">
        <v>87470</v>
      </c>
      <c r="AL128">
        <v>154890</v>
      </c>
      <c r="AM128">
        <v>1993242</v>
      </c>
      <c r="AN128">
        <v>92397</v>
      </c>
      <c r="AO128">
        <v>21154271</v>
      </c>
      <c r="AP128">
        <v>915043</v>
      </c>
      <c r="AQ128">
        <v>37384</v>
      </c>
      <c r="AR128">
        <v>59583</v>
      </c>
      <c r="AS128">
        <v>17040558</v>
      </c>
      <c r="AT128">
        <v>127267</v>
      </c>
      <c r="AU128">
        <v>500385</v>
      </c>
      <c r="AV128">
        <v>660319</v>
      </c>
      <c r="AW128">
        <v>102654</v>
      </c>
      <c r="AX128">
        <v>196785</v>
      </c>
      <c r="AY128">
        <v>131889</v>
      </c>
      <c r="AZ128">
        <v>2965112</v>
      </c>
      <c r="BA128">
        <v>813453</v>
      </c>
      <c r="BB128">
        <v>13180</v>
      </c>
      <c r="BC128">
        <v>204482</v>
      </c>
      <c r="BD128">
        <v>2388833</v>
      </c>
      <c r="BE128">
        <v>384843</v>
      </c>
      <c r="BF128">
        <v>13068669</v>
      </c>
      <c r="BH128">
        <v>96727</v>
      </c>
      <c r="BI128">
        <v>100644</v>
      </c>
      <c r="BJ128">
        <v>6886707</v>
      </c>
      <c r="BK128">
        <v>376920</v>
      </c>
      <c r="BL128">
        <v>10753216</v>
      </c>
      <c r="BM128">
        <v>3769789</v>
      </c>
      <c r="BN128">
        <v>3130845</v>
      </c>
      <c r="BO128">
        <v>644973</v>
      </c>
      <c r="BQ128">
        <v>1506255</v>
      </c>
      <c r="BS128">
        <v>1349555</v>
      </c>
      <c r="BT128">
        <v>532100</v>
      </c>
      <c r="BV128">
        <v>1265320</v>
      </c>
    </row>
    <row r="129" spans="1:74" x14ac:dyDescent="0.3">
      <c r="A129" s="155">
        <v>529</v>
      </c>
      <c r="B129" t="s">
        <v>258</v>
      </c>
      <c r="D129">
        <v>224135</v>
      </c>
      <c r="E129">
        <v>18402092</v>
      </c>
      <c r="G129">
        <v>280037</v>
      </c>
      <c r="H129">
        <v>153994</v>
      </c>
      <c r="I129">
        <v>124</v>
      </c>
      <c r="J129">
        <v>16518</v>
      </c>
      <c r="K129">
        <v>0</v>
      </c>
      <c r="L129">
        <v>138273</v>
      </c>
      <c r="M129">
        <v>828726</v>
      </c>
      <c r="N129">
        <v>2400</v>
      </c>
      <c r="O129">
        <v>28099</v>
      </c>
      <c r="Q129">
        <v>20573</v>
      </c>
      <c r="R129">
        <v>78428</v>
      </c>
      <c r="S129">
        <v>94674</v>
      </c>
      <c r="T129">
        <v>955823</v>
      </c>
      <c r="V129">
        <v>16253</v>
      </c>
      <c r="X129">
        <v>389972</v>
      </c>
      <c r="Y129">
        <v>104810</v>
      </c>
      <c r="Z129">
        <v>3265822</v>
      </c>
      <c r="AA129">
        <v>628784</v>
      </c>
      <c r="AB129">
        <v>17371</v>
      </c>
      <c r="AC129">
        <v>19508</v>
      </c>
      <c r="AD129">
        <v>102267</v>
      </c>
      <c r="AE129">
        <v>55289</v>
      </c>
      <c r="AF129">
        <v>14488</v>
      </c>
      <c r="AG129">
        <v>55662</v>
      </c>
      <c r="AH129">
        <v>411263</v>
      </c>
      <c r="AI129">
        <v>3957</v>
      </c>
      <c r="AJ129">
        <v>93425</v>
      </c>
      <c r="AK129">
        <v>9185</v>
      </c>
      <c r="AL129">
        <v>14551</v>
      </c>
      <c r="AM129">
        <v>188729</v>
      </c>
      <c r="AN129">
        <v>15708</v>
      </c>
      <c r="AO129">
        <v>2250099</v>
      </c>
      <c r="AP129">
        <v>46706</v>
      </c>
      <c r="AQ129">
        <v>7071</v>
      </c>
      <c r="AR129">
        <v>11359</v>
      </c>
      <c r="AS129">
        <v>1739039</v>
      </c>
      <c r="AT129">
        <v>17445</v>
      </c>
      <c r="AU129">
        <v>88871</v>
      </c>
      <c r="AV129">
        <v>95228</v>
      </c>
      <c r="AW129">
        <v>24045</v>
      </c>
      <c r="AX129">
        <v>12929</v>
      </c>
      <c r="AY129">
        <v>16507</v>
      </c>
      <c r="AZ129">
        <v>240740</v>
      </c>
      <c r="BA129">
        <v>25572</v>
      </c>
      <c r="BB129">
        <v>1549</v>
      </c>
      <c r="BC129">
        <v>12097</v>
      </c>
      <c r="BD129">
        <v>237384</v>
      </c>
      <c r="BE129">
        <v>85252</v>
      </c>
      <c r="BF129">
        <v>914526</v>
      </c>
      <c r="BH129">
        <v>15091</v>
      </c>
      <c r="BI129">
        <v>15512</v>
      </c>
      <c r="BJ129">
        <v>762004</v>
      </c>
      <c r="BK129">
        <v>65009</v>
      </c>
      <c r="BL129">
        <v>797936</v>
      </c>
      <c r="BM129">
        <v>124131</v>
      </c>
      <c r="BN129">
        <v>183977</v>
      </c>
      <c r="BO129">
        <v>69628</v>
      </c>
      <c r="BQ129">
        <v>157748</v>
      </c>
      <c r="BS129">
        <v>156267</v>
      </c>
      <c r="BT129">
        <v>73227</v>
      </c>
      <c r="BV129">
        <v>102284</v>
      </c>
    </row>
    <row r="130" spans="1:74" x14ac:dyDescent="0.3">
      <c r="A130" s="155">
        <v>530</v>
      </c>
      <c r="B130" t="s">
        <v>259</v>
      </c>
      <c r="D130">
        <v>37524</v>
      </c>
      <c r="E130">
        <v>491178</v>
      </c>
      <c r="G130">
        <v>16211</v>
      </c>
      <c r="H130">
        <v>13046</v>
      </c>
      <c r="I130">
        <v>59</v>
      </c>
      <c r="J130">
        <v>2623</v>
      </c>
      <c r="K130">
        <v>0</v>
      </c>
      <c r="L130">
        <v>71250</v>
      </c>
      <c r="M130">
        <v>107884</v>
      </c>
      <c r="N130">
        <v>623</v>
      </c>
      <c r="O130">
        <v>7709</v>
      </c>
      <c r="Q130">
        <v>1559</v>
      </c>
      <c r="R130">
        <v>8642</v>
      </c>
      <c r="S130">
        <v>6367</v>
      </c>
      <c r="T130">
        <v>90656</v>
      </c>
      <c r="V130">
        <v>7773</v>
      </c>
      <c r="X130">
        <v>43110</v>
      </c>
      <c r="Y130">
        <v>12538</v>
      </c>
      <c r="Z130">
        <v>1240608</v>
      </c>
      <c r="AA130">
        <v>8562</v>
      </c>
      <c r="AB130">
        <v>33242</v>
      </c>
      <c r="AC130">
        <v>11742</v>
      </c>
      <c r="AD130">
        <v>17516</v>
      </c>
      <c r="AE130">
        <v>27477</v>
      </c>
      <c r="AF130">
        <v>548</v>
      </c>
      <c r="AG130">
        <v>23420</v>
      </c>
      <c r="AH130">
        <v>41114</v>
      </c>
      <c r="AI130">
        <v>1374</v>
      </c>
      <c r="AJ130">
        <v>9497</v>
      </c>
      <c r="AK130">
        <v>1110</v>
      </c>
      <c r="AL130">
        <v>3148</v>
      </c>
      <c r="AM130">
        <v>21120</v>
      </c>
      <c r="AN130">
        <v>495</v>
      </c>
      <c r="AO130">
        <v>352351</v>
      </c>
      <c r="AP130">
        <v>8805</v>
      </c>
      <c r="AQ130">
        <v>1285</v>
      </c>
      <c r="AR130">
        <v>3474</v>
      </c>
      <c r="AS130">
        <v>133314</v>
      </c>
      <c r="AT130">
        <v>2949</v>
      </c>
      <c r="AU130">
        <v>13555</v>
      </c>
      <c r="AV130">
        <v>30442</v>
      </c>
      <c r="AW130">
        <v>12409</v>
      </c>
      <c r="AX130">
        <v>686</v>
      </c>
      <c r="AY130">
        <v>5655</v>
      </c>
      <c r="AZ130">
        <v>4928</v>
      </c>
      <c r="BA130">
        <v>3357</v>
      </c>
      <c r="BB130">
        <v>758</v>
      </c>
      <c r="BC130">
        <v>2610</v>
      </c>
      <c r="BD130">
        <v>21974</v>
      </c>
      <c r="BE130">
        <v>16059</v>
      </c>
      <c r="BF130">
        <v>163566</v>
      </c>
      <c r="BH130">
        <v>1007</v>
      </c>
      <c r="BI130">
        <v>387</v>
      </c>
      <c r="BJ130">
        <v>8852</v>
      </c>
      <c r="BK130">
        <v>2183</v>
      </c>
      <c r="BL130">
        <v>18272</v>
      </c>
      <c r="BM130">
        <v>5788</v>
      </c>
      <c r="BN130">
        <v>25203</v>
      </c>
      <c r="BO130">
        <v>7287</v>
      </c>
      <c r="BQ130">
        <v>39242</v>
      </c>
      <c r="BS130">
        <v>36446</v>
      </c>
      <c r="BT130">
        <v>33390</v>
      </c>
      <c r="BV130">
        <v>30307</v>
      </c>
    </row>
    <row r="131" spans="1:74" x14ac:dyDescent="0.3">
      <c r="A131" s="155">
        <v>531</v>
      </c>
      <c r="B131" t="s">
        <v>260</v>
      </c>
      <c r="D131">
        <v>0</v>
      </c>
      <c r="E131">
        <v>0</v>
      </c>
      <c r="G131">
        <v>0</v>
      </c>
      <c r="H131">
        <v>0</v>
      </c>
      <c r="I131">
        <v>0</v>
      </c>
      <c r="J131">
        <v>241</v>
      </c>
      <c r="K131">
        <v>0</v>
      </c>
      <c r="L131">
        <v>0</v>
      </c>
      <c r="M131">
        <v>0</v>
      </c>
      <c r="N131">
        <v>0</v>
      </c>
      <c r="O131">
        <v>0</v>
      </c>
      <c r="Q131">
        <v>0</v>
      </c>
      <c r="R131">
        <v>0</v>
      </c>
      <c r="S131">
        <v>0</v>
      </c>
      <c r="T131">
        <v>0</v>
      </c>
      <c r="V131">
        <v>0</v>
      </c>
      <c r="X131">
        <v>0</v>
      </c>
      <c r="Y131">
        <v>0</v>
      </c>
      <c r="Z131">
        <v>4188</v>
      </c>
      <c r="AA131">
        <v>0</v>
      </c>
      <c r="AB131">
        <v>0</v>
      </c>
      <c r="AC131">
        <v>0</v>
      </c>
      <c r="AD131">
        <v>0</v>
      </c>
      <c r="AE131">
        <v>0</v>
      </c>
      <c r="AF131">
        <v>0</v>
      </c>
      <c r="AG131">
        <v>0</v>
      </c>
      <c r="AH131">
        <v>784</v>
      </c>
      <c r="AI131">
        <v>0</v>
      </c>
      <c r="AJ131">
        <v>0</v>
      </c>
      <c r="AK131">
        <v>0</v>
      </c>
      <c r="AL131">
        <v>0</v>
      </c>
      <c r="AM131">
        <v>0</v>
      </c>
      <c r="AN131">
        <v>0</v>
      </c>
      <c r="AO131">
        <v>0</v>
      </c>
      <c r="AP131">
        <v>0</v>
      </c>
      <c r="AQ131">
        <v>0</v>
      </c>
      <c r="AR131">
        <v>0</v>
      </c>
      <c r="AS131">
        <v>30908</v>
      </c>
      <c r="AT131">
        <v>0</v>
      </c>
      <c r="AU131">
        <v>0</v>
      </c>
      <c r="AV131">
        <v>0</v>
      </c>
      <c r="AW131">
        <v>0</v>
      </c>
      <c r="AX131">
        <v>0</v>
      </c>
      <c r="AY131">
        <v>0</v>
      </c>
      <c r="AZ131">
        <v>0</v>
      </c>
      <c r="BA131">
        <v>0</v>
      </c>
      <c r="BB131">
        <v>0</v>
      </c>
      <c r="BC131">
        <v>0</v>
      </c>
      <c r="BD131">
        <v>0</v>
      </c>
      <c r="BE131">
        <v>0</v>
      </c>
      <c r="BF131">
        <v>0</v>
      </c>
      <c r="BH131">
        <v>0</v>
      </c>
      <c r="BI131">
        <v>0</v>
      </c>
      <c r="BJ131">
        <v>0</v>
      </c>
      <c r="BK131">
        <v>0</v>
      </c>
      <c r="BL131">
        <v>0</v>
      </c>
      <c r="BM131">
        <v>0</v>
      </c>
      <c r="BN131">
        <v>0</v>
      </c>
      <c r="BO131">
        <v>0</v>
      </c>
      <c r="BQ131">
        <v>0</v>
      </c>
      <c r="BS131">
        <v>0</v>
      </c>
      <c r="BT131">
        <v>0</v>
      </c>
      <c r="BV131">
        <v>0</v>
      </c>
    </row>
    <row r="132" spans="1:74" x14ac:dyDescent="0.3">
      <c r="A132" s="155">
        <v>532</v>
      </c>
      <c r="B132" t="s">
        <v>887</v>
      </c>
      <c r="D132">
        <v>6320155</v>
      </c>
      <c r="E132">
        <v>422900851</v>
      </c>
      <c r="G132">
        <v>5646068</v>
      </c>
      <c r="H132">
        <v>2395659</v>
      </c>
      <c r="I132">
        <v>36366</v>
      </c>
      <c r="J132">
        <v>459183</v>
      </c>
      <c r="K132">
        <v>1141778</v>
      </c>
      <c r="L132">
        <v>4011096</v>
      </c>
      <c r="M132">
        <v>17947720</v>
      </c>
      <c r="N132">
        <v>89311</v>
      </c>
      <c r="O132">
        <v>540311</v>
      </c>
      <c r="Q132">
        <v>393269</v>
      </c>
      <c r="R132">
        <v>1542731</v>
      </c>
      <c r="S132">
        <v>1622718</v>
      </c>
      <c r="T132">
        <v>16851697</v>
      </c>
      <c r="V132">
        <v>543338</v>
      </c>
      <c r="X132">
        <v>9885363</v>
      </c>
      <c r="Y132">
        <v>1605790</v>
      </c>
      <c r="Z132">
        <v>79534487</v>
      </c>
      <c r="AA132">
        <v>10274351</v>
      </c>
      <c r="AB132">
        <v>312174</v>
      </c>
      <c r="AC132">
        <v>301825</v>
      </c>
      <c r="AD132">
        <v>1274736</v>
      </c>
      <c r="AE132">
        <v>1622755</v>
      </c>
      <c r="AF132">
        <v>395370</v>
      </c>
      <c r="AG132">
        <v>1179470</v>
      </c>
      <c r="AH132">
        <v>11626770</v>
      </c>
      <c r="AI132">
        <v>108331</v>
      </c>
      <c r="AJ132">
        <v>3168532</v>
      </c>
      <c r="AK132">
        <v>169561</v>
      </c>
      <c r="AL132">
        <v>1287650</v>
      </c>
      <c r="AM132">
        <v>5638253</v>
      </c>
      <c r="AN132">
        <v>356009</v>
      </c>
      <c r="AO132">
        <v>38873145</v>
      </c>
      <c r="AP132">
        <v>1243858</v>
      </c>
      <c r="AQ132">
        <v>101723</v>
      </c>
      <c r="AR132">
        <v>142669</v>
      </c>
      <c r="AS132">
        <v>33301129</v>
      </c>
      <c r="AT132">
        <v>279062</v>
      </c>
      <c r="AU132">
        <v>2930189</v>
      </c>
      <c r="AV132">
        <v>1875929</v>
      </c>
      <c r="AW132">
        <v>334535</v>
      </c>
      <c r="AX132">
        <v>359311</v>
      </c>
      <c r="AY132">
        <v>367745</v>
      </c>
      <c r="AZ132">
        <v>6251761</v>
      </c>
      <c r="BA132">
        <v>2175167</v>
      </c>
      <c r="BB132">
        <v>57262</v>
      </c>
      <c r="BC132">
        <v>332243</v>
      </c>
      <c r="BD132">
        <v>5746736</v>
      </c>
      <c r="BE132">
        <v>1600982</v>
      </c>
      <c r="BF132">
        <v>31332094</v>
      </c>
      <c r="BH132">
        <v>358912</v>
      </c>
      <c r="BI132">
        <v>238829</v>
      </c>
      <c r="BJ132">
        <v>15991324</v>
      </c>
      <c r="BK132">
        <v>1248829</v>
      </c>
      <c r="BL132">
        <v>20635159</v>
      </c>
      <c r="BM132">
        <v>5937174</v>
      </c>
      <c r="BN132">
        <v>8969957</v>
      </c>
      <c r="BO132">
        <v>1492314</v>
      </c>
      <c r="BQ132">
        <v>3182686</v>
      </c>
      <c r="BS132">
        <v>3550119</v>
      </c>
      <c r="BT132">
        <v>1289248</v>
      </c>
      <c r="BV132">
        <v>2626903</v>
      </c>
    </row>
    <row r="133" spans="1:74" x14ac:dyDescent="0.3">
      <c r="A133" s="155">
        <v>533</v>
      </c>
      <c r="B133" t="s">
        <v>888</v>
      </c>
      <c r="D133">
        <v>350403</v>
      </c>
      <c r="E133">
        <v>0</v>
      </c>
      <c r="G133">
        <v>0</v>
      </c>
      <c r="H133">
        <v>0</v>
      </c>
      <c r="I133">
        <v>0</v>
      </c>
      <c r="J133">
        <v>0</v>
      </c>
      <c r="K133">
        <v>0</v>
      </c>
      <c r="L133">
        <v>99734</v>
      </c>
      <c r="M133">
        <v>1175188</v>
      </c>
      <c r="N133">
        <v>0</v>
      </c>
      <c r="O133">
        <v>0</v>
      </c>
      <c r="Q133">
        <v>0</v>
      </c>
      <c r="R133">
        <v>0</v>
      </c>
      <c r="S133">
        <v>0</v>
      </c>
      <c r="T133">
        <v>0</v>
      </c>
      <c r="V133">
        <v>0</v>
      </c>
      <c r="X133">
        <v>0</v>
      </c>
      <c r="Y133">
        <v>0</v>
      </c>
      <c r="Z133">
        <v>9238832</v>
      </c>
      <c r="AA133">
        <v>0</v>
      </c>
      <c r="AB133">
        <v>0</v>
      </c>
      <c r="AC133">
        <v>0</v>
      </c>
      <c r="AD133">
        <v>14456</v>
      </c>
      <c r="AE133">
        <v>0</v>
      </c>
      <c r="AF133">
        <v>0</v>
      </c>
      <c r="AG133">
        <v>0</v>
      </c>
      <c r="AH133">
        <v>499252</v>
      </c>
      <c r="AI133">
        <v>0</v>
      </c>
      <c r="AJ133">
        <v>0</v>
      </c>
      <c r="AK133">
        <v>0</v>
      </c>
      <c r="AL133">
        <v>0</v>
      </c>
      <c r="AM133">
        <v>345037</v>
      </c>
      <c r="AN133">
        <v>0</v>
      </c>
      <c r="AO133">
        <v>0</v>
      </c>
      <c r="AP133">
        <v>0</v>
      </c>
      <c r="AQ133">
        <v>0</v>
      </c>
      <c r="AR133">
        <v>0</v>
      </c>
      <c r="AS133">
        <v>0</v>
      </c>
      <c r="AT133">
        <v>0</v>
      </c>
      <c r="AU133">
        <v>0</v>
      </c>
      <c r="AV133">
        <v>0</v>
      </c>
      <c r="AW133">
        <v>0</v>
      </c>
      <c r="AX133">
        <v>0</v>
      </c>
      <c r="AY133">
        <v>0</v>
      </c>
      <c r="AZ133">
        <v>81407</v>
      </c>
      <c r="BA133">
        <v>0</v>
      </c>
      <c r="BB133">
        <v>0</v>
      </c>
      <c r="BC133">
        <v>0</v>
      </c>
      <c r="BD133">
        <v>0</v>
      </c>
      <c r="BE133">
        <v>185000</v>
      </c>
      <c r="BF133">
        <v>1766823</v>
      </c>
      <c r="BH133">
        <v>0</v>
      </c>
      <c r="BI133">
        <v>0</v>
      </c>
      <c r="BJ133">
        <v>0</v>
      </c>
      <c r="BK133">
        <v>0</v>
      </c>
      <c r="BL133">
        <v>0</v>
      </c>
      <c r="BM133">
        <v>0</v>
      </c>
      <c r="BN133">
        <v>1619249</v>
      </c>
      <c r="BO133">
        <v>0</v>
      </c>
      <c r="BQ133">
        <v>0</v>
      </c>
      <c r="BS133">
        <v>381000</v>
      </c>
      <c r="BT133">
        <v>0</v>
      </c>
      <c r="BV133">
        <v>0</v>
      </c>
    </row>
    <row r="134" spans="1:74" x14ac:dyDescent="0.3">
      <c r="A134" s="155">
        <v>535</v>
      </c>
      <c r="B134" t="s">
        <v>244</v>
      </c>
      <c r="D134">
        <v>0</v>
      </c>
      <c r="E134">
        <v>23220017</v>
      </c>
      <c r="G134">
        <v>0</v>
      </c>
      <c r="H134">
        <v>0</v>
      </c>
      <c r="I134">
        <v>0</v>
      </c>
      <c r="J134">
        <v>0</v>
      </c>
      <c r="K134">
        <v>0</v>
      </c>
      <c r="L134">
        <v>0</v>
      </c>
      <c r="M134">
        <v>1745809</v>
      </c>
      <c r="N134">
        <v>1</v>
      </c>
      <c r="O134">
        <v>0</v>
      </c>
      <c r="Q134">
        <v>0</v>
      </c>
      <c r="R134">
        <v>0</v>
      </c>
      <c r="S134">
        <v>0</v>
      </c>
      <c r="T134">
        <v>0</v>
      </c>
      <c r="V134">
        <v>0</v>
      </c>
      <c r="X134">
        <v>0</v>
      </c>
      <c r="Y134">
        <v>0</v>
      </c>
      <c r="Z134">
        <v>4672299</v>
      </c>
      <c r="AA134">
        <v>0</v>
      </c>
      <c r="AB134">
        <v>0</v>
      </c>
      <c r="AC134">
        <v>0</v>
      </c>
      <c r="AD134">
        <v>0</v>
      </c>
      <c r="AE134">
        <v>0</v>
      </c>
      <c r="AF134">
        <v>0</v>
      </c>
      <c r="AG134">
        <v>1</v>
      </c>
      <c r="AH134">
        <v>0</v>
      </c>
      <c r="AI134">
        <v>0</v>
      </c>
      <c r="AJ134">
        <v>0</v>
      </c>
      <c r="AK134">
        <v>0</v>
      </c>
      <c r="AL134">
        <v>0</v>
      </c>
      <c r="AM134">
        <v>0</v>
      </c>
      <c r="AN134">
        <v>0</v>
      </c>
      <c r="AO134">
        <v>7308747</v>
      </c>
      <c r="AP134">
        <v>0</v>
      </c>
      <c r="AQ134">
        <v>0</v>
      </c>
      <c r="AR134">
        <v>0</v>
      </c>
      <c r="AS134">
        <v>981547</v>
      </c>
      <c r="AT134">
        <v>0</v>
      </c>
      <c r="AU134">
        <v>0</v>
      </c>
      <c r="AV134">
        <v>0</v>
      </c>
      <c r="AW134">
        <v>0</v>
      </c>
      <c r="AX134">
        <v>0</v>
      </c>
      <c r="AY134">
        <v>0</v>
      </c>
      <c r="AZ134">
        <v>0</v>
      </c>
      <c r="BA134">
        <v>0</v>
      </c>
      <c r="BB134">
        <v>0</v>
      </c>
      <c r="BC134">
        <v>0</v>
      </c>
      <c r="BD134">
        <v>0</v>
      </c>
      <c r="BE134">
        <v>0</v>
      </c>
      <c r="BF134">
        <v>7331153</v>
      </c>
      <c r="BH134">
        <v>0</v>
      </c>
      <c r="BI134">
        <v>0</v>
      </c>
      <c r="BJ134">
        <v>431187</v>
      </c>
      <c r="BK134">
        <v>0</v>
      </c>
      <c r="BL134">
        <v>0</v>
      </c>
      <c r="BM134">
        <v>5150178</v>
      </c>
      <c r="BN134">
        <v>0</v>
      </c>
      <c r="BO134">
        <v>6917950</v>
      </c>
      <c r="BQ134">
        <v>0</v>
      </c>
      <c r="BS134">
        <v>441000</v>
      </c>
      <c r="BT134">
        <v>0</v>
      </c>
      <c r="BV134">
        <v>0</v>
      </c>
    </row>
    <row r="135" spans="1:74" x14ac:dyDescent="0.3">
      <c r="A135" s="155">
        <v>536</v>
      </c>
      <c r="B135" t="s">
        <v>190</v>
      </c>
      <c r="D135">
        <v>826680</v>
      </c>
      <c r="E135">
        <v>453505</v>
      </c>
      <c r="G135">
        <v>827522</v>
      </c>
      <c r="H135">
        <v>538612</v>
      </c>
      <c r="I135">
        <v>1671</v>
      </c>
      <c r="J135">
        <v>49910</v>
      </c>
      <c r="K135">
        <v>0</v>
      </c>
      <c r="L135">
        <v>1910</v>
      </c>
      <c r="M135">
        <v>245998</v>
      </c>
      <c r="N135">
        <v>67857</v>
      </c>
      <c r="O135">
        <v>68462</v>
      </c>
      <c r="Q135">
        <v>130016</v>
      </c>
      <c r="R135">
        <v>316036</v>
      </c>
      <c r="S135">
        <v>21990</v>
      </c>
      <c r="T135">
        <v>113551</v>
      </c>
      <c r="V135">
        <v>159</v>
      </c>
      <c r="X135">
        <v>443440</v>
      </c>
      <c r="Y135">
        <v>159678</v>
      </c>
      <c r="Z135">
        <v>4114092</v>
      </c>
      <c r="AA135">
        <v>491313</v>
      </c>
      <c r="AB135">
        <v>80507</v>
      </c>
      <c r="AC135">
        <v>50793</v>
      </c>
      <c r="AD135">
        <v>0</v>
      </c>
      <c r="AE135">
        <v>0</v>
      </c>
      <c r="AF135">
        <v>64572</v>
      </c>
      <c r="AG135">
        <v>0</v>
      </c>
      <c r="AH135">
        <v>170522</v>
      </c>
      <c r="AI135">
        <v>37846</v>
      </c>
      <c r="AJ135">
        <v>747820</v>
      </c>
      <c r="AK135">
        <v>21455</v>
      </c>
      <c r="AL135">
        <v>7063</v>
      </c>
      <c r="AM135">
        <v>862029</v>
      </c>
      <c r="AN135">
        <v>74848</v>
      </c>
      <c r="AO135">
        <v>1070107</v>
      </c>
      <c r="AP135">
        <v>178836</v>
      </c>
      <c r="AQ135">
        <v>77986</v>
      </c>
      <c r="AR135">
        <v>316214</v>
      </c>
      <c r="AS135">
        <v>3107192</v>
      </c>
      <c r="AT135">
        <v>73637</v>
      </c>
      <c r="AU135">
        <v>490855</v>
      </c>
      <c r="AV135">
        <v>164512</v>
      </c>
      <c r="AW135">
        <v>60527</v>
      </c>
      <c r="AX135">
        <v>25374</v>
      </c>
      <c r="AY135">
        <v>126420</v>
      </c>
      <c r="AZ135">
        <v>631720</v>
      </c>
      <c r="BA135">
        <v>0</v>
      </c>
      <c r="BB135">
        <v>36438</v>
      </c>
      <c r="BC135">
        <v>47727</v>
      </c>
      <c r="BD135">
        <v>438387</v>
      </c>
      <c r="BE135">
        <v>87262</v>
      </c>
      <c r="BF135">
        <v>1826866</v>
      </c>
      <c r="BH135">
        <v>13283</v>
      </c>
      <c r="BI135">
        <v>42955</v>
      </c>
      <c r="BJ135">
        <v>612276</v>
      </c>
      <c r="BK135">
        <v>126973</v>
      </c>
      <c r="BL135">
        <v>879051</v>
      </c>
      <c r="BM135">
        <v>2326744</v>
      </c>
      <c r="BN135">
        <v>175246</v>
      </c>
      <c r="BO135">
        <v>70101</v>
      </c>
      <c r="BQ135">
        <v>350048</v>
      </c>
      <c r="BS135">
        <v>417706</v>
      </c>
      <c r="BT135">
        <v>450733</v>
      </c>
      <c r="BV135">
        <v>683118</v>
      </c>
    </row>
    <row r="136" spans="1:74" x14ac:dyDescent="0.3">
      <c r="A136" s="155">
        <v>537</v>
      </c>
      <c r="B136" t="s">
        <v>280</v>
      </c>
      <c r="D136">
        <v>2</v>
      </c>
      <c r="E136">
        <v>1</v>
      </c>
      <c r="G136">
        <v>2</v>
      </c>
      <c r="H136">
        <v>2</v>
      </c>
      <c r="I136">
        <v>0</v>
      </c>
      <c r="J136">
        <v>2</v>
      </c>
      <c r="K136">
        <v>0</v>
      </c>
      <c r="L136">
        <v>2</v>
      </c>
      <c r="M136">
        <v>2</v>
      </c>
      <c r="N136">
        <v>2</v>
      </c>
      <c r="O136">
        <v>1</v>
      </c>
      <c r="Q136">
        <v>0</v>
      </c>
      <c r="R136">
        <v>2</v>
      </c>
      <c r="S136">
        <v>1</v>
      </c>
      <c r="T136">
        <v>0</v>
      </c>
      <c r="V136">
        <v>2</v>
      </c>
      <c r="X136">
        <v>2</v>
      </c>
      <c r="Y136">
        <v>0</v>
      </c>
      <c r="Z136">
        <v>2</v>
      </c>
      <c r="AA136">
        <v>0</v>
      </c>
      <c r="AB136">
        <v>0</v>
      </c>
      <c r="AC136">
        <v>2</v>
      </c>
      <c r="AD136">
        <v>1</v>
      </c>
      <c r="AE136">
        <v>1</v>
      </c>
      <c r="AF136">
        <v>1</v>
      </c>
      <c r="AG136">
        <v>1</v>
      </c>
      <c r="AH136">
        <v>2</v>
      </c>
      <c r="AI136">
        <v>0</v>
      </c>
      <c r="AJ136">
        <v>0</v>
      </c>
      <c r="AK136">
        <v>0</v>
      </c>
      <c r="AL136">
        <v>2</v>
      </c>
      <c r="AM136">
        <v>1</v>
      </c>
      <c r="AN136">
        <v>2</v>
      </c>
      <c r="AO136">
        <v>1</v>
      </c>
      <c r="AP136">
        <v>2</v>
      </c>
      <c r="AQ136">
        <v>2</v>
      </c>
      <c r="AR136">
        <v>2</v>
      </c>
      <c r="AS136">
        <v>1</v>
      </c>
      <c r="AT136">
        <v>2</v>
      </c>
      <c r="AU136">
        <v>1</v>
      </c>
      <c r="AV136">
        <v>2</v>
      </c>
      <c r="AW136">
        <v>0</v>
      </c>
      <c r="AX136">
        <v>0</v>
      </c>
      <c r="AY136">
        <v>2</v>
      </c>
      <c r="AZ136">
        <v>1</v>
      </c>
      <c r="BA136">
        <v>2</v>
      </c>
      <c r="BB136">
        <v>1</v>
      </c>
      <c r="BC136">
        <v>2</v>
      </c>
      <c r="BD136">
        <v>2</v>
      </c>
      <c r="BE136">
        <v>2</v>
      </c>
      <c r="BF136">
        <v>1</v>
      </c>
      <c r="BH136">
        <v>0</v>
      </c>
      <c r="BI136">
        <v>1</v>
      </c>
      <c r="BJ136">
        <v>1</v>
      </c>
      <c r="BK136">
        <v>2</v>
      </c>
      <c r="BL136">
        <v>1</v>
      </c>
      <c r="BM136">
        <v>0</v>
      </c>
      <c r="BN136">
        <v>1</v>
      </c>
      <c r="BO136">
        <v>1</v>
      </c>
      <c r="BQ136">
        <v>0</v>
      </c>
      <c r="BS136">
        <v>1</v>
      </c>
      <c r="BT136">
        <v>2</v>
      </c>
      <c r="BV136">
        <v>1</v>
      </c>
    </row>
    <row r="137" spans="1:74" x14ac:dyDescent="0.3">
      <c r="A137" s="155">
        <v>538</v>
      </c>
      <c r="B137" t="s">
        <v>279</v>
      </c>
      <c r="D137">
        <v>2</v>
      </c>
      <c r="E137">
        <v>1</v>
      </c>
      <c r="G137">
        <v>2</v>
      </c>
      <c r="H137">
        <v>2</v>
      </c>
      <c r="I137">
        <v>0</v>
      </c>
      <c r="J137">
        <v>2</v>
      </c>
      <c r="K137">
        <v>0</v>
      </c>
      <c r="L137">
        <v>2</v>
      </c>
      <c r="M137">
        <v>2</v>
      </c>
      <c r="N137">
        <v>2</v>
      </c>
      <c r="O137">
        <v>2</v>
      </c>
      <c r="Q137">
        <v>0</v>
      </c>
      <c r="R137">
        <v>2</v>
      </c>
      <c r="S137">
        <v>1</v>
      </c>
      <c r="T137">
        <v>0</v>
      </c>
      <c r="V137">
        <v>2</v>
      </c>
      <c r="X137">
        <v>2</v>
      </c>
      <c r="Y137">
        <v>0</v>
      </c>
      <c r="Z137">
        <v>1</v>
      </c>
      <c r="AA137">
        <v>0</v>
      </c>
      <c r="AB137">
        <v>0</v>
      </c>
      <c r="AC137">
        <v>2</v>
      </c>
      <c r="AD137">
        <v>1</v>
      </c>
      <c r="AE137">
        <v>2</v>
      </c>
      <c r="AF137">
        <v>2</v>
      </c>
      <c r="AG137">
        <v>1</v>
      </c>
      <c r="AH137">
        <v>2</v>
      </c>
      <c r="AI137">
        <v>0</v>
      </c>
      <c r="AJ137">
        <v>0</v>
      </c>
      <c r="AK137">
        <v>0</v>
      </c>
      <c r="AL137">
        <v>1</v>
      </c>
      <c r="AM137">
        <v>1</v>
      </c>
      <c r="AN137">
        <v>2</v>
      </c>
      <c r="AO137">
        <v>1</v>
      </c>
      <c r="AP137">
        <v>2</v>
      </c>
      <c r="AQ137">
        <v>2</v>
      </c>
      <c r="AR137">
        <v>2</v>
      </c>
      <c r="AS137">
        <v>1</v>
      </c>
      <c r="AT137">
        <v>2</v>
      </c>
      <c r="AU137">
        <v>1</v>
      </c>
      <c r="AV137">
        <v>2</v>
      </c>
      <c r="AW137">
        <v>0</v>
      </c>
      <c r="AX137">
        <v>0</v>
      </c>
      <c r="AY137">
        <v>2</v>
      </c>
      <c r="AZ137">
        <v>1</v>
      </c>
      <c r="BA137">
        <v>2</v>
      </c>
      <c r="BB137">
        <v>2</v>
      </c>
      <c r="BC137">
        <v>2</v>
      </c>
      <c r="BD137">
        <v>2</v>
      </c>
      <c r="BE137">
        <v>2</v>
      </c>
      <c r="BF137">
        <v>2</v>
      </c>
      <c r="BH137">
        <v>0</v>
      </c>
      <c r="BI137">
        <v>1</v>
      </c>
      <c r="BJ137">
        <v>1</v>
      </c>
      <c r="BK137">
        <v>2</v>
      </c>
      <c r="BL137">
        <v>1</v>
      </c>
      <c r="BM137">
        <v>0</v>
      </c>
      <c r="BN137">
        <v>2</v>
      </c>
      <c r="BO137">
        <v>2</v>
      </c>
      <c r="BQ137">
        <v>0</v>
      </c>
      <c r="BS137">
        <v>1</v>
      </c>
      <c r="BT137">
        <v>2</v>
      </c>
      <c r="BV137">
        <v>1</v>
      </c>
    </row>
    <row r="138" spans="1:74" x14ac:dyDescent="0.3">
      <c r="A138" s="155">
        <v>540</v>
      </c>
      <c r="B138" t="s">
        <v>253</v>
      </c>
      <c r="D138">
        <v>0</v>
      </c>
      <c r="E138">
        <v>24275144</v>
      </c>
      <c r="G138">
        <v>327826</v>
      </c>
      <c r="H138">
        <v>0</v>
      </c>
      <c r="I138">
        <v>0</v>
      </c>
      <c r="J138">
        <v>0</v>
      </c>
      <c r="K138">
        <v>0</v>
      </c>
      <c r="L138">
        <v>0</v>
      </c>
      <c r="M138">
        <v>0</v>
      </c>
      <c r="N138">
        <v>0</v>
      </c>
      <c r="O138">
        <v>0</v>
      </c>
      <c r="Q138">
        <v>0</v>
      </c>
      <c r="R138">
        <v>0</v>
      </c>
      <c r="S138">
        <v>200813</v>
      </c>
      <c r="T138">
        <v>0</v>
      </c>
      <c r="V138">
        <v>0</v>
      </c>
      <c r="X138">
        <v>602900</v>
      </c>
      <c r="Y138">
        <v>20000</v>
      </c>
      <c r="Z138">
        <v>3700000</v>
      </c>
      <c r="AA138">
        <v>0</v>
      </c>
      <c r="AB138">
        <v>44230</v>
      </c>
      <c r="AC138">
        <v>0</v>
      </c>
      <c r="AD138">
        <v>0</v>
      </c>
      <c r="AE138">
        <v>0</v>
      </c>
      <c r="AF138">
        <v>0</v>
      </c>
      <c r="AG138">
        <v>0</v>
      </c>
      <c r="AH138">
        <v>0</v>
      </c>
      <c r="AI138">
        <v>0</v>
      </c>
      <c r="AJ138">
        <v>147849</v>
      </c>
      <c r="AK138">
        <v>15023</v>
      </c>
      <c r="AL138">
        <v>99850</v>
      </c>
      <c r="AM138">
        <v>37600</v>
      </c>
      <c r="AN138">
        <v>0</v>
      </c>
      <c r="AO138">
        <v>3134443</v>
      </c>
      <c r="AP138">
        <v>39972</v>
      </c>
      <c r="AQ138">
        <v>23</v>
      </c>
      <c r="AR138">
        <v>0</v>
      </c>
      <c r="AS138">
        <v>1831642</v>
      </c>
      <c r="AT138">
        <v>75000</v>
      </c>
      <c r="AU138">
        <v>0</v>
      </c>
      <c r="AV138">
        <v>0</v>
      </c>
      <c r="AW138">
        <v>0</v>
      </c>
      <c r="AX138">
        <v>0</v>
      </c>
      <c r="AY138">
        <v>0</v>
      </c>
      <c r="AZ138">
        <v>300000</v>
      </c>
      <c r="BA138">
        <v>0</v>
      </c>
      <c r="BB138">
        <v>6405</v>
      </c>
      <c r="BC138">
        <v>19550</v>
      </c>
      <c r="BD138">
        <v>0</v>
      </c>
      <c r="BE138">
        <v>0</v>
      </c>
      <c r="BF138">
        <v>92834</v>
      </c>
      <c r="BH138">
        <v>0</v>
      </c>
      <c r="BI138">
        <v>58800</v>
      </c>
      <c r="BJ138">
        <v>39875</v>
      </c>
      <c r="BK138">
        <v>0</v>
      </c>
      <c r="BL138">
        <v>3856359</v>
      </c>
      <c r="BM138">
        <v>365309</v>
      </c>
      <c r="BN138">
        <v>0</v>
      </c>
      <c r="BO138">
        <v>100000</v>
      </c>
      <c r="BQ138">
        <v>190259</v>
      </c>
      <c r="BS138">
        <v>1037680</v>
      </c>
      <c r="BT138">
        <v>0</v>
      </c>
      <c r="BV138">
        <v>0</v>
      </c>
    </row>
    <row r="139" spans="1:74" x14ac:dyDescent="0.3">
      <c r="A139" s="155">
        <v>541</v>
      </c>
      <c r="B139" t="s">
        <v>308</v>
      </c>
      <c r="D139">
        <v>598297</v>
      </c>
      <c r="E139">
        <v>88808508</v>
      </c>
      <c r="G139">
        <v>399394</v>
      </c>
      <c r="H139">
        <v>471996</v>
      </c>
      <c r="I139">
        <v>0</v>
      </c>
      <c r="J139">
        <v>0</v>
      </c>
      <c r="K139">
        <v>0</v>
      </c>
      <c r="L139">
        <v>0</v>
      </c>
      <c r="M139">
        <v>-1359729</v>
      </c>
      <c r="N139">
        <v>0</v>
      </c>
      <c r="O139">
        <v>70482</v>
      </c>
      <c r="Q139">
        <v>0</v>
      </c>
      <c r="R139">
        <v>0</v>
      </c>
      <c r="S139">
        <v>-53433</v>
      </c>
      <c r="T139">
        <v>0</v>
      </c>
      <c r="V139">
        <v>82654</v>
      </c>
      <c r="X139">
        <v>708194</v>
      </c>
      <c r="Y139">
        <v>0</v>
      </c>
      <c r="Z139">
        <v>-1221479</v>
      </c>
      <c r="AA139">
        <v>0</v>
      </c>
      <c r="AB139">
        <v>-58474</v>
      </c>
      <c r="AC139">
        <v>180110</v>
      </c>
      <c r="AD139">
        <v>88735</v>
      </c>
      <c r="AE139">
        <v>0</v>
      </c>
      <c r="AF139">
        <v>49538</v>
      </c>
      <c r="AG139">
        <v>18198</v>
      </c>
      <c r="AH139">
        <v>5328389</v>
      </c>
      <c r="AI139">
        <v>0</v>
      </c>
      <c r="AJ139">
        <v>0</v>
      </c>
      <c r="AK139">
        <v>0</v>
      </c>
      <c r="AL139">
        <v>30317</v>
      </c>
      <c r="AM139">
        <v>10893</v>
      </c>
      <c r="AN139">
        <v>0</v>
      </c>
      <c r="AO139">
        <v>7053865</v>
      </c>
      <c r="AP139">
        <v>136290</v>
      </c>
      <c r="AQ139">
        <v>0</v>
      </c>
      <c r="AR139">
        <v>14306</v>
      </c>
      <c r="AS139">
        <v>1470208</v>
      </c>
      <c r="AT139">
        <v>50535</v>
      </c>
      <c r="AU139">
        <v>72022</v>
      </c>
      <c r="AV139">
        <v>541228</v>
      </c>
      <c r="AW139">
        <v>372866</v>
      </c>
      <c r="AX139">
        <v>0</v>
      </c>
      <c r="AY139">
        <v>2</v>
      </c>
      <c r="AZ139">
        <v>1873090</v>
      </c>
      <c r="BA139">
        <v>55569</v>
      </c>
      <c r="BB139">
        <v>167318</v>
      </c>
      <c r="BC139">
        <v>6191</v>
      </c>
      <c r="BD139">
        <v>1755432</v>
      </c>
      <c r="BE139">
        <v>49376</v>
      </c>
      <c r="BF139">
        <v>312106</v>
      </c>
      <c r="BH139">
        <v>0</v>
      </c>
      <c r="BI139">
        <v>111111</v>
      </c>
      <c r="BJ139">
        <v>2953581</v>
      </c>
      <c r="BK139">
        <v>21773</v>
      </c>
      <c r="BL139">
        <v>888423</v>
      </c>
      <c r="BM139">
        <v>0</v>
      </c>
      <c r="BN139">
        <v>3127456</v>
      </c>
      <c r="BO139">
        <v>149408</v>
      </c>
      <c r="BQ139">
        <v>0</v>
      </c>
      <c r="BS139">
        <v>-66437</v>
      </c>
      <c r="BT139">
        <v>-247298</v>
      </c>
      <c r="BV139">
        <v>276727</v>
      </c>
    </row>
    <row r="140" spans="1:74" x14ac:dyDescent="0.3">
      <c r="A140" s="155">
        <v>542</v>
      </c>
      <c r="B140" t="s">
        <v>889</v>
      </c>
      <c r="D140">
        <v>0</v>
      </c>
      <c r="E140">
        <v>101072927</v>
      </c>
      <c r="G140">
        <v>0</v>
      </c>
      <c r="H140">
        <v>0</v>
      </c>
      <c r="I140">
        <v>0</v>
      </c>
      <c r="J140">
        <v>0</v>
      </c>
      <c r="K140">
        <v>0</v>
      </c>
      <c r="L140">
        <v>0</v>
      </c>
      <c r="M140">
        <v>0</v>
      </c>
      <c r="N140">
        <v>0</v>
      </c>
      <c r="O140">
        <v>0</v>
      </c>
      <c r="Q140">
        <v>0</v>
      </c>
      <c r="R140">
        <v>0</v>
      </c>
      <c r="S140">
        <v>88853</v>
      </c>
      <c r="T140">
        <v>0</v>
      </c>
      <c r="V140">
        <v>0</v>
      </c>
      <c r="X140">
        <v>0</v>
      </c>
      <c r="Y140">
        <v>0</v>
      </c>
      <c r="Z140">
        <v>922996</v>
      </c>
      <c r="AA140">
        <v>0</v>
      </c>
      <c r="AB140">
        <v>0</v>
      </c>
      <c r="AC140">
        <v>0</v>
      </c>
      <c r="AD140">
        <v>0</v>
      </c>
      <c r="AE140">
        <v>0</v>
      </c>
      <c r="AF140">
        <v>0</v>
      </c>
      <c r="AG140">
        <v>0</v>
      </c>
      <c r="AH140">
        <v>0</v>
      </c>
      <c r="AI140">
        <v>0</v>
      </c>
      <c r="AJ140">
        <v>0</v>
      </c>
      <c r="AK140">
        <v>0</v>
      </c>
      <c r="AL140">
        <v>38450</v>
      </c>
      <c r="AM140">
        <v>0</v>
      </c>
      <c r="AN140">
        <v>0</v>
      </c>
      <c r="AO140">
        <v>1000000</v>
      </c>
      <c r="AP140">
        <v>0</v>
      </c>
      <c r="AQ140">
        <v>0</v>
      </c>
      <c r="AR140">
        <v>4600</v>
      </c>
      <c r="AS140">
        <v>0</v>
      </c>
      <c r="AT140">
        <v>0</v>
      </c>
      <c r="AU140">
        <v>492881</v>
      </c>
      <c r="AV140">
        <v>0</v>
      </c>
      <c r="AW140">
        <v>0</v>
      </c>
      <c r="AX140">
        <v>0</v>
      </c>
      <c r="AY140">
        <v>0</v>
      </c>
      <c r="AZ140">
        <v>0</v>
      </c>
      <c r="BA140">
        <v>0</v>
      </c>
      <c r="BB140">
        <v>0</v>
      </c>
      <c r="BC140">
        <v>0</v>
      </c>
      <c r="BD140">
        <v>348685</v>
      </c>
      <c r="BE140">
        <v>0</v>
      </c>
      <c r="BF140">
        <v>225417</v>
      </c>
      <c r="BH140">
        <v>0</v>
      </c>
      <c r="BI140">
        <v>10000</v>
      </c>
      <c r="BJ140">
        <v>1265880</v>
      </c>
      <c r="BK140">
        <v>0</v>
      </c>
      <c r="BL140">
        <v>617114</v>
      </c>
      <c r="BM140">
        <v>0</v>
      </c>
      <c r="BN140">
        <v>0</v>
      </c>
      <c r="BO140">
        <v>0</v>
      </c>
      <c r="BQ140">
        <v>0</v>
      </c>
      <c r="BS140">
        <v>0</v>
      </c>
      <c r="BT140">
        <v>0</v>
      </c>
      <c r="BV140">
        <v>0</v>
      </c>
    </row>
    <row r="141" spans="1:74" x14ac:dyDescent="0.3">
      <c r="A141" s="155">
        <v>544</v>
      </c>
      <c r="B141" t="s">
        <v>52</v>
      </c>
      <c r="D141">
        <v>0</v>
      </c>
      <c r="E141">
        <v>1.78</v>
      </c>
      <c r="G141">
        <v>0</v>
      </c>
      <c r="H141">
        <v>0</v>
      </c>
      <c r="I141">
        <v>0</v>
      </c>
      <c r="J141">
        <v>0</v>
      </c>
      <c r="K141">
        <v>0</v>
      </c>
      <c r="L141">
        <v>0</v>
      </c>
      <c r="M141">
        <v>0</v>
      </c>
      <c r="N141">
        <v>0</v>
      </c>
      <c r="O141">
        <v>0</v>
      </c>
      <c r="Q141">
        <v>0</v>
      </c>
      <c r="R141">
        <v>0</v>
      </c>
      <c r="S141">
        <v>0</v>
      </c>
      <c r="T141">
        <v>0</v>
      </c>
      <c r="V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1</v>
      </c>
      <c r="AQ141">
        <v>0</v>
      </c>
      <c r="AR141">
        <v>0</v>
      </c>
      <c r="AS141">
        <v>0.02</v>
      </c>
      <c r="AT141">
        <v>0</v>
      </c>
      <c r="AU141">
        <v>0</v>
      </c>
      <c r="AV141">
        <v>0</v>
      </c>
      <c r="AW141">
        <v>0</v>
      </c>
      <c r="AX141">
        <v>0</v>
      </c>
      <c r="AY141">
        <v>0</v>
      </c>
      <c r="AZ141">
        <v>0.01</v>
      </c>
      <c r="BA141">
        <v>0</v>
      </c>
      <c r="BB141">
        <v>0</v>
      </c>
      <c r="BC141">
        <v>0</v>
      </c>
      <c r="BD141">
        <v>0</v>
      </c>
      <c r="BE141">
        <v>0</v>
      </c>
      <c r="BF141">
        <v>0</v>
      </c>
      <c r="BH141">
        <v>0</v>
      </c>
      <c r="BI141">
        <v>0</v>
      </c>
      <c r="BJ141">
        <v>0</v>
      </c>
      <c r="BK141">
        <v>0</v>
      </c>
      <c r="BL141">
        <v>0</v>
      </c>
      <c r="BM141">
        <v>0.04</v>
      </c>
      <c r="BN141">
        <v>0</v>
      </c>
      <c r="BO141">
        <v>0</v>
      </c>
      <c r="BQ141">
        <v>0</v>
      </c>
      <c r="BS141">
        <v>0</v>
      </c>
      <c r="BT141">
        <v>0</v>
      </c>
      <c r="BV141">
        <v>0</v>
      </c>
    </row>
    <row r="142" spans="1:74" x14ac:dyDescent="0.3">
      <c r="A142" s="155">
        <v>545</v>
      </c>
      <c r="B142" t="s">
        <v>53</v>
      </c>
      <c r="D142">
        <v>0</v>
      </c>
      <c r="E142">
        <v>2</v>
      </c>
      <c r="G142">
        <v>0</v>
      </c>
      <c r="H142">
        <v>0</v>
      </c>
      <c r="I142">
        <v>0</v>
      </c>
      <c r="J142">
        <v>0</v>
      </c>
      <c r="K142">
        <v>0</v>
      </c>
      <c r="L142">
        <v>0</v>
      </c>
      <c r="M142">
        <v>0</v>
      </c>
      <c r="N142">
        <v>0</v>
      </c>
      <c r="O142">
        <v>0</v>
      </c>
      <c r="Q142">
        <v>0</v>
      </c>
      <c r="R142">
        <v>0</v>
      </c>
      <c r="S142">
        <v>0</v>
      </c>
      <c r="T142">
        <v>0</v>
      </c>
      <c r="V142">
        <v>0</v>
      </c>
      <c r="X142">
        <v>0</v>
      </c>
      <c r="Y142">
        <v>0</v>
      </c>
      <c r="Z142">
        <v>0</v>
      </c>
      <c r="AA142">
        <v>0</v>
      </c>
      <c r="AB142">
        <v>0</v>
      </c>
      <c r="AC142">
        <v>0</v>
      </c>
      <c r="AD142">
        <v>0</v>
      </c>
      <c r="AE142">
        <v>0</v>
      </c>
      <c r="AF142">
        <v>0.02</v>
      </c>
      <c r="AG142">
        <v>0</v>
      </c>
      <c r="AH142">
        <v>0</v>
      </c>
      <c r="AI142">
        <v>0</v>
      </c>
      <c r="AJ142">
        <v>0</v>
      </c>
      <c r="AK142">
        <v>0</v>
      </c>
      <c r="AL142">
        <v>0</v>
      </c>
      <c r="AM142">
        <v>0</v>
      </c>
      <c r="AN142">
        <v>0</v>
      </c>
      <c r="AO142">
        <v>0</v>
      </c>
      <c r="AP142">
        <v>0.5</v>
      </c>
      <c r="AQ142">
        <v>0</v>
      </c>
      <c r="AR142">
        <v>0</v>
      </c>
      <c r="AS142">
        <v>0</v>
      </c>
      <c r="AT142">
        <v>0</v>
      </c>
      <c r="AU142">
        <v>0</v>
      </c>
      <c r="AV142">
        <v>0</v>
      </c>
      <c r="AW142">
        <v>0</v>
      </c>
      <c r="AX142">
        <v>0</v>
      </c>
      <c r="AY142">
        <v>0</v>
      </c>
      <c r="AZ142">
        <v>0.01</v>
      </c>
      <c r="BA142">
        <v>0</v>
      </c>
      <c r="BB142">
        <v>0</v>
      </c>
      <c r="BC142">
        <v>0</v>
      </c>
      <c r="BD142">
        <v>0</v>
      </c>
      <c r="BE142">
        <v>0</v>
      </c>
      <c r="BF142">
        <v>0</v>
      </c>
      <c r="BH142">
        <v>0</v>
      </c>
      <c r="BI142">
        <v>0</v>
      </c>
      <c r="BJ142">
        <v>0</v>
      </c>
      <c r="BK142">
        <v>0</v>
      </c>
      <c r="BL142">
        <v>0</v>
      </c>
      <c r="BM142">
        <v>0</v>
      </c>
      <c r="BN142">
        <v>0.1</v>
      </c>
      <c r="BO142">
        <v>0</v>
      </c>
      <c r="BQ142">
        <v>0</v>
      </c>
      <c r="BS142">
        <v>0</v>
      </c>
      <c r="BT142">
        <v>0</v>
      </c>
      <c r="BV142">
        <v>-0.05</v>
      </c>
    </row>
    <row r="143" spans="1:74" x14ac:dyDescent="0.3">
      <c r="A143" s="155">
        <v>547</v>
      </c>
      <c r="B143" t="s">
        <v>890</v>
      </c>
      <c r="D143">
        <v>3</v>
      </c>
      <c r="E143">
        <v>3</v>
      </c>
      <c r="G143">
        <v>3</v>
      </c>
      <c r="H143">
        <v>2</v>
      </c>
      <c r="I143">
        <v>2</v>
      </c>
      <c r="J143">
        <v>2</v>
      </c>
      <c r="K143">
        <v>2</v>
      </c>
      <c r="L143">
        <v>3</v>
      </c>
      <c r="M143">
        <v>3</v>
      </c>
      <c r="N143">
        <v>0</v>
      </c>
      <c r="O143">
        <v>2</v>
      </c>
      <c r="Q143">
        <v>2</v>
      </c>
      <c r="R143">
        <v>2</v>
      </c>
      <c r="S143">
        <v>2</v>
      </c>
      <c r="T143">
        <v>1</v>
      </c>
      <c r="V143">
        <v>2</v>
      </c>
      <c r="X143">
        <v>3</v>
      </c>
      <c r="Y143">
        <v>2</v>
      </c>
      <c r="Z143">
        <v>3</v>
      </c>
      <c r="AA143">
        <v>3</v>
      </c>
      <c r="AB143">
        <v>0</v>
      </c>
      <c r="AC143">
        <v>2</v>
      </c>
      <c r="AD143">
        <v>3</v>
      </c>
      <c r="AE143">
        <v>2</v>
      </c>
      <c r="AF143">
        <v>2</v>
      </c>
      <c r="AG143">
        <v>3</v>
      </c>
      <c r="AH143">
        <v>4</v>
      </c>
      <c r="AI143">
        <v>0</v>
      </c>
      <c r="AJ143">
        <v>3</v>
      </c>
      <c r="AK143">
        <v>2</v>
      </c>
      <c r="AL143">
        <v>2</v>
      </c>
      <c r="AM143">
        <v>2</v>
      </c>
      <c r="AN143">
        <v>2</v>
      </c>
      <c r="AO143">
        <v>1</v>
      </c>
      <c r="AP143">
        <v>2</v>
      </c>
      <c r="AQ143">
        <v>2</v>
      </c>
      <c r="AR143">
        <v>2</v>
      </c>
      <c r="AS143">
        <v>3</v>
      </c>
      <c r="AT143">
        <v>2</v>
      </c>
      <c r="AU143">
        <v>2</v>
      </c>
      <c r="AV143">
        <v>2</v>
      </c>
      <c r="AW143">
        <v>2</v>
      </c>
      <c r="AX143">
        <v>2</v>
      </c>
      <c r="AY143">
        <v>2</v>
      </c>
      <c r="AZ143">
        <v>3</v>
      </c>
      <c r="BA143">
        <v>2</v>
      </c>
      <c r="BB143">
        <v>2</v>
      </c>
      <c r="BC143">
        <v>2</v>
      </c>
      <c r="BD143">
        <v>1</v>
      </c>
      <c r="BE143">
        <v>2</v>
      </c>
      <c r="BF143">
        <v>3</v>
      </c>
      <c r="BH143">
        <v>2</v>
      </c>
      <c r="BI143">
        <v>2</v>
      </c>
      <c r="BJ143">
        <v>3</v>
      </c>
      <c r="BK143">
        <v>2</v>
      </c>
      <c r="BL143">
        <v>2</v>
      </c>
      <c r="BM143">
        <v>3</v>
      </c>
      <c r="BN143">
        <v>1</v>
      </c>
      <c r="BO143">
        <v>2</v>
      </c>
      <c r="BQ143">
        <v>2</v>
      </c>
      <c r="BS143">
        <v>3</v>
      </c>
      <c r="BT143">
        <v>2</v>
      </c>
      <c r="BV143">
        <v>2</v>
      </c>
    </row>
    <row r="144" spans="1:74" x14ac:dyDescent="0.3">
      <c r="A144" s="155">
        <v>554</v>
      </c>
      <c r="B144" t="s">
        <v>318</v>
      </c>
      <c r="D144">
        <v>879580</v>
      </c>
      <c r="E144">
        <v>62028288</v>
      </c>
      <c r="L144">
        <v>4281111</v>
      </c>
      <c r="M144">
        <v>423142</v>
      </c>
      <c r="T144">
        <v>2312043</v>
      </c>
      <c r="Z144">
        <v>6239717</v>
      </c>
      <c r="AH144">
        <v>1151661</v>
      </c>
      <c r="AM144">
        <v>1259338</v>
      </c>
      <c r="AO144">
        <v>3563162</v>
      </c>
      <c r="AS144">
        <v>1774902</v>
      </c>
      <c r="AZ144">
        <v>1388159</v>
      </c>
      <c r="BF144">
        <v>2058640</v>
      </c>
      <c r="BJ144">
        <v>169952</v>
      </c>
      <c r="BN144">
        <v>0</v>
      </c>
      <c r="BV144">
        <v>365073</v>
      </c>
    </row>
    <row r="145" spans="1:74" x14ac:dyDescent="0.3">
      <c r="A145" s="155">
        <v>555</v>
      </c>
      <c r="B145" t="s">
        <v>319</v>
      </c>
      <c r="D145">
        <v>790004</v>
      </c>
      <c r="E145">
        <v>48707288</v>
      </c>
      <c r="L145">
        <v>3029951</v>
      </c>
      <c r="M145">
        <v>0</v>
      </c>
      <c r="T145">
        <v>2281874</v>
      </c>
      <c r="Z145">
        <v>4561088</v>
      </c>
      <c r="AH145">
        <v>1151661</v>
      </c>
      <c r="AM145">
        <v>1004779</v>
      </c>
      <c r="AO145">
        <v>1535786</v>
      </c>
      <c r="AS145">
        <v>756133</v>
      </c>
      <c r="AZ145">
        <v>1131535</v>
      </c>
      <c r="BF145">
        <v>942414</v>
      </c>
      <c r="BJ145">
        <v>0</v>
      </c>
      <c r="BN145">
        <v>0</v>
      </c>
      <c r="BV145">
        <v>0</v>
      </c>
    </row>
    <row r="146" spans="1:74" x14ac:dyDescent="0.3">
      <c r="A146" s="155">
        <v>556</v>
      </c>
      <c r="B146" t="s">
        <v>320</v>
      </c>
      <c r="D146">
        <v>2730370</v>
      </c>
      <c r="E146">
        <v>10439796</v>
      </c>
      <c r="L146">
        <v>240040</v>
      </c>
      <c r="M146">
        <v>832155</v>
      </c>
      <c r="T146">
        <v>589434</v>
      </c>
      <c r="Z146">
        <v>1635169</v>
      </c>
      <c r="AH146">
        <v>210150</v>
      </c>
      <c r="AM146">
        <v>181448</v>
      </c>
      <c r="AO146">
        <v>1670420</v>
      </c>
      <c r="AS146">
        <v>1485678</v>
      </c>
      <c r="AZ146">
        <v>330929</v>
      </c>
      <c r="BF146">
        <v>668825</v>
      </c>
      <c r="BJ146">
        <v>10087771</v>
      </c>
      <c r="BN146">
        <v>685161</v>
      </c>
      <c r="BV146">
        <v>336002</v>
      </c>
    </row>
    <row r="147" spans="1:74" x14ac:dyDescent="0.3">
      <c r="A147" s="155">
        <v>557</v>
      </c>
      <c r="B147" t="s">
        <v>321</v>
      </c>
      <c r="D147">
        <v>2540967</v>
      </c>
      <c r="E147">
        <v>7160857</v>
      </c>
      <c r="L147">
        <v>0</v>
      </c>
      <c r="M147">
        <v>379972</v>
      </c>
      <c r="T147">
        <v>487687</v>
      </c>
      <c r="Z147">
        <v>736218</v>
      </c>
      <c r="AH147">
        <v>0</v>
      </c>
      <c r="AM147">
        <v>0</v>
      </c>
      <c r="AO147">
        <v>1087117</v>
      </c>
      <c r="AS147">
        <v>1097084</v>
      </c>
      <c r="AZ147">
        <v>0</v>
      </c>
      <c r="BF147">
        <v>641798</v>
      </c>
      <c r="BJ147">
        <v>9652778</v>
      </c>
      <c r="BN147">
        <v>512390</v>
      </c>
      <c r="BV147">
        <v>246992</v>
      </c>
    </row>
    <row r="148" spans="1:74" x14ac:dyDescent="0.3">
      <c r="A148" s="155">
        <v>575</v>
      </c>
      <c r="B148" t="s">
        <v>300</v>
      </c>
      <c r="D148">
        <v>0</v>
      </c>
      <c r="E148">
        <v>9441826</v>
      </c>
      <c r="G148">
        <v>0</v>
      </c>
      <c r="H148">
        <v>0</v>
      </c>
      <c r="I148">
        <v>0</v>
      </c>
      <c r="J148">
        <v>0</v>
      </c>
      <c r="K148">
        <v>0</v>
      </c>
      <c r="L148">
        <v>0</v>
      </c>
      <c r="M148">
        <v>0</v>
      </c>
      <c r="N148">
        <v>0</v>
      </c>
      <c r="O148">
        <v>519</v>
      </c>
      <c r="Q148">
        <v>0</v>
      </c>
      <c r="R148">
        <v>0</v>
      </c>
      <c r="S148">
        <v>0</v>
      </c>
      <c r="T148">
        <v>0</v>
      </c>
      <c r="V148">
        <v>4016</v>
      </c>
      <c r="X148">
        <v>0</v>
      </c>
      <c r="Y148">
        <v>0</v>
      </c>
      <c r="Z148">
        <v>0</v>
      </c>
      <c r="AA148">
        <v>0</v>
      </c>
      <c r="AB148">
        <v>0</v>
      </c>
      <c r="AC148">
        <v>0</v>
      </c>
      <c r="AD148">
        <v>2528</v>
      </c>
      <c r="AE148">
        <v>369877</v>
      </c>
      <c r="AF148">
        <v>0</v>
      </c>
      <c r="AG148">
        <v>0</v>
      </c>
      <c r="AH148">
        <v>0</v>
      </c>
      <c r="AI148">
        <v>0</v>
      </c>
      <c r="AJ148">
        <v>0</v>
      </c>
      <c r="AK148">
        <v>0</v>
      </c>
      <c r="AL148">
        <v>0</v>
      </c>
      <c r="AM148">
        <v>0</v>
      </c>
      <c r="AN148">
        <v>0</v>
      </c>
      <c r="AO148">
        <v>0</v>
      </c>
      <c r="AP148">
        <v>0</v>
      </c>
      <c r="AQ148">
        <v>0</v>
      </c>
      <c r="AR148">
        <v>0</v>
      </c>
      <c r="AS148">
        <v>0</v>
      </c>
      <c r="AT148">
        <v>0</v>
      </c>
      <c r="AU148">
        <v>0</v>
      </c>
      <c r="AV148">
        <v>4901</v>
      </c>
      <c r="AW148">
        <v>0</v>
      </c>
      <c r="AX148">
        <v>0</v>
      </c>
      <c r="AY148">
        <v>0</v>
      </c>
      <c r="AZ148">
        <v>0</v>
      </c>
      <c r="BA148">
        <v>0</v>
      </c>
      <c r="BB148">
        <v>0</v>
      </c>
      <c r="BC148">
        <v>0</v>
      </c>
      <c r="BD148">
        <v>0</v>
      </c>
      <c r="BE148">
        <v>0</v>
      </c>
      <c r="BF148">
        <v>0</v>
      </c>
      <c r="BH148">
        <v>0</v>
      </c>
      <c r="BI148">
        <v>16875</v>
      </c>
      <c r="BJ148">
        <v>0</v>
      </c>
      <c r="BK148">
        <v>0</v>
      </c>
      <c r="BL148">
        <v>0</v>
      </c>
      <c r="BM148">
        <v>0</v>
      </c>
      <c r="BN148">
        <v>0</v>
      </c>
      <c r="BO148">
        <v>123837</v>
      </c>
      <c r="BQ148">
        <v>0</v>
      </c>
      <c r="BS148">
        <v>0</v>
      </c>
      <c r="BT148">
        <v>0</v>
      </c>
      <c r="BV148">
        <v>0</v>
      </c>
    </row>
    <row r="149" spans="1:74" x14ac:dyDescent="0.3">
      <c r="A149" s="155">
        <v>576</v>
      </c>
      <c r="B149" t="s">
        <v>301</v>
      </c>
      <c r="D149">
        <v>0</v>
      </c>
      <c r="E149">
        <v>0</v>
      </c>
      <c r="G149">
        <v>0</v>
      </c>
      <c r="H149">
        <v>0</v>
      </c>
      <c r="I149">
        <v>0</v>
      </c>
      <c r="J149">
        <v>0</v>
      </c>
      <c r="K149">
        <v>0</v>
      </c>
      <c r="L149">
        <v>4067</v>
      </c>
      <c r="M149">
        <v>0</v>
      </c>
      <c r="N149">
        <v>0</v>
      </c>
      <c r="O149">
        <v>0</v>
      </c>
      <c r="Q149">
        <v>0</v>
      </c>
      <c r="R149">
        <v>0</v>
      </c>
      <c r="S149">
        <v>0</v>
      </c>
      <c r="T149">
        <v>0</v>
      </c>
      <c r="V149">
        <v>0</v>
      </c>
      <c r="X149">
        <v>0</v>
      </c>
      <c r="Y149">
        <v>0</v>
      </c>
      <c r="Z149">
        <v>457582</v>
      </c>
      <c r="AA149">
        <v>0</v>
      </c>
      <c r="AB149">
        <v>2584</v>
      </c>
      <c r="AC149">
        <v>0</v>
      </c>
      <c r="AD149">
        <v>0</v>
      </c>
      <c r="AE149">
        <v>0</v>
      </c>
      <c r="AF149">
        <v>0</v>
      </c>
      <c r="AG149">
        <v>27914</v>
      </c>
      <c r="AH149">
        <v>0</v>
      </c>
      <c r="AI149">
        <v>0</v>
      </c>
      <c r="AJ149">
        <v>0</v>
      </c>
      <c r="AK149">
        <v>0</v>
      </c>
      <c r="AL149">
        <v>0</v>
      </c>
      <c r="AM149">
        <v>0</v>
      </c>
      <c r="AN149">
        <v>0</v>
      </c>
      <c r="AO149">
        <v>0</v>
      </c>
      <c r="AP149">
        <v>0</v>
      </c>
      <c r="AQ149">
        <v>0</v>
      </c>
      <c r="AR149">
        <v>0</v>
      </c>
      <c r="AS149">
        <v>0</v>
      </c>
      <c r="AT149">
        <v>0</v>
      </c>
      <c r="AU149">
        <v>0</v>
      </c>
      <c r="AV149">
        <v>0</v>
      </c>
      <c r="AW149">
        <v>0</v>
      </c>
      <c r="AX149">
        <v>0</v>
      </c>
      <c r="AY149">
        <v>0</v>
      </c>
      <c r="AZ149">
        <v>0</v>
      </c>
      <c r="BA149">
        <v>0</v>
      </c>
      <c r="BB149">
        <v>0</v>
      </c>
      <c r="BC149">
        <v>0</v>
      </c>
      <c r="BD149">
        <v>19922</v>
      </c>
      <c r="BE149">
        <v>0</v>
      </c>
      <c r="BF149">
        <v>783029</v>
      </c>
      <c r="BH149">
        <v>0</v>
      </c>
      <c r="BI149">
        <v>0</v>
      </c>
      <c r="BJ149">
        <v>0</v>
      </c>
      <c r="BK149">
        <v>135550</v>
      </c>
      <c r="BL149">
        <v>0</v>
      </c>
      <c r="BM149">
        <v>0</v>
      </c>
      <c r="BN149">
        <v>0</v>
      </c>
      <c r="BO149">
        <v>0</v>
      </c>
      <c r="BQ149">
        <v>0</v>
      </c>
      <c r="BS149">
        <v>0</v>
      </c>
      <c r="BT149">
        <v>0</v>
      </c>
      <c r="BV149">
        <v>0</v>
      </c>
    </row>
    <row r="150" spans="1:74" x14ac:dyDescent="0.3">
      <c r="A150" s="155">
        <v>577</v>
      </c>
      <c r="B150" t="s">
        <v>891</v>
      </c>
      <c r="D150">
        <v>2</v>
      </c>
      <c r="E150">
        <v>1</v>
      </c>
      <c r="G150">
        <v>2</v>
      </c>
      <c r="H150">
        <v>2</v>
      </c>
      <c r="I150">
        <v>2</v>
      </c>
      <c r="J150">
        <v>2</v>
      </c>
      <c r="K150">
        <v>0</v>
      </c>
      <c r="L150">
        <v>2</v>
      </c>
      <c r="M150">
        <v>0</v>
      </c>
      <c r="N150">
        <v>2</v>
      </c>
      <c r="O150">
        <v>1</v>
      </c>
      <c r="Q150">
        <v>0</v>
      </c>
      <c r="R150">
        <v>2</v>
      </c>
      <c r="S150">
        <v>2</v>
      </c>
      <c r="T150">
        <v>0</v>
      </c>
      <c r="V150">
        <v>2</v>
      </c>
      <c r="X150">
        <v>2</v>
      </c>
      <c r="Y150">
        <v>2</v>
      </c>
      <c r="Z150">
        <v>2</v>
      </c>
      <c r="AA150">
        <v>2</v>
      </c>
      <c r="AB150">
        <v>2</v>
      </c>
      <c r="AC150">
        <v>2</v>
      </c>
      <c r="AD150">
        <v>2</v>
      </c>
      <c r="AE150">
        <v>2</v>
      </c>
      <c r="AF150">
        <v>2</v>
      </c>
      <c r="AG150">
        <v>2</v>
      </c>
      <c r="AH150">
        <v>1</v>
      </c>
      <c r="AI150">
        <v>0</v>
      </c>
      <c r="AJ150">
        <v>2</v>
      </c>
      <c r="AK150">
        <v>0</v>
      </c>
      <c r="AL150">
        <v>0</v>
      </c>
      <c r="AM150">
        <v>2</v>
      </c>
      <c r="AN150">
        <v>2</v>
      </c>
      <c r="AO150">
        <v>2</v>
      </c>
      <c r="AP150">
        <v>2</v>
      </c>
      <c r="AQ150">
        <v>2</v>
      </c>
      <c r="AR150">
        <v>2</v>
      </c>
      <c r="AS150">
        <v>1</v>
      </c>
      <c r="AT150">
        <v>2</v>
      </c>
      <c r="AU150">
        <v>2</v>
      </c>
      <c r="AV150">
        <v>2</v>
      </c>
      <c r="AW150">
        <v>0</v>
      </c>
      <c r="AX150">
        <v>2</v>
      </c>
      <c r="AY150">
        <v>0</v>
      </c>
      <c r="AZ150">
        <v>2</v>
      </c>
      <c r="BA150">
        <v>2</v>
      </c>
      <c r="BB150">
        <v>2</v>
      </c>
      <c r="BC150">
        <v>2</v>
      </c>
      <c r="BD150">
        <v>2</v>
      </c>
      <c r="BE150">
        <v>2</v>
      </c>
      <c r="BF150">
        <v>2</v>
      </c>
      <c r="BH150">
        <v>2</v>
      </c>
      <c r="BI150">
        <v>2</v>
      </c>
      <c r="BJ150">
        <v>2</v>
      </c>
      <c r="BK150">
        <v>2</v>
      </c>
      <c r="BL150">
        <v>1</v>
      </c>
      <c r="BM150">
        <v>2</v>
      </c>
      <c r="BN150">
        <v>2</v>
      </c>
      <c r="BO150">
        <v>2</v>
      </c>
      <c r="BQ150">
        <v>2</v>
      </c>
      <c r="BS150">
        <v>2</v>
      </c>
      <c r="BT150">
        <v>1</v>
      </c>
      <c r="BV150">
        <v>2</v>
      </c>
    </row>
    <row r="151" spans="1:74" x14ac:dyDescent="0.3">
      <c r="A151" s="155">
        <v>578</v>
      </c>
      <c r="B151" t="s">
        <v>892</v>
      </c>
      <c r="D151">
        <v>0</v>
      </c>
      <c r="E151">
        <v>0</v>
      </c>
      <c r="G151">
        <v>0</v>
      </c>
      <c r="H151">
        <v>0</v>
      </c>
      <c r="I151">
        <v>0</v>
      </c>
      <c r="J151">
        <v>0</v>
      </c>
      <c r="K151">
        <v>0</v>
      </c>
      <c r="L151">
        <v>0</v>
      </c>
      <c r="M151">
        <v>0</v>
      </c>
      <c r="N151">
        <v>0</v>
      </c>
      <c r="O151">
        <v>0</v>
      </c>
      <c r="Q151">
        <v>0</v>
      </c>
      <c r="R151">
        <v>0</v>
      </c>
      <c r="S151">
        <v>0</v>
      </c>
      <c r="T151">
        <v>0</v>
      </c>
      <c r="V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350000</v>
      </c>
      <c r="BA151">
        <v>0</v>
      </c>
      <c r="BB151">
        <v>0</v>
      </c>
      <c r="BC151">
        <v>0</v>
      </c>
      <c r="BD151">
        <v>0</v>
      </c>
      <c r="BE151">
        <v>0</v>
      </c>
      <c r="BF151">
        <v>2360000</v>
      </c>
      <c r="BH151">
        <v>0</v>
      </c>
      <c r="BI151">
        <v>0</v>
      </c>
      <c r="BJ151">
        <v>0</v>
      </c>
      <c r="BK151">
        <v>0</v>
      </c>
      <c r="BL151">
        <v>0</v>
      </c>
      <c r="BM151">
        <v>0</v>
      </c>
      <c r="BN151">
        <v>0</v>
      </c>
      <c r="BO151">
        <v>123837</v>
      </c>
      <c r="BQ151">
        <v>0</v>
      </c>
      <c r="BS151">
        <v>0</v>
      </c>
      <c r="BT151">
        <v>0</v>
      </c>
      <c r="BV151">
        <v>0</v>
      </c>
    </row>
    <row r="152" spans="1:74" x14ac:dyDescent="0.3">
      <c r="A152" s="155">
        <v>579</v>
      </c>
      <c r="B152" t="s">
        <v>893</v>
      </c>
      <c r="D152">
        <v>0</v>
      </c>
      <c r="E152">
        <v>0</v>
      </c>
      <c r="G152">
        <v>0</v>
      </c>
      <c r="H152">
        <v>0</v>
      </c>
      <c r="I152">
        <v>0</v>
      </c>
      <c r="J152">
        <v>0</v>
      </c>
      <c r="K152">
        <v>0</v>
      </c>
      <c r="L152">
        <v>0</v>
      </c>
      <c r="M152">
        <v>0</v>
      </c>
      <c r="N152">
        <v>0</v>
      </c>
      <c r="O152">
        <v>0</v>
      </c>
      <c r="Q152">
        <v>0</v>
      </c>
      <c r="R152">
        <v>0</v>
      </c>
      <c r="S152">
        <v>0</v>
      </c>
      <c r="T152">
        <v>0</v>
      </c>
      <c r="V152">
        <v>0</v>
      </c>
      <c r="X152">
        <v>0</v>
      </c>
      <c r="Y152">
        <v>0</v>
      </c>
      <c r="Z152">
        <v>0</v>
      </c>
      <c r="AA152">
        <v>0</v>
      </c>
      <c r="AB152">
        <v>2584</v>
      </c>
      <c r="AC152">
        <v>0</v>
      </c>
      <c r="AD152">
        <v>0</v>
      </c>
      <c r="AE152">
        <v>0</v>
      </c>
      <c r="AF152">
        <v>0</v>
      </c>
      <c r="AG152">
        <v>0</v>
      </c>
      <c r="AH152">
        <v>0</v>
      </c>
      <c r="AI152">
        <v>0</v>
      </c>
      <c r="AJ152">
        <v>0</v>
      </c>
      <c r="AK152">
        <v>0</v>
      </c>
      <c r="AL152">
        <v>0</v>
      </c>
      <c r="AM152">
        <v>0</v>
      </c>
      <c r="AN152">
        <v>0</v>
      </c>
      <c r="AO152">
        <v>5601961</v>
      </c>
      <c r="AP152">
        <v>0</v>
      </c>
      <c r="AQ152">
        <v>0</v>
      </c>
      <c r="AR152">
        <v>0</v>
      </c>
      <c r="AS152">
        <v>0</v>
      </c>
      <c r="AT152">
        <v>0</v>
      </c>
      <c r="AU152">
        <v>0</v>
      </c>
      <c r="AV152">
        <v>0</v>
      </c>
      <c r="AW152">
        <v>0</v>
      </c>
      <c r="AX152">
        <v>0</v>
      </c>
      <c r="AY152">
        <v>0</v>
      </c>
      <c r="AZ152">
        <v>350000</v>
      </c>
      <c r="BA152">
        <v>0</v>
      </c>
      <c r="BB152">
        <v>0</v>
      </c>
      <c r="BC152">
        <v>0</v>
      </c>
      <c r="BD152">
        <v>19922</v>
      </c>
      <c r="BE152">
        <v>0</v>
      </c>
      <c r="BF152">
        <v>0</v>
      </c>
      <c r="BH152">
        <v>0</v>
      </c>
      <c r="BI152">
        <v>0</v>
      </c>
      <c r="BJ152">
        <v>0</v>
      </c>
      <c r="BK152">
        <v>0</v>
      </c>
      <c r="BL152">
        <v>0</v>
      </c>
      <c r="BM152">
        <v>0</v>
      </c>
      <c r="BN152">
        <v>0</v>
      </c>
      <c r="BO152">
        <v>0</v>
      </c>
      <c r="BQ152">
        <v>0</v>
      </c>
      <c r="BS152">
        <v>0</v>
      </c>
      <c r="BT152">
        <v>0</v>
      </c>
      <c r="BV152">
        <v>0</v>
      </c>
    </row>
    <row r="153" spans="1:74" x14ac:dyDescent="0.3">
      <c r="A153" s="155">
        <v>580</v>
      </c>
      <c r="B153" t="s">
        <v>894</v>
      </c>
      <c r="D153">
        <v>0</v>
      </c>
      <c r="E153">
        <v>0</v>
      </c>
      <c r="G153">
        <v>0</v>
      </c>
      <c r="H153">
        <v>0</v>
      </c>
      <c r="I153">
        <v>0</v>
      </c>
      <c r="J153">
        <v>0</v>
      </c>
      <c r="K153">
        <v>0</v>
      </c>
      <c r="L153">
        <v>0</v>
      </c>
      <c r="M153">
        <v>0</v>
      </c>
      <c r="N153">
        <v>0</v>
      </c>
      <c r="O153">
        <v>0</v>
      </c>
      <c r="Q153">
        <v>0</v>
      </c>
      <c r="R153">
        <v>0</v>
      </c>
      <c r="S153">
        <v>0</v>
      </c>
      <c r="T153">
        <v>0</v>
      </c>
      <c r="V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c r="AU153">
        <v>0</v>
      </c>
      <c r="AV153">
        <v>0</v>
      </c>
      <c r="AW153">
        <v>0</v>
      </c>
      <c r="AX153">
        <v>0</v>
      </c>
      <c r="AY153">
        <v>0</v>
      </c>
      <c r="AZ153">
        <v>0</v>
      </c>
      <c r="BA153">
        <v>0</v>
      </c>
      <c r="BB153">
        <v>0</v>
      </c>
      <c r="BC153">
        <v>0</v>
      </c>
      <c r="BD153">
        <v>0</v>
      </c>
      <c r="BE153">
        <v>0</v>
      </c>
      <c r="BF153">
        <v>0</v>
      </c>
      <c r="BH153">
        <v>0</v>
      </c>
      <c r="BI153">
        <v>0</v>
      </c>
      <c r="BJ153">
        <v>0</v>
      </c>
      <c r="BK153">
        <v>0</v>
      </c>
      <c r="BL153">
        <v>0</v>
      </c>
      <c r="BM153">
        <v>0</v>
      </c>
      <c r="BN153">
        <v>0</v>
      </c>
      <c r="BO153">
        <v>0</v>
      </c>
      <c r="BQ153">
        <v>0</v>
      </c>
      <c r="BS153">
        <v>0</v>
      </c>
      <c r="BT153">
        <v>0</v>
      </c>
      <c r="BV153">
        <v>0</v>
      </c>
    </row>
    <row r="154" spans="1:74" x14ac:dyDescent="0.3">
      <c r="A154" s="155">
        <v>581</v>
      </c>
      <c r="B154" t="s">
        <v>895</v>
      </c>
      <c r="D154">
        <v>0</v>
      </c>
      <c r="E154">
        <v>0</v>
      </c>
      <c r="G154">
        <v>0</v>
      </c>
      <c r="H154">
        <v>0</v>
      </c>
      <c r="I154">
        <v>0</v>
      </c>
      <c r="J154">
        <v>0</v>
      </c>
      <c r="K154">
        <v>0</v>
      </c>
      <c r="L154">
        <v>0</v>
      </c>
      <c r="M154">
        <v>0</v>
      </c>
      <c r="N154">
        <v>0</v>
      </c>
      <c r="O154">
        <v>0</v>
      </c>
      <c r="Q154">
        <v>0</v>
      </c>
      <c r="R154">
        <v>0</v>
      </c>
      <c r="S154">
        <v>0</v>
      </c>
      <c r="T154">
        <v>0</v>
      </c>
      <c r="V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A154">
        <v>0</v>
      </c>
      <c r="BB154">
        <v>0</v>
      </c>
      <c r="BC154">
        <v>0</v>
      </c>
      <c r="BD154">
        <v>0</v>
      </c>
      <c r="BE154">
        <v>0</v>
      </c>
      <c r="BF154">
        <v>1500000</v>
      </c>
      <c r="BH154">
        <v>0</v>
      </c>
      <c r="BI154">
        <v>0</v>
      </c>
      <c r="BJ154">
        <v>0</v>
      </c>
      <c r="BK154">
        <v>0</v>
      </c>
      <c r="BL154">
        <v>0</v>
      </c>
      <c r="BM154">
        <v>0</v>
      </c>
      <c r="BN154">
        <v>0</v>
      </c>
      <c r="BO154">
        <v>0</v>
      </c>
      <c r="BQ154">
        <v>0</v>
      </c>
      <c r="BS154">
        <v>0</v>
      </c>
      <c r="BT154">
        <v>0</v>
      </c>
      <c r="BV154">
        <v>0</v>
      </c>
    </row>
    <row r="155" spans="1:74" x14ac:dyDescent="0.3">
      <c r="A155" s="155">
        <v>586</v>
      </c>
      <c r="B155" t="s">
        <v>896</v>
      </c>
      <c r="D155">
        <v>0</v>
      </c>
      <c r="E155">
        <v>5931594</v>
      </c>
      <c r="G155">
        <v>0</v>
      </c>
      <c r="H155">
        <v>0</v>
      </c>
      <c r="I155">
        <v>0</v>
      </c>
      <c r="J155">
        <v>0</v>
      </c>
      <c r="K155">
        <v>0</v>
      </c>
      <c r="L155">
        <v>0</v>
      </c>
      <c r="M155">
        <v>185000</v>
      </c>
      <c r="N155">
        <v>0</v>
      </c>
      <c r="O155">
        <v>0</v>
      </c>
      <c r="Q155">
        <v>0</v>
      </c>
      <c r="R155">
        <v>0</v>
      </c>
      <c r="S155">
        <v>0</v>
      </c>
      <c r="T155">
        <v>0</v>
      </c>
      <c r="V155">
        <v>0</v>
      </c>
      <c r="X155">
        <v>0</v>
      </c>
      <c r="Y155">
        <v>0</v>
      </c>
      <c r="Z155">
        <v>16649800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0</v>
      </c>
      <c r="AW155">
        <v>0</v>
      </c>
      <c r="AX155">
        <v>0</v>
      </c>
      <c r="AY155">
        <v>0</v>
      </c>
      <c r="AZ155">
        <v>0</v>
      </c>
      <c r="BA155">
        <v>0</v>
      </c>
      <c r="BB155">
        <v>0</v>
      </c>
      <c r="BC155">
        <v>0</v>
      </c>
      <c r="BD155">
        <v>100</v>
      </c>
      <c r="BE155">
        <v>0</v>
      </c>
      <c r="BF155">
        <v>0</v>
      </c>
      <c r="BH155">
        <v>0</v>
      </c>
      <c r="BI155">
        <v>0</v>
      </c>
      <c r="BJ155">
        <v>0</v>
      </c>
      <c r="BK155">
        <v>0</v>
      </c>
      <c r="BL155">
        <v>0</v>
      </c>
      <c r="BM155">
        <v>0</v>
      </c>
      <c r="BN155">
        <v>0</v>
      </c>
      <c r="BO155">
        <v>0</v>
      </c>
      <c r="BQ155">
        <v>0</v>
      </c>
      <c r="BS155">
        <v>0</v>
      </c>
      <c r="BT155">
        <v>0</v>
      </c>
      <c r="BV155">
        <v>0</v>
      </c>
    </row>
    <row r="156" spans="1:74" x14ac:dyDescent="0.3">
      <c r="A156" s="155">
        <v>590</v>
      </c>
      <c r="B156" t="s">
        <v>1579</v>
      </c>
      <c r="AA156" t="s">
        <v>2050</v>
      </c>
      <c r="AC156" t="s">
        <v>1581</v>
      </c>
      <c r="AH156" t="s">
        <v>1581</v>
      </c>
      <c r="AI156" t="s">
        <v>1581</v>
      </c>
      <c r="AM156" t="s">
        <v>2051</v>
      </c>
      <c r="BB156" t="s">
        <v>2052</v>
      </c>
      <c r="BS156" t="s">
        <v>1580</v>
      </c>
    </row>
    <row r="157" spans="1:74" x14ac:dyDescent="0.3">
      <c r="A157" s="155">
        <v>591</v>
      </c>
      <c r="B157" t="s">
        <v>327</v>
      </c>
      <c r="D157">
        <v>2621207</v>
      </c>
      <c r="E157">
        <v>336837036</v>
      </c>
      <c r="G157">
        <v>2317449</v>
      </c>
      <c r="H157">
        <v>1328268</v>
      </c>
      <c r="I157">
        <v>0</v>
      </c>
      <c r="J157">
        <v>0</v>
      </c>
      <c r="K157">
        <v>0</v>
      </c>
      <c r="L157">
        <v>6322678</v>
      </c>
      <c r="M157">
        <v>9017865</v>
      </c>
      <c r="N157">
        <v>0</v>
      </c>
      <c r="O157">
        <v>404944</v>
      </c>
      <c r="Q157">
        <v>0</v>
      </c>
      <c r="R157">
        <v>0</v>
      </c>
      <c r="S157">
        <v>959048</v>
      </c>
      <c r="T157">
        <v>0</v>
      </c>
      <c r="V157">
        <v>1545663</v>
      </c>
      <c r="X157">
        <v>7016824</v>
      </c>
      <c r="Y157">
        <v>0</v>
      </c>
      <c r="Z157">
        <v>127659400</v>
      </c>
      <c r="AA157">
        <v>0</v>
      </c>
      <c r="AB157">
        <v>276832</v>
      </c>
      <c r="AC157">
        <v>69242</v>
      </c>
      <c r="AD157">
        <v>1234288</v>
      </c>
      <c r="AE157">
        <v>662984</v>
      </c>
      <c r="AF157">
        <v>527624</v>
      </c>
      <c r="AG157">
        <v>637598</v>
      </c>
      <c r="AH157">
        <v>6223572</v>
      </c>
      <c r="AI157">
        <v>0</v>
      </c>
      <c r="AJ157">
        <v>0</v>
      </c>
      <c r="AK157">
        <v>0</v>
      </c>
      <c r="AL157">
        <v>786009</v>
      </c>
      <c r="AM157">
        <v>1364772</v>
      </c>
      <c r="AN157">
        <v>660914</v>
      </c>
      <c r="AO157">
        <v>28218084</v>
      </c>
      <c r="AP157">
        <v>967795</v>
      </c>
      <c r="AQ157">
        <v>0</v>
      </c>
      <c r="AR157">
        <v>67575</v>
      </c>
      <c r="AS157">
        <v>25786335</v>
      </c>
      <c r="AT157">
        <v>340133</v>
      </c>
      <c r="AU157">
        <v>916288</v>
      </c>
      <c r="AV157">
        <v>4533904</v>
      </c>
      <c r="AW157">
        <v>686560</v>
      </c>
      <c r="AX157">
        <v>0</v>
      </c>
      <c r="AY157">
        <v>0</v>
      </c>
      <c r="AZ157">
        <v>11195437</v>
      </c>
      <c r="BA157">
        <v>280691</v>
      </c>
      <c r="BB157">
        <v>469534</v>
      </c>
      <c r="BC157">
        <v>102355</v>
      </c>
      <c r="BD157">
        <v>3767609</v>
      </c>
      <c r="BE157">
        <v>4323578</v>
      </c>
      <c r="BF157">
        <v>53172393</v>
      </c>
      <c r="BH157">
        <v>0</v>
      </c>
      <c r="BI157">
        <v>183911</v>
      </c>
      <c r="BJ157">
        <v>22012637</v>
      </c>
      <c r="BK157">
        <v>1176757</v>
      </c>
      <c r="BL157">
        <v>9012368</v>
      </c>
      <c r="BM157">
        <v>0</v>
      </c>
      <c r="BN157">
        <v>11450079</v>
      </c>
      <c r="BO157">
        <v>1563291</v>
      </c>
      <c r="BQ157">
        <v>0</v>
      </c>
      <c r="BS157">
        <v>1968753</v>
      </c>
      <c r="BT157">
        <v>0</v>
      </c>
      <c r="BV157">
        <v>2803233</v>
      </c>
    </row>
    <row r="158" spans="1:74" x14ac:dyDescent="0.3">
      <c r="A158" s="155">
        <v>592</v>
      </c>
      <c r="B158" t="s">
        <v>328</v>
      </c>
      <c r="D158">
        <v>269306</v>
      </c>
      <c r="E158">
        <v>167073511</v>
      </c>
      <c r="G158">
        <v>472857</v>
      </c>
      <c r="H158">
        <v>292739</v>
      </c>
      <c r="I158">
        <v>0</v>
      </c>
      <c r="J158">
        <v>0</v>
      </c>
      <c r="K158">
        <v>0</v>
      </c>
      <c r="L158">
        <v>3171760</v>
      </c>
      <c r="M158">
        <v>443157</v>
      </c>
      <c r="N158">
        <v>0</v>
      </c>
      <c r="O158">
        <v>-74243</v>
      </c>
      <c r="Q158">
        <v>0</v>
      </c>
      <c r="R158">
        <v>0</v>
      </c>
      <c r="S158">
        <v>190076</v>
      </c>
      <c r="T158">
        <v>0</v>
      </c>
      <c r="V158">
        <v>-105458</v>
      </c>
      <c r="X158">
        <v>-164833</v>
      </c>
      <c r="Y158">
        <v>0</v>
      </c>
      <c r="Z158">
        <v>-883707</v>
      </c>
      <c r="AA158">
        <v>0</v>
      </c>
      <c r="AB158">
        <v>-89297</v>
      </c>
      <c r="AC158">
        <v>121684</v>
      </c>
      <c r="AD158">
        <v>-152994</v>
      </c>
      <c r="AE158">
        <v>250648</v>
      </c>
      <c r="AF158">
        <v>295150</v>
      </c>
      <c r="AG158">
        <v>21093</v>
      </c>
      <c r="AH158">
        <v>-899026</v>
      </c>
      <c r="AI158">
        <v>0</v>
      </c>
      <c r="AJ158">
        <v>0</v>
      </c>
      <c r="AK158">
        <v>0</v>
      </c>
      <c r="AL158">
        <v>21398</v>
      </c>
      <c r="AM158">
        <v>264737</v>
      </c>
      <c r="AN158">
        <v>-56710</v>
      </c>
      <c r="AO158">
        <v>9643104</v>
      </c>
      <c r="AP158">
        <v>230228</v>
      </c>
      <c r="AQ158">
        <v>0</v>
      </c>
      <c r="AR158">
        <v>-11482</v>
      </c>
      <c r="AS158">
        <v>4493223</v>
      </c>
      <c r="AT158">
        <v>82561</v>
      </c>
      <c r="AU158">
        <v>212850</v>
      </c>
      <c r="AV158">
        <v>480219</v>
      </c>
      <c r="AW158">
        <v>320000</v>
      </c>
      <c r="AX158">
        <v>0</v>
      </c>
      <c r="AY158">
        <v>2</v>
      </c>
      <c r="AZ158">
        <v>3546001</v>
      </c>
      <c r="BA158">
        <v>55569</v>
      </c>
      <c r="BB158">
        <v>58536</v>
      </c>
      <c r="BC158">
        <v>-7139</v>
      </c>
      <c r="BD158">
        <v>2048816</v>
      </c>
      <c r="BE158">
        <v>-260453</v>
      </c>
      <c r="BF158">
        <v>8679858</v>
      </c>
      <c r="BH158">
        <v>0</v>
      </c>
      <c r="BI158">
        <v>59599</v>
      </c>
      <c r="BJ158">
        <v>5340328</v>
      </c>
      <c r="BK158">
        <v>180590</v>
      </c>
      <c r="BL158">
        <v>4437330</v>
      </c>
      <c r="BM158">
        <v>0</v>
      </c>
      <c r="BN158">
        <v>4415376</v>
      </c>
      <c r="BO158">
        <v>7159091</v>
      </c>
      <c r="BQ158">
        <v>0</v>
      </c>
      <c r="BS158">
        <v>303339</v>
      </c>
      <c r="BT158">
        <v>0</v>
      </c>
      <c r="BV158">
        <v>-99461</v>
      </c>
    </row>
    <row r="159" spans="1:74" x14ac:dyDescent="0.3">
      <c r="A159" s="155">
        <v>596</v>
      </c>
      <c r="B159" t="s">
        <v>333</v>
      </c>
      <c r="D159">
        <v>52</v>
      </c>
      <c r="E159">
        <v>52</v>
      </c>
      <c r="G159">
        <v>52</v>
      </c>
      <c r="H159">
        <v>52</v>
      </c>
      <c r="I159">
        <v>0</v>
      </c>
      <c r="J159">
        <v>52</v>
      </c>
      <c r="K159">
        <v>52</v>
      </c>
      <c r="L159">
        <v>52</v>
      </c>
      <c r="M159">
        <v>52</v>
      </c>
      <c r="N159">
        <v>52</v>
      </c>
      <c r="O159">
        <v>52</v>
      </c>
      <c r="Q159">
        <v>0</v>
      </c>
      <c r="R159">
        <v>52</v>
      </c>
      <c r="S159">
        <v>52</v>
      </c>
      <c r="T159">
        <v>52</v>
      </c>
      <c r="V159">
        <v>52</v>
      </c>
      <c r="X159">
        <v>52</v>
      </c>
      <c r="Y159">
        <v>0</v>
      </c>
      <c r="Z159">
        <v>52</v>
      </c>
      <c r="AA159">
        <v>52</v>
      </c>
      <c r="AB159">
        <v>52</v>
      </c>
      <c r="AC159">
        <v>52</v>
      </c>
      <c r="AD159">
        <v>52</v>
      </c>
      <c r="AE159">
        <v>52</v>
      </c>
      <c r="AF159">
        <v>52</v>
      </c>
      <c r="AG159">
        <v>52</v>
      </c>
      <c r="AH159">
        <v>52</v>
      </c>
      <c r="AI159">
        <v>0</v>
      </c>
      <c r="AJ159">
        <v>52</v>
      </c>
      <c r="AK159">
        <v>0</v>
      </c>
      <c r="AL159">
        <v>52</v>
      </c>
      <c r="AM159">
        <v>52</v>
      </c>
      <c r="AN159">
        <v>52</v>
      </c>
      <c r="AO159">
        <v>52</v>
      </c>
      <c r="AP159">
        <v>52</v>
      </c>
      <c r="AQ159">
        <v>52</v>
      </c>
      <c r="AR159">
        <v>52</v>
      </c>
      <c r="AS159">
        <v>52</v>
      </c>
      <c r="AT159">
        <v>52</v>
      </c>
      <c r="AU159">
        <v>52</v>
      </c>
      <c r="AV159">
        <v>52</v>
      </c>
      <c r="AW159">
        <v>52</v>
      </c>
      <c r="AX159">
        <v>0</v>
      </c>
      <c r="AY159">
        <v>52</v>
      </c>
      <c r="AZ159">
        <v>52</v>
      </c>
      <c r="BA159">
        <v>52</v>
      </c>
      <c r="BB159">
        <v>52</v>
      </c>
      <c r="BC159">
        <v>52</v>
      </c>
      <c r="BD159">
        <v>52</v>
      </c>
      <c r="BE159">
        <v>52</v>
      </c>
      <c r="BF159">
        <v>52</v>
      </c>
      <c r="BH159">
        <v>52</v>
      </c>
      <c r="BI159">
        <v>52</v>
      </c>
      <c r="BJ159">
        <v>52</v>
      </c>
      <c r="BK159">
        <v>52</v>
      </c>
      <c r="BL159">
        <v>52</v>
      </c>
      <c r="BM159">
        <v>0</v>
      </c>
      <c r="BN159">
        <v>52</v>
      </c>
      <c r="BO159">
        <v>52</v>
      </c>
      <c r="BQ159">
        <v>0</v>
      </c>
      <c r="BS159">
        <v>52</v>
      </c>
      <c r="BT159">
        <v>0</v>
      </c>
      <c r="BV159">
        <v>52</v>
      </c>
    </row>
    <row r="160" spans="1:74" x14ac:dyDescent="0.3">
      <c r="A160" s="155">
        <v>597</v>
      </c>
      <c r="B160" t="s">
        <v>336</v>
      </c>
      <c r="D160">
        <v>0</v>
      </c>
      <c r="E160">
        <v>-45323807</v>
      </c>
      <c r="G160">
        <v>14931</v>
      </c>
      <c r="H160">
        <v>13872</v>
      </c>
      <c r="I160">
        <v>0</v>
      </c>
      <c r="J160">
        <v>2588</v>
      </c>
      <c r="K160">
        <v>7408</v>
      </c>
      <c r="L160">
        <v>6769</v>
      </c>
      <c r="M160">
        <v>40759</v>
      </c>
      <c r="N160">
        <v>1387</v>
      </c>
      <c r="O160">
        <v>1039</v>
      </c>
      <c r="Q160">
        <v>17997</v>
      </c>
      <c r="R160">
        <v>593</v>
      </c>
      <c r="S160">
        <v>5422</v>
      </c>
      <c r="T160">
        <v>9634</v>
      </c>
      <c r="V160">
        <v>1760</v>
      </c>
      <c r="X160">
        <v>14350</v>
      </c>
      <c r="Y160">
        <v>1343</v>
      </c>
      <c r="Z160">
        <v>566051</v>
      </c>
      <c r="AA160">
        <v>30238</v>
      </c>
      <c r="AB160">
        <v>656</v>
      </c>
      <c r="AC160">
        <v>0</v>
      </c>
      <c r="AD160">
        <v>3799</v>
      </c>
      <c r="AE160">
        <v>30545</v>
      </c>
      <c r="AF160">
        <v>501</v>
      </c>
      <c r="AG160">
        <v>0</v>
      </c>
      <c r="AH160">
        <v>0</v>
      </c>
      <c r="AI160">
        <v>0</v>
      </c>
      <c r="AJ160">
        <v>2747</v>
      </c>
      <c r="AK160">
        <v>0</v>
      </c>
      <c r="AL160">
        <v>3</v>
      </c>
      <c r="AM160">
        <v>42338</v>
      </c>
      <c r="AN160">
        <v>35</v>
      </c>
      <c r="AO160">
        <v>253808</v>
      </c>
      <c r="AP160">
        <v>3401</v>
      </c>
      <c r="AQ160">
        <v>28</v>
      </c>
      <c r="AR160">
        <v>12</v>
      </c>
      <c r="AS160">
        <v>125945</v>
      </c>
      <c r="AT160">
        <v>1518</v>
      </c>
      <c r="AU160">
        <v>2763</v>
      </c>
      <c r="AV160">
        <v>951</v>
      </c>
      <c r="AW160">
        <v>391</v>
      </c>
      <c r="AX160">
        <v>12</v>
      </c>
      <c r="AY160">
        <v>68</v>
      </c>
      <c r="AZ160">
        <v>19239</v>
      </c>
      <c r="BA160">
        <v>1208</v>
      </c>
      <c r="BB160">
        <v>389</v>
      </c>
      <c r="BC160">
        <v>4201</v>
      </c>
      <c r="BD160">
        <v>71952</v>
      </c>
      <c r="BE160">
        <v>1469</v>
      </c>
      <c r="BF160">
        <v>69130</v>
      </c>
      <c r="BH160">
        <v>49</v>
      </c>
      <c r="BI160">
        <v>361</v>
      </c>
      <c r="BJ160">
        <v>29771</v>
      </c>
      <c r="BK160">
        <v>1297</v>
      </c>
      <c r="BL160">
        <v>67210</v>
      </c>
      <c r="BM160">
        <v>19013</v>
      </c>
      <c r="BN160">
        <v>24995</v>
      </c>
      <c r="BO160">
        <v>1909</v>
      </c>
      <c r="BQ160">
        <v>4559</v>
      </c>
      <c r="BS160">
        <v>9859</v>
      </c>
      <c r="BT160">
        <v>562</v>
      </c>
      <c r="BV160">
        <v>2494</v>
      </c>
    </row>
    <row r="161" spans="1:74" x14ac:dyDescent="0.3">
      <c r="A161" s="155">
        <v>598</v>
      </c>
      <c r="B161" t="s">
        <v>341</v>
      </c>
      <c r="D161">
        <v>0</v>
      </c>
      <c r="E161">
        <v>4603309</v>
      </c>
      <c r="G161">
        <v>0</v>
      </c>
      <c r="H161">
        <v>0</v>
      </c>
      <c r="I161">
        <v>0</v>
      </c>
      <c r="J161">
        <v>0</v>
      </c>
      <c r="K161">
        <v>0</v>
      </c>
      <c r="L161">
        <v>0</v>
      </c>
      <c r="M161">
        <v>117261</v>
      </c>
      <c r="N161">
        <v>0</v>
      </c>
      <c r="O161">
        <v>0</v>
      </c>
      <c r="Q161">
        <v>0</v>
      </c>
      <c r="R161">
        <v>0</v>
      </c>
      <c r="S161">
        <v>1517</v>
      </c>
      <c r="T161">
        <v>112270</v>
      </c>
      <c r="V161">
        <v>0</v>
      </c>
      <c r="X161">
        <v>16082</v>
      </c>
      <c r="Y161">
        <v>12502</v>
      </c>
      <c r="Z161">
        <v>575995</v>
      </c>
      <c r="AA161">
        <v>0</v>
      </c>
      <c r="AB161">
        <v>0</v>
      </c>
      <c r="AC161">
        <v>0</v>
      </c>
      <c r="AD161">
        <v>9361</v>
      </c>
      <c r="AE161">
        <v>0</v>
      </c>
      <c r="AF161">
        <v>0</v>
      </c>
      <c r="AG161">
        <v>16708</v>
      </c>
      <c r="AH161">
        <v>44968</v>
      </c>
      <c r="AI161">
        <v>0</v>
      </c>
      <c r="AJ161">
        <v>0</v>
      </c>
      <c r="AK161">
        <v>0</v>
      </c>
      <c r="AL161">
        <v>0</v>
      </c>
      <c r="AM161">
        <v>21297</v>
      </c>
      <c r="AN161">
        <v>0</v>
      </c>
      <c r="AO161">
        <v>278949</v>
      </c>
      <c r="AP161">
        <v>0</v>
      </c>
      <c r="AQ161">
        <v>0</v>
      </c>
      <c r="AR161">
        <v>0</v>
      </c>
      <c r="AS161">
        <v>412332</v>
      </c>
      <c r="AT161">
        <v>0</v>
      </c>
      <c r="AU161">
        <v>0</v>
      </c>
      <c r="AV161">
        <v>0</v>
      </c>
      <c r="AW161">
        <v>0</v>
      </c>
      <c r="AX161">
        <v>0</v>
      </c>
      <c r="AY161">
        <v>0</v>
      </c>
      <c r="AZ161">
        <v>92456</v>
      </c>
      <c r="BA161">
        <v>0</v>
      </c>
      <c r="BB161">
        <v>0</v>
      </c>
      <c r="BC161">
        <v>0</v>
      </c>
      <c r="BD161">
        <v>36455</v>
      </c>
      <c r="BE161">
        <v>0</v>
      </c>
      <c r="BF161">
        <v>181946</v>
      </c>
      <c r="BH161">
        <v>0</v>
      </c>
      <c r="BI161">
        <v>0</v>
      </c>
      <c r="BJ161">
        <v>66378</v>
      </c>
      <c r="BK161">
        <v>1441</v>
      </c>
      <c r="BL161">
        <v>56721</v>
      </c>
      <c r="BM161">
        <v>33045</v>
      </c>
      <c r="BN161">
        <v>12819</v>
      </c>
      <c r="BO161">
        <v>1813</v>
      </c>
      <c r="BQ161">
        <v>7108</v>
      </c>
      <c r="BS161">
        <v>13092</v>
      </c>
      <c r="BT161">
        <v>11330</v>
      </c>
      <c r="BV161">
        <v>18444</v>
      </c>
    </row>
    <row r="162" spans="1:74" x14ac:dyDescent="0.3">
      <c r="A162" s="155">
        <v>599</v>
      </c>
      <c r="B162" t="s">
        <v>340</v>
      </c>
      <c r="D162">
        <v>403089</v>
      </c>
      <c r="E162">
        <v>73058509</v>
      </c>
      <c r="G162">
        <v>530929</v>
      </c>
      <c r="H162">
        <v>305120</v>
      </c>
      <c r="I162">
        <v>0</v>
      </c>
      <c r="J162">
        <v>0</v>
      </c>
      <c r="K162">
        <v>0</v>
      </c>
      <c r="L162">
        <v>321364</v>
      </c>
      <c r="M162">
        <v>2310842</v>
      </c>
      <c r="N162">
        <v>0</v>
      </c>
      <c r="O162">
        <v>187</v>
      </c>
      <c r="Q162">
        <v>0</v>
      </c>
      <c r="R162">
        <v>175169</v>
      </c>
      <c r="S162">
        <v>185532</v>
      </c>
      <c r="T162">
        <v>1557823</v>
      </c>
      <c r="V162">
        <v>0</v>
      </c>
      <c r="X162">
        <v>1649858</v>
      </c>
      <c r="Y162">
        <v>210065</v>
      </c>
      <c r="Z162">
        <v>10163709</v>
      </c>
      <c r="AA162">
        <v>745544</v>
      </c>
      <c r="AB162">
        <v>0</v>
      </c>
      <c r="AC162">
        <v>0</v>
      </c>
      <c r="AD162">
        <v>254815</v>
      </c>
      <c r="AE162">
        <v>0</v>
      </c>
      <c r="AF162">
        <v>0</v>
      </c>
      <c r="AG162">
        <v>216366</v>
      </c>
      <c r="AH162">
        <v>1598856</v>
      </c>
      <c r="AI162">
        <v>0</v>
      </c>
      <c r="AJ162">
        <v>0</v>
      </c>
      <c r="AK162">
        <v>0</v>
      </c>
      <c r="AL162">
        <v>0</v>
      </c>
      <c r="AM162">
        <v>439508</v>
      </c>
      <c r="AN162">
        <v>0</v>
      </c>
      <c r="AO162">
        <v>3952090</v>
      </c>
      <c r="AP162">
        <v>3613</v>
      </c>
      <c r="AQ162">
        <v>0</v>
      </c>
      <c r="AR162">
        <v>0</v>
      </c>
      <c r="AS162">
        <v>5450838</v>
      </c>
      <c r="AT162">
        <v>0</v>
      </c>
      <c r="AU162">
        <v>0</v>
      </c>
      <c r="AV162">
        <v>203125</v>
      </c>
      <c r="AW162">
        <v>0</v>
      </c>
      <c r="AX162">
        <v>5640</v>
      </c>
      <c r="AY162">
        <v>0</v>
      </c>
      <c r="AZ162">
        <v>961632</v>
      </c>
      <c r="BA162">
        <v>234816</v>
      </c>
      <c r="BB162">
        <v>0</v>
      </c>
      <c r="BC162">
        <v>0</v>
      </c>
      <c r="BD162">
        <v>480802</v>
      </c>
      <c r="BE162">
        <v>157691</v>
      </c>
      <c r="BF162">
        <v>4069189</v>
      </c>
      <c r="BH162">
        <v>0</v>
      </c>
      <c r="BI162">
        <v>0</v>
      </c>
      <c r="BJ162">
        <v>2153267</v>
      </c>
      <c r="BK162">
        <v>111476</v>
      </c>
      <c r="BL162">
        <v>2107023</v>
      </c>
      <c r="BM162">
        <v>817743</v>
      </c>
      <c r="BN162">
        <v>507470</v>
      </c>
      <c r="BO162">
        <v>55934</v>
      </c>
      <c r="BQ162">
        <v>159171</v>
      </c>
      <c r="BS162">
        <v>219799</v>
      </c>
      <c r="BT162">
        <v>231908</v>
      </c>
      <c r="BV162">
        <v>453043</v>
      </c>
    </row>
    <row r="163" spans="1:74" x14ac:dyDescent="0.3">
      <c r="A163" s="155">
        <v>602</v>
      </c>
      <c r="B163" t="s">
        <v>342</v>
      </c>
      <c r="D163">
        <v>0</v>
      </c>
      <c r="E163">
        <v>0</v>
      </c>
      <c r="G163">
        <v>0</v>
      </c>
      <c r="H163">
        <v>0</v>
      </c>
      <c r="I163">
        <v>0</v>
      </c>
      <c r="J163">
        <v>0</v>
      </c>
      <c r="K163">
        <v>0</v>
      </c>
      <c r="L163">
        <v>0</v>
      </c>
      <c r="M163">
        <v>0</v>
      </c>
      <c r="N163">
        <v>0</v>
      </c>
      <c r="O163">
        <v>0</v>
      </c>
      <c r="Q163">
        <v>0</v>
      </c>
      <c r="R163">
        <v>0</v>
      </c>
      <c r="S163">
        <v>0</v>
      </c>
      <c r="T163">
        <v>0</v>
      </c>
      <c r="V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0</v>
      </c>
      <c r="AW163">
        <v>0</v>
      </c>
      <c r="AX163">
        <v>0</v>
      </c>
      <c r="AY163">
        <v>0</v>
      </c>
      <c r="AZ163">
        <v>0</v>
      </c>
      <c r="BA163">
        <v>0</v>
      </c>
      <c r="BB163">
        <v>0</v>
      </c>
      <c r="BC163">
        <v>0</v>
      </c>
      <c r="BD163">
        <v>0</v>
      </c>
      <c r="BE163">
        <v>0</v>
      </c>
      <c r="BF163">
        <v>0</v>
      </c>
      <c r="BH163">
        <v>0</v>
      </c>
      <c r="BI163">
        <v>0</v>
      </c>
      <c r="BJ163">
        <v>0</v>
      </c>
      <c r="BK163">
        <v>0</v>
      </c>
      <c r="BL163">
        <v>0</v>
      </c>
      <c r="BM163">
        <v>0</v>
      </c>
      <c r="BN163">
        <v>0</v>
      </c>
      <c r="BO163">
        <v>0</v>
      </c>
      <c r="BQ163">
        <v>0</v>
      </c>
      <c r="BS163">
        <v>0</v>
      </c>
      <c r="BT163">
        <v>0</v>
      </c>
      <c r="BV163">
        <v>0</v>
      </c>
    </row>
    <row r="164" spans="1:74" x14ac:dyDescent="0.3">
      <c r="A164" s="155">
        <v>606</v>
      </c>
      <c r="B164" t="s">
        <v>897</v>
      </c>
      <c r="D164">
        <v>1</v>
      </c>
      <c r="E164">
        <v>1</v>
      </c>
      <c r="L164">
        <v>1</v>
      </c>
      <c r="M164">
        <v>1</v>
      </c>
      <c r="T164">
        <v>1</v>
      </c>
      <c r="Z164">
        <v>1</v>
      </c>
      <c r="AH164">
        <v>1</v>
      </c>
      <c r="AM164">
        <v>1</v>
      </c>
      <c r="AO164">
        <v>1</v>
      </c>
      <c r="AS164">
        <v>1</v>
      </c>
      <c r="AZ164">
        <v>1</v>
      </c>
      <c r="BF164">
        <v>1</v>
      </c>
      <c r="BJ164">
        <v>1</v>
      </c>
      <c r="BN164">
        <v>1</v>
      </c>
      <c r="BV164">
        <v>1</v>
      </c>
    </row>
    <row r="165" spans="1:74" x14ac:dyDescent="0.3">
      <c r="A165" s="155">
        <v>619</v>
      </c>
      <c r="B165" t="s">
        <v>898</v>
      </c>
      <c r="D165">
        <v>0</v>
      </c>
      <c r="E165">
        <v>0</v>
      </c>
      <c r="G165">
        <v>0</v>
      </c>
      <c r="H165">
        <v>0</v>
      </c>
      <c r="I165">
        <v>0</v>
      </c>
      <c r="J165">
        <v>0</v>
      </c>
      <c r="K165">
        <v>0</v>
      </c>
      <c r="L165">
        <v>0</v>
      </c>
      <c r="M165">
        <v>0</v>
      </c>
      <c r="N165">
        <v>0</v>
      </c>
      <c r="O165">
        <v>0</v>
      </c>
      <c r="Q165">
        <v>0</v>
      </c>
      <c r="R165">
        <v>0</v>
      </c>
      <c r="S165">
        <v>0</v>
      </c>
      <c r="T165">
        <v>0</v>
      </c>
      <c r="V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H165">
        <v>0</v>
      </c>
      <c r="BI165">
        <v>0</v>
      </c>
      <c r="BJ165">
        <v>0</v>
      </c>
      <c r="BK165">
        <v>0</v>
      </c>
      <c r="BL165">
        <v>0</v>
      </c>
      <c r="BM165">
        <v>0</v>
      </c>
      <c r="BN165">
        <v>0</v>
      </c>
      <c r="BO165">
        <v>0</v>
      </c>
      <c r="BQ165">
        <v>0</v>
      </c>
      <c r="BS165">
        <v>0</v>
      </c>
      <c r="BT165">
        <v>0</v>
      </c>
      <c r="BV165">
        <v>0</v>
      </c>
    </row>
    <row r="166" spans="1:74" x14ac:dyDescent="0.3">
      <c r="A166" s="155">
        <v>620</v>
      </c>
      <c r="B166" t="s">
        <v>899</v>
      </c>
      <c r="D166">
        <v>2</v>
      </c>
      <c r="E166">
        <v>1</v>
      </c>
      <c r="G166">
        <v>2</v>
      </c>
      <c r="H166">
        <v>2</v>
      </c>
      <c r="I166">
        <v>2</v>
      </c>
      <c r="J166">
        <v>2</v>
      </c>
      <c r="K166">
        <v>2</v>
      </c>
      <c r="L166">
        <v>2</v>
      </c>
      <c r="M166">
        <v>1</v>
      </c>
      <c r="N166">
        <v>0</v>
      </c>
      <c r="O166">
        <v>2</v>
      </c>
      <c r="Q166">
        <v>2</v>
      </c>
      <c r="R166">
        <v>2</v>
      </c>
      <c r="S166">
        <v>2</v>
      </c>
      <c r="T166">
        <v>2</v>
      </c>
      <c r="V166">
        <v>2</v>
      </c>
      <c r="X166">
        <v>2</v>
      </c>
      <c r="Y166">
        <v>2</v>
      </c>
      <c r="Z166">
        <v>1</v>
      </c>
      <c r="AA166">
        <v>1</v>
      </c>
      <c r="AB166">
        <v>2</v>
      </c>
      <c r="AC166">
        <v>2</v>
      </c>
      <c r="AD166">
        <v>2</v>
      </c>
      <c r="AE166">
        <v>2</v>
      </c>
      <c r="AF166">
        <v>2</v>
      </c>
      <c r="AG166">
        <v>2</v>
      </c>
      <c r="AH166">
        <v>2</v>
      </c>
      <c r="AI166">
        <v>2</v>
      </c>
      <c r="AJ166">
        <v>2</v>
      </c>
      <c r="AK166">
        <v>2</v>
      </c>
      <c r="AL166">
        <v>0</v>
      </c>
      <c r="AM166">
        <v>2</v>
      </c>
      <c r="AN166">
        <v>2</v>
      </c>
      <c r="AO166">
        <v>2</v>
      </c>
      <c r="AP166">
        <v>2</v>
      </c>
      <c r="AQ166">
        <v>2</v>
      </c>
      <c r="AR166">
        <v>2</v>
      </c>
      <c r="AS166">
        <v>1</v>
      </c>
      <c r="AT166">
        <v>2</v>
      </c>
      <c r="AU166">
        <v>2</v>
      </c>
      <c r="AV166">
        <v>2</v>
      </c>
      <c r="AW166">
        <v>2</v>
      </c>
      <c r="AX166">
        <v>2</v>
      </c>
      <c r="AY166">
        <v>2</v>
      </c>
      <c r="AZ166">
        <v>2</v>
      </c>
      <c r="BA166">
        <v>2</v>
      </c>
      <c r="BB166">
        <v>2</v>
      </c>
      <c r="BC166">
        <v>0</v>
      </c>
      <c r="BD166">
        <v>2</v>
      </c>
      <c r="BE166">
        <v>1</v>
      </c>
      <c r="BF166">
        <v>2</v>
      </c>
      <c r="BH166">
        <v>2</v>
      </c>
      <c r="BI166">
        <v>2</v>
      </c>
      <c r="BJ166">
        <v>2</v>
      </c>
      <c r="BK166">
        <v>2</v>
      </c>
      <c r="BL166">
        <v>1</v>
      </c>
      <c r="BM166">
        <v>2</v>
      </c>
      <c r="BN166">
        <v>1</v>
      </c>
      <c r="BO166">
        <v>2</v>
      </c>
      <c r="BQ166">
        <v>2</v>
      </c>
      <c r="BS166">
        <v>2</v>
      </c>
      <c r="BT166">
        <v>2</v>
      </c>
      <c r="BV166">
        <v>2</v>
      </c>
    </row>
    <row r="167" spans="1:74" x14ac:dyDescent="0.3">
      <c r="A167" s="155">
        <v>621</v>
      </c>
      <c r="B167" t="s">
        <v>900</v>
      </c>
      <c r="D167">
        <v>0</v>
      </c>
      <c r="E167">
        <v>0</v>
      </c>
      <c r="G167">
        <v>0</v>
      </c>
      <c r="H167">
        <v>0</v>
      </c>
      <c r="I167">
        <v>0</v>
      </c>
      <c r="J167">
        <v>0</v>
      </c>
      <c r="K167">
        <v>0</v>
      </c>
      <c r="L167">
        <v>0</v>
      </c>
      <c r="M167">
        <v>0</v>
      </c>
      <c r="N167">
        <v>0</v>
      </c>
      <c r="O167">
        <v>0</v>
      </c>
      <c r="Q167">
        <v>0</v>
      </c>
      <c r="R167">
        <v>0</v>
      </c>
      <c r="S167">
        <v>0</v>
      </c>
      <c r="T167">
        <v>0</v>
      </c>
      <c r="V167">
        <v>0</v>
      </c>
      <c r="X167">
        <v>5061308</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237590</v>
      </c>
      <c r="BE167">
        <v>0</v>
      </c>
      <c r="BF167">
        <v>0</v>
      </c>
      <c r="BH167">
        <v>0</v>
      </c>
      <c r="BI167">
        <v>0</v>
      </c>
      <c r="BJ167">
        <v>0</v>
      </c>
      <c r="BK167">
        <v>0</v>
      </c>
      <c r="BL167">
        <v>0</v>
      </c>
      <c r="BM167">
        <v>0</v>
      </c>
      <c r="BN167">
        <v>0</v>
      </c>
      <c r="BO167">
        <v>0</v>
      </c>
      <c r="BQ167">
        <v>0</v>
      </c>
      <c r="BS167">
        <v>0</v>
      </c>
      <c r="BT167">
        <v>0</v>
      </c>
      <c r="BV167">
        <v>0</v>
      </c>
    </row>
    <row r="168" spans="1:74" x14ac:dyDescent="0.3">
      <c r="A168" s="155">
        <v>622</v>
      </c>
      <c r="B168" t="s">
        <v>901</v>
      </c>
      <c r="D168">
        <v>512835</v>
      </c>
      <c r="E168">
        <v>56023029</v>
      </c>
      <c r="G168">
        <v>0</v>
      </c>
      <c r="H168">
        <v>297978</v>
      </c>
      <c r="I168">
        <v>0</v>
      </c>
      <c r="J168">
        <v>0</v>
      </c>
      <c r="K168">
        <v>0</v>
      </c>
      <c r="L168">
        <v>480629</v>
      </c>
      <c r="M168">
        <v>1726522</v>
      </c>
      <c r="N168">
        <v>0</v>
      </c>
      <c r="O168">
        <v>47848</v>
      </c>
      <c r="Q168">
        <v>0</v>
      </c>
      <c r="R168">
        <v>135110</v>
      </c>
      <c r="S168">
        <v>224365</v>
      </c>
      <c r="T168">
        <v>0</v>
      </c>
      <c r="V168">
        <v>105665</v>
      </c>
      <c r="X168">
        <v>1248654</v>
      </c>
      <c r="Y168">
        <v>102137</v>
      </c>
      <c r="Z168">
        <v>10246722</v>
      </c>
      <c r="AA168">
        <v>568657</v>
      </c>
      <c r="AB168">
        <v>0</v>
      </c>
      <c r="AC168">
        <v>18863</v>
      </c>
      <c r="AD168">
        <v>149986</v>
      </c>
      <c r="AE168">
        <v>53369</v>
      </c>
      <c r="AF168">
        <v>0</v>
      </c>
      <c r="AG168">
        <v>80360</v>
      </c>
      <c r="AH168">
        <v>2916509</v>
      </c>
      <c r="AI168">
        <v>0</v>
      </c>
      <c r="AJ168">
        <v>230193</v>
      </c>
      <c r="AK168">
        <v>0</v>
      </c>
      <c r="AL168">
        <v>53983</v>
      </c>
      <c r="AM168">
        <v>435542</v>
      </c>
      <c r="AN168">
        <v>37420</v>
      </c>
      <c r="AO168">
        <v>5005351</v>
      </c>
      <c r="AP168">
        <v>125755</v>
      </c>
      <c r="AQ168">
        <v>0</v>
      </c>
      <c r="AR168">
        <v>0</v>
      </c>
      <c r="AS168">
        <v>3601037</v>
      </c>
      <c r="AT168">
        <v>0</v>
      </c>
      <c r="AU168">
        <v>99377</v>
      </c>
      <c r="AV168">
        <v>260405</v>
      </c>
      <c r="AW168">
        <v>0</v>
      </c>
      <c r="AX168">
        <v>10275</v>
      </c>
      <c r="AY168">
        <v>0</v>
      </c>
      <c r="AZ168">
        <v>788269</v>
      </c>
      <c r="BA168">
        <v>0</v>
      </c>
      <c r="BB168">
        <v>0</v>
      </c>
      <c r="BC168">
        <v>0</v>
      </c>
      <c r="BD168">
        <v>660520</v>
      </c>
      <c r="BE168">
        <v>244915</v>
      </c>
      <c r="BF168">
        <v>3376518</v>
      </c>
      <c r="BH168">
        <v>3221</v>
      </c>
      <c r="BI168">
        <v>0</v>
      </c>
      <c r="BJ168">
        <v>1436366</v>
      </c>
      <c r="BK168">
        <v>131889</v>
      </c>
      <c r="BL168">
        <v>2006403</v>
      </c>
      <c r="BM168">
        <v>401495</v>
      </c>
      <c r="BN168">
        <v>620646</v>
      </c>
      <c r="BO168">
        <v>47235</v>
      </c>
      <c r="BQ168">
        <v>239701</v>
      </c>
      <c r="BS168">
        <v>580594</v>
      </c>
      <c r="BT168">
        <v>104591</v>
      </c>
      <c r="BV168">
        <v>257491</v>
      </c>
    </row>
    <row r="169" spans="1:74" x14ac:dyDescent="0.3">
      <c r="A169" s="155">
        <v>624</v>
      </c>
      <c r="B169" t="s">
        <v>355</v>
      </c>
      <c r="D169">
        <v>2</v>
      </c>
      <c r="E169">
        <v>1</v>
      </c>
      <c r="G169">
        <v>2</v>
      </c>
      <c r="H169">
        <v>1</v>
      </c>
      <c r="I169">
        <v>2</v>
      </c>
      <c r="J169">
        <v>1</v>
      </c>
      <c r="K169">
        <v>2</v>
      </c>
      <c r="L169">
        <v>1</v>
      </c>
      <c r="M169">
        <v>1</v>
      </c>
      <c r="N169">
        <v>0</v>
      </c>
      <c r="O169">
        <v>1</v>
      </c>
      <c r="Q169">
        <v>1</v>
      </c>
      <c r="R169">
        <v>1</v>
      </c>
      <c r="S169">
        <v>1</v>
      </c>
      <c r="T169">
        <v>1</v>
      </c>
      <c r="V169">
        <v>1</v>
      </c>
      <c r="X169">
        <v>2</v>
      </c>
      <c r="Y169">
        <v>1</v>
      </c>
      <c r="Z169">
        <v>2</v>
      </c>
      <c r="AA169">
        <v>1</v>
      </c>
      <c r="AB169">
        <v>1</v>
      </c>
      <c r="AC169">
        <v>1</v>
      </c>
      <c r="AD169">
        <v>1</v>
      </c>
      <c r="AE169">
        <v>1</v>
      </c>
      <c r="AF169">
        <v>1</v>
      </c>
      <c r="AG169">
        <v>1</v>
      </c>
      <c r="AH169">
        <v>2</v>
      </c>
      <c r="AI169">
        <v>1</v>
      </c>
      <c r="AJ169">
        <v>1</v>
      </c>
      <c r="AK169">
        <v>1</v>
      </c>
      <c r="AL169">
        <v>2</v>
      </c>
      <c r="AM169">
        <v>1</v>
      </c>
      <c r="AN169">
        <v>2</v>
      </c>
      <c r="AO169">
        <v>1</v>
      </c>
      <c r="AP169">
        <v>1</v>
      </c>
      <c r="AQ169">
        <v>1</v>
      </c>
      <c r="AR169">
        <v>1</v>
      </c>
      <c r="AS169">
        <v>1</v>
      </c>
      <c r="AT169">
        <v>1</v>
      </c>
      <c r="AU169">
        <v>2</v>
      </c>
      <c r="AV169">
        <v>1</v>
      </c>
      <c r="AW169">
        <v>1</v>
      </c>
      <c r="AX169">
        <v>1</v>
      </c>
      <c r="AY169">
        <v>1</v>
      </c>
      <c r="AZ169">
        <v>1</v>
      </c>
      <c r="BA169">
        <v>1</v>
      </c>
      <c r="BB169">
        <v>1</v>
      </c>
      <c r="BC169">
        <v>2</v>
      </c>
      <c r="BD169">
        <v>1</v>
      </c>
      <c r="BE169">
        <v>1</v>
      </c>
      <c r="BF169">
        <v>1</v>
      </c>
      <c r="BH169">
        <v>1</v>
      </c>
      <c r="BI169">
        <v>1</v>
      </c>
      <c r="BJ169">
        <v>1</v>
      </c>
      <c r="BK169">
        <v>2</v>
      </c>
      <c r="BL169">
        <v>1</v>
      </c>
      <c r="BM169">
        <v>1</v>
      </c>
      <c r="BN169">
        <v>1</v>
      </c>
      <c r="BO169">
        <v>1</v>
      </c>
      <c r="BQ169">
        <v>1</v>
      </c>
      <c r="BS169">
        <v>1</v>
      </c>
      <c r="BT169">
        <v>1</v>
      </c>
      <c r="BV169">
        <v>2</v>
      </c>
    </row>
    <row r="170" spans="1:74" x14ac:dyDescent="0.3">
      <c r="A170" s="155">
        <v>626</v>
      </c>
      <c r="B170" t="s">
        <v>902</v>
      </c>
      <c r="D170">
        <v>673261</v>
      </c>
      <c r="E170">
        <v>295069172</v>
      </c>
      <c r="G170">
        <v>398525</v>
      </c>
      <c r="H170">
        <v>74063</v>
      </c>
      <c r="I170">
        <v>0</v>
      </c>
      <c r="J170">
        <v>597</v>
      </c>
      <c r="K170">
        <v>271523</v>
      </c>
      <c r="L170">
        <v>373288</v>
      </c>
      <c r="M170">
        <v>4068534</v>
      </c>
      <c r="N170">
        <v>2892</v>
      </c>
      <c r="O170">
        <v>204899</v>
      </c>
      <c r="Q170">
        <v>124432</v>
      </c>
      <c r="R170">
        <v>387923</v>
      </c>
      <c r="S170">
        <v>65757</v>
      </c>
      <c r="T170">
        <v>2746175</v>
      </c>
      <c r="V170">
        <v>1107959</v>
      </c>
      <c r="X170">
        <v>1244459</v>
      </c>
      <c r="Y170">
        <v>325598</v>
      </c>
      <c r="Z170">
        <v>23911183</v>
      </c>
      <c r="AA170">
        <v>2718144</v>
      </c>
      <c r="AB170">
        <v>72574</v>
      </c>
      <c r="AC170">
        <v>17486</v>
      </c>
      <c r="AD170">
        <v>254374</v>
      </c>
      <c r="AE170">
        <v>56504</v>
      </c>
      <c r="AF170">
        <v>30263</v>
      </c>
      <c r="AG170">
        <v>63698</v>
      </c>
      <c r="AH170">
        <v>8347358</v>
      </c>
      <c r="AI170">
        <v>3654</v>
      </c>
      <c r="AJ170">
        <v>747091</v>
      </c>
      <c r="AK170">
        <v>65811</v>
      </c>
      <c r="AL170">
        <v>158936</v>
      </c>
      <c r="AM170">
        <v>1462018</v>
      </c>
      <c r="AN170">
        <v>38825</v>
      </c>
      <c r="AO170">
        <v>6729822</v>
      </c>
      <c r="AP170">
        <v>73243</v>
      </c>
      <c r="AQ170">
        <v>15311</v>
      </c>
      <c r="AR170">
        <v>12869</v>
      </c>
      <c r="AS170">
        <v>4685069</v>
      </c>
      <c r="AT170">
        <v>18722</v>
      </c>
      <c r="AU170">
        <v>758567</v>
      </c>
      <c r="AV170">
        <v>11382</v>
      </c>
      <c r="AW170">
        <v>23261</v>
      </c>
      <c r="AX170">
        <v>1276884</v>
      </c>
      <c r="AY170">
        <v>18045</v>
      </c>
      <c r="AZ170">
        <v>424800</v>
      </c>
      <c r="BA170">
        <v>244640</v>
      </c>
      <c r="BB170">
        <v>23121</v>
      </c>
      <c r="BC170">
        <v>38210</v>
      </c>
      <c r="BD170">
        <v>1144112</v>
      </c>
      <c r="BE170">
        <v>147122</v>
      </c>
      <c r="BF170">
        <v>9990190</v>
      </c>
      <c r="BH170">
        <v>66638</v>
      </c>
      <c r="BI170">
        <v>57716</v>
      </c>
      <c r="BJ170">
        <v>5459982</v>
      </c>
      <c r="BK170">
        <v>559025</v>
      </c>
      <c r="BL170">
        <v>5911070</v>
      </c>
      <c r="BM170">
        <v>2454961</v>
      </c>
      <c r="BN170">
        <v>2008152</v>
      </c>
      <c r="BO170">
        <v>325034</v>
      </c>
      <c r="BQ170">
        <v>722480</v>
      </c>
      <c r="BS170">
        <v>705990</v>
      </c>
      <c r="BT170">
        <v>113373</v>
      </c>
      <c r="BV170">
        <v>503974</v>
      </c>
    </row>
    <row r="171" spans="1:74" x14ac:dyDescent="0.3">
      <c r="A171" s="155">
        <v>627</v>
      </c>
      <c r="B171" t="s">
        <v>903</v>
      </c>
      <c r="D171">
        <v>0</v>
      </c>
      <c r="E171">
        <v>0</v>
      </c>
      <c r="G171">
        <v>0</v>
      </c>
      <c r="H171">
        <v>0</v>
      </c>
      <c r="I171">
        <v>0</v>
      </c>
      <c r="J171">
        <v>0</v>
      </c>
      <c r="K171">
        <v>0</v>
      </c>
      <c r="L171">
        <v>0</v>
      </c>
      <c r="M171">
        <v>0</v>
      </c>
      <c r="N171">
        <v>0</v>
      </c>
      <c r="O171">
        <v>0</v>
      </c>
      <c r="Q171">
        <v>0</v>
      </c>
      <c r="R171">
        <v>0</v>
      </c>
      <c r="S171">
        <v>0</v>
      </c>
      <c r="T171">
        <v>0</v>
      </c>
      <c r="V171">
        <v>0</v>
      </c>
      <c r="X171">
        <v>0</v>
      </c>
      <c r="Y171">
        <v>0</v>
      </c>
      <c r="Z171">
        <v>0</v>
      </c>
      <c r="AA171">
        <v>577145</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H171">
        <v>0</v>
      </c>
      <c r="BI171">
        <v>0</v>
      </c>
      <c r="BJ171">
        <v>0</v>
      </c>
      <c r="BK171">
        <v>0</v>
      </c>
      <c r="BL171">
        <v>0</v>
      </c>
      <c r="BM171">
        <v>0</v>
      </c>
      <c r="BN171">
        <v>0</v>
      </c>
      <c r="BO171">
        <v>0</v>
      </c>
      <c r="BQ171">
        <v>0</v>
      </c>
      <c r="BS171">
        <v>0</v>
      </c>
      <c r="BT171">
        <v>0</v>
      </c>
      <c r="BV171">
        <v>0</v>
      </c>
    </row>
    <row r="172" spans="1:74" x14ac:dyDescent="0.3">
      <c r="A172" s="155">
        <v>628</v>
      </c>
      <c r="B172" t="s">
        <v>904</v>
      </c>
      <c r="D172">
        <v>60000</v>
      </c>
      <c r="E172">
        <v>15531984</v>
      </c>
      <c r="G172">
        <v>46000</v>
      </c>
      <c r="H172">
        <v>0</v>
      </c>
      <c r="I172">
        <v>0</v>
      </c>
      <c r="J172">
        <v>0</v>
      </c>
      <c r="K172">
        <v>0</v>
      </c>
      <c r="L172">
        <v>10000</v>
      </c>
      <c r="M172">
        <v>76846</v>
      </c>
      <c r="N172">
        <v>0</v>
      </c>
      <c r="O172">
        <v>13913</v>
      </c>
      <c r="Q172">
        <v>1418</v>
      </c>
      <c r="R172">
        <v>51279</v>
      </c>
      <c r="S172">
        <v>32507</v>
      </c>
      <c r="T172">
        <v>503444</v>
      </c>
      <c r="V172">
        <v>2446</v>
      </c>
      <c r="X172">
        <v>230335</v>
      </c>
      <c r="Y172">
        <v>31409</v>
      </c>
      <c r="Z172">
        <v>1986441</v>
      </c>
      <c r="AA172">
        <v>0</v>
      </c>
      <c r="AB172">
        <v>0</v>
      </c>
      <c r="AC172">
        <v>0</v>
      </c>
      <c r="AD172">
        <v>3713</v>
      </c>
      <c r="AE172">
        <v>3519</v>
      </c>
      <c r="AF172">
        <v>750</v>
      </c>
      <c r="AG172">
        <v>0</v>
      </c>
      <c r="AH172">
        <v>0</v>
      </c>
      <c r="AI172">
        <v>0</v>
      </c>
      <c r="AJ172">
        <v>0</v>
      </c>
      <c r="AK172">
        <v>0</v>
      </c>
      <c r="AL172">
        <v>3635</v>
      </c>
      <c r="AM172">
        <v>13592</v>
      </c>
      <c r="AN172">
        <v>0</v>
      </c>
      <c r="AO172">
        <v>204956</v>
      </c>
      <c r="AP172">
        <v>0</v>
      </c>
      <c r="AQ172">
        <v>0</v>
      </c>
      <c r="AR172">
        <v>0</v>
      </c>
      <c r="AS172">
        <v>1183997</v>
      </c>
      <c r="AT172">
        <v>0</v>
      </c>
      <c r="AU172">
        <v>0</v>
      </c>
      <c r="AV172">
        <v>0</v>
      </c>
      <c r="AW172">
        <v>6659</v>
      </c>
      <c r="AX172">
        <v>2526</v>
      </c>
      <c r="AY172">
        <v>0</v>
      </c>
      <c r="AZ172">
        <v>79728</v>
      </c>
      <c r="BA172">
        <v>0</v>
      </c>
      <c r="BB172">
        <v>0</v>
      </c>
      <c r="BC172">
        <v>0</v>
      </c>
      <c r="BD172">
        <v>137894</v>
      </c>
      <c r="BE172">
        <v>0</v>
      </c>
      <c r="BF172">
        <v>285982</v>
      </c>
      <c r="BH172">
        <v>0</v>
      </c>
      <c r="BI172">
        <v>0</v>
      </c>
      <c r="BJ172">
        <v>115278</v>
      </c>
      <c r="BK172">
        <v>33981</v>
      </c>
      <c r="BL172">
        <v>338732</v>
      </c>
      <c r="BM172">
        <v>25000</v>
      </c>
      <c r="BN172">
        <v>53784</v>
      </c>
      <c r="BO172">
        <v>0</v>
      </c>
      <c r="BQ172">
        <v>0</v>
      </c>
      <c r="BS172">
        <v>35000</v>
      </c>
      <c r="BT172">
        <v>24000</v>
      </c>
      <c r="BV172">
        <v>31000</v>
      </c>
    </row>
    <row r="173" spans="1:74" x14ac:dyDescent="0.3">
      <c r="A173" s="155">
        <v>629</v>
      </c>
      <c r="B173" t="s">
        <v>905</v>
      </c>
      <c r="D173">
        <v>0</v>
      </c>
      <c r="E173">
        <v>0</v>
      </c>
      <c r="G173">
        <v>0</v>
      </c>
      <c r="H173">
        <v>0</v>
      </c>
      <c r="I173">
        <v>0</v>
      </c>
      <c r="J173">
        <v>0</v>
      </c>
      <c r="K173">
        <v>0</v>
      </c>
      <c r="L173">
        <v>0</v>
      </c>
      <c r="M173">
        <v>0</v>
      </c>
      <c r="N173">
        <v>0</v>
      </c>
      <c r="O173">
        <v>0</v>
      </c>
      <c r="Q173">
        <v>0</v>
      </c>
      <c r="R173">
        <v>0</v>
      </c>
      <c r="S173">
        <v>0</v>
      </c>
      <c r="T173">
        <v>0</v>
      </c>
      <c r="V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H173">
        <v>0</v>
      </c>
      <c r="BI173">
        <v>0</v>
      </c>
      <c r="BJ173">
        <v>0</v>
      </c>
      <c r="BK173">
        <v>0</v>
      </c>
      <c r="BL173">
        <v>45743</v>
      </c>
      <c r="BM173">
        <v>0</v>
      </c>
      <c r="BN173">
        <v>0</v>
      </c>
      <c r="BO173">
        <v>0</v>
      </c>
      <c r="BQ173">
        <v>0</v>
      </c>
      <c r="BS173">
        <v>0</v>
      </c>
      <c r="BT173">
        <v>0</v>
      </c>
      <c r="BV173">
        <v>0</v>
      </c>
    </row>
    <row r="174" spans="1:74" x14ac:dyDescent="0.3">
      <c r="A174" s="155">
        <v>630</v>
      </c>
      <c r="B174" t="s">
        <v>906</v>
      </c>
      <c r="D174">
        <v>0</v>
      </c>
      <c r="E174">
        <v>0</v>
      </c>
      <c r="G174">
        <v>0</v>
      </c>
      <c r="H174">
        <v>0</v>
      </c>
      <c r="I174">
        <v>0</v>
      </c>
      <c r="J174">
        <v>0</v>
      </c>
      <c r="K174">
        <v>0</v>
      </c>
      <c r="L174">
        <v>0</v>
      </c>
      <c r="M174">
        <v>0</v>
      </c>
      <c r="N174">
        <v>0</v>
      </c>
      <c r="O174">
        <v>0</v>
      </c>
      <c r="Q174">
        <v>99115</v>
      </c>
      <c r="R174">
        <v>0</v>
      </c>
      <c r="S174">
        <v>0</v>
      </c>
      <c r="T174">
        <v>1000000</v>
      </c>
      <c r="V174">
        <v>0</v>
      </c>
      <c r="X174">
        <v>663524</v>
      </c>
      <c r="Y174">
        <v>186005</v>
      </c>
      <c r="Z174">
        <v>0</v>
      </c>
      <c r="AA174">
        <v>0</v>
      </c>
      <c r="AB174">
        <v>0</v>
      </c>
      <c r="AC174">
        <v>0</v>
      </c>
      <c r="AD174">
        <v>0</v>
      </c>
      <c r="AE174">
        <v>0</v>
      </c>
      <c r="AF174">
        <v>0</v>
      </c>
      <c r="AG174">
        <v>0</v>
      </c>
      <c r="AH174">
        <v>27255</v>
      </c>
      <c r="AI174">
        <v>0</v>
      </c>
      <c r="AJ174">
        <v>2103</v>
      </c>
      <c r="AK174">
        <v>65811</v>
      </c>
      <c r="AL174">
        <v>0</v>
      </c>
      <c r="AM174">
        <v>0</v>
      </c>
      <c r="AN174">
        <v>0</v>
      </c>
      <c r="AO174">
        <v>0</v>
      </c>
      <c r="AP174">
        <v>0</v>
      </c>
      <c r="AQ174">
        <v>0</v>
      </c>
      <c r="AR174">
        <v>0</v>
      </c>
      <c r="AS174">
        <v>0</v>
      </c>
      <c r="AT174">
        <v>0</v>
      </c>
      <c r="AU174">
        <v>588145</v>
      </c>
      <c r="AV174">
        <v>0</v>
      </c>
      <c r="AW174">
        <v>0</v>
      </c>
      <c r="AX174">
        <v>0</v>
      </c>
      <c r="AY174">
        <v>0</v>
      </c>
      <c r="AZ174">
        <v>0</v>
      </c>
      <c r="BA174">
        <v>0</v>
      </c>
      <c r="BB174">
        <v>0</v>
      </c>
      <c r="BC174">
        <v>0</v>
      </c>
      <c r="BD174">
        <v>0</v>
      </c>
      <c r="BE174">
        <v>0</v>
      </c>
      <c r="BF174">
        <v>0</v>
      </c>
      <c r="BH174">
        <v>0</v>
      </c>
      <c r="BI174">
        <v>0</v>
      </c>
      <c r="BJ174">
        <v>0</v>
      </c>
      <c r="BK174">
        <v>300000</v>
      </c>
      <c r="BL174">
        <v>879051</v>
      </c>
      <c r="BM174">
        <v>1085663</v>
      </c>
      <c r="BN174">
        <v>0</v>
      </c>
      <c r="BO174">
        <v>0</v>
      </c>
      <c r="BQ174">
        <v>518998</v>
      </c>
      <c r="BS174">
        <v>0</v>
      </c>
      <c r="BT174">
        <v>0</v>
      </c>
      <c r="BV174">
        <v>22621</v>
      </c>
    </row>
    <row r="175" spans="1:74" x14ac:dyDescent="0.3">
      <c r="A175" s="155">
        <v>631</v>
      </c>
      <c r="B175" t="s">
        <v>907</v>
      </c>
      <c r="D175">
        <v>0</v>
      </c>
      <c r="E175">
        <v>0</v>
      </c>
      <c r="G175">
        <v>0</v>
      </c>
      <c r="H175">
        <v>0</v>
      </c>
      <c r="I175">
        <v>0</v>
      </c>
      <c r="J175">
        <v>0</v>
      </c>
      <c r="K175">
        <v>0</v>
      </c>
      <c r="L175">
        <v>0</v>
      </c>
      <c r="M175">
        <v>0</v>
      </c>
      <c r="N175">
        <v>0</v>
      </c>
      <c r="O175">
        <v>0</v>
      </c>
      <c r="Q175">
        <v>0</v>
      </c>
      <c r="R175">
        <v>0</v>
      </c>
      <c r="S175">
        <v>0</v>
      </c>
      <c r="T175">
        <v>0</v>
      </c>
      <c r="V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H175">
        <v>0</v>
      </c>
      <c r="BI175">
        <v>0</v>
      </c>
      <c r="BJ175">
        <v>0</v>
      </c>
      <c r="BK175">
        <v>0</v>
      </c>
      <c r="BL175">
        <v>0</v>
      </c>
      <c r="BM175">
        <v>0</v>
      </c>
      <c r="BN175">
        <v>0</v>
      </c>
      <c r="BO175">
        <v>0</v>
      </c>
      <c r="BQ175">
        <v>0</v>
      </c>
      <c r="BS175">
        <v>0</v>
      </c>
      <c r="BT175">
        <v>0</v>
      </c>
      <c r="BV175">
        <v>0</v>
      </c>
    </row>
    <row r="176" spans="1:74" x14ac:dyDescent="0.3">
      <c r="A176" s="155">
        <v>632</v>
      </c>
      <c r="B176" t="s">
        <v>908</v>
      </c>
      <c r="D176">
        <v>0</v>
      </c>
      <c r="E176">
        <v>0</v>
      </c>
      <c r="G176">
        <v>0</v>
      </c>
      <c r="H176">
        <v>0</v>
      </c>
      <c r="I176">
        <v>0</v>
      </c>
      <c r="J176">
        <v>0</v>
      </c>
      <c r="K176">
        <v>0</v>
      </c>
      <c r="L176">
        <v>0</v>
      </c>
      <c r="M176">
        <v>0</v>
      </c>
      <c r="N176">
        <v>0</v>
      </c>
      <c r="O176">
        <v>0</v>
      </c>
      <c r="Q176">
        <v>0</v>
      </c>
      <c r="R176">
        <v>0</v>
      </c>
      <c r="S176">
        <v>0</v>
      </c>
      <c r="T176">
        <v>0</v>
      </c>
      <c r="V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H176">
        <v>0</v>
      </c>
      <c r="BI176">
        <v>0</v>
      </c>
      <c r="BJ176">
        <v>0</v>
      </c>
      <c r="BK176">
        <v>0</v>
      </c>
      <c r="BL176">
        <v>0</v>
      </c>
      <c r="BM176">
        <v>0</v>
      </c>
      <c r="BN176">
        <v>0</v>
      </c>
      <c r="BO176">
        <v>0</v>
      </c>
      <c r="BQ176">
        <v>0</v>
      </c>
      <c r="BS176">
        <v>0</v>
      </c>
      <c r="BT176">
        <v>0</v>
      </c>
      <c r="BV176">
        <v>0</v>
      </c>
    </row>
    <row r="177" spans="1:74" x14ac:dyDescent="0.3">
      <c r="A177" s="155">
        <v>633</v>
      </c>
      <c r="B177" t="s">
        <v>371</v>
      </c>
      <c r="D177">
        <v>5812830</v>
      </c>
      <c r="E177">
        <v>89721850</v>
      </c>
      <c r="G177">
        <v>436900</v>
      </c>
      <c r="H177">
        <v>36100</v>
      </c>
      <c r="I177">
        <v>0</v>
      </c>
      <c r="J177">
        <v>0</v>
      </c>
      <c r="K177">
        <v>0</v>
      </c>
      <c r="L177">
        <v>3297609</v>
      </c>
      <c r="M177">
        <v>2125785</v>
      </c>
      <c r="N177">
        <v>0</v>
      </c>
      <c r="O177">
        <v>52683</v>
      </c>
      <c r="Q177">
        <v>0</v>
      </c>
      <c r="R177">
        <v>0</v>
      </c>
      <c r="S177">
        <v>309829</v>
      </c>
      <c r="T177">
        <v>0</v>
      </c>
      <c r="V177">
        <v>345398</v>
      </c>
      <c r="X177">
        <v>337183</v>
      </c>
      <c r="Y177">
        <v>0</v>
      </c>
      <c r="Z177">
        <v>2155146</v>
      </c>
      <c r="AA177">
        <v>0</v>
      </c>
      <c r="AB177">
        <v>83141</v>
      </c>
      <c r="AC177">
        <v>256197</v>
      </c>
      <c r="AD177">
        <v>98162</v>
      </c>
      <c r="AE177">
        <v>496736</v>
      </c>
      <c r="AF177">
        <v>135401</v>
      </c>
      <c r="AG177">
        <v>106003</v>
      </c>
      <c r="AH177">
        <v>1865244</v>
      </c>
      <c r="AI177">
        <v>0</v>
      </c>
      <c r="AJ177">
        <v>0</v>
      </c>
      <c r="AK177">
        <v>0</v>
      </c>
      <c r="AL177">
        <v>105781</v>
      </c>
      <c r="AM177">
        <v>166215</v>
      </c>
      <c r="AN177">
        <v>40491</v>
      </c>
      <c r="AO177">
        <v>7901268</v>
      </c>
      <c r="AP177">
        <v>99317</v>
      </c>
      <c r="AQ177">
        <v>0</v>
      </c>
      <c r="AR177">
        <v>17080</v>
      </c>
      <c r="AS177">
        <v>5362889</v>
      </c>
      <c r="AT177">
        <v>167728</v>
      </c>
      <c r="AU177">
        <v>195914</v>
      </c>
      <c r="AV177">
        <v>108401</v>
      </c>
      <c r="AW177">
        <v>82235</v>
      </c>
      <c r="AX177">
        <v>0</v>
      </c>
      <c r="AY177">
        <v>0</v>
      </c>
      <c r="AZ177">
        <v>672472</v>
      </c>
      <c r="BA177">
        <v>50159</v>
      </c>
      <c r="BB177">
        <v>26326</v>
      </c>
      <c r="BC177">
        <v>8427</v>
      </c>
      <c r="BD177">
        <v>405583</v>
      </c>
      <c r="BE177">
        <v>317987</v>
      </c>
      <c r="BF177">
        <v>5332510</v>
      </c>
      <c r="BH177">
        <v>0</v>
      </c>
      <c r="BI177">
        <v>60375</v>
      </c>
      <c r="BJ177">
        <v>1081377</v>
      </c>
      <c r="BK177">
        <v>176974</v>
      </c>
      <c r="BL177">
        <v>1482170</v>
      </c>
      <c r="BM177">
        <v>0</v>
      </c>
      <c r="BN177">
        <v>832448</v>
      </c>
      <c r="BO177">
        <v>412073</v>
      </c>
      <c r="BQ177">
        <v>0</v>
      </c>
      <c r="BS177">
        <v>533681</v>
      </c>
      <c r="BT177">
        <v>127394</v>
      </c>
      <c r="BV177">
        <v>322693</v>
      </c>
    </row>
    <row r="178" spans="1:74" x14ac:dyDescent="0.3">
      <c r="A178" s="155">
        <v>634</v>
      </c>
      <c r="B178" t="s">
        <v>372</v>
      </c>
      <c r="D178">
        <v>5379984</v>
      </c>
      <c r="E178">
        <v>0</v>
      </c>
      <c r="G178">
        <v>0</v>
      </c>
      <c r="H178">
        <v>0</v>
      </c>
      <c r="I178">
        <v>0</v>
      </c>
      <c r="J178">
        <v>0</v>
      </c>
      <c r="K178">
        <v>0</v>
      </c>
      <c r="L178">
        <v>2977000</v>
      </c>
      <c r="M178">
        <v>0</v>
      </c>
      <c r="N178">
        <v>0</v>
      </c>
      <c r="O178">
        <v>0</v>
      </c>
      <c r="Q178">
        <v>0</v>
      </c>
      <c r="R178">
        <v>0</v>
      </c>
      <c r="S178">
        <v>0</v>
      </c>
      <c r="T178">
        <v>0</v>
      </c>
      <c r="V178">
        <v>0</v>
      </c>
      <c r="X178">
        <v>0</v>
      </c>
      <c r="Y178">
        <v>0</v>
      </c>
      <c r="Z178">
        <v>0</v>
      </c>
      <c r="AA178">
        <v>0</v>
      </c>
      <c r="AB178">
        <v>0</v>
      </c>
      <c r="AC178">
        <v>0</v>
      </c>
      <c r="AD178">
        <v>12745</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H178">
        <v>0</v>
      </c>
      <c r="BI178">
        <v>0</v>
      </c>
      <c r="BJ178">
        <v>0</v>
      </c>
      <c r="BK178">
        <v>0</v>
      </c>
      <c r="BL178">
        <v>0</v>
      </c>
      <c r="BM178">
        <v>0</v>
      </c>
      <c r="BN178">
        <v>0</v>
      </c>
      <c r="BO178">
        <v>0</v>
      </c>
      <c r="BQ178">
        <v>0</v>
      </c>
      <c r="BS178">
        <v>0</v>
      </c>
      <c r="BT178">
        <v>0</v>
      </c>
      <c r="BV178">
        <v>0</v>
      </c>
    </row>
    <row r="179" spans="1:74" x14ac:dyDescent="0.3">
      <c r="A179" s="155">
        <v>635</v>
      </c>
      <c r="B179" t="s">
        <v>373</v>
      </c>
      <c r="D179">
        <v>12000</v>
      </c>
      <c r="E179">
        <v>2660567</v>
      </c>
      <c r="G179">
        <v>6000</v>
      </c>
      <c r="H179">
        <v>0</v>
      </c>
      <c r="I179">
        <v>0</v>
      </c>
      <c r="J179">
        <v>0</v>
      </c>
      <c r="K179">
        <v>0</v>
      </c>
      <c r="L179">
        <v>5000</v>
      </c>
      <c r="M179">
        <v>10786</v>
      </c>
      <c r="N179">
        <v>0</v>
      </c>
      <c r="O179">
        <v>929</v>
      </c>
      <c r="Q179">
        <v>0</v>
      </c>
      <c r="R179">
        <v>0</v>
      </c>
      <c r="S179">
        <v>14174</v>
      </c>
      <c r="T179">
        <v>0</v>
      </c>
      <c r="V179">
        <v>6230</v>
      </c>
      <c r="X179">
        <v>60773</v>
      </c>
      <c r="Y179">
        <v>0</v>
      </c>
      <c r="Z179">
        <v>192408</v>
      </c>
      <c r="AA179">
        <v>0</v>
      </c>
      <c r="AB179">
        <v>0</v>
      </c>
      <c r="AC179">
        <v>0</v>
      </c>
      <c r="AD179">
        <v>2132</v>
      </c>
      <c r="AE179">
        <v>1879</v>
      </c>
      <c r="AF179">
        <v>1150</v>
      </c>
      <c r="AG179">
        <v>0</v>
      </c>
      <c r="AH179">
        <v>0</v>
      </c>
      <c r="AI179">
        <v>0</v>
      </c>
      <c r="AJ179">
        <v>0</v>
      </c>
      <c r="AK179">
        <v>0</v>
      </c>
      <c r="AL179">
        <v>4604</v>
      </c>
      <c r="AM179">
        <v>1187</v>
      </c>
      <c r="AN179">
        <v>0</v>
      </c>
      <c r="AO179">
        <v>49542</v>
      </c>
      <c r="AP179">
        <v>0</v>
      </c>
      <c r="AQ179">
        <v>0</v>
      </c>
      <c r="AR179">
        <v>0</v>
      </c>
      <c r="AS179">
        <v>253520</v>
      </c>
      <c r="AT179">
        <v>0</v>
      </c>
      <c r="AU179">
        <v>0</v>
      </c>
      <c r="AV179">
        <v>0</v>
      </c>
      <c r="AW179">
        <v>0</v>
      </c>
      <c r="AX179">
        <v>0</v>
      </c>
      <c r="AY179">
        <v>0</v>
      </c>
      <c r="AZ179">
        <v>31060</v>
      </c>
      <c r="BA179">
        <v>10649</v>
      </c>
      <c r="BB179">
        <v>0</v>
      </c>
      <c r="BC179">
        <v>0</v>
      </c>
      <c r="BD179">
        <v>42846</v>
      </c>
      <c r="BE179">
        <v>0</v>
      </c>
      <c r="BF179">
        <v>38206</v>
      </c>
      <c r="BH179">
        <v>0</v>
      </c>
      <c r="BI179">
        <v>0</v>
      </c>
      <c r="BJ179">
        <v>21687</v>
      </c>
      <c r="BK179">
        <v>19000</v>
      </c>
      <c r="BL179">
        <v>41099</v>
      </c>
      <c r="BM179">
        <v>0</v>
      </c>
      <c r="BN179">
        <v>3831</v>
      </c>
      <c r="BO179">
        <v>0</v>
      </c>
      <c r="BQ179">
        <v>0</v>
      </c>
      <c r="BS179">
        <v>14000</v>
      </c>
      <c r="BT179">
        <v>3000</v>
      </c>
      <c r="BV179">
        <v>0</v>
      </c>
    </row>
    <row r="180" spans="1:74" x14ac:dyDescent="0.3">
      <c r="A180" s="155">
        <v>636</v>
      </c>
      <c r="B180" t="s">
        <v>1582</v>
      </c>
      <c r="D180">
        <v>0</v>
      </c>
      <c r="E180">
        <v>0</v>
      </c>
      <c r="G180">
        <v>0</v>
      </c>
      <c r="H180">
        <v>0</v>
      </c>
      <c r="I180">
        <v>0</v>
      </c>
      <c r="J180">
        <v>0</v>
      </c>
      <c r="K180">
        <v>0</v>
      </c>
      <c r="L180">
        <v>0</v>
      </c>
      <c r="M180">
        <v>0</v>
      </c>
      <c r="N180">
        <v>0</v>
      </c>
      <c r="O180">
        <v>0</v>
      </c>
      <c r="Q180">
        <v>0</v>
      </c>
      <c r="R180">
        <v>0</v>
      </c>
      <c r="S180">
        <v>0</v>
      </c>
      <c r="T180">
        <v>0</v>
      </c>
      <c r="V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H180">
        <v>0</v>
      </c>
      <c r="BI180">
        <v>0</v>
      </c>
      <c r="BJ180">
        <v>0</v>
      </c>
      <c r="BK180">
        <v>0</v>
      </c>
      <c r="BL180">
        <v>0</v>
      </c>
      <c r="BM180">
        <v>0</v>
      </c>
      <c r="BN180">
        <v>0</v>
      </c>
      <c r="BO180">
        <v>0</v>
      </c>
      <c r="BQ180">
        <v>0</v>
      </c>
      <c r="BS180">
        <v>0</v>
      </c>
      <c r="BT180">
        <v>0</v>
      </c>
      <c r="BV180">
        <v>0</v>
      </c>
    </row>
    <row r="181" spans="1:74" x14ac:dyDescent="0.3">
      <c r="A181" s="155">
        <v>637</v>
      </c>
      <c r="B181" t="s">
        <v>1583</v>
      </c>
      <c r="D181">
        <v>0</v>
      </c>
      <c r="E181">
        <v>39392127</v>
      </c>
      <c r="G181">
        <v>0</v>
      </c>
      <c r="H181">
        <v>30330</v>
      </c>
      <c r="I181">
        <v>0</v>
      </c>
      <c r="J181">
        <v>0</v>
      </c>
      <c r="K181">
        <v>0</v>
      </c>
      <c r="L181">
        <v>0</v>
      </c>
      <c r="M181">
        <v>0</v>
      </c>
      <c r="N181">
        <v>0</v>
      </c>
      <c r="O181">
        <v>24550</v>
      </c>
      <c r="Q181">
        <v>0</v>
      </c>
      <c r="R181">
        <v>0</v>
      </c>
      <c r="S181">
        <v>22427</v>
      </c>
      <c r="T181">
        <v>0</v>
      </c>
      <c r="V181">
        <v>0</v>
      </c>
      <c r="X181">
        <v>0</v>
      </c>
      <c r="Y181">
        <v>0</v>
      </c>
      <c r="Z181">
        <v>0</v>
      </c>
      <c r="AA181">
        <v>0</v>
      </c>
      <c r="AB181">
        <v>14175</v>
      </c>
      <c r="AC181">
        <v>72737</v>
      </c>
      <c r="AD181">
        <v>0</v>
      </c>
      <c r="AE181">
        <v>0</v>
      </c>
      <c r="AF181">
        <v>80469</v>
      </c>
      <c r="AG181">
        <v>0</v>
      </c>
      <c r="AH181">
        <v>0</v>
      </c>
      <c r="AI181">
        <v>0</v>
      </c>
      <c r="AJ181">
        <v>0</v>
      </c>
      <c r="AK181">
        <v>0</v>
      </c>
      <c r="AL181">
        <v>0</v>
      </c>
      <c r="AM181">
        <v>0</v>
      </c>
      <c r="AN181">
        <v>0</v>
      </c>
      <c r="AO181">
        <v>0</v>
      </c>
      <c r="AP181">
        <v>0</v>
      </c>
      <c r="AQ181">
        <v>0</v>
      </c>
      <c r="AR181">
        <v>0</v>
      </c>
      <c r="AS181">
        <v>0</v>
      </c>
      <c r="AT181">
        <v>101434</v>
      </c>
      <c r="AU181">
        <v>0</v>
      </c>
      <c r="AV181">
        <v>26585</v>
      </c>
      <c r="AW181">
        <v>0</v>
      </c>
      <c r="AX181">
        <v>0</v>
      </c>
      <c r="AY181">
        <v>0</v>
      </c>
      <c r="AZ181">
        <v>0</v>
      </c>
      <c r="BA181">
        <v>0</v>
      </c>
      <c r="BB181">
        <v>0</v>
      </c>
      <c r="BC181">
        <v>5935</v>
      </c>
      <c r="BD181">
        <v>150503</v>
      </c>
      <c r="BE181">
        <v>111284</v>
      </c>
      <c r="BF181">
        <v>0</v>
      </c>
      <c r="BH181">
        <v>0</v>
      </c>
      <c r="BI181">
        <v>25956</v>
      </c>
      <c r="BJ181">
        <v>0</v>
      </c>
      <c r="BK181">
        <v>0</v>
      </c>
      <c r="BL181">
        <v>81540</v>
      </c>
      <c r="BM181">
        <v>0</v>
      </c>
      <c r="BN181">
        <v>267474</v>
      </c>
      <c r="BO181">
        <v>45085</v>
      </c>
      <c r="BQ181">
        <v>0</v>
      </c>
      <c r="BS181">
        <v>0</v>
      </c>
      <c r="BT181">
        <v>0</v>
      </c>
      <c r="BV181">
        <v>0</v>
      </c>
    </row>
    <row r="182" spans="1:74" x14ac:dyDescent="0.3">
      <c r="A182" s="155">
        <v>638</v>
      </c>
      <c r="B182" t="s">
        <v>1584</v>
      </c>
      <c r="D182">
        <v>0</v>
      </c>
      <c r="E182">
        <v>0</v>
      </c>
      <c r="G182">
        <v>0</v>
      </c>
      <c r="H182">
        <v>0</v>
      </c>
      <c r="I182">
        <v>0</v>
      </c>
      <c r="J182">
        <v>0</v>
      </c>
      <c r="K182">
        <v>0</v>
      </c>
      <c r="L182">
        <v>0</v>
      </c>
      <c r="M182">
        <v>0</v>
      </c>
      <c r="N182">
        <v>0</v>
      </c>
      <c r="O182">
        <v>0</v>
      </c>
      <c r="Q182">
        <v>0</v>
      </c>
      <c r="R182">
        <v>0</v>
      </c>
      <c r="S182">
        <v>0</v>
      </c>
      <c r="T182">
        <v>0</v>
      </c>
      <c r="V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H182">
        <v>0</v>
      </c>
      <c r="BI182">
        <v>0</v>
      </c>
      <c r="BJ182">
        <v>0</v>
      </c>
      <c r="BK182">
        <v>0</v>
      </c>
      <c r="BL182">
        <v>0</v>
      </c>
      <c r="BM182">
        <v>0</v>
      </c>
      <c r="BN182">
        <v>0</v>
      </c>
      <c r="BO182">
        <v>0</v>
      </c>
      <c r="BQ182">
        <v>0</v>
      </c>
      <c r="BS182">
        <v>0</v>
      </c>
      <c r="BT182">
        <v>0</v>
      </c>
      <c r="BV182">
        <v>0</v>
      </c>
    </row>
    <row r="183" spans="1:74" x14ac:dyDescent="0.3">
      <c r="A183" s="155">
        <v>639</v>
      </c>
      <c r="B183" t="s">
        <v>1585</v>
      </c>
      <c r="D183">
        <v>0</v>
      </c>
      <c r="E183">
        <v>0</v>
      </c>
      <c r="G183">
        <v>0</v>
      </c>
      <c r="H183">
        <v>0</v>
      </c>
      <c r="I183">
        <v>0</v>
      </c>
      <c r="J183">
        <v>0</v>
      </c>
      <c r="K183">
        <v>0</v>
      </c>
      <c r="L183">
        <v>500182</v>
      </c>
      <c r="M183">
        <v>0</v>
      </c>
      <c r="N183">
        <v>0</v>
      </c>
      <c r="O183">
        <v>0</v>
      </c>
      <c r="Q183">
        <v>0</v>
      </c>
      <c r="R183">
        <v>0</v>
      </c>
      <c r="S183">
        <v>0</v>
      </c>
      <c r="T183">
        <v>0</v>
      </c>
      <c r="V183">
        <v>0</v>
      </c>
      <c r="X183">
        <v>0</v>
      </c>
      <c r="Y183">
        <v>0</v>
      </c>
      <c r="Z183">
        <v>8574366</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273617</v>
      </c>
      <c r="AW183">
        <v>0</v>
      </c>
      <c r="AX183">
        <v>0</v>
      </c>
      <c r="AY183">
        <v>0</v>
      </c>
      <c r="AZ183">
        <v>814648</v>
      </c>
      <c r="BA183">
        <v>0</v>
      </c>
      <c r="BB183">
        <v>0</v>
      </c>
      <c r="BC183">
        <v>0</v>
      </c>
      <c r="BD183">
        <v>0</v>
      </c>
      <c r="BE183">
        <v>429909</v>
      </c>
      <c r="BF183">
        <v>2543853</v>
      </c>
      <c r="BH183">
        <v>0</v>
      </c>
      <c r="BI183">
        <v>0</v>
      </c>
      <c r="BJ183">
        <v>2183174</v>
      </c>
      <c r="BK183">
        <v>0</v>
      </c>
      <c r="BL183">
        <v>0</v>
      </c>
      <c r="BM183">
        <v>0</v>
      </c>
      <c r="BN183">
        <v>969722</v>
      </c>
      <c r="BO183">
        <v>0</v>
      </c>
      <c r="BQ183">
        <v>0</v>
      </c>
      <c r="BS183">
        <v>0</v>
      </c>
      <c r="BT183">
        <v>0</v>
      </c>
      <c r="BV183">
        <v>0</v>
      </c>
    </row>
    <row r="184" spans="1:74" x14ac:dyDescent="0.3">
      <c r="A184" s="155">
        <v>640</v>
      </c>
      <c r="B184" t="s">
        <v>1586</v>
      </c>
      <c r="D184">
        <v>0</v>
      </c>
      <c r="E184">
        <v>0</v>
      </c>
      <c r="G184">
        <v>0</v>
      </c>
      <c r="H184">
        <v>0</v>
      </c>
      <c r="I184">
        <v>0</v>
      </c>
      <c r="J184">
        <v>0</v>
      </c>
      <c r="K184">
        <v>0</v>
      </c>
      <c r="L184">
        <v>0</v>
      </c>
      <c r="M184">
        <v>0</v>
      </c>
      <c r="N184">
        <v>0</v>
      </c>
      <c r="O184">
        <v>0</v>
      </c>
      <c r="Q184">
        <v>0</v>
      </c>
      <c r="R184">
        <v>0</v>
      </c>
      <c r="S184">
        <v>0</v>
      </c>
      <c r="T184">
        <v>0</v>
      </c>
      <c r="V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H184">
        <v>0</v>
      </c>
      <c r="BI184">
        <v>0</v>
      </c>
      <c r="BJ184">
        <v>0</v>
      </c>
      <c r="BK184">
        <v>0</v>
      </c>
      <c r="BL184">
        <v>0</v>
      </c>
      <c r="BM184">
        <v>0</v>
      </c>
      <c r="BN184">
        <v>0</v>
      </c>
      <c r="BO184">
        <v>0</v>
      </c>
      <c r="BQ184">
        <v>0</v>
      </c>
      <c r="BS184">
        <v>0</v>
      </c>
      <c r="BT184">
        <v>0</v>
      </c>
      <c r="BV184">
        <v>0</v>
      </c>
    </row>
    <row r="185" spans="1:74" x14ac:dyDescent="0.3">
      <c r="A185" s="155">
        <v>641</v>
      </c>
      <c r="B185" t="s">
        <v>1587</v>
      </c>
      <c r="D185">
        <v>0</v>
      </c>
      <c r="E185">
        <v>0</v>
      </c>
      <c r="G185">
        <v>0</v>
      </c>
      <c r="H185">
        <v>0</v>
      </c>
      <c r="I185">
        <v>0</v>
      </c>
      <c r="J185">
        <v>0</v>
      </c>
      <c r="K185">
        <v>0</v>
      </c>
      <c r="L185">
        <v>5000</v>
      </c>
      <c r="M185">
        <v>0</v>
      </c>
      <c r="N185">
        <v>0</v>
      </c>
      <c r="O185">
        <v>0</v>
      </c>
      <c r="Q185">
        <v>0</v>
      </c>
      <c r="R185">
        <v>0</v>
      </c>
      <c r="S185">
        <v>0</v>
      </c>
      <c r="T185">
        <v>0</v>
      </c>
      <c r="V185">
        <v>0</v>
      </c>
      <c r="X185">
        <v>0</v>
      </c>
      <c r="Y185">
        <v>0</v>
      </c>
      <c r="Z185">
        <v>202005</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5527</v>
      </c>
      <c r="BA185">
        <v>0</v>
      </c>
      <c r="BB185">
        <v>0</v>
      </c>
      <c r="BC185">
        <v>0</v>
      </c>
      <c r="BD185">
        <v>0</v>
      </c>
      <c r="BE185">
        <v>0</v>
      </c>
      <c r="BF185">
        <v>16198</v>
      </c>
      <c r="BH185">
        <v>0</v>
      </c>
      <c r="BI185">
        <v>0</v>
      </c>
      <c r="BJ185">
        <v>24081</v>
      </c>
      <c r="BK185">
        <v>0</v>
      </c>
      <c r="BL185">
        <v>0</v>
      </c>
      <c r="BM185">
        <v>0</v>
      </c>
      <c r="BN185">
        <v>2102</v>
      </c>
      <c r="BO185">
        <v>0</v>
      </c>
      <c r="BQ185">
        <v>0</v>
      </c>
      <c r="BS185">
        <v>0</v>
      </c>
      <c r="BT185">
        <v>0</v>
      </c>
      <c r="BV185">
        <v>0</v>
      </c>
    </row>
    <row r="186" spans="1:74" x14ac:dyDescent="0.3">
      <c r="A186" s="155">
        <v>642</v>
      </c>
      <c r="B186" t="s">
        <v>1588</v>
      </c>
      <c r="D186">
        <v>0</v>
      </c>
      <c r="E186">
        <v>0</v>
      </c>
      <c r="G186">
        <v>0</v>
      </c>
      <c r="H186">
        <v>0</v>
      </c>
      <c r="I186">
        <v>0</v>
      </c>
      <c r="J186">
        <v>0</v>
      </c>
      <c r="K186">
        <v>0</v>
      </c>
      <c r="L186">
        <v>0</v>
      </c>
      <c r="M186">
        <v>0</v>
      </c>
      <c r="N186">
        <v>0</v>
      </c>
      <c r="O186">
        <v>0</v>
      </c>
      <c r="Q186">
        <v>0</v>
      </c>
      <c r="R186">
        <v>0</v>
      </c>
      <c r="S186">
        <v>0</v>
      </c>
      <c r="T186">
        <v>0</v>
      </c>
      <c r="V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H186">
        <v>0</v>
      </c>
      <c r="BI186">
        <v>0</v>
      </c>
      <c r="BJ186">
        <v>0</v>
      </c>
      <c r="BK186">
        <v>0</v>
      </c>
      <c r="BL186">
        <v>0</v>
      </c>
      <c r="BM186">
        <v>0</v>
      </c>
      <c r="BN186">
        <v>0</v>
      </c>
      <c r="BO186">
        <v>0</v>
      </c>
      <c r="BQ186">
        <v>0</v>
      </c>
      <c r="BS186">
        <v>0</v>
      </c>
      <c r="BT186">
        <v>0</v>
      </c>
      <c r="BV186">
        <v>0</v>
      </c>
    </row>
    <row r="187" spans="1:74" x14ac:dyDescent="0.3">
      <c r="A187" s="155">
        <v>643</v>
      </c>
      <c r="B187" t="s">
        <v>1589</v>
      </c>
      <c r="D187">
        <v>0</v>
      </c>
      <c r="E187">
        <v>0</v>
      </c>
      <c r="G187">
        <v>0</v>
      </c>
      <c r="H187">
        <v>0</v>
      </c>
      <c r="I187">
        <v>0</v>
      </c>
      <c r="J187">
        <v>0</v>
      </c>
      <c r="K187">
        <v>0</v>
      </c>
      <c r="L187">
        <v>0</v>
      </c>
      <c r="M187">
        <v>0</v>
      </c>
      <c r="N187">
        <v>0</v>
      </c>
      <c r="O187">
        <v>0</v>
      </c>
      <c r="Q187">
        <v>0</v>
      </c>
      <c r="R187">
        <v>0</v>
      </c>
      <c r="S187">
        <v>0</v>
      </c>
      <c r="T187">
        <v>0</v>
      </c>
      <c r="V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201608</v>
      </c>
      <c r="BF187">
        <v>548122</v>
      </c>
      <c r="BH187">
        <v>0</v>
      </c>
      <c r="BI187">
        <v>0</v>
      </c>
      <c r="BJ187">
        <v>0</v>
      </c>
      <c r="BK187">
        <v>0</v>
      </c>
      <c r="BL187">
        <v>0</v>
      </c>
      <c r="BM187">
        <v>0</v>
      </c>
      <c r="BN187">
        <v>142102</v>
      </c>
      <c r="BO187">
        <v>0</v>
      </c>
      <c r="BQ187">
        <v>0</v>
      </c>
      <c r="BS187">
        <v>0</v>
      </c>
      <c r="BT187">
        <v>0</v>
      </c>
      <c r="BV187">
        <v>0</v>
      </c>
    </row>
    <row r="188" spans="1:74" x14ac:dyDescent="0.3">
      <c r="A188" s="155">
        <v>644</v>
      </c>
      <c r="B188" t="s">
        <v>1590</v>
      </c>
      <c r="D188">
        <v>0</v>
      </c>
      <c r="E188">
        <v>0</v>
      </c>
      <c r="G188">
        <v>0</v>
      </c>
      <c r="H188">
        <v>0</v>
      </c>
      <c r="I188">
        <v>0</v>
      </c>
      <c r="J188">
        <v>0</v>
      </c>
      <c r="K188">
        <v>0</v>
      </c>
      <c r="L188">
        <v>0</v>
      </c>
      <c r="M188">
        <v>0</v>
      </c>
      <c r="N188">
        <v>0</v>
      </c>
      <c r="O188">
        <v>0</v>
      </c>
      <c r="Q188">
        <v>0</v>
      </c>
      <c r="R188">
        <v>0</v>
      </c>
      <c r="S188">
        <v>0</v>
      </c>
      <c r="T188">
        <v>0</v>
      </c>
      <c r="V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H188">
        <v>0</v>
      </c>
      <c r="BI188">
        <v>0</v>
      </c>
      <c r="BJ188">
        <v>0</v>
      </c>
      <c r="BK188">
        <v>0</v>
      </c>
      <c r="BL188">
        <v>0</v>
      </c>
      <c r="BM188">
        <v>0</v>
      </c>
      <c r="BN188">
        <v>0</v>
      </c>
      <c r="BO188">
        <v>0</v>
      </c>
      <c r="BQ188">
        <v>0</v>
      </c>
      <c r="BS188">
        <v>0</v>
      </c>
      <c r="BT188">
        <v>0</v>
      </c>
      <c r="BV188">
        <v>0</v>
      </c>
    </row>
    <row r="189" spans="1:74" x14ac:dyDescent="0.3">
      <c r="A189" s="155">
        <v>645</v>
      </c>
      <c r="B189" t="s">
        <v>384</v>
      </c>
      <c r="D189">
        <v>0</v>
      </c>
      <c r="E189">
        <v>224547055</v>
      </c>
      <c r="G189">
        <v>0</v>
      </c>
      <c r="H189">
        <v>0</v>
      </c>
      <c r="I189">
        <v>0</v>
      </c>
      <c r="J189">
        <v>0</v>
      </c>
      <c r="K189">
        <v>0</v>
      </c>
      <c r="L189">
        <v>0</v>
      </c>
      <c r="M189">
        <v>0</v>
      </c>
      <c r="N189">
        <v>0</v>
      </c>
      <c r="O189">
        <v>0</v>
      </c>
      <c r="Q189">
        <v>87061</v>
      </c>
      <c r="R189">
        <v>0</v>
      </c>
      <c r="S189">
        <v>222803</v>
      </c>
      <c r="T189">
        <v>1283454</v>
      </c>
      <c r="V189">
        <v>0</v>
      </c>
      <c r="X189">
        <v>602900</v>
      </c>
      <c r="Y189">
        <v>20000</v>
      </c>
      <c r="Z189">
        <v>3700000</v>
      </c>
      <c r="AA189">
        <v>793000</v>
      </c>
      <c r="AB189">
        <v>0</v>
      </c>
      <c r="AC189">
        <v>0</v>
      </c>
      <c r="AD189">
        <v>0</v>
      </c>
      <c r="AE189">
        <v>0</v>
      </c>
      <c r="AF189">
        <v>0</v>
      </c>
      <c r="AG189">
        <v>0</v>
      </c>
      <c r="AH189">
        <v>0</v>
      </c>
      <c r="AI189">
        <v>0</v>
      </c>
      <c r="AJ189">
        <v>147849</v>
      </c>
      <c r="AK189">
        <v>15023</v>
      </c>
      <c r="AL189">
        <v>99050</v>
      </c>
      <c r="AM189">
        <v>504600</v>
      </c>
      <c r="AN189">
        <v>0</v>
      </c>
      <c r="AO189">
        <v>3134443</v>
      </c>
      <c r="AP189">
        <v>0</v>
      </c>
      <c r="AQ189">
        <v>23</v>
      </c>
      <c r="AR189">
        <v>0</v>
      </c>
      <c r="AS189">
        <v>1831642</v>
      </c>
      <c r="AT189">
        <v>75000</v>
      </c>
      <c r="AU189">
        <v>0</v>
      </c>
      <c r="AV189">
        <v>0</v>
      </c>
      <c r="AW189">
        <v>0</v>
      </c>
      <c r="AX189">
        <v>0</v>
      </c>
      <c r="AY189">
        <v>0</v>
      </c>
      <c r="AZ189">
        <v>479255</v>
      </c>
      <c r="BA189">
        <v>120888</v>
      </c>
      <c r="BB189">
        <v>15098</v>
      </c>
      <c r="BC189">
        <v>0</v>
      </c>
      <c r="BD189">
        <v>0</v>
      </c>
      <c r="BE189">
        <v>0</v>
      </c>
      <c r="BF189">
        <v>92834</v>
      </c>
      <c r="BH189">
        <v>0</v>
      </c>
      <c r="BI189">
        <v>58800</v>
      </c>
      <c r="BJ189">
        <v>202788</v>
      </c>
      <c r="BK189">
        <v>0</v>
      </c>
      <c r="BL189">
        <v>3856359</v>
      </c>
      <c r="BM189">
        <v>365309</v>
      </c>
      <c r="BN189">
        <v>0</v>
      </c>
      <c r="BO189">
        <v>100000</v>
      </c>
      <c r="BQ189">
        <v>190259</v>
      </c>
      <c r="BS189">
        <v>1037680</v>
      </c>
      <c r="BT189">
        <v>585172</v>
      </c>
      <c r="BV189">
        <v>650650</v>
      </c>
    </row>
    <row r="190" spans="1:74" x14ac:dyDescent="0.3">
      <c r="A190" s="155">
        <v>646</v>
      </c>
      <c r="B190" t="s">
        <v>359</v>
      </c>
      <c r="D190">
        <v>8443630</v>
      </c>
      <c r="E190">
        <v>107715422</v>
      </c>
      <c r="G190">
        <v>5798890</v>
      </c>
      <c r="H190">
        <v>1597198</v>
      </c>
      <c r="I190">
        <v>74302</v>
      </c>
      <c r="J190">
        <v>1450463</v>
      </c>
      <c r="K190">
        <v>0</v>
      </c>
      <c r="L190">
        <v>1754810</v>
      </c>
      <c r="M190">
        <v>6599030</v>
      </c>
      <c r="N190">
        <v>842044</v>
      </c>
      <c r="O190">
        <v>1166279</v>
      </c>
      <c r="Q190">
        <v>683827</v>
      </c>
      <c r="R190">
        <v>1200023</v>
      </c>
      <c r="S190">
        <v>979555</v>
      </c>
      <c r="T190">
        <v>5152010</v>
      </c>
      <c r="V190">
        <v>1208480</v>
      </c>
      <c r="X190">
        <v>4240853</v>
      </c>
      <c r="Y190">
        <v>1700844</v>
      </c>
      <c r="Z190">
        <v>20542970</v>
      </c>
      <c r="AA190">
        <v>7082449</v>
      </c>
      <c r="AB190">
        <v>224181</v>
      </c>
      <c r="AC190">
        <v>521974</v>
      </c>
      <c r="AD190">
        <v>1009257</v>
      </c>
      <c r="AE190">
        <v>2188234</v>
      </c>
      <c r="AF190">
        <v>459880</v>
      </c>
      <c r="AG190">
        <v>265503</v>
      </c>
      <c r="AH190">
        <v>1596052</v>
      </c>
      <c r="AI190">
        <v>292298</v>
      </c>
      <c r="AJ190">
        <v>3368191</v>
      </c>
      <c r="AK190">
        <v>621570</v>
      </c>
      <c r="AL190">
        <v>708711</v>
      </c>
      <c r="AM190">
        <v>1201492</v>
      </c>
      <c r="AN190">
        <v>674068</v>
      </c>
      <c r="AO190">
        <v>12734112</v>
      </c>
      <c r="AP190">
        <v>1389153</v>
      </c>
      <c r="AQ190">
        <v>686944</v>
      </c>
      <c r="AR190">
        <v>690115</v>
      </c>
      <c r="AS190">
        <v>16283077</v>
      </c>
      <c r="AT190">
        <v>311060</v>
      </c>
      <c r="AU190">
        <v>6287340</v>
      </c>
      <c r="AV190">
        <v>875079</v>
      </c>
      <c r="AW190">
        <v>418816</v>
      </c>
      <c r="AX190">
        <v>110695</v>
      </c>
      <c r="AY190">
        <v>479542</v>
      </c>
      <c r="AZ190">
        <v>4194633</v>
      </c>
      <c r="BA190">
        <v>1014902</v>
      </c>
      <c r="BB190">
        <v>151615</v>
      </c>
      <c r="BC190">
        <v>1396400</v>
      </c>
      <c r="BD190">
        <v>0</v>
      </c>
      <c r="BE190">
        <v>1039928</v>
      </c>
      <c r="BF190">
        <v>8491108</v>
      </c>
      <c r="BH190">
        <v>275335</v>
      </c>
      <c r="BI190">
        <v>400810</v>
      </c>
      <c r="BJ190">
        <v>11389754</v>
      </c>
      <c r="BK190">
        <v>1521223</v>
      </c>
      <c r="BL190">
        <v>8411276</v>
      </c>
      <c r="BM190">
        <v>6557121</v>
      </c>
      <c r="BN190">
        <v>6154275</v>
      </c>
      <c r="BO190">
        <v>2633650</v>
      </c>
      <c r="BQ190">
        <v>2140008</v>
      </c>
      <c r="BS190">
        <v>810426</v>
      </c>
      <c r="BT190">
        <v>1208138</v>
      </c>
      <c r="BV190">
        <v>3612930</v>
      </c>
    </row>
    <row r="191" spans="1:74" x14ac:dyDescent="0.3">
      <c r="A191" s="155">
        <v>647</v>
      </c>
      <c r="B191" t="s">
        <v>909</v>
      </c>
      <c r="D191">
        <v>0</v>
      </c>
      <c r="E191">
        <v>157121719</v>
      </c>
      <c r="G191">
        <v>0</v>
      </c>
      <c r="H191">
        <v>0</v>
      </c>
      <c r="I191">
        <v>0</v>
      </c>
      <c r="J191">
        <v>0</v>
      </c>
      <c r="K191">
        <v>0</v>
      </c>
      <c r="L191">
        <v>0</v>
      </c>
      <c r="M191">
        <v>0</v>
      </c>
      <c r="N191">
        <v>0</v>
      </c>
      <c r="O191">
        <v>0</v>
      </c>
      <c r="Q191">
        <v>0</v>
      </c>
      <c r="R191">
        <v>0</v>
      </c>
      <c r="S191">
        <v>0</v>
      </c>
      <c r="T191">
        <v>0</v>
      </c>
      <c r="V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H191">
        <v>0</v>
      </c>
      <c r="BI191">
        <v>0</v>
      </c>
      <c r="BJ191">
        <v>0</v>
      </c>
      <c r="BK191">
        <v>0</v>
      </c>
      <c r="BL191">
        <v>0</v>
      </c>
      <c r="BM191">
        <v>0</v>
      </c>
      <c r="BN191">
        <v>0</v>
      </c>
      <c r="BO191">
        <v>0</v>
      </c>
      <c r="BQ191">
        <v>0</v>
      </c>
      <c r="BS191">
        <v>0</v>
      </c>
      <c r="BT191">
        <v>0</v>
      </c>
      <c r="BV191">
        <v>0</v>
      </c>
    </row>
    <row r="192" spans="1:74" x14ac:dyDescent="0.3">
      <c r="A192" s="155">
        <v>648</v>
      </c>
      <c r="B192" t="s">
        <v>597</v>
      </c>
      <c r="D192">
        <v>0.48</v>
      </c>
      <c r="E192">
        <v>0.373</v>
      </c>
      <c r="G192">
        <v>0.63</v>
      </c>
      <c r="H192">
        <v>0.5</v>
      </c>
      <c r="I192">
        <v>5.0000000000000001E-3</v>
      </c>
      <c r="J192">
        <v>0.16</v>
      </c>
      <c r="K192">
        <v>0</v>
      </c>
      <c r="L192">
        <v>0.64</v>
      </c>
      <c r="M192">
        <v>7.4000000000000003E-3</v>
      </c>
      <c r="N192">
        <v>1E-3</v>
      </c>
      <c r="O192">
        <v>0.55000000000000004</v>
      </c>
      <c r="Q192">
        <v>0.22</v>
      </c>
      <c r="R192">
        <v>0.4</v>
      </c>
      <c r="S192">
        <v>0.26</v>
      </c>
      <c r="T192">
        <v>0.66100000000000003</v>
      </c>
      <c r="V192">
        <v>0.6</v>
      </c>
      <c r="X192">
        <v>0.57999999999999996</v>
      </c>
      <c r="Y192">
        <v>0.46</v>
      </c>
      <c r="Z192">
        <v>0.68500000000000005</v>
      </c>
      <c r="AA192">
        <v>0.46</v>
      </c>
      <c r="AB192">
        <v>0.4</v>
      </c>
      <c r="AC192">
        <v>0</v>
      </c>
      <c r="AD192">
        <v>0.75</v>
      </c>
      <c r="AE192">
        <v>0.64</v>
      </c>
      <c r="AF192">
        <v>0.44</v>
      </c>
      <c r="AG192">
        <v>0.79</v>
      </c>
      <c r="AH192">
        <v>0</v>
      </c>
      <c r="AI192">
        <v>2.5000000000000001E-3</v>
      </c>
      <c r="AJ192">
        <v>0.31</v>
      </c>
      <c r="AK192">
        <v>0.28000000000000003</v>
      </c>
      <c r="AL192">
        <v>0.12</v>
      </c>
      <c r="AM192">
        <v>0.54</v>
      </c>
      <c r="AN192">
        <v>0</v>
      </c>
      <c r="AO192">
        <v>0.71960000000000002</v>
      </c>
      <c r="AP192">
        <v>0</v>
      </c>
      <c r="AQ192">
        <v>0.25</v>
      </c>
      <c r="AR192">
        <v>0.35</v>
      </c>
      <c r="AS192">
        <v>0.62</v>
      </c>
      <c r="AT192">
        <v>0.57999999999999996</v>
      </c>
      <c r="AU192">
        <v>0.2</v>
      </c>
      <c r="AV192">
        <v>0.78500000000000003</v>
      </c>
      <c r="AW192">
        <v>0.5</v>
      </c>
      <c r="AX192">
        <v>0.44</v>
      </c>
      <c r="AY192">
        <v>0.27500000000000002</v>
      </c>
      <c r="AZ192">
        <v>0.57999999999999996</v>
      </c>
      <c r="BA192">
        <v>0.51</v>
      </c>
      <c r="BB192">
        <v>0.54</v>
      </c>
      <c r="BC192">
        <v>0.35</v>
      </c>
      <c r="BD192">
        <v>0.35249999999999998</v>
      </c>
      <c r="BE192">
        <v>0.55000000000000004</v>
      </c>
      <c r="BF192">
        <v>0.51749999999999996</v>
      </c>
      <c r="BH192">
        <v>0.45</v>
      </c>
      <c r="BI192">
        <v>0.5</v>
      </c>
      <c r="BJ192">
        <v>0.56999999999999995</v>
      </c>
      <c r="BK192">
        <v>0</v>
      </c>
      <c r="BL192">
        <v>0</v>
      </c>
      <c r="BM192">
        <v>0.23580000000000001</v>
      </c>
      <c r="BN192">
        <v>0.29559999999999997</v>
      </c>
      <c r="BO192">
        <v>0.39</v>
      </c>
      <c r="BQ192">
        <v>0.65</v>
      </c>
      <c r="BS192">
        <v>0.59299999999999997</v>
      </c>
      <c r="BT192">
        <v>0</v>
      </c>
      <c r="BV192">
        <v>0.51</v>
      </c>
    </row>
    <row r="193" spans="1:74" x14ac:dyDescent="0.3">
      <c r="A193" s="155">
        <v>654</v>
      </c>
      <c r="B193" t="s">
        <v>413</v>
      </c>
      <c r="D193">
        <v>7141454</v>
      </c>
      <c r="E193">
        <v>541517208</v>
      </c>
      <c r="G193">
        <v>3752148</v>
      </c>
      <c r="H193">
        <v>2364317</v>
      </c>
      <c r="I193">
        <v>0</v>
      </c>
      <c r="J193">
        <v>0</v>
      </c>
      <c r="K193">
        <v>0</v>
      </c>
      <c r="L193">
        <v>737891</v>
      </c>
      <c r="M193">
        <v>11819017</v>
      </c>
      <c r="N193">
        <v>0</v>
      </c>
      <c r="O193">
        <v>587431</v>
      </c>
      <c r="Q193">
        <v>0</v>
      </c>
      <c r="R193">
        <v>0</v>
      </c>
      <c r="S193">
        <v>2055017</v>
      </c>
      <c r="T193">
        <v>0</v>
      </c>
      <c r="V193">
        <v>834741</v>
      </c>
      <c r="X193">
        <v>4746219</v>
      </c>
      <c r="Y193">
        <v>0</v>
      </c>
      <c r="Z193">
        <v>20421345</v>
      </c>
      <c r="AA193">
        <v>0</v>
      </c>
      <c r="AB193">
        <v>71681</v>
      </c>
      <c r="AC193">
        <v>318529</v>
      </c>
      <c r="AD193">
        <v>1076743</v>
      </c>
      <c r="AE193">
        <v>806910</v>
      </c>
      <c r="AF193">
        <v>542827</v>
      </c>
      <c r="AG193">
        <v>223253</v>
      </c>
      <c r="AH193">
        <v>5584229</v>
      </c>
      <c r="AI193">
        <v>0</v>
      </c>
      <c r="AJ193">
        <v>0</v>
      </c>
      <c r="AK193">
        <v>0</v>
      </c>
      <c r="AL193">
        <v>1050637</v>
      </c>
      <c r="AM193">
        <v>1128139</v>
      </c>
      <c r="AN193">
        <v>431765</v>
      </c>
      <c r="AO193">
        <v>48972015</v>
      </c>
      <c r="AP193">
        <v>951787</v>
      </c>
      <c r="AQ193">
        <v>0</v>
      </c>
      <c r="AR193">
        <v>90986</v>
      </c>
      <c r="AS193">
        <v>20587803</v>
      </c>
      <c r="AT193">
        <v>816539</v>
      </c>
      <c r="AU193">
        <v>5147848</v>
      </c>
      <c r="AV193">
        <v>845712</v>
      </c>
      <c r="AW193">
        <v>1144425</v>
      </c>
      <c r="AX193">
        <v>0</v>
      </c>
      <c r="AY193">
        <v>15684</v>
      </c>
      <c r="AZ193">
        <v>7063150</v>
      </c>
      <c r="BA193">
        <v>330695</v>
      </c>
      <c r="BB193">
        <v>797053</v>
      </c>
      <c r="BC193">
        <v>588004</v>
      </c>
      <c r="BD193">
        <v>7893739</v>
      </c>
      <c r="BE193">
        <v>678277</v>
      </c>
      <c r="BF193">
        <v>14501268</v>
      </c>
      <c r="BH193">
        <v>0</v>
      </c>
      <c r="BI193">
        <v>925718</v>
      </c>
      <c r="BJ193">
        <v>15813950</v>
      </c>
      <c r="BK193">
        <v>1255946</v>
      </c>
      <c r="BL193">
        <v>19885379</v>
      </c>
      <c r="BM193">
        <v>0</v>
      </c>
      <c r="BN193">
        <v>8624430</v>
      </c>
      <c r="BO193">
        <v>8590355</v>
      </c>
      <c r="BQ193">
        <v>0</v>
      </c>
      <c r="BS193">
        <v>907799</v>
      </c>
      <c r="BT193">
        <v>678165</v>
      </c>
      <c r="BV193">
        <v>436821</v>
      </c>
    </row>
    <row r="194" spans="1:74" x14ac:dyDescent="0.3">
      <c r="A194" s="155">
        <v>655</v>
      </c>
      <c r="B194" t="s">
        <v>910</v>
      </c>
      <c r="D194">
        <v>69375</v>
      </c>
      <c r="E194">
        <v>0</v>
      </c>
      <c r="G194">
        <v>0</v>
      </c>
      <c r="H194">
        <v>961532</v>
      </c>
      <c r="I194">
        <v>0</v>
      </c>
      <c r="J194">
        <v>0</v>
      </c>
      <c r="K194">
        <v>0</v>
      </c>
      <c r="L194">
        <v>3335</v>
      </c>
      <c r="M194">
        <v>1745809</v>
      </c>
      <c r="N194">
        <v>0</v>
      </c>
      <c r="O194">
        <v>24550</v>
      </c>
      <c r="Q194">
        <v>0</v>
      </c>
      <c r="R194">
        <v>0</v>
      </c>
      <c r="S194">
        <v>0</v>
      </c>
      <c r="T194">
        <v>0</v>
      </c>
      <c r="V194">
        <v>81556</v>
      </c>
      <c r="X194">
        <v>0</v>
      </c>
      <c r="Y194">
        <v>0</v>
      </c>
      <c r="Z194">
        <v>1278194</v>
      </c>
      <c r="AA194">
        <v>0</v>
      </c>
      <c r="AB194">
        <v>14175</v>
      </c>
      <c r="AC194">
        <v>72737</v>
      </c>
      <c r="AD194">
        <v>97955</v>
      </c>
      <c r="AE194">
        <v>262037</v>
      </c>
      <c r="AF194">
        <v>80469</v>
      </c>
      <c r="AG194">
        <v>0</v>
      </c>
      <c r="AH194">
        <v>3074841</v>
      </c>
      <c r="AI194">
        <v>0</v>
      </c>
      <c r="AJ194">
        <v>0</v>
      </c>
      <c r="AK194">
        <v>0</v>
      </c>
      <c r="AL194">
        <v>0</v>
      </c>
      <c r="AM194">
        <v>0</v>
      </c>
      <c r="AN194">
        <v>20211</v>
      </c>
      <c r="AO194">
        <v>7993332</v>
      </c>
      <c r="AP194">
        <v>255067</v>
      </c>
      <c r="AQ194">
        <v>0</v>
      </c>
      <c r="AR194">
        <v>17080</v>
      </c>
      <c r="AS194">
        <v>731032</v>
      </c>
      <c r="AT194">
        <v>101434</v>
      </c>
      <c r="AU194">
        <v>103142</v>
      </c>
      <c r="AV194">
        <v>26585</v>
      </c>
      <c r="AW194">
        <v>263793</v>
      </c>
      <c r="AX194">
        <v>0</v>
      </c>
      <c r="AY194">
        <v>0</v>
      </c>
      <c r="AZ194">
        <v>98460</v>
      </c>
      <c r="BA194">
        <v>0</v>
      </c>
      <c r="BB194">
        <v>8561</v>
      </c>
      <c r="BC194">
        <v>5935</v>
      </c>
      <c r="BD194">
        <v>150503</v>
      </c>
      <c r="BE194">
        <v>134240</v>
      </c>
      <c r="BF194">
        <v>0</v>
      </c>
      <c r="BH194">
        <v>0</v>
      </c>
      <c r="BI194">
        <v>25956</v>
      </c>
      <c r="BJ194">
        <v>219640</v>
      </c>
      <c r="BK194">
        <v>75312</v>
      </c>
      <c r="BL194">
        <v>1753372</v>
      </c>
      <c r="BM194">
        <v>0</v>
      </c>
      <c r="BN194">
        <v>3669094</v>
      </c>
      <c r="BO194">
        <v>7023812</v>
      </c>
      <c r="BQ194">
        <v>0</v>
      </c>
      <c r="BS194">
        <v>60000</v>
      </c>
      <c r="BT194">
        <v>43932</v>
      </c>
      <c r="BV194">
        <v>57103</v>
      </c>
    </row>
    <row r="195" spans="1:74" x14ac:dyDescent="0.3">
      <c r="A195" s="155">
        <v>656</v>
      </c>
      <c r="B195" t="s">
        <v>419</v>
      </c>
      <c r="D195">
        <v>2</v>
      </c>
      <c r="E195">
        <v>1</v>
      </c>
      <c r="G195">
        <v>2</v>
      </c>
      <c r="H195">
        <v>2</v>
      </c>
      <c r="I195">
        <v>0</v>
      </c>
      <c r="J195">
        <v>2</v>
      </c>
      <c r="K195">
        <v>2</v>
      </c>
      <c r="L195">
        <v>2</v>
      </c>
      <c r="M195">
        <v>2</v>
      </c>
      <c r="N195">
        <v>2</v>
      </c>
      <c r="O195">
        <v>0</v>
      </c>
      <c r="Q195">
        <v>0</v>
      </c>
      <c r="R195">
        <v>0</v>
      </c>
      <c r="S195">
        <v>0</v>
      </c>
      <c r="T195">
        <v>0</v>
      </c>
      <c r="V195">
        <v>1</v>
      </c>
      <c r="X195">
        <v>2</v>
      </c>
      <c r="Y195">
        <v>0</v>
      </c>
      <c r="Z195">
        <v>2</v>
      </c>
      <c r="AA195">
        <v>2</v>
      </c>
      <c r="AB195">
        <v>2</v>
      </c>
      <c r="AC195">
        <v>2</v>
      </c>
      <c r="AD195">
        <v>0</v>
      </c>
      <c r="AE195">
        <v>2</v>
      </c>
      <c r="AF195">
        <v>0</v>
      </c>
      <c r="AG195">
        <v>2</v>
      </c>
      <c r="AH195">
        <v>2</v>
      </c>
      <c r="AI195">
        <v>0</v>
      </c>
      <c r="AJ195">
        <v>0</v>
      </c>
      <c r="AK195">
        <v>0</v>
      </c>
      <c r="AL195">
        <v>0</v>
      </c>
      <c r="AM195">
        <v>2</v>
      </c>
      <c r="AN195">
        <v>2</v>
      </c>
      <c r="AO195">
        <v>0</v>
      </c>
      <c r="AP195">
        <v>0</v>
      </c>
      <c r="AQ195">
        <v>2</v>
      </c>
      <c r="AR195">
        <v>2</v>
      </c>
      <c r="AS195">
        <v>2</v>
      </c>
      <c r="AT195">
        <v>0</v>
      </c>
      <c r="AU195">
        <v>0</v>
      </c>
      <c r="AV195">
        <v>0</v>
      </c>
      <c r="AW195">
        <v>0</v>
      </c>
      <c r="AX195">
        <v>0</v>
      </c>
      <c r="AY195">
        <v>2</v>
      </c>
      <c r="AZ195">
        <v>2</v>
      </c>
      <c r="BA195">
        <v>2</v>
      </c>
      <c r="BB195">
        <v>2</v>
      </c>
      <c r="BC195">
        <v>0</v>
      </c>
      <c r="BD195">
        <v>2</v>
      </c>
      <c r="BE195">
        <v>2</v>
      </c>
      <c r="BF195">
        <v>2</v>
      </c>
      <c r="BH195">
        <v>2</v>
      </c>
      <c r="BI195">
        <v>0</v>
      </c>
      <c r="BJ195">
        <v>0</v>
      </c>
      <c r="BK195">
        <v>2</v>
      </c>
      <c r="BL195">
        <v>2</v>
      </c>
      <c r="BM195">
        <v>0</v>
      </c>
      <c r="BN195">
        <v>2</v>
      </c>
      <c r="BO195">
        <v>2</v>
      </c>
      <c r="BQ195">
        <v>0</v>
      </c>
      <c r="BS195">
        <v>2</v>
      </c>
      <c r="BT195">
        <v>2</v>
      </c>
      <c r="BV195">
        <v>2</v>
      </c>
    </row>
    <row r="196" spans="1:74" x14ac:dyDescent="0.3">
      <c r="A196" s="155">
        <v>657</v>
      </c>
      <c r="B196" t="s">
        <v>911</v>
      </c>
      <c r="D196">
        <v>0</v>
      </c>
      <c r="E196">
        <v>0</v>
      </c>
      <c r="G196">
        <v>0</v>
      </c>
      <c r="H196">
        <v>0</v>
      </c>
      <c r="I196">
        <v>0</v>
      </c>
      <c r="J196">
        <v>0</v>
      </c>
      <c r="K196">
        <v>0</v>
      </c>
      <c r="L196">
        <v>1685835</v>
      </c>
      <c r="M196">
        <v>0</v>
      </c>
      <c r="N196">
        <v>0</v>
      </c>
      <c r="O196">
        <v>0</v>
      </c>
      <c r="Q196">
        <v>0</v>
      </c>
      <c r="R196">
        <v>0</v>
      </c>
      <c r="S196">
        <v>0</v>
      </c>
      <c r="T196">
        <v>0</v>
      </c>
      <c r="V196">
        <v>0</v>
      </c>
      <c r="X196">
        <v>0</v>
      </c>
      <c r="Y196">
        <v>0</v>
      </c>
      <c r="Z196">
        <v>55210572</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2406527</v>
      </c>
      <c r="AW196">
        <v>0</v>
      </c>
      <c r="AX196">
        <v>0</v>
      </c>
      <c r="AY196">
        <v>0</v>
      </c>
      <c r="AZ196">
        <v>4103285</v>
      </c>
      <c r="BA196">
        <v>0</v>
      </c>
      <c r="BB196">
        <v>0</v>
      </c>
      <c r="BC196">
        <v>0</v>
      </c>
      <c r="BD196">
        <v>0</v>
      </c>
      <c r="BE196">
        <v>2863363</v>
      </c>
      <c r="BF196">
        <v>12222989</v>
      </c>
      <c r="BH196">
        <v>0</v>
      </c>
      <c r="BI196">
        <v>0</v>
      </c>
      <c r="BJ196">
        <v>15217825</v>
      </c>
      <c r="BK196">
        <v>0</v>
      </c>
      <c r="BL196">
        <v>0</v>
      </c>
      <c r="BM196">
        <v>0</v>
      </c>
      <c r="BN196">
        <v>8429608</v>
      </c>
      <c r="BO196">
        <v>0</v>
      </c>
      <c r="BQ196">
        <v>0</v>
      </c>
      <c r="BS196">
        <v>0</v>
      </c>
      <c r="BT196">
        <v>0</v>
      </c>
      <c r="BV196">
        <v>0</v>
      </c>
    </row>
    <row r="197" spans="1:74" x14ac:dyDescent="0.3">
      <c r="A197" s="155">
        <v>658</v>
      </c>
      <c r="B197" t="s">
        <v>912</v>
      </c>
      <c r="D197">
        <v>0</v>
      </c>
      <c r="E197">
        <v>0</v>
      </c>
      <c r="G197">
        <v>0</v>
      </c>
      <c r="H197">
        <v>0</v>
      </c>
      <c r="I197">
        <v>0</v>
      </c>
      <c r="J197">
        <v>0</v>
      </c>
      <c r="K197">
        <v>0</v>
      </c>
      <c r="L197">
        <v>322504</v>
      </c>
      <c r="M197">
        <v>0</v>
      </c>
      <c r="N197">
        <v>0</v>
      </c>
      <c r="O197">
        <v>0</v>
      </c>
      <c r="Q197">
        <v>0</v>
      </c>
      <c r="R197">
        <v>0</v>
      </c>
      <c r="S197">
        <v>0</v>
      </c>
      <c r="T197">
        <v>0</v>
      </c>
      <c r="V197">
        <v>0</v>
      </c>
      <c r="X197">
        <v>0</v>
      </c>
      <c r="Y197">
        <v>0</v>
      </c>
      <c r="Z197">
        <v>6049095</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c r="AU197">
        <v>0</v>
      </c>
      <c r="AV197">
        <v>80713</v>
      </c>
      <c r="AW197">
        <v>0</v>
      </c>
      <c r="AX197">
        <v>0</v>
      </c>
      <c r="AY197">
        <v>0</v>
      </c>
      <c r="AZ197">
        <v>0</v>
      </c>
      <c r="BA197">
        <v>0</v>
      </c>
      <c r="BB197">
        <v>0</v>
      </c>
      <c r="BC197">
        <v>0</v>
      </c>
      <c r="BD197">
        <v>0</v>
      </c>
      <c r="BE197">
        <v>201608</v>
      </c>
      <c r="BF197">
        <v>0</v>
      </c>
      <c r="BH197">
        <v>0</v>
      </c>
      <c r="BI197">
        <v>0</v>
      </c>
      <c r="BJ197">
        <v>0</v>
      </c>
      <c r="BK197">
        <v>0</v>
      </c>
      <c r="BL197">
        <v>0</v>
      </c>
      <c r="BM197">
        <v>0</v>
      </c>
      <c r="BN197">
        <v>142102</v>
      </c>
      <c r="BO197">
        <v>0</v>
      </c>
      <c r="BQ197">
        <v>0</v>
      </c>
      <c r="BS197">
        <v>0</v>
      </c>
      <c r="BT197">
        <v>0</v>
      </c>
      <c r="BV197">
        <v>0</v>
      </c>
    </row>
    <row r="198" spans="1:74" x14ac:dyDescent="0.3">
      <c r="A198" s="155">
        <v>659</v>
      </c>
      <c r="B198" t="s">
        <v>913</v>
      </c>
      <c r="D198">
        <v>3206458</v>
      </c>
      <c r="E198">
        <v>268204292</v>
      </c>
      <c r="G198">
        <v>1923076</v>
      </c>
      <c r="H198">
        <v>0</v>
      </c>
      <c r="I198">
        <v>0</v>
      </c>
      <c r="J198">
        <v>0</v>
      </c>
      <c r="K198">
        <v>0</v>
      </c>
      <c r="L198">
        <v>2816508</v>
      </c>
      <c r="M198">
        <v>8755845</v>
      </c>
      <c r="N198">
        <v>0</v>
      </c>
      <c r="O198">
        <v>0</v>
      </c>
      <c r="Q198">
        <v>0</v>
      </c>
      <c r="R198">
        <v>0</v>
      </c>
      <c r="S198">
        <v>0</v>
      </c>
      <c r="T198">
        <v>6692290</v>
      </c>
      <c r="V198">
        <v>0</v>
      </c>
      <c r="X198">
        <v>5061308</v>
      </c>
      <c r="Y198">
        <v>0</v>
      </c>
      <c r="Z198">
        <v>50418123</v>
      </c>
      <c r="AA198">
        <v>1885695</v>
      </c>
      <c r="AB198">
        <v>0</v>
      </c>
      <c r="AC198">
        <v>0</v>
      </c>
      <c r="AD198">
        <v>474040</v>
      </c>
      <c r="AE198">
        <v>0</v>
      </c>
      <c r="AF198">
        <v>0</v>
      </c>
      <c r="AG198">
        <v>0</v>
      </c>
      <c r="AH198">
        <v>69543</v>
      </c>
      <c r="AI198">
        <v>0</v>
      </c>
      <c r="AJ198">
        <v>1130519</v>
      </c>
      <c r="AK198">
        <v>0</v>
      </c>
      <c r="AL198">
        <v>0</v>
      </c>
      <c r="AM198">
        <v>0</v>
      </c>
      <c r="AN198">
        <v>0</v>
      </c>
      <c r="AO198">
        <v>8833858</v>
      </c>
      <c r="AP198">
        <v>0</v>
      </c>
      <c r="AQ198">
        <v>0</v>
      </c>
      <c r="AR198">
        <v>0</v>
      </c>
      <c r="AS198">
        <v>49926191</v>
      </c>
      <c r="AT198">
        <v>0</v>
      </c>
      <c r="AU198">
        <v>0</v>
      </c>
      <c r="AV198">
        <v>0</v>
      </c>
      <c r="AW198">
        <v>0</v>
      </c>
      <c r="AX198">
        <v>0</v>
      </c>
      <c r="AY198">
        <v>0</v>
      </c>
      <c r="AZ198">
        <v>7660214</v>
      </c>
      <c r="BA198">
        <v>0</v>
      </c>
      <c r="BB198">
        <v>0</v>
      </c>
      <c r="BC198">
        <v>0</v>
      </c>
      <c r="BD198">
        <v>6326</v>
      </c>
      <c r="BE198">
        <v>0</v>
      </c>
      <c r="BF198">
        <v>21680458</v>
      </c>
      <c r="BH198">
        <v>0</v>
      </c>
      <c r="BI198">
        <v>0</v>
      </c>
      <c r="BJ198">
        <v>15397557</v>
      </c>
      <c r="BK198">
        <v>0</v>
      </c>
      <c r="BL198">
        <v>0</v>
      </c>
      <c r="BM198">
        <v>1947877</v>
      </c>
      <c r="BN198">
        <v>5873703</v>
      </c>
      <c r="BO198">
        <v>0</v>
      </c>
      <c r="BQ198">
        <v>0</v>
      </c>
      <c r="BS198">
        <v>1904128</v>
      </c>
      <c r="BT198">
        <v>0</v>
      </c>
      <c r="BV198">
        <v>0</v>
      </c>
    </row>
    <row r="199" spans="1:74" x14ac:dyDescent="0.3">
      <c r="A199" s="155">
        <v>660</v>
      </c>
      <c r="B199" t="s">
        <v>914</v>
      </c>
      <c r="D199">
        <v>0</v>
      </c>
      <c r="E199">
        <v>62570963</v>
      </c>
      <c r="G199">
        <v>0</v>
      </c>
      <c r="H199">
        <v>0</v>
      </c>
      <c r="I199">
        <v>0</v>
      </c>
      <c r="J199">
        <v>0</v>
      </c>
      <c r="K199">
        <v>0</v>
      </c>
      <c r="L199">
        <v>0</v>
      </c>
      <c r="M199">
        <v>0</v>
      </c>
      <c r="N199">
        <v>0</v>
      </c>
      <c r="O199">
        <v>0</v>
      </c>
      <c r="Q199">
        <v>0</v>
      </c>
      <c r="R199">
        <v>0</v>
      </c>
      <c r="S199">
        <v>0</v>
      </c>
      <c r="T199">
        <v>0</v>
      </c>
      <c r="V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3767242</v>
      </c>
      <c r="AT199">
        <v>0</v>
      </c>
      <c r="AU199">
        <v>0</v>
      </c>
      <c r="AV199">
        <v>0</v>
      </c>
      <c r="AW199">
        <v>0</v>
      </c>
      <c r="AX199">
        <v>0</v>
      </c>
      <c r="AY199">
        <v>0</v>
      </c>
      <c r="AZ199">
        <v>0</v>
      </c>
      <c r="BA199">
        <v>0</v>
      </c>
      <c r="BB199">
        <v>0</v>
      </c>
      <c r="BC199">
        <v>0</v>
      </c>
      <c r="BD199">
        <v>0</v>
      </c>
      <c r="BE199">
        <v>0</v>
      </c>
      <c r="BF199">
        <v>0</v>
      </c>
      <c r="BH199">
        <v>0</v>
      </c>
      <c r="BI199">
        <v>0</v>
      </c>
      <c r="BJ199">
        <v>0</v>
      </c>
      <c r="BK199">
        <v>0</v>
      </c>
      <c r="BL199">
        <v>0</v>
      </c>
      <c r="BM199">
        <v>0</v>
      </c>
      <c r="BN199">
        <v>0</v>
      </c>
      <c r="BO199">
        <v>0</v>
      </c>
      <c r="BQ199">
        <v>0</v>
      </c>
      <c r="BS199">
        <v>0</v>
      </c>
      <c r="BT199">
        <v>0</v>
      </c>
      <c r="BV199">
        <v>0</v>
      </c>
    </row>
    <row r="200" spans="1:74" x14ac:dyDescent="0.3">
      <c r="A200" s="155">
        <v>661</v>
      </c>
      <c r="B200" t="s">
        <v>418</v>
      </c>
      <c r="D200">
        <v>0</v>
      </c>
      <c r="E200">
        <v>23.3</v>
      </c>
      <c r="G200">
        <v>0</v>
      </c>
      <c r="H200">
        <v>0</v>
      </c>
      <c r="I200">
        <v>0</v>
      </c>
      <c r="J200">
        <v>0</v>
      </c>
      <c r="K200">
        <v>0</v>
      </c>
      <c r="L200">
        <v>0</v>
      </c>
      <c r="M200">
        <v>0</v>
      </c>
      <c r="N200">
        <v>0</v>
      </c>
      <c r="O200">
        <v>0</v>
      </c>
      <c r="Q200">
        <v>0</v>
      </c>
      <c r="R200">
        <v>0</v>
      </c>
      <c r="S200">
        <v>0</v>
      </c>
      <c r="T200">
        <v>0</v>
      </c>
      <c r="V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7.6</v>
      </c>
      <c r="AT200">
        <v>0</v>
      </c>
      <c r="AU200">
        <v>0</v>
      </c>
      <c r="AV200">
        <v>0</v>
      </c>
      <c r="AW200">
        <v>0</v>
      </c>
      <c r="AX200">
        <v>0</v>
      </c>
      <c r="AY200">
        <v>0</v>
      </c>
      <c r="AZ200">
        <v>0</v>
      </c>
      <c r="BA200">
        <v>0</v>
      </c>
      <c r="BB200">
        <v>0</v>
      </c>
      <c r="BC200">
        <v>0</v>
      </c>
      <c r="BD200">
        <v>0</v>
      </c>
      <c r="BE200">
        <v>0</v>
      </c>
      <c r="BF200">
        <v>0</v>
      </c>
      <c r="BH200">
        <v>0</v>
      </c>
      <c r="BI200">
        <v>0</v>
      </c>
      <c r="BJ200">
        <v>0</v>
      </c>
      <c r="BK200">
        <v>0</v>
      </c>
      <c r="BL200">
        <v>0</v>
      </c>
      <c r="BM200">
        <v>0</v>
      </c>
      <c r="BN200">
        <v>0</v>
      </c>
      <c r="BO200">
        <v>0</v>
      </c>
      <c r="BQ200">
        <v>0</v>
      </c>
      <c r="BS200">
        <v>0</v>
      </c>
      <c r="BT200">
        <v>0</v>
      </c>
      <c r="BV200">
        <v>0</v>
      </c>
    </row>
    <row r="201" spans="1:74" x14ac:dyDescent="0.3">
      <c r="A201" s="155">
        <v>662</v>
      </c>
      <c r="B201" t="s">
        <v>448</v>
      </c>
      <c r="D201">
        <v>0</v>
      </c>
      <c r="E201">
        <v>0</v>
      </c>
      <c r="L201">
        <v>0</v>
      </c>
      <c r="M201">
        <v>143015</v>
      </c>
      <c r="T201">
        <v>0</v>
      </c>
      <c r="Z201">
        <v>127979</v>
      </c>
      <c r="AH201">
        <v>0</v>
      </c>
      <c r="AM201">
        <v>0</v>
      </c>
      <c r="AO201">
        <v>0</v>
      </c>
      <c r="AS201">
        <v>0</v>
      </c>
      <c r="AZ201">
        <v>0</v>
      </c>
      <c r="BF201">
        <v>0</v>
      </c>
      <c r="BJ201">
        <v>0</v>
      </c>
      <c r="BN201">
        <v>0</v>
      </c>
      <c r="BV201">
        <v>0</v>
      </c>
    </row>
    <row r="202" spans="1:74" x14ac:dyDescent="0.3">
      <c r="A202" s="155">
        <v>663</v>
      </c>
      <c r="B202" t="s">
        <v>915</v>
      </c>
      <c r="D202">
        <v>0</v>
      </c>
      <c r="E202">
        <v>23748938</v>
      </c>
      <c r="L202">
        <v>0</v>
      </c>
      <c r="M202">
        <v>24000</v>
      </c>
      <c r="T202">
        <v>0</v>
      </c>
      <c r="Z202">
        <v>3165708</v>
      </c>
      <c r="AH202">
        <v>0</v>
      </c>
      <c r="AM202">
        <v>0</v>
      </c>
      <c r="AO202">
        <v>99804</v>
      </c>
      <c r="AS202">
        <v>0</v>
      </c>
      <c r="AZ202">
        <v>0</v>
      </c>
      <c r="BF202">
        <v>98453</v>
      </c>
      <c r="BJ202">
        <v>0</v>
      </c>
      <c r="BN202">
        <v>0</v>
      </c>
      <c r="BV202">
        <v>0</v>
      </c>
    </row>
    <row r="203" spans="1:74" x14ac:dyDescent="0.3">
      <c r="A203" s="155">
        <v>906</v>
      </c>
      <c r="B203" t="s">
        <v>916</v>
      </c>
      <c r="D203">
        <v>1</v>
      </c>
      <c r="E203">
        <v>1</v>
      </c>
      <c r="G203">
        <v>1</v>
      </c>
      <c r="H203">
        <v>1</v>
      </c>
      <c r="I203">
        <v>1</v>
      </c>
      <c r="J203">
        <v>1</v>
      </c>
      <c r="K203">
        <v>1</v>
      </c>
      <c r="L203">
        <v>1</v>
      </c>
      <c r="M203">
        <v>1</v>
      </c>
      <c r="N203">
        <v>1</v>
      </c>
      <c r="O203">
        <v>1</v>
      </c>
      <c r="Q203">
        <v>1</v>
      </c>
      <c r="R203">
        <v>1</v>
      </c>
      <c r="S203">
        <v>1</v>
      </c>
      <c r="T203">
        <v>1</v>
      </c>
      <c r="V203">
        <v>1</v>
      </c>
      <c r="X203">
        <v>1</v>
      </c>
      <c r="Y203">
        <v>1</v>
      </c>
      <c r="Z203">
        <v>1</v>
      </c>
      <c r="AA203">
        <v>1</v>
      </c>
      <c r="AB203">
        <v>1</v>
      </c>
      <c r="AC203">
        <v>1</v>
      </c>
      <c r="AD203">
        <v>1</v>
      </c>
      <c r="AE203">
        <v>1</v>
      </c>
      <c r="AF203">
        <v>1</v>
      </c>
      <c r="AG203">
        <v>1</v>
      </c>
      <c r="AH203">
        <v>1</v>
      </c>
      <c r="AI203">
        <v>1</v>
      </c>
      <c r="AJ203">
        <v>1</v>
      </c>
      <c r="AK203">
        <v>1</v>
      </c>
      <c r="AL203">
        <v>1</v>
      </c>
      <c r="AM203">
        <v>1</v>
      </c>
      <c r="AN203">
        <v>1</v>
      </c>
      <c r="AO203">
        <v>1</v>
      </c>
      <c r="AP203">
        <v>1</v>
      </c>
      <c r="AQ203">
        <v>1</v>
      </c>
      <c r="AR203">
        <v>1</v>
      </c>
      <c r="AS203">
        <v>1</v>
      </c>
      <c r="AT203">
        <v>1</v>
      </c>
      <c r="AU203">
        <v>1</v>
      </c>
      <c r="AV203">
        <v>1</v>
      </c>
      <c r="AW203">
        <v>1</v>
      </c>
      <c r="AX203">
        <v>1</v>
      </c>
      <c r="AY203">
        <v>1</v>
      </c>
      <c r="AZ203">
        <v>1</v>
      </c>
      <c r="BA203">
        <v>1</v>
      </c>
      <c r="BB203">
        <v>1</v>
      </c>
      <c r="BC203">
        <v>1</v>
      </c>
      <c r="BD203">
        <v>1</v>
      </c>
      <c r="BE203">
        <v>1</v>
      </c>
      <c r="BF203">
        <v>1</v>
      </c>
      <c r="BH203">
        <v>1</v>
      </c>
      <c r="BI203">
        <v>1</v>
      </c>
      <c r="BJ203">
        <v>1</v>
      </c>
      <c r="BK203">
        <v>1</v>
      </c>
      <c r="BL203">
        <v>1</v>
      </c>
      <c r="BM203">
        <v>1</v>
      </c>
      <c r="BN203">
        <v>1</v>
      </c>
      <c r="BO203">
        <v>1</v>
      </c>
      <c r="BQ203">
        <v>1</v>
      </c>
      <c r="BS203">
        <v>1</v>
      </c>
      <c r="BT203">
        <v>1</v>
      </c>
      <c r="BV203">
        <v>1</v>
      </c>
    </row>
    <row r="204" spans="1:74" x14ac:dyDescent="0.3">
      <c r="A204" s="155">
        <v>907</v>
      </c>
      <c r="B204" t="s">
        <v>917</v>
      </c>
      <c r="D204">
        <v>1</v>
      </c>
      <c r="E204">
        <v>2</v>
      </c>
      <c r="G204">
        <v>2</v>
      </c>
      <c r="H204">
        <v>2</v>
      </c>
      <c r="I204">
        <v>1</v>
      </c>
      <c r="J204">
        <v>2</v>
      </c>
      <c r="K204">
        <v>2</v>
      </c>
      <c r="L204">
        <v>2</v>
      </c>
      <c r="M204">
        <v>2</v>
      </c>
      <c r="N204">
        <v>1</v>
      </c>
      <c r="O204">
        <v>2</v>
      </c>
      <c r="Q204">
        <v>1</v>
      </c>
      <c r="R204">
        <v>1</v>
      </c>
      <c r="S204">
        <v>2</v>
      </c>
      <c r="T204">
        <v>2</v>
      </c>
      <c r="V204">
        <v>1</v>
      </c>
      <c r="X204">
        <v>2</v>
      </c>
      <c r="Y204">
        <v>2</v>
      </c>
      <c r="Z204">
        <v>2</v>
      </c>
      <c r="AA204">
        <v>2</v>
      </c>
      <c r="AB204">
        <v>2</v>
      </c>
      <c r="AC204">
        <v>2</v>
      </c>
      <c r="AD204">
        <v>2</v>
      </c>
      <c r="AE204">
        <v>1</v>
      </c>
      <c r="AF204">
        <v>2</v>
      </c>
      <c r="AG204">
        <v>2</v>
      </c>
      <c r="AH204">
        <v>2</v>
      </c>
      <c r="AI204">
        <v>1</v>
      </c>
      <c r="AJ204">
        <v>2</v>
      </c>
      <c r="AK204">
        <v>1</v>
      </c>
      <c r="AL204">
        <v>2</v>
      </c>
      <c r="AM204">
        <v>1</v>
      </c>
      <c r="AN204">
        <v>1</v>
      </c>
      <c r="AO204">
        <v>2</v>
      </c>
      <c r="AP204">
        <v>1</v>
      </c>
      <c r="AQ204">
        <v>2</v>
      </c>
      <c r="AR204">
        <v>1</v>
      </c>
      <c r="AS204">
        <v>2</v>
      </c>
      <c r="AT204">
        <v>1</v>
      </c>
      <c r="AU204">
        <v>1</v>
      </c>
      <c r="AV204">
        <v>2</v>
      </c>
      <c r="AW204">
        <v>1</v>
      </c>
      <c r="AX204">
        <v>2</v>
      </c>
      <c r="AY204">
        <v>1</v>
      </c>
      <c r="AZ204">
        <v>2</v>
      </c>
      <c r="BA204">
        <v>2</v>
      </c>
      <c r="BB204">
        <v>1</v>
      </c>
      <c r="BC204">
        <v>1</v>
      </c>
      <c r="BD204">
        <v>2</v>
      </c>
      <c r="BE204">
        <v>1</v>
      </c>
      <c r="BF204">
        <v>2</v>
      </c>
      <c r="BH204">
        <v>1</v>
      </c>
      <c r="BI204">
        <v>1</v>
      </c>
      <c r="BJ204">
        <v>2</v>
      </c>
      <c r="BK204">
        <v>1</v>
      </c>
      <c r="BL204">
        <v>2</v>
      </c>
      <c r="BM204">
        <v>2</v>
      </c>
      <c r="BN204">
        <v>2</v>
      </c>
      <c r="BO204">
        <v>1</v>
      </c>
      <c r="BQ204">
        <v>1</v>
      </c>
      <c r="BS204">
        <v>2</v>
      </c>
      <c r="BT204">
        <v>2</v>
      </c>
      <c r="BV204">
        <v>2</v>
      </c>
    </row>
    <row r="205" spans="1:74" x14ac:dyDescent="0.3">
      <c r="A205" s="155">
        <v>947</v>
      </c>
      <c r="B205" t="s">
        <v>918</v>
      </c>
      <c r="D205" t="s">
        <v>2053</v>
      </c>
      <c r="E205" t="s">
        <v>2054</v>
      </c>
      <c r="G205" t="s">
        <v>2055</v>
      </c>
      <c r="H205" t="s">
        <v>1979</v>
      </c>
      <c r="I205" t="s">
        <v>1591</v>
      </c>
      <c r="J205" t="s">
        <v>2056</v>
      </c>
      <c r="K205" t="s">
        <v>2057</v>
      </c>
      <c r="L205" t="s">
        <v>2058</v>
      </c>
      <c r="M205" t="s">
        <v>2059</v>
      </c>
      <c r="N205" t="s">
        <v>2060</v>
      </c>
      <c r="O205" t="s">
        <v>1548</v>
      </c>
      <c r="Q205" t="s">
        <v>1550</v>
      </c>
      <c r="R205" t="s">
        <v>2061</v>
      </c>
      <c r="S205" t="s">
        <v>2062</v>
      </c>
      <c r="T205" t="s">
        <v>2063</v>
      </c>
      <c r="V205" t="s">
        <v>1062</v>
      </c>
      <c r="X205" t="s">
        <v>2064</v>
      </c>
      <c r="Y205" t="s">
        <v>2065</v>
      </c>
      <c r="Z205" t="s">
        <v>2066</v>
      </c>
      <c r="AA205" t="s">
        <v>2067</v>
      </c>
      <c r="AB205" t="s">
        <v>2068</v>
      </c>
      <c r="AC205" t="s">
        <v>2069</v>
      </c>
      <c r="AD205" t="s">
        <v>2070</v>
      </c>
      <c r="AE205" t="s">
        <v>2071</v>
      </c>
      <c r="AF205" t="s">
        <v>1980</v>
      </c>
      <c r="AG205" t="s">
        <v>2072</v>
      </c>
      <c r="AH205" t="s">
        <v>2073</v>
      </c>
      <c r="AI205" t="s">
        <v>2074</v>
      </c>
      <c r="AJ205" t="s">
        <v>2075</v>
      </c>
      <c r="AK205" t="s">
        <v>2076</v>
      </c>
      <c r="AL205" t="s">
        <v>2077</v>
      </c>
      <c r="AM205" t="s">
        <v>2078</v>
      </c>
      <c r="AN205" t="s">
        <v>2079</v>
      </c>
      <c r="AO205" t="s">
        <v>1017</v>
      </c>
      <c r="AP205" t="s">
        <v>2080</v>
      </c>
      <c r="AQ205" t="s">
        <v>2081</v>
      </c>
      <c r="AR205" t="s">
        <v>2082</v>
      </c>
      <c r="AS205" t="s">
        <v>2083</v>
      </c>
      <c r="AT205" t="s">
        <v>2084</v>
      </c>
      <c r="AU205" t="s">
        <v>2085</v>
      </c>
      <c r="AV205" t="s">
        <v>2086</v>
      </c>
      <c r="AW205" t="s">
        <v>2087</v>
      </c>
      <c r="AX205" t="s">
        <v>2088</v>
      </c>
      <c r="AY205" t="s">
        <v>2089</v>
      </c>
      <c r="AZ205" t="s">
        <v>1551</v>
      </c>
      <c r="BA205" t="s">
        <v>2090</v>
      </c>
      <c r="BB205" t="s">
        <v>1978</v>
      </c>
      <c r="BC205" t="s">
        <v>2091</v>
      </c>
      <c r="BD205" t="s">
        <v>2092</v>
      </c>
      <c r="BE205" t="s">
        <v>2093</v>
      </c>
      <c r="BF205" t="s">
        <v>2083</v>
      </c>
      <c r="BH205" t="s">
        <v>920</v>
      </c>
      <c r="BI205" t="s">
        <v>1551</v>
      </c>
      <c r="BJ205" t="s">
        <v>2094</v>
      </c>
      <c r="BK205" t="s">
        <v>2095</v>
      </c>
      <c r="BL205" t="s">
        <v>2096</v>
      </c>
      <c r="BM205" t="s">
        <v>2097</v>
      </c>
      <c r="BN205" t="s">
        <v>2098</v>
      </c>
      <c r="BO205" t="s">
        <v>919</v>
      </c>
      <c r="BQ205" t="s">
        <v>2099</v>
      </c>
      <c r="BS205" t="s">
        <v>2100</v>
      </c>
      <c r="BT205" t="s">
        <v>2101</v>
      </c>
      <c r="BV205" t="s">
        <v>2102</v>
      </c>
    </row>
    <row r="206" spans="1:74" x14ac:dyDescent="0.3">
      <c r="A206" s="155">
        <v>948</v>
      </c>
      <c r="B206" t="s">
        <v>921</v>
      </c>
      <c r="D206" t="s">
        <v>2103</v>
      </c>
      <c r="E206" t="s">
        <v>2104</v>
      </c>
      <c r="G206" t="s">
        <v>2105</v>
      </c>
      <c r="H206" t="s">
        <v>2106</v>
      </c>
      <c r="I206" t="s">
        <v>2107</v>
      </c>
      <c r="J206" t="s">
        <v>2108</v>
      </c>
      <c r="K206" t="s">
        <v>2109</v>
      </c>
      <c r="L206" t="s">
        <v>2110</v>
      </c>
      <c r="M206" t="s">
        <v>2111</v>
      </c>
      <c r="N206" t="s">
        <v>2112</v>
      </c>
      <c r="O206" t="s">
        <v>2113</v>
      </c>
      <c r="Q206" t="s">
        <v>2114</v>
      </c>
      <c r="R206" t="s">
        <v>2115</v>
      </c>
      <c r="S206" t="s">
        <v>2116</v>
      </c>
      <c r="T206" t="s">
        <v>2117</v>
      </c>
      <c r="V206" t="s">
        <v>2118</v>
      </c>
      <c r="X206" t="s">
        <v>2119</v>
      </c>
      <c r="Y206" t="s">
        <v>1182</v>
      </c>
      <c r="Z206" t="s">
        <v>2120</v>
      </c>
      <c r="AA206" t="s">
        <v>2121</v>
      </c>
      <c r="AB206" t="s">
        <v>2122</v>
      </c>
      <c r="AC206" t="s">
        <v>2123</v>
      </c>
      <c r="AD206" t="s">
        <v>2124</v>
      </c>
      <c r="AE206" t="s">
        <v>434</v>
      </c>
      <c r="AF206" t="s">
        <v>2125</v>
      </c>
      <c r="AG206" t="s">
        <v>2126</v>
      </c>
      <c r="AH206" t="s">
        <v>2127</v>
      </c>
      <c r="AI206" t="s">
        <v>2128</v>
      </c>
      <c r="AJ206" t="s">
        <v>2129</v>
      </c>
      <c r="AK206" t="s">
        <v>2130</v>
      </c>
      <c r="AL206" t="s">
        <v>2131</v>
      </c>
      <c r="AM206" t="s">
        <v>2132</v>
      </c>
      <c r="AN206" t="s">
        <v>1552</v>
      </c>
      <c r="AO206" t="s">
        <v>2133</v>
      </c>
      <c r="AP206" t="s">
        <v>2134</v>
      </c>
      <c r="AQ206" t="s">
        <v>2135</v>
      </c>
      <c r="AR206" t="s">
        <v>2136</v>
      </c>
      <c r="AS206" t="s">
        <v>2137</v>
      </c>
      <c r="AT206" t="s">
        <v>1043</v>
      </c>
      <c r="AU206" t="s">
        <v>2138</v>
      </c>
      <c r="AV206" t="s">
        <v>2139</v>
      </c>
      <c r="AW206" t="s">
        <v>2140</v>
      </c>
      <c r="AX206" t="s">
        <v>2141</v>
      </c>
      <c r="AY206" t="s">
        <v>2142</v>
      </c>
      <c r="AZ206" t="s">
        <v>2143</v>
      </c>
      <c r="BA206" t="s">
        <v>2144</v>
      </c>
      <c r="BB206" t="s">
        <v>1592</v>
      </c>
      <c r="BC206" t="s">
        <v>2145</v>
      </c>
      <c r="BD206" t="s">
        <v>2146</v>
      </c>
      <c r="BE206" t="s">
        <v>2147</v>
      </c>
      <c r="BF206" t="s">
        <v>1593</v>
      </c>
      <c r="BH206" t="s">
        <v>2148</v>
      </c>
      <c r="BI206" t="s">
        <v>2149</v>
      </c>
      <c r="BJ206" t="s">
        <v>2150</v>
      </c>
      <c r="BK206" t="s">
        <v>2151</v>
      </c>
      <c r="BL206" t="s">
        <v>2152</v>
      </c>
      <c r="BM206" t="s">
        <v>2153</v>
      </c>
      <c r="BN206" t="s">
        <v>2154</v>
      </c>
      <c r="BO206" t="s">
        <v>2155</v>
      </c>
      <c r="BQ206" t="s">
        <v>2156</v>
      </c>
      <c r="BS206" t="s">
        <v>2157</v>
      </c>
      <c r="BT206" t="s">
        <v>2158</v>
      </c>
      <c r="BV206" t="s">
        <v>2107</v>
      </c>
    </row>
    <row r="207" spans="1:74" x14ac:dyDescent="0.3">
      <c r="A207" s="155">
        <v>949</v>
      </c>
      <c r="B207" t="s">
        <v>922</v>
      </c>
      <c r="D207" t="s">
        <v>410</v>
      </c>
      <c r="E207" t="s">
        <v>410</v>
      </c>
      <c r="G207" t="s">
        <v>410</v>
      </c>
      <c r="H207" t="s">
        <v>410</v>
      </c>
      <c r="I207" t="s">
        <v>410</v>
      </c>
      <c r="J207" t="s">
        <v>410</v>
      </c>
      <c r="K207" t="s">
        <v>410</v>
      </c>
      <c r="L207" t="s">
        <v>410</v>
      </c>
      <c r="M207" t="s">
        <v>410</v>
      </c>
      <c r="N207" t="s">
        <v>410</v>
      </c>
      <c r="O207" t="s">
        <v>410</v>
      </c>
      <c r="Q207" t="s">
        <v>410</v>
      </c>
      <c r="R207" t="s">
        <v>410</v>
      </c>
      <c r="S207" t="s">
        <v>410</v>
      </c>
      <c r="T207" t="s">
        <v>410</v>
      </c>
      <c r="V207" t="s">
        <v>410</v>
      </c>
      <c r="X207" t="s">
        <v>410</v>
      </c>
      <c r="Y207" t="s">
        <v>410</v>
      </c>
      <c r="Z207" t="s">
        <v>428</v>
      </c>
      <c r="AA207" t="s">
        <v>410</v>
      </c>
      <c r="AB207" t="s">
        <v>410</v>
      </c>
      <c r="AC207" t="s">
        <v>410</v>
      </c>
      <c r="AD207" t="s">
        <v>410</v>
      </c>
      <c r="AE207" t="s">
        <v>410</v>
      </c>
      <c r="AF207" t="s">
        <v>410</v>
      </c>
      <c r="AG207" t="s">
        <v>410</v>
      </c>
      <c r="AH207" t="s">
        <v>410</v>
      </c>
      <c r="AI207" t="s">
        <v>410</v>
      </c>
      <c r="AJ207" t="s">
        <v>428</v>
      </c>
      <c r="AK207" t="s">
        <v>410</v>
      </c>
      <c r="AL207" t="s">
        <v>410</v>
      </c>
      <c r="AM207" t="s">
        <v>410</v>
      </c>
      <c r="AN207" t="s">
        <v>410</v>
      </c>
      <c r="AO207" t="s">
        <v>410</v>
      </c>
      <c r="AP207" t="s">
        <v>410</v>
      </c>
      <c r="AQ207" t="s">
        <v>428</v>
      </c>
      <c r="AR207" t="s">
        <v>410</v>
      </c>
      <c r="AS207" t="s">
        <v>410</v>
      </c>
      <c r="AT207" t="s">
        <v>410</v>
      </c>
      <c r="AU207" t="s">
        <v>410</v>
      </c>
      <c r="AV207" t="s">
        <v>428</v>
      </c>
      <c r="AW207" t="s">
        <v>410</v>
      </c>
      <c r="AX207" t="s">
        <v>410</v>
      </c>
      <c r="AY207" t="s">
        <v>410</v>
      </c>
      <c r="AZ207" t="s">
        <v>410</v>
      </c>
      <c r="BA207" t="s">
        <v>1981</v>
      </c>
      <c r="BB207" t="s">
        <v>410</v>
      </c>
      <c r="BC207" t="s">
        <v>410</v>
      </c>
      <c r="BD207" t="s">
        <v>410</v>
      </c>
      <c r="BE207" t="s">
        <v>410</v>
      </c>
      <c r="BF207" t="s">
        <v>410</v>
      </c>
      <c r="BH207" t="s">
        <v>410</v>
      </c>
      <c r="BI207" t="s">
        <v>410</v>
      </c>
      <c r="BJ207" t="s">
        <v>410</v>
      </c>
      <c r="BK207" t="s">
        <v>410</v>
      </c>
      <c r="BL207" t="s">
        <v>410</v>
      </c>
      <c r="BM207" t="s">
        <v>410</v>
      </c>
      <c r="BN207" t="s">
        <v>410</v>
      </c>
      <c r="BO207" t="s">
        <v>410</v>
      </c>
      <c r="BQ207" t="s">
        <v>428</v>
      </c>
      <c r="BS207" t="s">
        <v>410</v>
      </c>
      <c r="BT207" t="s">
        <v>410</v>
      </c>
      <c r="BV207" t="s">
        <v>410</v>
      </c>
    </row>
    <row r="208" spans="1:74" x14ac:dyDescent="0.3">
      <c r="A208" s="155">
        <v>950</v>
      </c>
      <c r="B208" t="s">
        <v>923</v>
      </c>
      <c r="D208" t="s">
        <v>50</v>
      </c>
      <c r="E208" t="s">
        <v>50</v>
      </c>
      <c r="G208" t="s">
        <v>50</v>
      </c>
      <c r="H208" t="s">
        <v>50</v>
      </c>
      <c r="I208" t="s">
        <v>50</v>
      </c>
      <c r="J208" t="s">
        <v>50</v>
      </c>
      <c r="K208" t="s">
        <v>50</v>
      </c>
      <c r="L208" t="s">
        <v>50</v>
      </c>
      <c r="M208" t="s">
        <v>50</v>
      </c>
      <c r="N208" t="s">
        <v>50</v>
      </c>
      <c r="O208" t="s">
        <v>50</v>
      </c>
      <c r="Q208" t="s">
        <v>50</v>
      </c>
      <c r="R208" t="s">
        <v>50</v>
      </c>
      <c r="S208" t="s">
        <v>50</v>
      </c>
      <c r="T208" t="s">
        <v>50</v>
      </c>
      <c r="V208" t="s">
        <v>50</v>
      </c>
      <c r="X208" t="s">
        <v>50</v>
      </c>
      <c r="Y208" t="s">
        <v>50</v>
      </c>
      <c r="Z208" t="s">
        <v>50</v>
      </c>
      <c r="AA208" t="s">
        <v>50</v>
      </c>
      <c r="AB208" t="s">
        <v>50</v>
      </c>
      <c r="AC208" t="s">
        <v>50</v>
      </c>
      <c r="AD208" t="s">
        <v>50</v>
      </c>
      <c r="AE208" t="s">
        <v>50</v>
      </c>
      <c r="AF208" t="s">
        <v>50</v>
      </c>
      <c r="AG208" t="s">
        <v>50</v>
      </c>
      <c r="AH208" t="s">
        <v>50</v>
      </c>
      <c r="AI208" t="s">
        <v>50</v>
      </c>
      <c r="AJ208" t="s">
        <v>50</v>
      </c>
      <c r="AK208" t="s">
        <v>50</v>
      </c>
      <c r="AL208" t="s">
        <v>50</v>
      </c>
      <c r="AM208" t="s">
        <v>50</v>
      </c>
      <c r="AN208" t="s">
        <v>50</v>
      </c>
      <c r="AO208" t="s">
        <v>50</v>
      </c>
      <c r="AP208" t="s">
        <v>50</v>
      </c>
      <c r="AQ208" t="s">
        <v>50</v>
      </c>
      <c r="AR208" t="s">
        <v>50</v>
      </c>
      <c r="AS208" t="s">
        <v>50</v>
      </c>
      <c r="AT208" t="s">
        <v>50</v>
      </c>
      <c r="AU208" t="s">
        <v>50</v>
      </c>
      <c r="AV208" t="s">
        <v>50</v>
      </c>
      <c r="AW208" t="s">
        <v>50</v>
      </c>
      <c r="AX208" t="s">
        <v>50</v>
      </c>
      <c r="AY208" t="s">
        <v>50</v>
      </c>
      <c r="AZ208" t="s">
        <v>50</v>
      </c>
      <c r="BA208" t="s">
        <v>1597</v>
      </c>
      <c r="BB208" t="s">
        <v>50</v>
      </c>
      <c r="BC208" t="s">
        <v>50</v>
      </c>
      <c r="BD208" t="s">
        <v>50</v>
      </c>
      <c r="BE208" t="s">
        <v>50</v>
      </c>
      <c r="BF208" t="s">
        <v>50</v>
      </c>
      <c r="BH208" t="s">
        <v>50</v>
      </c>
      <c r="BI208" t="s">
        <v>50</v>
      </c>
      <c r="BJ208" t="s">
        <v>50</v>
      </c>
      <c r="BK208" t="s">
        <v>50</v>
      </c>
      <c r="BL208" t="s">
        <v>50</v>
      </c>
      <c r="BM208" t="s">
        <v>50</v>
      </c>
      <c r="BN208" t="s">
        <v>50</v>
      </c>
      <c r="BO208" t="s">
        <v>50</v>
      </c>
      <c r="BQ208" t="s">
        <v>51</v>
      </c>
      <c r="BS208" t="s">
        <v>50</v>
      </c>
      <c r="BT208" t="s">
        <v>50</v>
      </c>
      <c r="BV208" t="s">
        <v>50</v>
      </c>
    </row>
    <row r="209" spans="1:74" x14ac:dyDescent="0.3">
      <c r="A209" s="155">
        <v>951</v>
      </c>
      <c r="B209" t="s">
        <v>924</v>
      </c>
      <c r="D209">
        <v>2</v>
      </c>
      <c r="E209">
        <v>2</v>
      </c>
      <c r="G209">
        <v>2</v>
      </c>
      <c r="H209">
        <v>2</v>
      </c>
      <c r="I209">
        <v>2</v>
      </c>
      <c r="J209">
        <v>2</v>
      </c>
      <c r="K209">
        <v>2</v>
      </c>
      <c r="L209">
        <v>2</v>
      </c>
      <c r="M209">
        <v>2</v>
      </c>
      <c r="N209">
        <v>2</v>
      </c>
      <c r="O209">
        <v>2</v>
      </c>
      <c r="Q209">
        <v>2</v>
      </c>
      <c r="R209">
        <v>1</v>
      </c>
      <c r="S209">
        <v>2</v>
      </c>
      <c r="T209">
        <v>2</v>
      </c>
      <c r="V209">
        <v>2</v>
      </c>
      <c r="X209">
        <v>2</v>
      </c>
      <c r="Y209">
        <v>2</v>
      </c>
      <c r="Z209">
        <v>2</v>
      </c>
      <c r="AA209">
        <v>2</v>
      </c>
      <c r="AB209">
        <v>2</v>
      </c>
      <c r="AC209">
        <v>2</v>
      </c>
      <c r="AD209">
        <v>2</v>
      </c>
      <c r="AE209">
        <v>2</v>
      </c>
      <c r="AF209">
        <v>2</v>
      </c>
      <c r="AG209">
        <v>2</v>
      </c>
      <c r="AH209">
        <v>2</v>
      </c>
      <c r="AI209">
        <v>1</v>
      </c>
      <c r="AJ209">
        <v>2</v>
      </c>
      <c r="AK209">
        <v>2</v>
      </c>
      <c r="AL209">
        <v>2</v>
      </c>
      <c r="AM209">
        <v>2</v>
      </c>
      <c r="AN209">
        <v>2</v>
      </c>
      <c r="AO209">
        <v>2</v>
      </c>
      <c r="AP209">
        <v>2</v>
      </c>
      <c r="AQ209">
        <v>2</v>
      </c>
      <c r="AR209">
        <v>2</v>
      </c>
      <c r="AS209">
        <v>2</v>
      </c>
      <c r="AT209">
        <v>2</v>
      </c>
      <c r="AU209">
        <v>2</v>
      </c>
      <c r="AV209">
        <v>2</v>
      </c>
      <c r="AW209">
        <v>2</v>
      </c>
      <c r="AX209">
        <v>2</v>
      </c>
      <c r="AY209">
        <v>1</v>
      </c>
      <c r="AZ209">
        <v>2</v>
      </c>
      <c r="BA209">
        <v>2</v>
      </c>
      <c r="BB209">
        <v>1</v>
      </c>
      <c r="BC209">
        <v>1</v>
      </c>
      <c r="BD209">
        <v>2</v>
      </c>
      <c r="BE209">
        <v>2</v>
      </c>
      <c r="BF209">
        <v>2</v>
      </c>
      <c r="BH209">
        <v>1</v>
      </c>
      <c r="BI209">
        <v>2</v>
      </c>
      <c r="BJ209">
        <v>2</v>
      </c>
      <c r="BK209">
        <v>2</v>
      </c>
      <c r="BL209">
        <v>2</v>
      </c>
      <c r="BM209">
        <v>2</v>
      </c>
      <c r="BN209">
        <v>2</v>
      </c>
      <c r="BO209">
        <v>2</v>
      </c>
      <c r="BQ209">
        <v>2</v>
      </c>
      <c r="BS209">
        <v>2</v>
      </c>
      <c r="BT209">
        <v>2</v>
      </c>
      <c r="BV209">
        <v>2</v>
      </c>
    </row>
    <row r="210" spans="1:74" x14ac:dyDescent="0.3">
      <c r="A210" s="155">
        <v>952</v>
      </c>
      <c r="B210" t="s">
        <v>925</v>
      </c>
      <c r="D210" t="s">
        <v>2159</v>
      </c>
      <c r="E210" t="s">
        <v>2160</v>
      </c>
      <c r="G210" t="s">
        <v>1625</v>
      </c>
      <c r="I210" t="s">
        <v>2161</v>
      </c>
      <c r="K210" t="s">
        <v>2162</v>
      </c>
      <c r="L210" t="s">
        <v>2163</v>
      </c>
      <c r="M210" t="s">
        <v>2164</v>
      </c>
      <c r="N210" t="s">
        <v>2165</v>
      </c>
      <c r="O210" t="s">
        <v>1064</v>
      </c>
      <c r="Q210" t="s">
        <v>2166</v>
      </c>
      <c r="R210" t="s">
        <v>2167</v>
      </c>
      <c r="S210" t="s">
        <v>1614</v>
      </c>
      <c r="T210" t="s">
        <v>2168</v>
      </c>
      <c r="X210" t="s">
        <v>928</v>
      </c>
      <c r="Y210" t="s">
        <v>2169</v>
      </c>
      <c r="Z210" t="s">
        <v>2170</v>
      </c>
      <c r="AA210" t="s">
        <v>2171</v>
      </c>
      <c r="AB210" t="s">
        <v>2172</v>
      </c>
      <c r="AC210" t="s">
        <v>2173</v>
      </c>
      <c r="AD210" t="s">
        <v>2174</v>
      </c>
      <c r="AE210" t="s">
        <v>2175</v>
      </c>
      <c r="AG210" t="s">
        <v>2176</v>
      </c>
      <c r="AJ210" t="s">
        <v>2177</v>
      </c>
      <c r="AL210" t="s">
        <v>2178</v>
      </c>
      <c r="AM210" t="s">
        <v>2179</v>
      </c>
      <c r="AN210" t="s">
        <v>1595</v>
      </c>
      <c r="AO210" t="s">
        <v>2180</v>
      </c>
      <c r="AQ210" t="s">
        <v>2181</v>
      </c>
      <c r="AR210" t="s">
        <v>2165</v>
      </c>
      <c r="AS210" t="s">
        <v>2165</v>
      </c>
      <c r="AU210" t="s">
        <v>2182</v>
      </c>
      <c r="AV210" t="s">
        <v>926</v>
      </c>
      <c r="AX210" t="s">
        <v>2172</v>
      </c>
      <c r="AY210" t="s">
        <v>1063</v>
      </c>
      <c r="BB210" t="s">
        <v>2183</v>
      </c>
      <c r="BD210" t="s">
        <v>2184</v>
      </c>
      <c r="BE210" t="s">
        <v>2185</v>
      </c>
      <c r="BF210" t="s">
        <v>2186</v>
      </c>
      <c r="BH210" t="s">
        <v>2187</v>
      </c>
      <c r="BJ210" t="s">
        <v>2188</v>
      </c>
      <c r="BK210" t="s">
        <v>928</v>
      </c>
      <c r="BL210" t="s">
        <v>928</v>
      </c>
      <c r="BM210" t="s">
        <v>2189</v>
      </c>
      <c r="BN210" t="s">
        <v>2190</v>
      </c>
      <c r="BO210" t="s">
        <v>2191</v>
      </c>
      <c r="BQ210" t="s">
        <v>2192</v>
      </c>
      <c r="BS210" t="s">
        <v>928</v>
      </c>
      <c r="BV210" t="s">
        <v>2193</v>
      </c>
    </row>
    <row r="211" spans="1:74" x14ac:dyDescent="0.3">
      <c r="A211" s="155">
        <v>953</v>
      </c>
      <c r="B211" t="s">
        <v>929</v>
      </c>
      <c r="D211">
        <v>2</v>
      </c>
      <c r="E211">
        <v>2</v>
      </c>
      <c r="G211">
        <v>2</v>
      </c>
      <c r="H211">
        <v>2</v>
      </c>
      <c r="I211">
        <v>2</v>
      </c>
      <c r="J211">
        <v>2</v>
      </c>
      <c r="K211">
        <v>2</v>
      </c>
      <c r="L211">
        <v>2</v>
      </c>
      <c r="M211">
        <v>2</v>
      </c>
      <c r="N211">
        <v>2</v>
      </c>
      <c r="O211">
        <v>2</v>
      </c>
      <c r="Q211">
        <v>2</v>
      </c>
      <c r="R211">
        <v>2</v>
      </c>
      <c r="S211">
        <v>2</v>
      </c>
      <c r="T211">
        <v>2</v>
      </c>
      <c r="V211">
        <v>2</v>
      </c>
      <c r="X211">
        <v>2</v>
      </c>
      <c r="Y211">
        <v>2</v>
      </c>
      <c r="Z211">
        <v>2</v>
      </c>
      <c r="AA211">
        <v>2</v>
      </c>
      <c r="AB211">
        <v>2</v>
      </c>
      <c r="AC211">
        <v>2</v>
      </c>
      <c r="AD211">
        <v>2</v>
      </c>
      <c r="AE211">
        <v>2</v>
      </c>
      <c r="AF211">
        <v>2</v>
      </c>
      <c r="AG211">
        <v>2</v>
      </c>
      <c r="AH211">
        <v>2</v>
      </c>
      <c r="AI211">
        <v>2</v>
      </c>
      <c r="AJ211">
        <v>2</v>
      </c>
      <c r="AK211">
        <v>2</v>
      </c>
      <c r="AL211">
        <v>2</v>
      </c>
      <c r="AM211">
        <v>2</v>
      </c>
      <c r="AN211">
        <v>2</v>
      </c>
      <c r="AO211">
        <v>2</v>
      </c>
      <c r="AP211">
        <v>2</v>
      </c>
      <c r="AQ211">
        <v>2</v>
      </c>
      <c r="AR211">
        <v>2</v>
      </c>
      <c r="AS211">
        <v>2</v>
      </c>
      <c r="AT211">
        <v>2</v>
      </c>
      <c r="AU211">
        <v>2</v>
      </c>
      <c r="AV211">
        <v>2</v>
      </c>
      <c r="AW211">
        <v>2</v>
      </c>
      <c r="AX211">
        <v>2</v>
      </c>
      <c r="AY211">
        <v>2</v>
      </c>
      <c r="AZ211">
        <v>2</v>
      </c>
      <c r="BA211">
        <v>2</v>
      </c>
      <c r="BB211">
        <v>2</v>
      </c>
      <c r="BC211">
        <v>2</v>
      </c>
      <c r="BD211">
        <v>2</v>
      </c>
      <c r="BE211">
        <v>2</v>
      </c>
      <c r="BF211">
        <v>2</v>
      </c>
      <c r="BH211">
        <v>2</v>
      </c>
      <c r="BI211">
        <v>2</v>
      </c>
      <c r="BJ211">
        <v>2</v>
      </c>
      <c r="BK211">
        <v>2</v>
      </c>
      <c r="BL211">
        <v>2</v>
      </c>
      <c r="BM211">
        <v>2</v>
      </c>
      <c r="BN211">
        <v>2</v>
      </c>
      <c r="BO211">
        <v>2</v>
      </c>
      <c r="BQ211">
        <v>2</v>
      </c>
      <c r="BS211">
        <v>2</v>
      </c>
      <c r="BT211">
        <v>2</v>
      </c>
      <c r="BV211">
        <v>2</v>
      </c>
    </row>
    <row r="212" spans="1:74" x14ac:dyDescent="0.3">
      <c r="A212" s="155">
        <v>954</v>
      </c>
      <c r="B212" t="s">
        <v>408</v>
      </c>
      <c r="D212" t="s">
        <v>50</v>
      </c>
      <c r="E212" t="s">
        <v>50</v>
      </c>
      <c r="G212" t="s">
        <v>50</v>
      </c>
      <c r="H212" t="s">
        <v>50</v>
      </c>
      <c r="I212" t="s">
        <v>50</v>
      </c>
      <c r="J212" t="s">
        <v>50</v>
      </c>
      <c r="K212" t="s">
        <v>50</v>
      </c>
      <c r="L212" t="s">
        <v>50</v>
      </c>
      <c r="M212" t="s">
        <v>50</v>
      </c>
      <c r="N212" t="s">
        <v>50</v>
      </c>
      <c r="O212" t="s">
        <v>50</v>
      </c>
      <c r="Q212" t="s">
        <v>50</v>
      </c>
      <c r="R212" t="s">
        <v>50</v>
      </c>
      <c r="S212" t="s">
        <v>50</v>
      </c>
      <c r="T212" t="s">
        <v>50</v>
      </c>
      <c r="V212" t="s">
        <v>50</v>
      </c>
      <c r="X212" t="s">
        <v>50</v>
      </c>
      <c r="Y212" t="s">
        <v>50</v>
      </c>
      <c r="Z212" t="s">
        <v>50</v>
      </c>
      <c r="AA212" t="s">
        <v>50</v>
      </c>
      <c r="AB212" t="s">
        <v>50</v>
      </c>
      <c r="AC212" t="s">
        <v>50</v>
      </c>
      <c r="AD212" t="s">
        <v>50</v>
      </c>
      <c r="AE212" t="s">
        <v>50</v>
      </c>
      <c r="AF212" t="s">
        <v>50</v>
      </c>
      <c r="AG212" t="s">
        <v>50</v>
      </c>
      <c r="AH212" t="s">
        <v>50</v>
      </c>
      <c r="AI212" t="s">
        <v>50</v>
      </c>
      <c r="AJ212" t="s">
        <v>50</v>
      </c>
      <c r="AK212" t="s">
        <v>50</v>
      </c>
      <c r="AL212" t="s">
        <v>50</v>
      </c>
      <c r="AM212" t="s">
        <v>50</v>
      </c>
      <c r="AN212" t="s">
        <v>50</v>
      </c>
      <c r="AO212" t="s">
        <v>50</v>
      </c>
      <c r="AP212" t="s">
        <v>50</v>
      </c>
      <c r="AQ212" t="s">
        <v>50</v>
      </c>
      <c r="AR212" t="s">
        <v>50</v>
      </c>
      <c r="AS212" t="s">
        <v>50</v>
      </c>
      <c r="AT212" t="s">
        <v>50</v>
      </c>
      <c r="AU212" t="s">
        <v>50</v>
      </c>
      <c r="AV212" t="s">
        <v>50</v>
      </c>
      <c r="AW212" t="s">
        <v>50</v>
      </c>
      <c r="AX212" t="s">
        <v>50</v>
      </c>
      <c r="AY212" t="s">
        <v>50</v>
      </c>
      <c r="AZ212" t="s">
        <v>50</v>
      </c>
      <c r="BA212" t="s">
        <v>1597</v>
      </c>
      <c r="BB212" t="s">
        <v>50</v>
      </c>
      <c r="BC212" t="s">
        <v>50</v>
      </c>
      <c r="BD212" t="s">
        <v>50</v>
      </c>
      <c r="BE212" t="s">
        <v>50</v>
      </c>
      <c r="BF212" t="s">
        <v>50</v>
      </c>
      <c r="BH212" t="s">
        <v>50</v>
      </c>
      <c r="BI212" t="s">
        <v>50</v>
      </c>
      <c r="BJ212" t="s">
        <v>50</v>
      </c>
      <c r="BK212" t="s">
        <v>50</v>
      </c>
      <c r="BL212" t="s">
        <v>50</v>
      </c>
      <c r="BM212" t="s">
        <v>50</v>
      </c>
      <c r="BN212" t="s">
        <v>50</v>
      </c>
      <c r="BO212" t="s">
        <v>50</v>
      </c>
      <c r="BQ212" t="s">
        <v>50</v>
      </c>
      <c r="BS212" t="s">
        <v>50</v>
      </c>
      <c r="BT212" t="s">
        <v>50</v>
      </c>
      <c r="BV212" t="s">
        <v>50</v>
      </c>
    </row>
    <row r="213" spans="1:74" x14ac:dyDescent="0.3">
      <c r="A213" s="155">
        <v>955</v>
      </c>
      <c r="B213" t="s">
        <v>930</v>
      </c>
      <c r="D213">
        <v>1</v>
      </c>
      <c r="E213">
        <v>0</v>
      </c>
      <c r="G213">
        <v>0</v>
      </c>
      <c r="H213">
        <v>0</v>
      </c>
      <c r="I213">
        <v>0</v>
      </c>
      <c r="J213">
        <v>0</v>
      </c>
      <c r="K213">
        <v>0</v>
      </c>
      <c r="L213">
        <v>0</v>
      </c>
      <c r="M213">
        <v>0</v>
      </c>
      <c r="N213">
        <v>0</v>
      </c>
      <c r="O213">
        <v>0</v>
      </c>
      <c r="Q213">
        <v>1</v>
      </c>
      <c r="R213">
        <v>0</v>
      </c>
      <c r="S213">
        <v>0</v>
      </c>
      <c r="T213">
        <v>0</v>
      </c>
      <c r="V213">
        <v>1</v>
      </c>
      <c r="X213">
        <v>0</v>
      </c>
      <c r="Y213">
        <v>0</v>
      </c>
      <c r="Z213">
        <v>0</v>
      </c>
      <c r="AA213">
        <v>1</v>
      </c>
      <c r="AB213">
        <v>0</v>
      </c>
      <c r="AC213">
        <v>0</v>
      </c>
      <c r="AD213">
        <v>0</v>
      </c>
      <c r="AE213">
        <v>1</v>
      </c>
      <c r="AF213">
        <v>1</v>
      </c>
      <c r="AG213">
        <v>1</v>
      </c>
      <c r="AH213">
        <v>1</v>
      </c>
      <c r="AI213">
        <v>0</v>
      </c>
      <c r="AJ213">
        <v>3</v>
      </c>
      <c r="AK213">
        <v>0</v>
      </c>
      <c r="AL213">
        <v>0</v>
      </c>
      <c r="AM213">
        <v>0</v>
      </c>
      <c r="AN213">
        <v>2</v>
      </c>
      <c r="AO213">
        <v>1</v>
      </c>
      <c r="AP213">
        <v>0</v>
      </c>
      <c r="AQ213">
        <v>0</v>
      </c>
      <c r="AR213">
        <v>0</v>
      </c>
      <c r="AS213">
        <v>0</v>
      </c>
      <c r="AT213">
        <v>0</v>
      </c>
      <c r="AU213">
        <v>0</v>
      </c>
      <c r="AV213">
        <v>0</v>
      </c>
      <c r="AW213">
        <v>0</v>
      </c>
      <c r="AX213">
        <v>1</v>
      </c>
      <c r="AY213">
        <v>0</v>
      </c>
      <c r="AZ213">
        <v>0</v>
      </c>
      <c r="BA213">
        <v>0</v>
      </c>
      <c r="BB213">
        <v>1</v>
      </c>
      <c r="BC213">
        <v>0</v>
      </c>
      <c r="BD213">
        <v>0</v>
      </c>
      <c r="BE213">
        <v>0</v>
      </c>
      <c r="BF213">
        <v>0</v>
      </c>
      <c r="BH213">
        <v>0</v>
      </c>
      <c r="BI213">
        <v>0</v>
      </c>
      <c r="BJ213">
        <v>1</v>
      </c>
      <c r="BK213">
        <v>0</v>
      </c>
      <c r="BL213">
        <v>0</v>
      </c>
      <c r="BM213">
        <v>0</v>
      </c>
      <c r="BN213">
        <v>2</v>
      </c>
      <c r="BO213">
        <v>0</v>
      </c>
      <c r="BQ213">
        <v>0</v>
      </c>
      <c r="BS213">
        <v>0</v>
      </c>
      <c r="BT213">
        <v>1</v>
      </c>
      <c r="BV213">
        <v>0</v>
      </c>
    </row>
    <row r="214" spans="1:74" x14ac:dyDescent="0.3">
      <c r="A214" s="155">
        <v>956</v>
      </c>
      <c r="B214" t="s">
        <v>409</v>
      </c>
      <c r="D214" t="s">
        <v>50</v>
      </c>
      <c r="E214" t="s">
        <v>50</v>
      </c>
      <c r="G214" t="s">
        <v>50</v>
      </c>
      <c r="H214" t="s">
        <v>50</v>
      </c>
      <c r="I214" t="s">
        <v>50</v>
      </c>
      <c r="J214" t="s">
        <v>50</v>
      </c>
      <c r="K214" t="s">
        <v>50</v>
      </c>
      <c r="L214" t="s">
        <v>50</v>
      </c>
      <c r="M214" t="s">
        <v>50</v>
      </c>
      <c r="N214" t="s">
        <v>50</v>
      </c>
      <c r="O214" t="s">
        <v>50</v>
      </c>
      <c r="Q214" t="s">
        <v>50</v>
      </c>
      <c r="R214" t="s">
        <v>50</v>
      </c>
      <c r="S214" t="s">
        <v>50</v>
      </c>
      <c r="T214" t="s">
        <v>50</v>
      </c>
      <c r="V214" t="s">
        <v>50</v>
      </c>
      <c r="X214" t="s">
        <v>50</v>
      </c>
      <c r="Y214" t="s">
        <v>50</v>
      </c>
      <c r="Z214" t="s">
        <v>50</v>
      </c>
      <c r="AA214" t="s">
        <v>50</v>
      </c>
      <c r="AB214" t="s">
        <v>50</v>
      </c>
      <c r="AC214" t="s">
        <v>50</v>
      </c>
      <c r="AD214" t="s">
        <v>50</v>
      </c>
      <c r="AE214" t="s">
        <v>50</v>
      </c>
      <c r="AF214" t="s">
        <v>50</v>
      </c>
      <c r="AG214" t="s">
        <v>50</v>
      </c>
      <c r="AH214" t="s">
        <v>50</v>
      </c>
      <c r="AI214" t="s">
        <v>50</v>
      </c>
      <c r="AJ214" t="s">
        <v>50</v>
      </c>
      <c r="AK214" t="s">
        <v>50</v>
      </c>
      <c r="AL214" t="s">
        <v>50</v>
      </c>
      <c r="AM214" t="s">
        <v>50</v>
      </c>
      <c r="AN214" t="s">
        <v>50</v>
      </c>
      <c r="AO214" t="s">
        <v>50</v>
      </c>
      <c r="AP214" t="s">
        <v>50</v>
      </c>
      <c r="AQ214" t="s">
        <v>50</v>
      </c>
      <c r="AR214" t="s">
        <v>50</v>
      </c>
      <c r="AS214" t="s">
        <v>50</v>
      </c>
      <c r="AT214" t="s">
        <v>50</v>
      </c>
      <c r="AU214" t="s">
        <v>50</v>
      </c>
      <c r="AV214" t="s">
        <v>50</v>
      </c>
      <c r="AW214" t="s">
        <v>50</v>
      </c>
      <c r="AX214" t="s">
        <v>50</v>
      </c>
      <c r="AY214" t="s">
        <v>50</v>
      </c>
      <c r="AZ214" t="s">
        <v>50</v>
      </c>
      <c r="BA214" t="s">
        <v>1597</v>
      </c>
      <c r="BB214" t="s">
        <v>50</v>
      </c>
      <c r="BC214" t="s">
        <v>50</v>
      </c>
      <c r="BD214" t="s">
        <v>50</v>
      </c>
      <c r="BE214" t="s">
        <v>50</v>
      </c>
      <c r="BF214" t="s">
        <v>50</v>
      </c>
      <c r="BH214" t="s">
        <v>50</v>
      </c>
      <c r="BI214" t="s">
        <v>50</v>
      </c>
      <c r="BJ214" t="s">
        <v>50</v>
      </c>
      <c r="BK214" t="s">
        <v>50</v>
      </c>
      <c r="BL214" t="s">
        <v>50</v>
      </c>
      <c r="BM214" t="s">
        <v>50</v>
      </c>
      <c r="BN214" t="s">
        <v>50</v>
      </c>
      <c r="BO214" t="s">
        <v>50</v>
      </c>
      <c r="BQ214" t="s">
        <v>50</v>
      </c>
      <c r="BS214" t="s">
        <v>50</v>
      </c>
      <c r="BT214" t="s">
        <v>50</v>
      </c>
      <c r="BV214" t="s">
        <v>50</v>
      </c>
    </row>
    <row r="215" spans="1:74" x14ac:dyDescent="0.3">
      <c r="A215" s="155">
        <v>957</v>
      </c>
      <c r="B215" t="s">
        <v>931</v>
      </c>
      <c r="D215">
        <v>0</v>
      </c>
      <c r="E215">
        <v>0</v>
      </c>
      <c r="G215">
        <v>0</v>
      </c>
      <c r="H215">
        <v>0</v>
      </c>
      <c r="I215">
        <v>0</v>
      </c>
      <c r="J215">
        <v>0</v>
      </c>
      <c r="K215">
        <v>0</v>
      </c>
      <c r="L215">
        <v>0</v>
      </c>
      <c r="M215">
        <v>0</v>
      </c>
      <c r="N215">
        <v>0</v>
      </c>
      <c r="O215">
        <v>0</v>
      </c>
      <c r="Q215">
        <v>0</v>
      </c>
      <c r="R215">
        <v>0</v>
      </c>
      <c r="S215">
        <v>0</v>
      </c>
      <c r="T215">
        <v>0</v>
      </c>
      <c r="V215">
        <v>0</v>
      </c>
      <c r="X215">
        <v>0</v>
      </c>
      <c r="Y215">
        <v>0</v>
      </c>
      <c r="Z215">
        <v>0</v>
      </c>
      <c r="AA215">
        <v>0</v>
      </c>
      <c r="AB215">
        <v>0</v>
      </c>
      <c r="AC215">
        <v>0</v>
      </c>
      <c r="AD215">
        <v>0</v>
      </c>
      <c r="AE215">
        <v>0</v>
      </c>
      <c r="AF215">
        <v>0</v>
      </c>
      <c r="AG215">
        <v>0</v>
      </c>
      <c r="AH215">
        <v>0</v>
      </c>
      <c r="AI215">
        <v>0</v>
      </c>
      <c r="AJ215">
        <v>2</v>
      </c>
      <c r="AK215">
        <v>0</v>
      </c>
      <c r="AL215">
        <v>0</v>
      </c>
      <c r="AM215">
        <v>1</v>
      </c>
      <c r="AN215">
        <v>0</v>
      </c>
      <c r="AO215">
        <v>0</v>
      </c>
      <c r="AP215">
        <v>0</v>
      </c>
      <c r="AQ215">
        <v>0</v>
      </c>
      <c r="AR215">
        <v>0</v>
      </c>
      <c r="AS215">
        <v>0</v>
      </c>
      <c r="AT215">
        <v>1</v>
      </c>
      <c r="AU215">
        <v>0</v>
      </c>
      <c r="AV215">
        <v>0</v>
      </c>
      <c r="AW215">
        <v>0</v>
      </c>
      <c r="AX215">
        <v>0</v>
      </c>
      <c r="AY215">
        <v>0</v>
      </c>
      <c r="AZ215">
        <v>0</v>
      </c>
      <c r="BA215">
        <v>0</v>
      </c>
      <c r="BB215">
        <v>0</v>
      </c>
      <c r="BC215">
        <v>2</v>
      </c>
      <c r="BD215">
        <v>0</v>
      </c>
      <c r="BE215">
        <v>0</v>
      </c>
      <c r="BF215">
        <v>0</v>
      </c>
      <c r="BH215">
        <v>0</v>
      </c>
      <c r="BI215">
        <v>1</v>
      </c>
      <c r="BJ215">
        <v>0</v>
      </c>
      <c r="BK215">
        <v>0</v>
      </c>
      <c r="BL215">
        <v>1</v>
      </c>
      <c r="BM215">
        <v>0</v>
      </c>
      <c r="BN215">
        <v>0</v>
      </c>
      <c r="BO215">
        <v>0</v>
      </c>
      <c r="BQ215">
        <v>0</v>
      </c>
      <c r="BS215">
        <v>0</v>
      </c>
      <c r="BT215">
        <v>0</v>
      </c>
      <c r="BV215">
        <v>0</v>
      </c>
    </row>
    <row r="216" spans="1:74" x14ac:dyDescent="0.3">
      <c r="A216" s="155">
        <v>958</v>
      </c>
      <c r="B216" t="s">
        <v>932</v>
      </c>
      <c r="D216" t="s">
        <v>50</v>
      </c>
      <c r="E216" t="s">
        <v>50</v>
      </c>
      <c r="G216" t="s">
        <v>50</v>
      </c>
      <c r="H216" t="s">
        <v>50</v>
      </c>
      <c r="I216" t="s">
        <v>50</v>
      </c>
      <c r="J216" t="s">
        <v>50</v>
      </c>
      <c r="K216" t="s">
        <v>1597</v>
      </c>
      <c r="L216" t="s">
        <v>50</v>
      </c>
      <c r="M216" t="s">
        <v>50</v>
      </c>
      <c r="N216" t="s">
        <v>50</v>
      </c>
      <c r="O216" t="s">
        <v>50</v>
      </c>
      <c r="Q216" t="s">
        <v>50</v>
      </c>
      <c r="R216" t="s">
        <v>50</v>
      </c>
      <c r="S216" t="s">
        <v>50</v>
      </c>
      <c r="T216" t="s">
        <v>50</v>
      </c>
      <c r="V216" t="s">
        <v>50</v>
      </c>
      <c r="X216" t="s">
        <v>50</v>
      </c>
      <c r="Y216" t="s">
        <v>50</v>
      </c>
      <c r="Z216" t="s">
        <v>50</v>
      </c>
      <c r="AA216" t="s">
        <v>50</v>
      </c>
      <c r="AB216" t="s">
        <v>50</v>
      </c>
      <c r="AC216" t="s">
        <v>50</v>
      </c>
      <c r="AD216" t="s">
        <v>50</v>
      </c>
      <c r="AE216" t="s">
        <v>50</v>
      </c>
      <c r="AF216" t="s">
        <v>50</v>
      </c>
      <c r="AG216" t="s">
        <v>50</v>
      </c>
      <c r="AH216" t="s">
        <v>50</v>
      </c>
      <c r="AI216" t="s">
        <v>50</v>
      </c>
      <c r="AJ216" t="s">
        <v>51</v>
      </c>
      <c r="AK216" t="s">
        <v>50</v>
      </c>
      <c r="AL216" t="s">
        <v>50</v>
      </c>
      <c r="AM216" t="s">
        <v>50</v>
      </c>
      <c r="AN216" t="s">
        <v>50</v>
      </c>
      <c r="AO216" t="s">
        <v>50</v>
      </c>
      <c r="AP216" t="s">
        <v>50</v>
      </c>
      <c r="AQ216" t="s">
        <v>50</v>
      </c>
      <c r="AR216" t="s">
        <v>50</v>
      </c>
      <c r="AS216" t="s">
        <v>50</v>
      </c>
      <c r="AT216" t="s">
        <v>50</v>
      </c>
      <c r="AU216" t="s">
        <v>50</v>
      </c>
      <c r="AV216" t="s">
        <v>50</v>
      </c>
      <c r="AW216" t="s">
        <v>50</v>
      </c>
      <c r="AX216" t="s">
        <v>50</v>
      </c>
      <c r="AY216" t="s">
        <v>50</v>
      </c>
      <c r="AZ216" t="s">
        <v>50</v>
      </c>
      <c r="BA216" t="s">
        <v>1597</v>
      </c>
      <c r="BB216" t="s">
        <v>50</v>
      </c>
      <c r="BC216" t="s">
        <v>50</v>
      </c>
      <c r="BD216" t="s">
        <v>50</v>
      </c>
      <c r="BE216" t="s">
        <v>50</v>
      </c>
      <c r="BF216" t="s">
        <v>50</v>
      </c>
      <c r="BH216" t="s">
        <v>50</v>
      </c>
      <c r="BI216" t="s">
        <v>50</v>
      </c>
      <c r="BJ216" t="s">
        <v>50</v>
      </c>
      <c r="BK216" t="s">
        <v>50</v>
      </c>
      <c r="BL216" t="s">
        <v>50</v>
      </c>
      <c r="BM216" t="s">
        <v>50</v>
      </c>
      <c r="BN216" t="s">
        <v>51</v>
      </c>
      <c r="BO216" t="s">
        <v>50</v>
      </c>
      <c r="BQ216" t="s">
        <v>50</v>
      </c>
      <c r="BS216" t="s">
        <v>50</v>
      </c>
      <c r="BT216" t="s">
        <v>50</v>
      </c>
      <c r="BV216" t="s">
        <v>50</v>
      </c>
    </row>
    <row r="217" spans="1:74" x14ac:dyDescent="0.3">
      <c r="A217" s="155">
        <v>959</v>
      </c>
      <c r="B217" t="s">
        <v>933</v>
      </c>
      <c r="D217">
        <v>2</v>
      </c>
      <c r="E217">
        <v>2</v>
      </c>
      <c r="G217">
        <v>2</v>
      </c>
      <c r="H217">
        <v>2</v>
      </c>
      <c r="I217">
        <v>2</v>
      </c>
      <c r="J217">
        <v>2</v>
      </c>
      <c r="K217">
        <v>2</v>
      </c>
      <c r="L217">
        <v>2</v>
      </c>
      <c r="M217">
        <v>2</v>
      </c>
      <c r="N217">
        <v>3</v>
      </c>
      <c r="O217">
        <v>2</v>
      </c>
      <c r="Q217">
        <v>2</v>
      </c>
      <c r="R217">
        <v>2</v>
      </c>
      <c r="S217">
        <v>2</v>
      </c>
      <c r="T217">
        <v>2</v>
      </c>
      <c r="V217">
        <v>2</v>
      </c>
      <c r="X217">
        <v>2</v>
      </c>
      <c r="Y217">
        <v>2</v>
      </c>
      <c r="Z217">
        <v>2</v>
      </c>
      <c r="AA217">
        <v>2</v>
      </c>
      <c r="AB217">
        <v>2</v>
      </c>
      <c r="AC217">
        <v>2</v>
      </c>
      <c r="AD217">
        <v>2</v>
      </c>
      <c r="AE217">
        <v>2</v>
      </c>
      <c r="AF217">
        <v>2</v>
      </c>
      <c r="AG217">
        <v>2</v>
      </c>
      <c r="AH217">
        <v>3</v>
      </c>
      <c r="AI217">
        <v>2</v>
      </c>
      <c r="AJ217">
        <v>2</v>
      </c>
      <c r="AK217">
        <v>3</v>
      </c>
      <c r="AL217">
        <v>2</v>
      </c>
      <c r="AM217">
        <v>2</v>
      </c>
      <c r="AN217">
        <v>3</v>
      </c>
      <c r="AO217">
        <v>2</v>
      </c>
      <c r="AP217">
        <v>2</v>
      </c>
      <c r="AQ217">
        <v>2</v>
      </c>
      <c r="AR217">
        <v>2</v>
      </c>
      <c r="AS217">
        <v>2</v>
      </c>
      <c r="AT217">
        <v>2</v>
      </c>
      <c r="AU217">
        <v>2</v>
      </c>
      <c r="AV217">
        <v>2</v>
      </c>
      <c r="AW217">
        <v>2</v>
      </c>
      <c r="AX217">
        <v>3</v>
      </c>
      <c r="AY217">
        <v>3</v>
      </c>
      <c r="AZ217">
        <v>2</v>
      </c>
      <c r="BA217">
        <v>3</v>
      </c>
      <c r="BB217">
        <v>3</v>
      </c>
      <c r="BC217">
        <v>3</v>
      </c>
      <c r="BD217">
        <v>2</v>
      </c>
      <c r="BE217">
        <v>2</v>
      </c>
      <c r="BF217">
        <v>2</v>
      </c>
      <c r="BH217">
        <v>3</v>
      </c>
      <c r="BI217">
        <v>2</v>
      </c>
      <c r="BJ217">
        <v>2</v>
      </c>
      <c r="BK217">
        <v>2</v>
      </c>
      <c r="BL217">
        <v>2</v>
      </c>
      <c r="BM217">
        <v>2</v>
      </c>
      <c r="BN217">
        <v>2</v>
      </c>
      <c r="BO217">
        <v>2</v>
      </c>
      <c r="BQ217">
        <v>2</v>
      </c>
      <c r="BS217">
        <v>2</v>
      </c>
      <c r="BT217">
        <v>2</v>
      </c>
      <c r="BV217">
        <v>2</v>
      </c>
    </row>
    <row r="218" spans="1:74" x14ac:dyDescent="0.3">
      <c r="A218" s="155">
        <v>960</v>
      </c>
      <c r="B218" t="s">
        <v>934</v>
      </c>
      <c r="D218" t="s">
        <v>2194</v>
      </c>
      <c r="E218" t="s">
        <v>2195</v>
      </c>
      <c r="G218" t="s">
        <v>2196</v>
      </c>
      <c r="H218" t="s">
        <v>2197</v>
      </c>
      <c r="I218" t="s">
        <v>2198</v>
      </c>
      <c r="J218" t="s">
        <v>2199</v>
      </c>
      <c r="K218" t="s">
        <v>2200</v>
      </c>
      <c r="L218" t="s">
        <v>2201</v>
      </c>
      <c r="M218" t="s">
        <v>2202</v>
      </c>
      <c r="N218" t="s">
        <v>2203</v>
      </c>
      <c r="O218" t="s">
        <v>2204</v>
      </c>
      <c r="Q218" t="s">
        <v>2205</v>
      </c>
      <c r="R218" t="s">
        <v>2206</v>
      </c>
      <c r="S218" t="s">
        <v>2207</v>
      </c>
      <c r="T218" t="s">
        <v>2208</v>
      </c>
      <c r="V218" t="s">
        <v>2209</v>
      </c>
      <c r="X218" t="s">
        <v>2210</v>
      </c>
      <c r="Y218" t="s">
        <v>2211</v>
      </c>
      <c r="Z218" t="s">
        <v>2212</v>
      </c>
      <c r="AA218" t="s">
        <v>2213</v>
      </c>
      <c r="AB218" t="s">
        <v>2214</v>
      </c>
      <c r="AC218" t="s">
        <v>2215</v>
      </c>
      <c r="AD218" t="s">
        <v>2216</v>
      </c>
      <c r="AE218" t="s">
        <v>2217</v>
      </c>
      <c r="AF218" t="s">
        <v>1980</v>
      </c>
      <c r="AG218" t="s">
        <v>2218</v>
      </c>
      <c r="AH218" t="s">
        <v>2219</v>
      </c>
      <c r="AI218" t="s">
        <v>2220</v>
      </c>
      <c r="AJ218" t="s">
        <v>2221</v>
      </c>
      <c r="AK218" t="s">
        <v>2222</v>
      </c>
      <c r="AL218" t="s">
        <v>2223</v>
      </c>
      <c r="AM218" t="s">
        <v>2224</v>
      </c>
      <c r="AN218" t="s">
        <v>2225</v>
      </c>
      <c r="AO218" t="s">
        <v>2226</v>
      </c>
      <c r="AP218" t="s">
        <v>2227</v>
      </c>
      <c r="AQ218" t="s">
        <v>2228</v>
      </c>
      <c r="AR218" t="s">
        <v>2229</v>
      </c>
      <c r="AS218" t="s">
        <v>2230</v>
      </c>
      <c r="AT218" t="s">
        <v>2231</v>
      </c>
      <c r="AU218" t="s">
        <v>2232</v>
      </c>
      <c r="AV218" t="s">
        <v>2233</v>
      </c>
      <c r="AW218" t="s">
        <v>2234</v>
      </c>
      <c r="AX218" t="s">
        <v>2235</v>
      </c>
      <c r="AY218" t="s">
        <v>2236</v>
      </c>
      <c r="AZ218" t="s">
        <v>2237</v>
      </c>
      <c r="BA218" t="s">
        <v>2238</v>
      </c>
      <c r="BB218" t="s">
        <v>2239</v>
      </c>
      <c r="BC218" t="s">
        <v>2240</v>
      </c>
      <c r="BD218" t="s">
        <v>2241</v>
      </c>
      <c r="BE218" t="s">
        <v>2242</v>
      </c>
      <c r="BF218" t="s">
        <v>2243</v>
      </c>
      <c r="BH218" t="s">
        <v>2244</v>
      </c>
      <c r="BI218" t="s">
        <v>2245</v>
      </c>
      <c r="BJ218" t="s">
        <v>2246</v>
      </c>
      <c r="BK218" t="s">
        <v>2247</v>
      </c>
      <c r="BL218" t="s">
        <v>2248</v>
      </c>
      <c r="BM218" t="s">
        <v>2249</v>
      </c>
      <c r="BN218" t="s">
        <v>2250</v>
      </c>
      <c r="BO218" t="s">
        <v>2251</v>
      </c>
      <c r="BQ218" t="s">
        <v>2252</v>
      </c>
      <c r="BS218" t="s">
        <v>2253</v>
      </c>
      <c r="BT218" t="s">
        <v>2254</v>
      </c>
      <c r="BV218" t="s">
        <v>2255</v>
      </c>
    </row>
    <row r="219" spans="1:74" x14ac:dyDescent="0.3">
      <c r="A219" s="155">
        <v>962</v>
      </c>
      <c r="B219" t="s">
        <v>935</v>
      </c>
      <c r="D219" t="s">
        <v>936</v>
      </c>
      <c r="E219" t="s">
        <v>1985</v>
      </c>
      <c r="G219" t="s">
        <v>936</v>
      </c>
      <c r="H219" t="s">
        <v>936</v>
      </c>
      <c r="I219" t="s">
        <v>937</v>
      </c>
      <c r="J219" t="s">
        <v>937</v>
      </c>
      <c r="K219" t="s">
        <v>937</v>
      </c>
      <c r="L219" t="s">
        <v>936</v>
      </c>
      <c r="M219" t="s">
        <v>2256</v>
      </c>
      <c r="N219" t="s">
        <v>937</v>
      </c>
      <c r="O219" t="s">
        <v>939</v>
      </c>
      <c r="Q219" t="s">
        <v>938</v>
      </c>
      <c r="R219" t="s">
        <v>2257</v>
      </c>
      <c r="S219" t="s">
        <v>937</v>
      </c>
      <c r="T219" t="s">
        <v>936</v>
      </c>
      <c r="V219" t="s">
        <v>936</v>
      </c>
      <c r="X219" t="s">
        <v>937</v>
      </c>
      <c r="Y219" t="s">
        <v>2257</v>
      </c>
      <c r="Z219" t="s">
        <v>2258</v>
      </c>
      <c r="AA219" t="s">
        <v>936</v>
      </c>
      <c r="AB219" t="s">
        <v>2259</v>
      </c>
      <c r="AC219" t="s">
        <v>937</v>
      </c>
      <c r="AD219" t="s">
        <v>1057</v>
      </c>
      <c r="AE219" t="s">
        <v>937</v>
      </c>
      <c r="AF219" t="s">
        <v>2125</v>
      </c>
      <c r="AG219" t="s">
        <v>937</v>
      </c>
      <c r="AH219" t="s">
        <v>2260</v>
      </c>
      <c r="AI219" t="s">
        <v>937</v>
      </c>
      <c r="AJ219" t="s">
        <v>1554</v>
      </c>
      <c r="AK219" t="s">
        <v>937</v>
      </c>
      <c r="AL219" t="s">
        <v>937</v>
      </c>
      <c r="AM219" t="s">
        <v>936</v>
      </c>
      <c r="AN219" t="s">
        <v>938</v>
      </c>
      <c r="AO219" t="s">
        <v>936</v>
      </c>
      <c r="AP219" t="s">
        <v>937</v>
      </c>
      <c r="AQ219" t="s">
        <v>937</v>
      </c>
      <c r="AR219" t="s">
        <v>937</v>
      </c>
      <c r="AS219" t="s">
        <v>2261</v>
      </c>
      <c r="AT219" t="s">
        <v>937</v>
      </c>
      <c r="AU219" t="s">
        <v>937</v>
      </c>
      <c r="AV219" t="s">
        <v>1057</v>
      </c>
      <c r="AW219" t="s">
        <v>937</v>
      </c>
      <c r="AX219" t="s">
        <v>1984</v>
      </c>
      <c r="AY219" t="s">
        <v>937</v>
      </c>
      <c r="AZ219" t="s">
        <v>936</v>
      </c>
      <c r="BA219" t="s">
        <v>937</v>
      </c>
      <c r="BB219" t="s">
        <v>938</v>
      </c>
      <c r="BC219" t="s">
        <v>937</v>
      </c>
      <c r="BD219" t="s">
        <v>936</v>
      </c>
      <c r="BE219" t="s">
        <v>937</v>
      </c>
      <c r="BF219" t="s">
        <v>1916</v>
      </c>
      <c r="BH219" t="s">
        <v>2262</v>
      </c>
      <c r="BI219" t="s">
        <v>937</v>
      </c>
      <c r="BJ219" t="s">
        <v>936</v>
      </c>
      <c r="BK219" t="s">
        <v>937</v>
      </c>
      <c r="BL219" t="s">
        <v>936</v>
      </c>
      <c r="BM219" t="s">
        <v>937</v>
      </c>
      <c r="BN219" t="s">
        <v>936</v>
      </c>
      <c r="BO219" t="s">
        <v>2257</v>
      </c>
      <c r="BQ219" t="s">
        <v>1554</v>
      </c>
      <c r="BS219" t="s">
        <v>936</v>
      </c>
      <c r="BT219" t="s">
        <v>937</v>
      </c>
      <c r="BV219" t="s">
        <v>937</v>
      </c>
    </row>
    <row r="220" spans="1:74" x14ac:dyDescent="0.3">
      <c r="A220" s="155">
        <v>964</v>
      </c>
      <c r="B220" t="s">
        <v>940</v>
      </c>
      <c r="D220" t="s">
        <v>1596</v>
      </c>
      <c r="E220" t="s">
        <v>1606</v>
      </c>
      <c r="G220" t="s">
        <v>2263</v>
      </c>
      <c r="H220" t="s">
        <v>1602</v>
      </c>
      <c r="I220" t="s">
        <v>2264</v>
      </c>
      <c r="J220" t="s">
        <v>2013</v>
      </c>
      <c r="K220" t="s">
        <v>1627</v>
      </c>
      <c r="L220" t="s">
        <v>2265</v>
      </c>
      <c r="M220" t="s">
        <v>1611</v>
      </c>
      <c r="N220" t="s">
        <v>1619</v>
      </c>
      <c r="O220" t="s">
        <v>2266</v>
      </c>
      <c r="Q220" t="s">
        <v>2267</v>
      </c>
      <c r="R220" t="s">
        <v>2268</v>
      </c>
      <c r="S220" t="s">
        <v>2269</v>
      </c>
      <c r="T220" t="s">
        <v>1603</v>
      </c>
      <c r="V220" t="s">
        <v>2270</v>
      </c>
      <c r="X220" t="s">
        <v>1608</v>
      </c>
      <c r="Y220" t="s">
        <v>1612</v>
      </c>
      <c r="Z220" t="s">
        <v>2266</v>
      </c>
      <c r="AA220" t="s">
        <v>1599</v>
      </c>
      <c r="AB220" t="s">
        <v>2264</v>
      </c>
      <c r="AC220" t="s">
        <v>2271</v>
      </c>
      <c r="AD220" t="s">
        <v>1620</v>
      </c>
      <c r="AE220" t="s">
        <v>2272</v>
      </c>
      <c r="AF220" t="s">
        <v>1603</v>
      </c>
      <c r="AG220" t="s">
        <v>1621</v>
      </c>
      <c r="AH220" t="s">
        <v>2273</v>
      </c>
      <c r="AI220" t="s">
        <v>1613</v>
      </c>
      <c r="AJ220" t="s">
        <v>2274</v>
      </c>
      <c r="AK220" t="s">
        <v>1629</v>
      </c>
      <c r="AL220" t="s">
        <v>1609</v>
      </c>
      <c r="AM220" t="s">
        <v>1598</v>
      </c>
      <c r="AN220" t="s">
        <v>2275</v>
      </c>
      <c r="AO220" t="s">
        <v>2276</v>
      </c>
      <c r="AP220" t="s">
        <v>1608</v>
      </c>
      <c r="AQ220" t="s">
        <v>2277</v>
      </c>
      <c r="AR220" t="s">
        <v>1600</v>
      </c>
      <c r="AS220" t="s">
        <v>1629</v>
      </c>
      <c r="AT220" t="s">
        <v>2278</v>
      </c>
      <c r="AU220" t="s">
        <v>1628</v>
      </c>
      <c r="AV220" t="s">
        <v>1625</v>
      </c>
      <c r="AW220" t="s">
        <v>2279</v>
      </c>
      <c r="AX220" t="s">
        <v>2280</v>
      </c>
      <c r="AY220" t="s">
        <v>2280</v>
      </c>
      <c r="AZ220" t="s">
        <v>1613</v>
      </c>
      <c r="BA220" t="s">
        <v>2281</v>
      </c>
      <c r="BB220" t="s">
        <v>1601</v>
      </c>
      <c r="BC220" t="s">
        <v>2282</v>
      </c>
      <c r="BD220" t="s">
        <v>1594</v>
      </c>
      <c r="BE220" t="s">
        <v>1620</v>
      </c>
      <c r="BF220" t="s">
        <v>1611</v>
      </c>
      <c r="BH220" t="s">
        <v>2280</v>
      </c>
      <c r="BI220" t="s">
        <v>2283</v>
      </c>
      <c r="BJ220" t="s">
        <v>1604</v>
      </c>
      <c r="BK220" t="s">
        <v>2284</v>
      </c>
      <c r="BL220" t="s">
        <v>1611</v>
      </c>
      <c r="BM220" t="s">
        <v>2285</v>
      </c>
      <c r="BN220" t="s">
        <v>2286</v>
      </c>
      <c r="BO220" t="s">
        <v>1617</v>
      </c>
      <c r="BQ220" t="s">
        <v>2287</v>
      </c>
      <c r="BS220" t="s">
        <v>1605</v>
      </c>
      <c r="BT220" t="s">
        <v>2288</v>
      </c>
      <c r="BV220" t="s">
        <v>1599</v>
      </c>
    </row>
    <row r="221" spans="1:74" x14ac:dyDescent="0.3">
      <c r="A221" s="155">
        <v>966</v>
      </c>
      <c r="B221" t="s">
        <v>941</v>
      </c>
      <c r="D221" t="s">
        <v>2289</v>
      </c>
      <c r="E221" t="s">
        <v>2290</v>
      </c>
      <c r="G221" t="s">
        <v>2291</v>
      </c>
      <c r="H221" t="s">
        <v>2292</v>
      </c>
      <c r="I221" t="s">
        <v>2293</v>
      </c>
      <c r="J221" t="s">
        <v>2294</v>
      </c>
      <c r="K221" t="s">
        <v>2295</v>
      </c>
      <c r="L221" t="s">
        <v>2296</v>
      </c>
      <c r="M221" t="s">
        <v>2297</v>
      </c>
      <c r="N221" t="s">
        <v>2298</v>
      </c>
      <c r="O221" t="s">
        <v>2299</v>
      </c>
      <c r="Q221" t="s">
        <v>2300</v>
      </c>
      <c r="R221" t="s">
        <v>2301</v>
      </c>
      <c r="S221" t="s">
        <v>2302</v>
      </c>
      <c r="T221" t="s">
        <v>2303</v>
      </c>
      <c r="V221" t="s">
        <v>2304</v>
      </c>
      <c r="X221" t="s">
        <v>2305</v>
      </c>
      <c r="Y221" t="s">
        <v>2306</v>
      </c>
      <c r="Z221" t="s">
        <v>2307</v>
      </c>
      <c r="AA221" t="s">
        <v>2308</v>
      </c>
      <c r="AB221" t="s">
        <v>2309</v>
      </c>
      <c r="AC221" t="s">
        <v>2310</v>
      </c>
      <c r="AD221" t="s">
        <v>2311</v>
      </c>
      <c r="AE221" t="s">
        <v>2312</v>
      </c>
      <c r="AF221" t="s">
        <v>2313</v>
      </c>
      <c r="AG221" t="s">
        <v>2314</v>
      </c>
      <c r="AH221" t="s">
        <v>2315</v>
      </c>
      <c r="AI221" t="s">
        <v>2316</v>
      </c>
      <c r="AJ221" t="s">
        <v>2317</v>
      </c>
      <c r="AK221" t="s">
        <v>2318</v>
      </c>
      <c r="AL221" t="s">
        <v>2319</v>
      </c>
      <c r="AM221" t="s">
        <v>2320</v>
      </c>
      <c r="AN221" t="s">
        <v>2321</v>
      </c>
      <c r="AO221" t="s">
        <v>2322</v>
      </c>
      <c r="AP221" t="s">
        <v>2323</v>
      </c>
      <c r="AQ221" t="s">
        <v>2324</v>
      </c>
      <c r="AR221" t="s">
        <v>2325</v>
      </c>
      <c r="AS221" t="s">
        <v>2326</v>
      </c>
      <c r="AT221" t="s">
        <v>2327</v>
      </c>
      <c r="AU221" t="s">
        <v>2328</v>
      </c>
      <c r="AV221" t="s">
        <v>2329</v>
      </c>
      <c r="AW221" t="s">
        <v>2330</v>
      </c>
      <c r="AX221" t="s">
        <v>2331</v>
      </c>
      <c r="AY221" t="s">
        <v>2332</v>
      </c>
      <c r="AZ221" t="s">
        <v>2333</v>
      </c>
      <c r="BA221" t="s">
        <v>2334</v>
      </c>
      <c r="BB221" t="s">
        <v>2335</v>
      </c>
      <c r="BC221" t="s">
        <v>2336</v>
      </c>
      <c r="BD221" t="s">
        <v>2337</v>
      </c>
      <c r="BF221" t="s">
        <v>2338</v>
      </c>
      <c r="BH221" t="s">
        <v>2339</v>
      </c>
      <c r="BI221" t="s">
        <v>2340</v>
      </c>
      <c r="BJ221" t="s">
        <v>2341</v>
      </c>
      <c r="BK221" t="s">
        <v>2342</v>
      </c>
      <c r="BL221" t="s">
        <v>2343</v>
      </c>
      <c r="BM221" t="s">
        <v>2344</v>
      </c>
      <c r="BN221" t="s">
        <v>2345</v>
      </c>
      <c r="BO221" t="s">
        <v>2346</v>
      </c>
      <c r="BQ221" t="s">
        <v>2347</v>
      </c>
      <c r="BS221" t="s">
        <v>2348</v>
      </c>
      <c r="BT221" t="s">
        <v>2349</v>
      </c>
      <c r="BV221" t="s">
        <v>2350</v>
      </c>
    </row>
    <row r="222" spans="1:74" x14ac:dyDescent="0.3">
      <c r="A222" s="155">
        <v>968</v>
      </c>
      <c r="B222" t="s">
        <v>942</v>
      </c>
      <c r="D222" t="s">
        <v>2351</v>
      </c>
      <c r="E222" t="s">
        <v>2352</v>
      </c>
      <c r="G222" t="s">
        <v>2353</v>
      </c>
      <c r="H222" t="s">
        <v>2354</v>
      </c>
      <c r="I222" t="s">
        <v>2355</v>
      </c>
      <c r="J222" t="s">
        <v>2356</v>
      </c>
      <c r="K222" t="s">
        <v>2357</v>
      </c>
      <c r="L222" t="s">
        <v>2358</v>
      </c>
      <c r="M222" t="s">
        <v>2359</v>
      </c>
      <c r="N222" t="s">
        <v>2360</v>
      </c>
      <c r="O222" t="s">
        <v>2361</v>
      </c>
      <c r="Q222" t="s">
        <v>2362</v>
      </c>
      <c r="R222" t="s">
        <v>2363</v>
      </c>
      <c r="S222" t="s">
        <v>2364</v>
      </c>
      <c r="T222" t="s">
        <v>2365</v>
      </c>
      <c r="V222" t="s">
        <v>2366</v>
      </c>
      <c r="X222" t="s">
        <v>2367</v>
      </c>
      <c r="Y222" t="s">
        <v>2368</v>
      </c>
      <c r="Z222" t="s">
        <v>2369</v>
      </c>
      <c r="AA222" t="s">
        <v>2370</v>
      </c>
      <c r="AB222" t="s">
        <v>2371</v>
      </c>
      <c r="AC222" t="s">
        <v>2372</v>
      </c>
      <c r="AD222" t="s">
        <v>2373</v>
      </c>
      <c r="AE222" t="s">
        <v>2374</v>
      </c>
      <c r="AF222" t="s">
        <v>2375</v>
      </c>
      <c r="AG222" t="s">
        <v>2376</v>
      </c>
      <c r="AH222" t="s">
        <v>2377</v>
      </c>
      <c r="AI222" t="s">
        <v>2378</v>
      </c>
      <c r="AJ222" t="s">
        <v>2379</v>
      </c>
      <c r="AK222" t="s">
        <v>2380</v>
      </c>
      <c r="AL222" t="s">
        <v>2381</v>
      </c>
      <c r="AM222" t="s">
        <v>2382</v>
      </c>
      <c r="AN222" t="s">
        <v>2383</v>
      </c>
      <c r="AO222" t="s">
        <v>2384</v>
      </c>
      <c r="AP222" t="s">
        <v>2385</v>
      </c>
      <c r="AQ222" t="s">
        <v>2386</v>
      </c>
      <c r="AR222" t="s">
        <v>2387</v>
      </c>
      <c r="AS222" t="s">
        <v>2388</v>
      </c>
      <c r="AT222" t="s">
        <v>2389</v>
      </c>
      <c r="AU222" t="s">
        <v>2390</v>
      </c>
      <c r="AV222" t="s">
        <v>2391</v>
      </c>
      <c r="AW222" t="s">
        <v>2392</v>
      </c>
      <c r="AX222" t="s">
        <v>2393</v>
      </c>
      <c r="AY222" t="s">
        <v>2394</v>
      </c>
      <c r="AZ222" t="s">
        <v>2395</v>
      </c>
      <c r="BA222" t="s">
        <v>2396</v>
      </c>
      <c r="BB222" t="s">
        <v>2397</v>
      </c>
      <c r="BC222" t="s">
        <v>2398</v>
      </c>
      <c r="BD222" t="s">
        <v>2399</v>
      </c>
      <c r="BE222" t="s">
        <v>2400</v>
      </c>
      <c r="BF222" t="s">
        <v>2401</v>
      </c>
      <c r="BH222" t="s">
        <v>2402</v>
      </c>
      <c r="BI222" t="s">
        <v>2403</v>
      </c>
      <c r="BJ222" t="s">
        <v>2404</v>
      </c>
      <c r="BK222" t="s">
        <v>2405</v>
      </c>
      <c r="BL222" t="s">
        <v>2406</v>
      </c>
      <c r="BM222" t="s">
        <v>2407</v>
      </c>
      <c r="BN222" t="s">
        <v>2408</v>
      </c>
      <c r="BO222" t="s">
        <v>2409</v>
      </c>
      <c r="BQ222" t="s">
        <v>2410</v>
      </c>
      <c r="BS222" t="s">
        <v>2411</v>
      </c>
      <c r="BT222" t="s">
        <v>2412</v>
      </c>
      <c r="BV222" t="s">
        <v>2413</v>
      </c>
    </row>
    <row r="223" spans="1:74" x14ac:dyDescent="0.3">
      <c r="A223" s="155">
        <v>973</v>
      </c>
      <c r="B223" t="s">
        <v>1615</v>
      </c>
      <c r="D223">
        <v>0</v>
      </c>
      <c r="E223">
        <v>0</v>
      </c>
      <c r="G223">
        <v>0</v>
      </c>
      <c r="H223">
        <v>0</v>
      </c>
      <c r="I223">
        <v>0</v>
      </c>
      <c r="J223">
        <v>0</v>
      </c>
      <c r="K223">
        <v>0</v>
      </c>
      <c r="L223">
        <v>0</v>
      </c>
      <c r="M223">
        <v>1</v>
      </c>
      <c r="N223">
        <v>0</v>
      </c>
      <c r="O223">
        <v>0</v>
      </c>
      <c r="Q223">
        <v>0</v>
      </c>
      <c r="R223">
        <v>0</v>
      </c>
      <c r="S223">
        <v>0</v>
      </c>
      <c r="T223">
        <v>0</v>
      </c>
      <c r="V223">
        <v>1</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c r="AQ223">
        <v>0</v>
      </c>
      <c r="AR223">
        <v>0</v>
      </c>
      <c r="AS223">
        <v>0</v>
      </c>
      <c r="AT223">
        <v>1</v>
      </c>
      <c r="AU223">
        <v>0</v>
      </c>
      <c r="AV223">
        <v>0</v>
      </c>
      <c r="AW223">
        <v>0</v>
      </c>
      <c r="AX223">
        <v>0</v>
      </c>
      <c r="AY223">
        <v>0</v>
      </c>
      <c r="AZ223">
        <v>0</v>
      </c>
      <c r="BA223">
        <v>0</v>
      </c>
      <c r="BB223">
        <v>0</v>
      </c>
      <c r="BC223">
        <v>0</v>
      </c>
      <c r="BD223">
        <v>0</v>
      </c>
      <c r="BE223">
        <v>1</v>
      </c>
      <c r="BF223">
        <v>0</v>
      </c>
      <c r="BH223">
        <v>0</v>
      </c>
      <c r="BI223">
        <v>0</v>
      </c>
      <c r="BJ223">
        <v>0</v>
      </c>
      <c r="BK223">
        <v>0</v>
      </c>
      <c r="BL223">
        <v>0</v>
      </c>
      <c r="BM223">
        <v>0</v>
      </c>
      <c r="BN223">
        <v>0</v>
      </c>
      <c r="BO223">
        <v>0</v>
      </c>
      <c r="BQ223">
        <v>0</v>
      </c>
      <c r="BS223">
        <v>0</v>
      </c>
      <c r="BT223">
        <v>1</v>
      </c>
      <c r="BV223">
        <v>0</v>
      </c>
    </row>
    <row r="224" spans="1:74" x14ac:dyDescent="0.3">
      <c r="A224" s="155">
        <v>974</v>
      </c>
      <c r="B224" t="s">
        <v>943</v>
      </c>
      <c r="D224">
        <v>2</v>
      </c>
      <c r="E224">
        <v>2</v>
      </c>
      <c r="G224">
        <v>3</v>
      </c>
      <c r="H224">
        <v>3</v>
      </c>
      <c r="I224">
        <v>3</v>
      </c>
      <c r="J224">
        <v>2</v>
      </c>
      <c r="K224">
        <v>2</v>
      </c>
      <c r="L224">
        <v>2</v>
      </c>
      <c r="M224">
        <v>2</v>
      </c>
      <c r="N224">
        <v>3</v>
      </c>
      <c r="O224">
        <v>2</v>
      </c>
      <c r="Q224">
        <v>2</v>
      </c>
      <c r="R224">
        <v>2</v>
      </c>
      <c r="S224">
        <v>2</v>
      </c>
      <c r="T224">
        <v>2</v>
      </c>
      <c r="V224">
        <v>2</v>
      </c>
      <c r="X224">
        <v>2</v>
      </c>
      <c r="Y224">
        <v>2</v>
      </c>
      <c r="Z224">
        <v>2</v>
      </c>
      <c r="AA224">
        <v>2</v>
      </c>
      <c r="AB224">
        <v>2</v>
      </c>
      <c r="AC224">
        <v>2</v>
      </c>
      <c r="AD224">
        <v>2</v>
      </c>
      <c r="AE224">
        <v>2</v>
      </c>
      <c r="AF224">
        <v>2</v>
      </c>
      <c r="AG224">
        <v>2</v>
      </c>
      <c r="AH224">
        <v>2</v>
      </c>
      <c r="AI224">
        <v>2</v>
      </c>
      <c r="AJ224">
        <v>2</v>
      </c>
      <c r="AK224">
        <v>3</v>
      </c>
      <c r="AL224">
        <v>2</v>
      </c>
      <c r="AM224">
        <v>2</v>
      </c>
      <c r="AN224">
        <v>3</v>
      </c>
      <c r="AO224">
        <v>2</v>
      </c>
      <c r="AP224">
        <v>2</v>
      </c>
      <c r="AQ224">
        <v>2</v>
      </c>
      <c r="AR224">
        <v>2</v>
      </c>
      <c r="AS224">
        <v>2</v>
      </c>
      <c r="AT224">
        <v>2</v>
      </c>
      <c r="AU224">
        <v>2</v>
      </c>
      <c r="AV224">
        <v>3</v>
      </c>
      <c r="AW224">
        <v>2</v>
      </c>
      <c r="AX224">
        <v>3</v>
      </c>
      <c r="AY224">
        <v>3</v>
      </c>
      <c r="AZ224">
        <v>2</v>
      </c>
      <c r="BA224">
        <v>2</v>
      </c>
      <c r="BB224">
        <v>3</v>
      </c>
      <c r="BC224">
        <v>3</v>
      </c>
      <c r="BD224">
        <v>2</v>
      </c>
      <c r="BE224">
        <v>2</v>
      </c>
      <c r="BF224">
        <v>2</v>
      </c>
      <c r="BH224">
        <v>3</v>
      </c>
      <c r="BI224">
        <v>2</v>
      </c>
      <c r="BJ224">
        <v>2</v>
      </c>
      <c r="BK224">
        <v>2</v>
      </c>
      <c r="BL224">
        <v>2</v>
      </c>
      <c r="BM224">
        <v>2</v>
      </c>
      <c r="BN224">
        <v>2</v>
      </c>
      <c r="BO224">
        <v>2</v>
      </c>
      <c r="BQ224">
        <v>2</v>
      </c>
      <c r="BS224">
        <v>2</v>
      </c>
      <c r="BT224">
        <v>2</v>
      </c>
      <c r="BV224">
        <v>2</v>
      </c>
    </row>
    <row r="225" spans="1:74" x14ac:dyDescent="0.3">
      <c r="A225" s="155">
        <v>975</v>
      </c>
      <c r="B225" t="s">
        <v>596</v>
      </c>
      <c r="D225">
        <v>1</v>
      </c>
      <c r="E225">
        <v>2</v>
      </c>
      <c r="G225">
        <v>1</v>
      </c>
      <c r="H225">
        <v>1</v>
      </c>
      <c r="I225">
        <v>1</v>
      </c>
      <c r="J225">
        <v>1</v>
      </c>
      <c r="K225">
        <v>1</v>
      </c>
      <c r="L225">
        <v>1</v>
      </c>
      <c r="M225">
        <v>1</v>
      </c>
      <c r="N225">
        <v>1</v>
      </c>
      <c r="O225">
        <v>2</v>
      </c>
      <c r="Q225">
        <v>1</v>
      </c>
      <c r="R225">
        <v>1</v>
      </c>
      <c r="S225">
        <v>1</v>
      </c>
      <c r="T225">
        <v>2</v>
      </c>
      <c r="V225">
        <v>1</v>
      </c>
      <c r="X225">
        <v>2</v>
      </c>
      <c r="Y225">
        <v>1</v>
      </c>
      <c r="Z225">
        <v>1</v>
      </c>
      <c r="AA225">
        <v>1</v>
      </c>
      <c r="AB225">
        <v>1</v>
      </c>
      <c r="AC225">
        <v>1</v>
      </c>
      <c r="AD225">
        <v>1</v>
      </c>
      <c r="AE225">
        <v>1</v>
      </c>
      <c r="AF225">
        <v>1</v>
      </c>
      <c r="AG225">
        <v>1</v>
      </c>
      <c r="AH225">
        <v>1</v>
      </c>
      <c r="AI225">
        <v>1</v>
      </c>
      <c r="AJ225">
        <v>1</v>
      </c>
      <c r="AK225">
        <v>2</v>
      </c>
      <c r="AL225">
        <v>2</v>
      </c>
      <c r="AM225">
        <v>1</v>
      </c>
      <c r="AN225">
        <v>1</v>
      </c>
      <c r="AO225">
        <v>1</v>
      </c>
      <c r="AP225">
        <v>2</v>
      </c>
      <c r="AQ225">
        <v>1</v>
      </c>
      <c r="AR225">
        <v>1</v>
      </c>
      <c r="AS225">
        <v>2</v>
      </c>
      <c r="AT225">
        <v>1</v>
      </c>
      <c r="AU225">
        <v>2</v>
      </c>
      <c r="AV225">
        <v>1</v>
      </c>
      <c r="AW225">
        <v>1</v>
      </c>
      <c r="AX225">
        <v>1</v>
      </c>
      <c r="AY225">
        <v>2</v>
      </c>
      <c r="AZ225">
        <v>2</v>
      </c>
      <c r="BA225">
        <v>2</v>
      </c>
      <c r="BB225">
        <v>1</v>
      </c>
      <c r="BC225">
        <v>1</v>
      </c>
      <c r="BD225">
        <v>1</v>
      </c>
      <c r="BE225">
        <v>1</v>
      </c>
      <c r="BF225">
        <v>1</v>
      </c>
      <c r="BH225">
        <v>2</v>
      </c>
      <c r="BI225">
        <v>1</v>
      </c>
      <c r="BJ225">
        <v>1</v>
      </c>
      <c r="BK225">
        <v>2</v>
      </c>
      <c r="BL225">
        <v>1</v>
      </c>
      <c r="BM225">
        <v>2</v>
      </c>
      <c r="BN225">
        <v>1</v>
      </c>
      <c r="BO225">
        <v>1</v>
      </c>
      <c r="BQ225">
        <v>1</v>
      </c>
      <c r="BS225">
        <v>1</v>
      </c>
      <c r="BT225">
        <v>1</v>
      </c>
      <c r="BV225">
        <v>1</v>
      </c>
    </row>
    <row r="226" spans="1:74" x14ac:dyDescent="0.3">
      <c r="A226" s="155">
        <v>979</v>
      </c>
      <c r="B226" t="s">
        <v>944</v>
      </c>
      <c r="D226">
        <v>1</v>
      </c>
      <c r="E226">
        <v>1</v>
      </c>
      <c r="G226">
        <v>2</v>
      </c>
      <c r="H226">
        <v>1</v>
      </c>
      <c r="I226">
        <v>2</v>
      </c>
      <c r="J226">
        <v>2</v>
      </c>
      <c r="K226">
        <v>2</v>
      </c>
      <c r="L226">
        <v>1</v>
      </c>
      <c r="M226">
        <v>1</v>
      </c>
      <c r="N226">
        <v>2</v>
      </c>
      <c r="O226">
        <v>1</v>
      </c>
      <c r="Q226">
        <v>2</v>
      </c>
      <c r="R226">
        <v>2</v>
      </c>
      <c r="S226">
        <v>2</v>
      </c>
      <c r="T226">
        <v>1</v>
      </c>
      <c r="V226">
        <v>2</v>
      </c>
      <c r="X226">
        <v>1</v>
      </c>
      <c r="Y226">
        <v>2</v>
      </c>
      <c r="Z226">
        <v>1</v>
      </c>
      <c r="AA226">
        <v>1</v>
      </c>
      <c r="AB226">
        <v>2</v>
      </c>
      <c r="AC226">
        <v>2</v>
      </c>
      <c r="AD226">
        <v>1</v>
      </c>
      <c r="AE226">
        <v>1</v>
      </c>
      <c r="AF226">
        <v>2</v>
      </c>
      <c r="AG226">
        <v>2</v>
      </c>
      <c r="AH226">
        <v>2</v>
      </c>
      <c r="AI226">
        <v>1</v>
      </c>
      <c r="AJ226">
        <v>2</v>
      </c>
      <c r="AK226">
        <v>1</v>
      </c>
      <c r="AL226">
        <v>1</v>
      </c>
      <c r="AM226">
        <v>1</v>
      </c>
      <c r="AN226">
        <v>1</v>
      </c>
      <c r="AO226">
        <v>2</v>
      </c>
      <c r="AP226">
        <v>1</v>
      </c>
      <c r="AQ226">
        <v>2</v>
      </c>
      <c r="AR226">
        <v>2</v>
      </c>
      <c r="AS226">
        <v>1</v>
      </c>
      <c r="AT226">
        <v>2</v>
      </c>
      <c r="AU226">
        <v>1</v>
      </c>
      <c r="AV226">
        <v>2</v>
      </c>
      <c r="AW226">
        <v>2</v>
      </c>
      <c r="AX226">
        <v>1</v>
      </c>
      <c r="AY226">
        <v>1</v>
      </c>
      <c r="AZ226">
        <v>1</v>
      </c>
      <c r="BA226">
        <v>1</v>
      </c>
      <c r="BB226">
        <v>1</v>
      </c>
      <c r="BC226">
        <v>1</v>
      </c>
      <c r="BD226">
        <v>2</v>
      </c>
      <c r="BE226">
        <v>1</v>
      </c>
      <c r="BF226">
        <v>2</v>
      </c>
      <c r="BH226">
        <v>1</v>
      </c>
      <c r="BI226">
        <v>2</v>
      </c>
      <c r="BJ226">
        <v>2</v>
      </c>
      <c r="BK226">
        <v>1</v>
      </c>
      <c r="BL226">
        <v>1</v>
      </c>
      <c r="BM226">
        <v>1</v>
      </c>
      <c r="BN226">
        <v>2</v>
      </c>
      <c r="BO226">
        <v>2</v>
      </c>
      <c r="BQ226">
        <v>2</v>
      </c>
      <c r="BS226">
        <v>2</v>
      </c>
      <c r="BT226">
        <v>2</v>
      </c>
      <c r="BV226">
        <v>1</v>
      </c>
    </row>
    <row r="227" spans="1:74" x14ac:dyDescent="0.3">
      <c r="A227" s="155">
        <v>980</v>
      </c>
      <c r="B227" t="s">
        <v>583</v>
      </c>
      <c r="D227" t="s">
        <v>2414</v>
      </c>
      <c r="E227" t="s">
        <v>1595</v>
      </c>
      <c r="G227" t="s">
        <v>2415</v>
      </c>
      <c r="H227" t="s">
        <v>2416</v>
      </c>
      <c r="I227" t="s">
        <v>2264</v>
      </c>
      <c r="J227" t="s">
        <v>2417</v>
      </c>
      <c r="K227" t="s">
        <v>2418</v>
      </c>
      <c r="L227" t="s">
        <v>2264</v>
      </c>
      <c r="M227" t="s">
        <v>1618</v>
      </c>
      <c r="N227" t="s">
        <v>2419</v>
      </c>
      <c r="O227" t="s">
        <v>1595</v>
      </c>
      <c r="Q227" t="s">
        <v>2420</v>
      </c>
      <c r="R227" t="s">
        <v>1618</v>
      </c>
      <c r="S227" t="s">
        <v>2421</v>
      </c>
      <c r="T227" t="s">
        <v>1595</v>
      </c>
      <c r="V227" t="s">
        <v>2422</v>
      </c>
      <c r="X227" t="s">
        <v>1617</v>
      </c>
      <c r="Y227" t="s">
        <v>2277</v>
      </c>
      <c r="Z227" t="s">
        <v>1608</v>
      </c>
      <c r="AA227" t="s">
        <v>2423</v>
      </c>
      <c r="AB227" t="s">
        <v>1618</v>
      </c>
      <c r="AC227" t="s">
        <v>1973</v>
      </c>
      <c r="AD227" t="s">
        <v>2424</v>
      </c>
      <c r="AE227" t="s">
        <v>1620</v>
      </c>
      <c r="AF227" t="s">
        <v>2425</v>
      </c>
      <c r="AG227" t="s">
        <v>2426</v>
      </c>
      <c r="AH227" t="s">
        <v>2273</v>
      </c>
      <c r="AI227" t="s">
        <v>1614</v>
      </c>
      <c r="AJ227" t="s">
        <v>1622</v>
      </c>
      <c r="AK227" t="s">
        <v>1607</v>
      </c>
      <c r="AL227" t="s">
        <v>1595</v>
      </c>
      <c r="AM227" t="s">
        <v>2427</v>
      </c>
      <c r="AN227" t="s">
        <v>2264</v>
      </c>
      <c r="AO227" t="s">
        <v>2279</v>
      </c>
      <c r="AP227" t="s">
        <v>1595</v>
      </c>
      <c r="AQ227" t="s">
        <v>1983</v>
      </c>
      <c r="AR227" t="s">
        <v>2428</v>
      </c>
      <c r="AS227" t="s">
        <v>1625</v>
      </c>
      <c r="AT227" t="s">
        <v>1610</v>
      </c>
      <c r="AU227" t="s">
        <v>1595</v>
      </c>
      <c r="AV227" t="s">
        <v>2429</v>
      </c>
      <c r="AW227" t="s">
        <v>2430</v>
      </c>
      <c r="AX227" t="s">
        <v>1623</v>
      </c>
      <c r="AY227" t="s">
        <v>2431</v>
      </c>
      <c r="AZ227" t="s">
        <v>2272</v>
      </c>
      <c r="BA227" t="s">
        <v>1595</v>
      </c>
      <c r="BB227" t="s">
        <v>1618</v>
      </c>
      <c r="BC227" t="s">
        <v>2432</v>
      </c>
      <c r="BD227" t="s">
        <v>1626</v>
      </c>
      <c r="BE227" t="s">
        <v>1625</v>
      </c>
      <c r="BF227" t="s">
        <v>1624</v>
      </c>
      <c r="BH227" t="s">
        <v>1595</v>
      </c>
      <c r="BI227" t="s">
        <v>1616</v>
      </c>
      <c r="BJ227" t="s">
        <v>1623</v>
      </c>
      <c r="BK227" t="s">
        <v>2264</v>
      </c>
      <c r="BL227" t="s">
        <v>1608</v>
      </c>
      <c r="BM227" t="s">
        <v>1595</v>
      </c>
      <c r="BN227" t="s">
        <v>2433</v>
      </c>
      <c r="BO227" t="s">
        <v>2279</v>
      </c>
      <c r="BQ227" t="s">
        <v>1618</v>
      </c>
      <c r="BS227" t="s">
        <v>2434</v>
      </c>
      <c r="BT227" t="s">
        <v>2288</v>
      </c>
      <c r="BV227" t="s">
        <v>1604</v>
      </c>
    </row>
    <row r="228" spans="1:74" x14ac:dyDescent="0.3">
      <c r="A228" s="155">
        <v>984</v>
      </c>
      <c r="B228" t="s">
        <v>945</v>
      </c>
      <c r="D228">
        <v>2602920</v>
      </c>
      <c r="E228">
        <v>291708422</v>
      </c>
      <c r="G228">
        <v>2959139</v>
      </c>
      <c r="H228">
        <v>1444258</v>
      </c>
      <c r="I228">
        <v>1804</v>
      </c>
      <c r="J228">
        <v>106413</v>
      </c>
      <c r="K228">
        <v>0</v>
      </c>
      <c r="L228">
        <v>1229922</v>
      </c>
      <c r="M228">
        <v>9187701</v>
      </c>
      <c r="N228">
        <v>9577</v>
      </c>
      <c r="O228">
        <v>258315</v>
      </c>
      <c r="Q228">
        <v>182505</v>
      </c>
      <c r="R228">
        <v>699053</v>
      </c>
      <c r="S228">
        <v>824190</v>
      </c>
      <c r="T228">
        <v>8267402</v>
      </c>
      <c r="V228">
        <v>324121</v>
      </c>
      <c r="X228">
        <v>3980136</v>
      </c>
      <c r="Y228">
        <v>963787</v>
      </c>
      <c r="Z228">
        <v>28395797</v>
      </c>
      <c r="AA228">
        <v>6444008</v>
      </c>
      <c r="AB228">
        <v>88062</v>
      </c>
      <c r="AC228">
        <v>133962</v>
      </c>
      <c r="AD228">
        <v>540157</v>
      </c>
      <c r="AE228">
        <v>572459</v>
      </c>
      <c r="AF228">
        <v>131821</v>
      </c>
      <c r="AG228">
        <v>437687</v>
      </c>
      <c r="AH228">
        <v>5032817</v>
      </c>
      <c r="AI228">
        <v>27703</v>
      </c>
      <c r="AJ228">
        <v>1529337</v>
      </c>
      <c r="AK228">
        <v>97101</v>
      </c>
      <c r="AL228">
        <v>169170</v>
      </c>
      <c r="AM228">
        <v>2163865</v>
      </c>
      <c r="AN228">
        <v>108754</v>
      </c>
      <c r="AO228">
        <v>23394975</v>
      </c>
      <c r="AP228">
        <v>955027</v>
      </c>
      <c r="AQ228">
        <v>45206</v>
      </c>
      <c r="AR228">
        <v>71143</v>
      </c>
      <c r="AS228">
        <v>18769491</v>
      </c>
      <c r="AT228">
        <v>146514</v>
      </c>
      <c r="AU228">
        <v>575261</v>
      </c>
      <c r="AV228">
        <v>761567</v>
      </c>
      <c r="AW228">
        <v>131846</v>
      </c>
      <c r="AX228">
        <v>205505</v>
      </c>
      <c r="AY228">
        <v>146298</v>
      </c>
      <c r="AZ228">
        <v>3243177</v>
      </c>
      <c r="BA228">
        <v>837659</v>
      </c>
      <c r="BB228">
        <v>15629</v>
      </c>
      <c r="BC228">
        <v>214331</v>
      </c>
      <c r="BD228">
        <v>2698924</v>
      </c>
      <c r="BE228">
        <v>454312</v>
      </c>
      <c r="BF228">
        <v>13804863</v>
      </c>
      <c r="BH228">
        <v>113891</v>
      </c>
      <c r="BI228">
        <v>116307</v>
      </c>
      <c r="BJ228">
        <v>7715148</v>
      </c>
      <c r="BK228">
        <v>439762</v>
      </c>
      <c r="BL228">
        <v>11571474</v>
      </c>
      <c r="BM228">
        <v>4268377</v>
      </c>
      <c r="BN228">
        <v>3373937</v>
      </c>
      <c r="BO228">
        <v>689683</v>
      </c>
      <c r="BQ228">
        <v>1661303</v>
      </c>
      <c r="BS228">
        <v>1607901</v>
      </c>
      <c r="BT228">
        <v>594699</v>
      </c>
      <c r="BV228">
        <v>1367352</v>
      </c>
    </row>
    <row r="229" spans="1:74" x14ac:dyDescent="0.3">
      <c r="A229" s="155">
        <v>985</v>
      </c>
      <c r="B229" t="s">
        <v>946</v>
      </c>
      <c r="D229">
        <v>2552989</v>
      </c>
      <c r="E229">
        <v>290006010</v>
      </c>
      <c r="G229">
        <v>2816000</v>
      </c>
      <c r="H229">
        <v>1455000</v>
      </c>
      <c r="I229">
        <v>2353</v>
      </c>
      <c r="J229">
        <v>85000</v>
      </c>
      <c r="K229">
        <v>0</v>
      </c>
      <c r="L229">
        <v>1449919</v>
      </c>
      <c r="M229">
        <v>8858100</v>
      </c>
      <c r="N229">
        <v>2600</v>
      </c>
      <c r="O229">
        <v>238500</v>
      </c>
      <c r="Q229">
        <v>180000</v>
      </c>
      <c r="R229">
        <v>650000</v>
      </c>
      <c r="S229">
        <v>796963</v>
      </c>
      <c r="T229">
        <v>8101861</v>
      </c>
      <c r="V229">
        <v>340309</v>
      </c>
      <c r="X229">
        <v>4028364</v>
      </c>
      <c r="Y229">
        <v>918800</v>
      </c>
      <c r="Z229">
        <v>28610000</v>
      </c>
      <c r="AA229">
        <v>6110000</v>
      </c>
      <c r="AB229">
        <v>60500</v>
      </c>
      <c r="AC229">
        <v>145000</v>
      </c>
      <c r="AD229">
        <v>479000</v>
      </c>
      <c r="AE229">
        <v>552860</v>
      </c>
      <c r="AF229">
        <v>115500</v>
      </c>
      <c r="AG229">
        <v>453750</v>
      </c>
      <c r="AH229">
        <v>4917820</v>
      </c>
      <c r="AI229">
        <v>28100</v>
      </c>
      <c r="AJ229">
        <v>1382919</v>
      </c>
      <c r="AK229">
        <v>97101</v>
      </c>
      <c r="AL229">
        <v>159000</v>
      </c>
      <c r="AM229">
        <v>2156073</v>
      </c>
      <c r="AN229">
        <v>109550</v>
      </c>
      <c r="AO229">
        <v>22445676</v>
      </c>
      <c r="AP229">
        <v>868566</v>
      </c>
      <c r="AQ229">
        <v>46328</v>
      </c>
      <c r="AR229">
        <v>60084</v>
      </c>
      <c r="AS229">
        <v>18142344</v>
      </c>
      <c r="AT229">
        <v>152783</v>
      </c>
      <c r="AU229">
        <v>521850</v>
      </c>
      <c r="AV229">
        <v>694400</v>
      </c>
      <c r="AW229">
        <v>105202</v>
      </c>
      <c r="AX229">
        <v>210000</v>
      </c>
      <c r="AY229">
        <v>147900</v>
      </c>
      <c r="AZ229">
        <v>3128774</v>
      </c>
      <c r="BA229">
        <v>807000</v>
      </c>
      <c r="BB229">
        <v>16000</v>
      </c>
      <c r="BC229">
        <v>220700</v>
      </c>
      <c r="BD229">
        <v>2537408</v>
      </c>
      <c r="BE229">
        <v>437404</v>
      </c>
      <c r="BF229">
        <v>13570500</v>
      </c>
      <c r="BH229">
        <v>114350</v>
      </c>
      <c r="BI229">
        <v>120500</v>
      </c>
      <c r="BJ229">
        <v>7098800</v>
      </c>
      <c r="BK229">
        <v>406500</v>
      </c>
      <c r="BL229">
        <v>11158348</v>
      </c>
      <c r="BM229">
        <v>4256228</v>
      </c>
      <c r="BN229">
        <v>3206351</v>
      </c>
      <c r="BO229">
        <v>620164</v>
      </c>
      <c r="BQ229">
        <v>1631222</v>
      </c>
      <c r="BS229">
        <v>1508000</v>
      </c>
      <c r="BT229">
        <v>603250</v>
      </c>
      <c r="BV229">
        <v>1347500</v>
      </c>
    </row>
    <row r="230" spans="1:74" x14ac:dyDescent="0.3">
      <c r="A230" s="155">
        <v>986</v>
      </c>
      <c r="B230" t="s">
        <v>584</v>
      </c>
      <c r="D230">
        <v>0</v>
      </c>
      <c r="E230">
        <v>90000</v>
      </c>
      <c r="G230">
        <v>0</v>
      </c>
      <c r="H230">
        <v>0</v>
      </c>
      <c r="I230">
        <v>0</v>
      </c>
      <c r="J230">
        <v>0</v>
      </c>
      <c r="K230">
        <v>0</v>
      </c>
      <c r="L230">
        <v>0</v>
      </c>
      <c r="M230">
        <v>0</v>
      </c>
      <c r="N230">
        <v>0</v>
      </c>
      <c r="O230">
        <v>0</v>
      </c>
      <c r="Q230">
        <v>0</v>
      </c>
      <c r="R230">
        <v>0</v>
      </c>
      <c r="S230">
        <v>0</v>
      </c>
      <c r="T230">
        <v>0</v>
      </c>
      <c r="V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138543</v>
      </c>
      <c r="AT230">
        <v>0</v>
      </c>
      <c r="AU230">
        <v>0</v>
      </c>
      <c r="AV230">
        <v>0</v>
      </c>
      <c r="AW230">
        <v>0</v>
      </c>
      <c r="AX230">
        <v>0</v>
      </c>
      <c r="AY230">
        <v>0</v>
      </c>
      <c r="AZ230">
        <v>0</v>
      </c>
      <c r="BA230">
        <v>0</v>
      </c>
      <c r="BB230">
        <v>0</v>
      </c>
      <c r="BC230">
        <v>0</v>
      </c>
      <c r="BD230">
        <v>19818</v>
      </c>
      <c r="BE230">
        <v>0</v>
      </c>
      <c r="BF230">
        <v>0</v>
      </c>
      <c r="BH230">
        <v>0</v>
      </c>
      <c r="BI230">
        <v>0</v>
      </c>
      <c r="BJ230">
        <v>0</v>
      </c>
      <c r="BK230">
        <v>0</v>
      </c>
      <c r="BL230">
        <v>0</v>
      </c>
      <c r="BM230">
        <v>0</v>
      </c>
      <c r="BN230">
        <v>0</v>
      </c>
      <c r="BO230">
        <v>0</v>
      </c>
      <c r="BQ230">
        <v>0</v>
      </c>
      <c r="BS230">
        <v>50000</v>
      </c>
      <c r="BT230">
        <v>0</v>
      </c>
      <c r="BV230">
        <v>318863</v>
      </c>
    </row>
    <row r="231" spans="1:74" x14ac:dyDescent="0.3">
      <c r="A231" s="155">
        <v>987</v>
      </c>
      <c r="B231" t="s">
        <v>947</v>
      </c>
      <c r="D231">
        <v>0</v>
      </c>
      <c r="E231">
        <v>0</v>
      </c>
      <c r="G231">
        <v>0</v>
      </c>
      <c r="H231">
        <v>0</v>
      </c>
      <c r="I231">
        <v>0</v>
      </c>
      <c r="J231">
        <v>0</v>
      </c>
      <c r="K231">
        <v>0</v>
      </c>
      <c r="L231">
        <v>0</v>
      </c>
      <c r="M231">
        <v>0</v>
      </c>
      <c r="N231">
        <v>0</v>
      </c>
      <c r="O231">
        <v>0</v>
      </c>
      <c r="Q231">
        <v>0</v>
      </c>
      <c r="R231">
        <v>0</v>
      </c>
      <c r="S231">
        <v>0</v>
      </c>
      <c r="T231">
        <v>0</v>
      </c>
      <c r="V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0</v>
      </c>
      <c r="BF231">
        <v>0</v>
      </c>
      <c r="BH231">
        <v>0</v>
      </c>
      <c r="BI231">
        <v>0</v>
      </c>
      <c r="BJ231">
        <v>0</v>
      </c>
      <c r="BK231">
        <v>0</v>
      </c>
      <c r="BL231">
        <v>0</v>
      </c>
      <c r="BM231">
        <v>0</v>
      </c>
      <c r="BN231">
        <v>0</v>
      </c>
      <c r="BO231">
        <v>0</v>
      </c>
      <c r="BQ231">
        <v>0</v>
      </c>
      <c r="BS231">
        <v>0</v>
      </c>
      <c r="BT231">
        <v>0</v>
      </c>
      <c r="BV231">
        <v>0</v>
      </c>
    </row>
    <row r="232" spans="1:74" x14ac:dyDescent="0.3">
      <c r="A232" s="155">
        <v>988</v>
      </c>
      <c r="B232" t="s">
        <v>948</v>
      </c>
      <c r="D232">
        <v>2</v>
      </c>
      <c r="E232">
        <v>2</v>
      </c>
      <c r="G232">
        <v>2</v>
      </c>
      <c r="H232">
        <v>2</v>
      </c>
      <c r="I232">
        <v>2</v>
      </c>
      <c r="J232">
        <v>2</v>
      </c>
      <c r="K232">
        <v>2</v>
      </c>
      <c r="L232">
        <v>2</v>
      </c>
      <c r="M232">
        <v>2</v>
      </c>
      <c r="N232">
        <v>2</v>
      </c>
      <c r="O232">
        <v>2</v>
      </c>
      <c r="Q232">
        <v>0</v>
      </c>
      <c r="R232">
        <v>2</v>
      </c>
      <c r="S232">
        <v>2</v>
      </c>
      <c r="T232">
        <v>2</v>
      </c>
      <c r="V232">
        <v>2</v>
      </c>
      <c r="X232">
        <v>0</v>
      </c>
      <c r="Y232">
        <v>2</v>
      </c>
      <c r="Z232">
        <v>2</v>
      </c>
      <c r="AA232">
        <v>2</v>
      </c>
      <c r="AB232">
        <v>2</v>
      </c>
      <c r="AC232">
        <v>2</v>
      </c>
      <c r="AD232">
        <v>2</v>
      </c>
      <c r="AE232">
        <v>2</v>
      </c>
      <c r="AF232">
        <v>2</v>
      </c>
      <c r="AG232">
        <v>2</v>
      </c>
      <c r="AH232">
        <v>2</v>
      </c>
      <c r="AI232">
        <v>0</v>
      </c>
      <c r="AJ232">
        <v>2</v>
      </c>
      <c r="AK232">
        <v>2</v>
      </c>
      <c r="AL232">
        <v>2</v>
      </c>
      <c r="AM232">
        <v>2</v>
      </c>
      <c r="AN232">
        <v>2</v>
      </c>
      <c r="AO232">
        <v>2</v>
      </c>
      <c r="AP232">
        <v>2</v>
      </c>
      <c r="AQ232">
        <v>2</v>
      </c>
      <c r="AR232">
        <v>2</v>
      </c>
      <c r="AS232">
        <v>2</v>
      </c>
      <c r="AT232">
        <v>2</v>
      </c>
      <c r="AU232">
        <v>2</v>
      </c>
      <c r="AV232">
        <v>2</v>
      </c>
      <c r="AW232">
        <v>2</v>
      </c>
      <c r="AX232">
        <v>2</v>
      </c>
      <c r="AY232">
        <v>2</v>
      </c>
      <c r="AZ232">
        <v>2</v>
      </c>
      <c r="BA232">
        <v>2</v>
      </c>
      <c r="BB232">
        <v>2</v>
      </c>
      <c r="BC232">
        <v>2</v>
      </c>
      <c r="BD232">
        <v>2</v>
      </c>
      <c r="BE232">
        <v>2</v>
      </c>
      <c r="BF232">
        <v>2</v>
      </c>
      <c r="BH232">
        <v>2</v>
      </c>
      <c r="BI232">
        <v>2</v>
      </c>
      <c r="BJ232">
        <v>2</v>
      </c>
      <c r="BK232">
        <v>2</v>
      </c>
      <c r="BL232">
        <v>2</v>
      </c>
      <c r="BM232">
        <v>2</v>
      </c>
      <c r="BN232">
        <v>2</v>
      </c>
      <c r="BO232">
        <v>2</v>
      </c>
      <c r="BQ232">
        <v>2</v>
      </c>
      <c r="BS232">
        <v>2</v>
      </c>
      <c r="BT232">
        <v>0</v>
      </c>
      <c r="BV232">
        <v>2</v>
      </c>
    </row>
    <row r="233" spans="1:74" x14ac:dyDescent="0.3">
      <c r="A233" s="155">
        <v>989</v>
      </c>
      <c r="B233" t="s">
        <v>949</v>
      </c>
      <c r="D233">
        <v>0</v>
      </c>
      <c r="E233">
        <v>3</v>
      </c>
      <c r="G233">
        <v>0</v>
      </c>
      <c r="H233">
        <v>3</v>
      </c>
      <c r="I233">
        <v>3</v>
      </c>
      <c r="J233">
        <v>3</v>
      </c>
      <c r="K233">
        <v>3</v>
      </c>
      <c r="L233">
        <v>3</v>
      </c>
      <c r="M233">
        <v>3</v>
      </c>
      <c r="N233">
        <v>2</v>
      </c>
      <c r="O233">
        <v>0</v>
      </c>
      <c r="Q233">
        <v>0</v>
      </c>
      <c r="R233">
        <v>3</v>
      </c>
      <c r="S233">
        <v>0</v>
      </c>
      <c r="T233">
        <v>3</v>
      </c>
      <c r="V233">
        <v>3</v>
      </c>
      <c r="X233">
        <v>0</v>
      </c>
      <c r="Y233">
        <v>0</v>
      </c>
      <c r="Z233">
        <v>3</v>
      </c>
      <c r="AA233">
        <v>3</v>
      </c>
      <c r="AB233">
        <v>0</v>
      </c>
      <c r="AC233">
        <v>3</v>
      </c>
      <c r="AD233">
        <v>3</v>
      </c>
      <c r="AE233">
        <v>3</v>
      </c>
      <c r="AF233">
        <v>0</v>
      </c>
      <c r="AG233">
        <v>3</v>
      </c>
      <c r="AH233">
        <v>3</v>
      </c>
      <c r="AI233">
        <v>0</v>
      </c>
      <c r="AJ233">
        <v>3</v>
      </c>
      <c r="AK233">
        <v>3</v>
      </c>
      <c r="AL233">
        <v>0</v>
      </c>
      <c r="AM233">
        <v>3</v>
      </c>
      <c r="AN233">
        <v>3</v>
      </c>
      <c r="AO233">
        <v>3</v>
      </c>
      <c r="AP233">
        <v>3</v>
      </c>
      <c r="AQ233">
        <v>3</v>
      </c>
      <c r="AR233">
        <v>3</v>
      </c>
      <c r="AS233">
        <v>3</v>
      </c>
      <c r="AT233">
        <v>0</v>
      </c>
      <c r="AU233">
        <v>0</v>
      </c>
      <c r="AV233">
        <v>0</v>
      </c>
      <c r="AW233">
        <v>0</v>
      </c>
      <c r="AX233">
        <v>3</v>
      </c>
      <c r="AY233">
        <v>3</v>
      </c>
      <c r="AZ233">
        <v>3</v>
      </c>
      <c r="BA233">
        <v>0</v>
      </c>
      <c r="BB233">
        <v>3</v>
      </c>
      <c r="BC233">
        <v>0</v>
      </c>
      <c r="BD233">
        <v>3</v>
      </c>
      <c r="BE233">
        <v>3</v>
      </c>
      <c r="BF233">
        <v>3</v>
      </c>
      <c r="BH233">
        <v>3</v>
      </c>
      <c r="BI233">
        <v>3</v>
      </c>
      <c r="BJ233">
        <v>3</v>
      </c>
      <c r="BK233">
        <v>3</v>
      </c>
      <c r="BL233">
        <v>3</v>
      </c>
      <c r="BM233">
        <v>0</v>
      </c>
      <c r="BN233">
        <v>3</v>
      </c>
      <c r="BO233">
        <v>3</v>
      </c>
      <c r="BQ233">
        <v>3</v>
      </c>
      <c r="BS233">
        <v>3</v>
      </c>
      <c r="BT233">
        <v>0</v>
      </c>
      <c r="BV233">
        <v>3</v>
      </c>
    </row>
    <row r="234" spans="1:74" x14ac:dyDescent="0.3">
      <c r="A234" s="155">
        <v>990</v>
      </c>
      <c r="B234" t="s">
        <v>575</v>
      </c>
      <c r="D234">
        <v>0</v>
      </c>
      <c r="E234">
        <v>0</v>
      </c>
      <c r="G234">
        <v>0</v>
      </c>
      <c r="H234">
        <v>0</v>
      </c>
      <c r="I234">
        <v>0</v>
      </c>
      <c r="J234">
        <v>0</v>
      </c>
      <c r="K234">
        <v>0</v>
      </c>
      <c r="L234">
        <v>0</v>
      </c>
      <c r="M234">
        <v>0</v>
      </c>
      <c r="N234">
        <v>0</v>
      </c>
      <c r="O234">
        <v>0</v>
      </c>
      <c r="Q234">
        <v>0</v>
      </c>
      <c r="R234">
        <v>0</v>
      </c>
      <c r="S234">
        <v>0</v>
      </c>
      <c r="T234">
        <v>0</v>
      </c>
      <c r="V234">
        <v>0</v>
      </c>
      <c r="X234">
        <v>0</v>
      </c>
      <c r="Y234">
        <v>0</v>
      </c>
      <c r="Z234">
        <v>457582</v>
      </c>
      <c r="AA234">
        <v>0</v>
      </c>
      <c r="AB234">
        <v>0</v>
      </c>
      <c r="AC234">
        <v>0</v>
      </c>
      <c r="AD234">
        <v>0</v>
      </c>
      <c r="AE234">
        <v>0</v>
      </c>
      <c r="AF234">
        <v>0</v>
      </c>
      <c r="AG234">
        <v>0</v>
      </c>
      <c r="AH234">
        <v>0</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H234">
        <v>0</v>
      </c>
      <c r="BI234">
        <v>0</v>
      </c>
      <c r="BJ234">
        <v>0</v>
      </c>
      <c r="BK234">
        <v>0</v>
      </c>
      <c r="BL234">
        <v>0</v>
      </c>
      <c r="BM234">
        <v>0</v>
      </c>
      <c r="BN234">
        <v>0</v>
      </c>
      <c r="BO234">
        <v>0</v>
      </c>
      <c r="BQ234">
        <v>0</v>
      </c>
      <c r="BS234">
        <v>0</v>
      </c>
      <c r="BT234">
        <v>0</v>
      </c>
      <c r="BV234">
        <v>0</v>
      </c>
    </row>
    <row r="235" spans="1:74" x14ac:dyDescent="0.3">
      <c r="A235" s="155">
        <v>991</v>
      </c>
      <c r="B235" t="s">
        <v>950</v>
      </c>
      <c r="D235">
        <v>23</v>
      </c>
      <c r="E235">
        <v>23</v>
      </c>
      <c r="G235">
        <v>23</v>
      </c>
      <c r="H235">
        <v>23</v>
      </c>
      <c r="I235">
        <v>22</v>
      </c>
      <c r="J235">
        <v>20</v>
      </c>
      <c r="K235">
        <v>23</v>
      </c>
      <c r="L235">
        <v>23</v>
      </c>
      <c r="M235">
        <v>23</v>
      </c>
      <c r="N235">
        <v>22</v>
      </c>
      <c r="O235">
        <v>20</v>
      </c>
      <c r="Q235">
        <v>23</v>
      </c>
      <c r="R235">
        <v>22</v>
      </c>
      <c r="S235">
        <v>20</v>
      </c>
      <c r="T235">
        <v>23</v>
      </c>
      <c r="V235">
        <v>20</v>
      </c>
      <c r="X235">
        <v>22</v>
      </c>
      <c r="Y235">
        <v>20</v>
      </c>
      <c r="Z235">
        <v>23</v>
      </c>
      <c r="AA235">
        <v>23</v>
      </c>
      <c r="AB235">
        <v>20</v>
      </c>
      <c r="AC235">
        <v>23</v>
      </c>
      <c r="AD235">
        <v>23</v>
      </c>
      <c r="AE235">
        <v>23</v>
      </c>
      <c r="AF235">
        <v>23</v>
      </c>
      <c r="AG235">
        <v>22</v>
      </c>
      <c r="AH235">
        <v>23</v>
      </c>
      <c r="AI235">
        <v>20</v>
      </c>
      <c r="AJ235">
        <v>23</v>
      </c>
      <c r="AK235">
        <v>23</v>
      </c>
      <c r="AL235">
        <v>20</v>
      </c>
      <c r="AM235">
        <v>23</v>
      </c>
      <c r="AN235">
        <v>23</v>
      </c>
      <c r="AO235">
        <v>23</v>
      </c>
      <c r="AP235">
        <v>20</v>
      </c>
      <c r="AQ235">
        <v>20</v>
      </c>
      <c r="AR235">
        <v>23</v>
      </c>
      <c r="AS235">
        <v>20</v>
      </c>
      <c r="AT235">
        <v>23</v>
      </c>
      <c r="AU235">
        <v>23</v>
      </c>
      <c r="AV235">
        <v>22</v>
      </c>
      <c r="AW235">
        <v>22</v>
      </c>
      <c r="AX235">
        <v>22</v>
      </c>
      <c r="AY235">
        <v>23</v>
      </c>
      <c r="AZ235">
        <v>23</v>
      </c>
      <c r="BA235">
        <v>22</v>
      </c>
      <c r="BB235">
        <v>23</v>
      </c>
      <c r="BC235">
        <v>20</v>
      </c>
      <c r="BD235">
        <v>20</v>
      </c>
      <c r="BE235">
        <v>22</v>
      </c>
      <c r="BF235">
        <v>23</v>
      </c>
      <c r="BH235">
        <v>23</v>
      </c>
      <c r="BI235">
        <v>23</v>
      </c>
      <c r="BJ235">
        <v>23</v>
      </c>
      <c r="BK235">
        <v>23</v>
      </c>
      <c r="BL235">
        <v>20</v>
      </c>
      <c r="BM235">
        <v>23</v>
      </c>
      <c r="BN235">
        <v>20</v>
      </c>
      <c r="BO235">
        <v>23</v>
      </c>
      <c r="BQ235">
        <v>23</v>
      </c>
      <c r="BS235">
        <v>23</v>
      </c>
      <c r="BT235">
        <v>22</v>
      </c>
      <c r="BV235">
        <v>20</v>
      </c>
    </row>
    <row r="236" spans="1:74" x14ac:dyDescent="0.3">
      <c r="A236" s="155">
        <v>995</v>
      </c>
      <c r="B236" t="s">
        <v>275</v>
      </c>
      <c r="D236">
        <v>0</v>
      </c>
      <c r="E236">
        <v>0</v>
      </c>
      <c r="F236">
        <v>0</v>
      </c>
      <c r="G236">
        <v>0</v>
      </c>
      <c r="H236">
        <v>0</v>
      </c>
      <c r="I236">
        <v>0</v>
      </c>
      <c r="J236">
        <v>0</v>
      </c>
      <c r="K236">
        <v>0</v>
      </c>
      <c r="L236">
        <v>0.08</v>
      </c>
      <c r="M236">
        <v>0</v>
      </c>
      <c r="N236">
        <v>0</v>
      </c>
      <c r="O236">
        <v>0</v>
      </c>
      <c r="P236">
        <v>0</v>
      </c>
      <c r="Q236">
        <v>0</v>
      </c>
      <c r="R236">
        <v>0</v>
      </c>
      <c r="S236">
        <v>0</v>
      </c>
      <c r="T236">
        <v>0</v>
      </c>
      <c r="U236">
        <v>0</v>
      </c>
      <c r="V236">
        <v>0</v>
      </c>
      <c r="W236">
        <v>0.08</v>
      </c>
      <c r="X236">
        <v>0</v>
      </c>
      <c r="Y236">
        <v>0</v>
      </c>
      <c r="Z236">
        <v>0.08</v>
      </c>
      <c r="AA236">
        <v>0</v>
      </c>
      <c r="AB236">
        <v>0</v>
      </c>
      <c r="AC236">
        <v>0</v>
      </c>
      <c r="AD236">
        <v>0</v>
      </c>
      <c r="AE236">
        <v>0</v>
      </c>
      <c r="AF236">
        <v>0</v>
      </c>
      <c r="AG236">
        <v>0</v>
      </c>
      <c r="AH236">
        <v>0</v>
      </c>
      <c r="AI236">
        <v>0</v>
      </c>
      <c r="AJ236">
        <v>0</v>
      </c>
      <c r="AK236">
        <v>0</v>
      </c>
      <c r="AL236">
        <v>0</v>
      </c>
      <c r="AM236">
        <v>0</v>
      </c>
      <c r="AN236">
        <v>0</v>
      </c>
      <c r="AO236">
        <v>0</v>
      </c>
      <c r="AP236">
        <v>0</v>
      </c>
      <c r="AQ236">
        <v>0</v>
      </c>
      <c r="AR236">
        <v>0</v>
      </c>
      <c r="AS236">
        <v>0</v>
      </c>
      <c r="AT236">
        <v>0</v>
      </c>
      <c r="AU236">
        <v>0</v>
      </c>
      <c r="AV236">
        <v>0.08</v>
      </c>
      <c r="AW236">
        <v>0</v>
      </c>
      <c r="AX236">
        <v>0</v>
      </c>
      <c r="AY236">
        <v>0</v>
      </c>
      <c r="AZ236">
        <v>0.08</v>
      </c>
      <c r="BA236">
        <v>0</v>
      </c>
      <c r="BB236">
        <v>0</v>
      </c>
      <c r="BC236">
        <v>0</v>
      </c>
      <c r="BD236">
        <v>0</v>
      </c>
      <c r="BE236">
        <v>0.09</v>
      </c>
      <c r="BF236">
        <v>7.0000000000000007E-2</v>
      </c>
      <c r="BG236">
        <v>0</v>
      </c>
      <c r="BH236">
        <v>0</v>
      </c>
      <c r="BI236">
        <v>0</v>
      </c>
      <c r="BJ236">
        <v>0.08</v>
      </c>
      <c r="BK236">
        <v>0</v>
      </c>
      <c r="BL236">
        <v>0</v>
      </c>
      <c r="BM236">
        <v>0</v>
      </c>
      <c r="BN236">
        <v>0.08</v>
      </c>
      <c r="BO236">
        <v>0</v>
      </c>
      <c r="BP236">
        <v>0</v>
      </c>
      <c r="BQ236">
        <v>0</v>
      </c>
      <c r="BR236">
        <v>0</v>
      </c>
      <c r="BS236">
        <v>0</v>
      </c>
      <c r="BT236">
        <v>0</v>
      </c>
      <c r="BU236">
        <v>0</v>
      </c>
      <c r="BV236">
        <v>0</v>
      </c>
    </row>
    <row r="237" spans="1:74" x14ac:dyDescent="0.3">
      <c r="A237" s="155">
        <v>996</v>
      </c>
      <c r="B237" t="s">
        <v>276</v>
      </c>
      <c r="D237">
        <v>0.01</v>
      </c>
      <c r="E237">
        <v>0.01</v>
      </c>
      <c r="F237">
        <v>0.01</v>
      </c>
      <c r="G237">
        <v>0.01</v>
      </c>
      <c r="H237">
        <v>0.01</v>
      </c>
      <c r="I237">
        <v>0</v>
      </c>
      <c r="J237">
        <v>0</v>
      </c>
      <c r="K237">
        <v>0</v>
      </c>
      <c r="L237">
        <v>0.01</v>
      </c>
      <c r="M237">
        <v>0.01</v>
      </c>
      <c r="N237">
        <v>0</v>
      </c>
      <c r="O237">
        <v>0.01</v>
      </c>
      <c r="P237">
        <v>0.01</v>
      </c>
      <c r="Q237">
        <v>0</v>
      </c>
      <c r="R237">
        <v>0</v>
      </c>
      <c r="S237">
        <v>0.01</v>
      </c>
      <c r="T237">
        <v>0</v>
      </c>
      <c r="U237">
        <v>0.01</v>
      </c>
      <c r="V237">
        <v>0.01</v>
      </c>
      <c r="W237">
        <v>0.01</v>
      </c>
      <c r="X237">
        <v>0.01</v>
      </c>
      <c r="Y237">
        <v>0</v>
      </c>
      <c r="Z237">
        <v>0.01</v>
      </c>
      <c r="AA237">
        <v>0</v>
      </c>
      <c r="AB237">
        <v>0.01</v>
      </c>
      <c r="AC237">
        <v>0.01</v>
      </c>
      <c r="AD237">
        <v>0.01</v>
      </c>
      <c r="AE237">
        <v>0.01</v>
      </c>
      <c r="AF237">
        <v>0.01</v>
      </c>
      <c r="AG237">
        <v>0.01</v>
      </c>
      <c r="AH237">
        <v>0.01</v>
      </c>
      <c r="AI237">
        <v>0</v>
      </c>
      <c r="AJ237">
        <v>0</v>
      </c>
      <c r="AK237">
        <v>0</v>
      </c>
      <c r="AL237">
        <v>0.01</v>
      </c>
      <c r="AM237">
        <v>0.01</v>
      </c>
      <c r="AN237">
        <v>0.01</v>
      </c>
      <c r="AO237">
        <v>0.01</v>
      </c>
      <c r="AP237">
        <v>0.01</v>
      </c>
      <c r="AQ237">
        <v>0</v>
      </c>
      <c r="AR237">
        <v>0.01</v>
      </c>
      <c r="AS237">
        <v>0.01</v>
      </c>
      <c r="AT237">
        <v>0.01</v>
      </c>
      <c r="AU237">
        <v>0.01</v>
      </c>
      <c r="AV237">
        <v>0.01</v>
      </c>
      <c r="AW237">
        <v>0.01</v>
      </c>
      <c r="AX237">
        <v>0</v>
      </c>
      <c r="AY237">
        <v>0</v>
      </c>
      <c r="AZ237">
        <v>0.01</v>
      </c>
      <c r="BA237">
        <v>0.01</v>
      </c>
      <c r="BB237">
        <v>0.01</v>
      </c>
      <c r="BC237">
        <v>0.01</v>
      </c>
      <c r="BD237">
        <v>0.01</v>
      </c>
      <c r="BE237">
        <v>0.01</v>
      </c>
      <c r="BF237">
        <v>0.01</v>
      </c>
      <c r="BG237">
        <v>0.01</v>
      </c>
      <c r="BH237">
        <v>0</v>
      </c>
      <c r="BI237">
        <v>0.01</v>
      </c>
      <c r="BJ237">
        <v>0.01</v>
      </c>
      <c r="BK237">
        <v>0.01</v>
      </c>
      <c r="BL237">
        <v>0.01</v>
      </c>
      <c r="BM237">
        <v>0</v>
      </c>
      <c r="BN237">
        <v>0.01</v>
      </c>
      <c r="BO237">
        <v>0.01</v>
      </c>
      <c r="BP237">
        <v>0</v>
      </c>
      <c r="BQ237">
        <v>0</v>
      </c>
      <c r="BR237">
        <v>0</v>
      </c>
      <c r="BS237">
        <v>0.01</v>
      </c>
      <c r="BT237">
        <v>0.01</v>
      </c>
      <c r="BU237">
        <v>0.01</v>
      </c>
      <c r="BV237">
        <v>0.01</v>
      </c>
    </row>
    <row r="238" spans="1:74" x14ac:dyDescent="0.3">
      <c r="A238" s="155">
        <v>998</v>
      </c>
      <c r="B238" t="s">
        <v>277</v>
      </c>
      <c r="D238">
        <v>50</v>
      </c>
      <c r="E238">
        <v>50</v>
      </c>
      <c r="F238">
        <v>50</v>
      </c>
      <c r="G238">
        <v>50</v>
      </c>
      <c r="H238">
        <v>50</v>
      </c>
      <c r="I238">
        <v>50</v>
      </c>
      <c r="J238">
        <v>50</v>
      </c>
      <c r="K238">
        <v>50</v>
      </c>
      <c r="L238">
        <v>50</v>
      </c>
      <c r="M238">
        <v>50</v>
      </c>
      <c r="N238">
        <v>50</v>
      </c>
      <c r="O238">
        <v>50</v>
      </c>
      <c r="P238">
        <v>50</v>
      </c>
      <c r="Q238">
        <v>50</v>
      </c>
      <c r="R238">
        <v>50</v>
      </c>
      <c r="S238">
        <v>50</v>
      </c>
      <c r="T238">
        <v>50</v>
      </c>
      <c r="U238">
        <v>50</v>
      </c>
      <c r="V238">
        <v>50</v>
      </c>
      <c r="W238">
        <v>50</v>
      </c>
      <c r="X238">
        <v>50</v>
      </c>
      <c r="Y238">
        <v>50</v>
      </c>
      <c r="Z238">
        <v>50</v>
      </c>
      <c r="AA238">
        <v>50</v>
      </c>
      <c r="AB238">
        <v>50</v>
      </c>
      <c r="AC238">
        <v>50</v>
      </c>
      <c r="AD238">
        <v>50</v>
      </c>
      <c r="AE238">
        <v>50</v>
      </c>
      <c r="AF238">
        <v>50</v>
      </c>
      <c r="AG238">
        <v>50</v>
      </c>
      <c r="AH238">
        <v>50</v>
      </c>
      <c r="AI238">
        <v>50</v>
      </c>
      <c r="AJ238">
        <v>50</v>
      </c>
      <c r="AK238">
        <v>50</v>
      </c>
      <c r="AL238">
        <v>50</v>
      </c>
      <c r="AM238">
        <v>50</v>
      </c>
      <c r="AN238">
        <v>50</v>
      </c>
      <c r="AO238">
        <v>50</v>
      </c>
      <c r="AP238">
        <v>50</v>
      </c>
      <c r="AQ238">
        <v>50</v>
      </c>
      <c r="AR238">
        <v>50</v>
      </c>
      <c r="AS238">
        <v>50</v>
      </c>
      <c r="AT238">
        <v>50</v>
      </c>
      <c r="AU238">
        <v>50</v>
      </c>
      <c r="AV238">
        <v>50</v>
      </c>
      <c r="AW238">
        <v>50</v>
      </c>
      <c r="AX238">
        <v>50</v>
      </c>
      <c r="AY238">
        <v>50</v>
      </c>
      <c r="AZ238">
        <v>50</v>
      </c>
      <c r="BA238">
        <v>50</v>
      </c>
      <c r="BB238">
        <v>50</v>
      </c>
      <c r="BC238">
        <v>50</v>
      </c>
      <c r="BD238">
        <v>50</v>
      </c>
      <c r="BE238">
        <v>50</v>
      </c>
      <c r="BF238">
        <v>50</v>
      </c>
      <c r="BG238">
        <v>50</v>
      </c>
      <c r="BH238">
        <v>50</v>
      </c>
      <c r="BI238">
        <v>50</v>
      </c>
      <c r="BJ238">
        <v>50</v>
      </c>
      <c r="BK238">
        <v>50</v>
      </c>
      <c r="BL238">
        <v>50</v>
      </c>
      <c r="BM238">
        <v>50</v>
      </c>
      <c r="BN238">
        <v>50</v>
      </c>
      <c r="BO238">
        <v>50</v>
      </c>
      <c r="BP238">
        <v>50</v>
      </c>
      <c r="BQ238">
        <v>50</v>
      </c>
      <c r="BR238">
        <v>50</v>
      </c>
      <c r="BS238">
        <v>50</v>
      </c>
      <c r="BT238">
        <v>50</v>
      </c>
      <c r="BU238">
        <v>50</v>
      </c>
      <c r="BV238">
        <v>50</v>
      </c>
    </row>
    <row r="239" spans="1:74" x14ac:dyDescent="0.3">
      <c r="A239" s="155">
        <v>999</v>
      </c>
      <c r="B239" t="s">
        <v>278</v>
      </c>
      <c r="D239">
        <v>50312</v>
      </c>
      <c r="E239">
        <v>50313</v>
      </c>
      <c r="F239">
        <v>50314</v>
      </c>
      <c r="G239">
        <v>50315</v>
      </c>
      <c r="H239">
        <v>50316</v>
      </c>
      <c r="I239">
        <v>50481</v>
      </c>
      <c r="J239">
        <v>50561</v>
      </c>
      <c r="K239">
        <v>50317</v>
      </c>
      <c r="L239">
        <v>50318</v>
      </c>
      <c r="M239">
        <v>50319</v>
      </c>
      <c r="N239">
        <v>50489</v>
      </c>
      <c r="O239">
        <v>50320</v>
      </c>
      <c r="P239">
        <v>50323</v>
      </c>
      <c r="Q239">
        <v>50321</v>
      </c>
      <c r="R239">
        <v>50322</v>
      </c>
      <c r="S239">
        <v>50490</v>
      </c>
      <c r="T239">
        <v>50324</v>
      </c>
      <c r="U239">
        <v>50325</v>
      </c>
      <c r="V239">
        <v>50326</v>
      </c>
      <c r="W239">
        <v>50327</v>
      </c>
      <c r="X239">
        <v>50328</v>
      </c>
      <c r="Y239">
        <v>50329</v>
      </c>
      <c r="Z239">
        <v>50330</v>
      </c>
      <c r="AA239">
        <v>50331</v>
      </c>
      <c r="AB239">
        <v>50332</v>
      </c>
      <c r="AC239">
        <v>50333</v>
      </c>
      <c r="AD239">
        <v>50335</v>
      </c>
      <c r="AE239">
        <v>50334</v>
      </c>
      <c r="AF239">
        <v>50336</v>
      </c>
      <c r="AG239">
        <v>50337</v>
      </c>
      <c r="AH239">
        <v>50338</v>
      </c>
      <c r="AI239">
        <v>50339</v>
      </c>
      <c r="AJ239">
        <v>50443</v>
      </c>
      <c r="AK239">
        <v>50340</v>
      </c>
      <c r="AL239">
        <v>50456</v>
      </c>
      <c r="AM239">
        <v>50341</v>
      </c>
      <c r="AN239">
        <v>50342</v>
      </c>
      <c r="AO239">
        <v>50344</v>
      </c>
      <c r="AP239">
        <v>50345</v>
      </c>
      <c r="AQ239">
        <v>50503</v>
      </c>
      <c r="AR239">
        <v>50527</v>
      </c>
      <c r="AS239">
        <v>50346</v>
      </c>
      <c r="AT239">
        <v>50347</v>
      </c>
      <c r="AU239">
        <v>50529</v>
      </c>
      <c r="AV239">
        <v>50348</v>
      </c>
      <c r="AW239">
        <v>50349</v>
      </c>
      <c r="AX239">
        <v>50350</v>
      </c>
      <c r="AY239">
        <v>50541</v>
      </c>
      <c r="AZ239">
        <v>50351</v>
      </c>
      <c r="BA239">
        <v>50484</v>
      </c>
      <c r="BB239">
        <v>50352</v>
      </c>
      <c r="BC239">
        <v>50353</v>
      </c>
      <c r="BD239">
        <v>50354</v>
      </c>
      <c r="BE239">
        <v>50355</v>
      </c>
      <c r="BF239">
        <v>50356</v>
      </c>
      <c r="BG239">
        <v>50357</v>
      </c>
      <c r="BH239">
        <v>50482</v>
      </c>
      <c r="BI239">
        <v>50358</v>
      </c>
      <c r="BJ239">
        <v>50359</v>
      </c>
      <c r="BK239">
        <v>50360</v>
      </c>
      <c r="BL239">
        <v>50361</v>
      </c>
      <c r="BM239">
        <v>50362</v>
      </c>
      <c r="BN239">
        <v>50363</v>
      </c>
      <c r="BO239">
        <v>50364</v>
      </c>
      <c r="BP239">
        <v>50365</v>
      </c>
      <c r="BQ239">
        <v>50366</v>
      </c>
      <c r="BR239">
        <v>50367</v>
      </c>
      <c r="BS239">
        <v>50368</v>
      </c>
      <c r="BT239">
        <v>50369</v>
      </c>
      <c r="BU239">
        <v>50370</v>
      </c>
      <c r="BV239">
        <v>50371</v>
      </c>
    </row>
    <row r="240" spans="1:74" x14ac:dyDescent="0.3">
      <c r="A240" s="155">
        <v>1050</v>
      </c>
      <c r="B240" t="s">
        <v>1436</v>
      </c>
      <c r="D240">
        <v>167869</v>
      </c>
      <c r="E240">
        <v>0</v>
      </c>
      <c r="G240">
        <v>0</v>
      </c>
      <c r="H240">
        <v>0</v>
      </c>
      <c r="I240">
        <v>3648</v>
      </c>
      <c r="J240">
        <v>0</v>
      </c>
      <c r="K240">
        <v>0</v>
      </c>
      <c r="L240">
        <v>109599</v>
      </c>
      <c r="M240">
        <v>349059</v>
      </c>
      <c r="N240">
        <v>6396</v>
      </c>
      <c r="O240">
        <v>0</v>
      </c>
      <c r="Q240">
        <v>20048</v>
      </c>
      <c r="R240">
        <v>48755</v>
      </c>
      <c r="S240">
        <v>127007</v>
      </c>
      <c r="T240">
        <v>487687</v>
      </c>
      <c r="V240">
        <v>68300</v>
      </c>
      <c r="X240">
        <v>204219</v>
      </c>
      <c r="Y240">
        <v>40864</v>
      </c>
      <c r="AA240">
        <v>0</v>
      </c>
      <c r="AB240">
        <v>57850</v>
      </c>
      <c r="AC240">
        <v>6340</v>
      </c>
      <c r="AD240">
        <v>52025</v>
      </c>
      <c r="AE240">
        <v>44584</v>
      </c>
      <c r="AF240">
        <v>200</v>
      </c>
      <c r="AG240">
        <v>76175</v>
      </c>
      <c r="AH240">
        <v>0</v>
      </c>
      <c r="AI240">
        <v>0</v>
      </c>
      <c r="AJ240">
        <v>53100</v>
      </c>
      <c r="AK240">
        <v>9343</v>
      </c>
      <c r="AL240">
        <v>40049</v>
      </c>
      <c r="AM240">
        <v>181448</v>
      </c>
      <c r="AN240">
        <v>42068</v>
      </c>
      <c r="AO240">
        <v>1087117</v>
      </c>
      <c r="AP240">
        <v>0</v>
      </c>
      <c r="AQ240">
        <v>0</v>
      </c>
      <c r="AR240">
        <v>4380</v>
      </c>
      <c r="AS240">
        <v>0</v>
      </c>
      <c r="AT240">
        <v>5375</v>
      </c>
      <c r="AU240">
        <v>128039</v>
      </c>
      <c r="AV240">
        <v>95724</v>
      </c>
      <c r="AW240">
        <v>0</v>
      </c>
      <c r="AX240">
        <v>6690</v>
      </c>
      <c r="AY240">
        <v>0</v>
      </c>
      <c r="AZ240">
        <v>121862</v>
      </c>
      <c r="BA240">
        <v>0</v>
      </c>
      <c r="BB240">
        <v>4585</v>
      </c>
      <c r="BC240">
        <v>538</v>
      </c>
      <c r="BD240">
        <v>28263</v>
      </c>
      <c r="BE240">
        <v>16470</v>
      </c>
      <c r="BF240">
        <v>641798</v>
      </c>
      <c r="BH240">
        <v>0</v>
      </c>
      <c r="BI240">
        <v>10089</v>
      </c>
      <c r="BJ240">
        <v>335315</v>
      </c>
      <c r="BK240">
        <v>0</v>
      </c>
      <c r="BL240">
        <v>0</v>
      </c>
      <c r="BM240">
        <v>0</v>
      </c>
      <c r="BN240">
        <v>43848</v>
      </c>
      <c r="BO240">
        <v>31326</v>
      </c>
      <c r="BQ240">
        <v>32389</v>
      </c>
      <c r="BS240">
        <v>145764</v>
      </c>
      <c r="BT240">
        <v>0</v>
      </c>
      <c r="BV240">
        <v>89010</v>
      </c>
    </row>
    <row r="241" spans="1:74" x14ac:dyDescent="0.3">
      <c r="A241" s="155">
        <v>1051</v>
      </c>
      <c r="B241" t="s">
        <v>1630</v>
      </c>
      <c r="D241">
        <v>0</v>
      </c>
      <c r="E241">
        <v>0</v>
      </c>
      <c r="G241">
        <v>0</v>
      </c>
      <c r="H241">
        <v>0</v>
      </c>
      <c r="I241">
        <v>0</v>
      </c>
      <c r="J241">
        <v>0</v>
      </c>
      <c r="K241">
        <v>0</v>
      </c>
      <c r="L241">
        <v>0</v>
      </c>
      <c r="M241">
        <v>0</v>
      </c>
      <c r="N241">
        <v>0</v>
      </c>
      <c r="O241">
        <v>0</v>
      </c>
      <c r="Q241">
        <v>0</v>
      </c>
      <c r="R241">
        <v>0</v>
      </c>
      <c r="S241">
        <v>0</v>
      </c>
      <c r="T241">
        <v>0</v>
      </c>
      <c r="V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c r="BA241">
        <v>0</v>
      </c>
      <c r="BB241">
        <v>0</v>
      </c>
      <c r="BC241">
        <v>0</v>
      </c>
      <c r="BD241">
        <v>0</v>
      </c>
      <c r="BE241">
        <v>0</v>
      </c>
      <c r="BF241">
        <v>405818</v>
      </c>
      <c r="BH241">
        <v>0</v>
      </c>
      <c r="BI241">
        <v>0</v>
      </c>
      <c r="BJ241">
        <v>0</v>
      </c>
      <c r="BK241">
        <v>0</v>
      </c>
      <c r="BL241">
        <v>0</v>
      </c>
      <c r="BM241">
        <v>0</v>
      </c>
      <c r="BN241">
        <v>0</v>
      </c>
      <c r="BO241">
        <v>0</v>
      </c>
      <c r="BQ241">
        <v>0</v>
      </c>
      <c r="BS241">
        <v>0</v>
      </c>
      <c r="BT241">
        <v>0</v>
      </c>
      <c r="BV241">
        <v>0</v>
      </c>
    </row>
    <row r="242" spans="1:74" x14ac:dyDescent="0.3">
      <c r="A242" s="155">
        <v>1052</v>
      </c>
      <c r="B242" t="s">
        <v>1631</v>
      </c>
      <c r="D242">
        <v>0</v>
      </c>
      <c r="E242">
        <v>-22468212</v>
      </c>
      <c r="G242">
        <v>0</v>
      </c>
      <c r="H242">
        <v>0</v>
      </c>
      <c r="I242">
        <v>0</v>
      </c>
      <c r="J242">
        <v>0</v>
      </c>
      <c r="K242">
        <v>0</v>
      </c>
      <c r="L242">
        <v>0</v>
      </c>
      <c r="M242">
        <v>0</v>
      </c>
      <c r="N242">
        <v>0</v>
      </c>
      <c r="O242">
        <v>0</v>
      </c>
      <c r="Q242">
        <v>0</v>
      </c>
      <c r="R242">
        <v>0</v>
      </c>
      <c r="S242">
        <v>0</v>
      </c>
      <c r="T242">
        <v>0</v>
      </c>
      <c r="V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0</v>
      </c>
      <c r="AX242">
        <v>0</v>
      </c>
      <c r="AY242">
        <v>0</v>
      </c>
      <c r="AZ242">
        <v>0</v>
      </c>
      <c r="BA242">
        <v>0</v>
      </c>
      <c r="BB242">
        <v>0</v>
      </c>
      <c r="BC242">
        <v>0</v>
      </c>
      <c r="BD242">
        <v>0</v>
      </c>
      <c r="BE242">
        <v>0</v>
      </c>
      <c r="BF242">
        <v>0</v>
      </c>
      <c r="BH242">
        <v>0</v>
      </c>
      <c r="BI242">
        <v>0</v>
      </c>
      <c r="BJ242">
        <v>0</v>
      </c>
      <c r="BK242">
        <v>0</v>
      </c>
      <c r="BL242">
        <v>0</v>
      </c>
      <c r="BM242">
        <v>0</v>
      </c>
      <c r="BN242">
        <v>0</v>
      </c>
      <c r="BO242">
        <v>0</v>
      </c>
      <c r="BQ242">
        <v>0</v>
      </c>
      <c r="BS242">
        <v>0</v>
      </c>
      <c r="BT242">
        <v>0</v>
      </c>
      <c r="BV242">
        <v>0</v>
      </c>
    </row>
    <row r="243" spans="1:74" x14ac:dyDescent="0.3">
      <c r="A243" s="155">
        <v>1053</v>
      </c>
      <c r="B243" t="s">
        <v>1632</v>
      </c>
      <c r="D243">
        <v>0</v>
      </c>
      <c r="E243">
        <v>0</v>
      </c>
      <c r="G243">
        <v>0</v>
      </c>
      <c r="H243">
        <v>0</v>
      </c>
      <c r="I243">
        <v>0</v>
      </c>
      <c r="J243">
        <v>0</v>
      </c>
      <c r="K243">
        <v>0</v>
      </c>
      <c r="L243">
        <v>0</v>
      </c>
      <c r="M243">
        <v>0</v>
      </c>
      <c r="N243">
        <v>0</v>
      </c>
      <c r="O243">
        <v>0</v>
      </c>
      <c r="Q243">
        <v>0</v>
      </c>
      <c r="R243">
        <v>0</v>
      </c>
      <c r="S243">
        <v>0</v>
      </c>
      <c r="T243">
        <v>0</v>
      </c>
      <c r="V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H243">
        <v>0</v>
      </c>
      <c r="BI243">
        <v>0</v>
      </c>
      <c r="BJ243">
        <v>0</v>
      </c>
      <c r="BK243">
        <v>0</v>
      </c>
      <c r="BL243">
        <v>0</v>
      </c>
      <c r="BM243">
        <v>0</v>
      </c>
      <c r="BN243">
        <v>0</v>
      </c>
      <c r="BO243">
        <v>0</v>
      </c>
      <c r="BQ243">
        <v>0</v>
      </c>
      <c r="BS243">
        <v>0</v>
      </c>
      <c r="BT243">
        <v>0</v>
      </c>
      <c r="BV243">
        <v>0</v>
      </c>
    </row>
    <row r="244" spans="1:74" x14ac:dyDescent="0.3">
      <c r="A244" s="155">
        <v>1054</v>
      </c>
      <c r="B244" t="s">
        <v>1633</v>
      </c>
      <c r="D244">
        <v>0</v>
      </c>
      <c r="E244">
        <v>0</v>
      </c>
      <c r="G244">
        <v>0</v>
      </c>
      <c r="H244">
        <v>0</v>
      </c>
      <c r="I244">
        <v>0</v>
      </c>
      <c r="J244">
        <v>0</v>
      </c>
      <c r="K244">
        <v>0</v>
      </c>
      <c r="L244">
        <v>0</v>
      </c>
      <c r="M244">
        <v>0</v>
      </c>
      <c r="N244">
        <v>0</v>
      </c>
      <c r="O244">
        <v>0</v>
      </c>
      <c r="Q244">
        <v>0</v>
      </c>
      <c r="R244">
        <v>0</v>
      </c>
      <c r="S244">
        <v>0</v>
      </c>
      <c r="T244">
        <v>0</v>
      </c>
      <c r="V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H244">
        <v>0</v>
      </c>
      <c r="BI244">
        <v>0</v>
      </c>
      <c r="BJ244">
        <v>0</v>
      </c>
      <c r="BK244">
        <v>0</v>
      </c>
      <c r="BL244">
        <v>0</v>
      </c>
      <c r="BM244">
        <v>0</v>
      </c>
      <c r="BN244">
        <v>0</v>
      </c>
      <c r="BO244">
        <v>0</v>
      </c>
      <c r="BQ244">
        <v>0</v>
      </c>
      <c r="BS244">
        <v>0</v>
      </c>
      <c r="BT244">
        <v>0</v>
      </c>
      <c r="BV244">
        <v>0</v>
      </c>
    </row>
    <row r="245" spans="1:74" x14ac:dyDescent="0.3">
      <c r="A245" s="155">
        <v>1055</v>
      </c>
      <c r="B245" t="s">
        <v>1634</v>
      </c>
      <c r="D245">
        <v>2</v>
      </c>
      <c r="E245">
        <v>2</v>
      </c>
      <c r="G245">
        <v>2</v>
      </c>
      <c r="H245">
        <v>2</v>
      </c>
      <c r="I245">
        <v>2</v>
      </c>
      <c r="J245">
        <v>2</v>
      </c>
      <c r="K245">
        <v>2</v>
      </c>
      <c r="L245">
        <v>2</v>
      </c>
      <c r="M245">
        <v>2</v>
      </c>
      <c r="N245">
        <v>2</v>
      </c>
      <c r="O245">
        <v>2</v>
      </c>
      <c r="Q245">
        <v>2</v>
      </c>
      <c r="R245">
        <v>2</v>
      </c>
      <c r="S245">
        <v>2</v>
      </c>
      <c r="T245">
        <v>2</v>
      </c>
      <c r="V245">
        <v>2</v>
      </c>
      <c r="X245">
        <v>2</v>
      </c>
      <c r="Y245">
        <v>2</v>
      </c>
      <c r="Z245">
        <v>2</v>
      </c>
      <c r="AA245">
        <v>2</v>
      </c>
      <c r="AB245">
        <v>2</v>
      </c>
      <c r="AC245">
        <v>2</v>
      </c>
      <c r="AD245">
        <v>2</v>
      </c>
      <c r="AE245">
        <v>2</v>
      </c>
      <c r="AF245">
        <v>2</v>
      </c>
      <c r="AG245">
        <v>2</v>
      </c>
      <c r="AH245">
        <v>2</v>
      </c>
      <c r="AI245">
        <v>2</v>
      </c>
      <c r="AJ245">
        <v>1</v>
      </c>
      <c r="AK245">
        <v>2</v>
      </c>
      <c r="AL245">
        <v>2</v>
      </c>
      <c r="AM245">
        <v>2</v>
      </c>
      <c r="AN245">
        <v>2</v>
      </c>
      <c r="AO245">
        <v>2</v>
      </c>
      <c r="AP245">
        <v>2</v>
      </c>
      <c r="AQ245">
        <v>2</v>
      </c>
      <c r="AR245">
        <v>2</v>
      </c>
      <c r="AS245">
        <v>2</v>
      </c>
      <c r="AT245">
        <v>2</v>
      </c>
      <c r="AU245">
        <v>2</v>
      </c>
      <c r="AV245">
        <v>2</v>
      </c>
      <c r="AW245">
        <v>2</v>
      </c>
      <c r="AX245">
        <v>2</v>
      </c>
      <c r="AY245">
        <v>2</v>
      </c>
      <c r="AZ245">
        <v>2</v>
      </c>
      <c r="BA245">
        <v>2</v>
      </c>
      <c r="BB245">
        <v>2</v>
      </c>
      <c r="BC245">
        <v>2</v>
      </c>
      <c r="BD245">
        <v>2</v>
      </c>
      <c r="BE245">
        <v>2</v>
      </c>
      <c r="BF245">
        <v>2</v>
      </c>
      <c r="BH245">
        <v>2</v>
      </c>
      <c r="BI245">
        <v>2</v>
      </c>
      <c r="BJ245">
        <v>2</v>
      </c>
      <c r="BK245">
        <v>2</v>
      </c>
      <c r="BL245">
        <v>2</v>
      </c>
      <c r="BM245">
        <v>2</v>
      </c>
      <c r="BN245">
        <v>2</v>
      </c>
      <c r="BO245">
        <v>2</v>
      </c>
      <c r="BQ245">
        <v>2</v>
      </c>
      <c r="BS245">
        <v>2</v>
      </c>
      <c r="BT245">
        <v>2</v>
      </c>
      <c r="BV245">
        <v>2</v>
      </c>
    </row>
    <row r="246" spans="1:74" x14ac:dyDescent="0.3">
      <c r="A246" s="155">
        <v>1056</v>
      </c>
      <c r="B246" t="s">
        <v>1635</v>
      </c>
      <c r="D246">
        <v>2</v>
      </c>
      <c r="E246">
        <v>2</v>
      </c>
      <c r="G246">
        <v>1</v>
      </c>
      <c r="H246">
        <v>2</v>
      </c>
      <c r="I246">
        <v>2</v>
      </c>
      <c r="J246">
        <v>2</v>
      </c>
      <c r="K246">
        <v>2</v>
      </c>
      <c r="L246">
        <v>2</v>
      </c>
      <c r="M246">
        <v>2</v>
      </c>
      <c r="N246">
        <v>2</v>
      </c>
      <c r="O246">
        <v>2</v>
      </c>
      <c r="Q246">
        <v>1</v>
      </c>
      <c r="R246">
        <v>2</v>
      </c>
      <c r="S246">
        <v>2</v>
      </c>
      <c r="T246">
        <v>2</v>
      </c>
      <c r="V246">
        <v>1</v>
      </c>
      <c r="X246">
        <v>2</v>
      </c>
      <c r="Y246">
        <v>2</v>
      </c>
      <c r="Z246">
        <v>2</v>
      </c>
      <c r="AA246">
        <v>2</v>
      </c>
      <c r="AB246">
        <v>2</v>
      </c>
      <c r="AC246">
        <v>2</v>
      </c>
      <c r="AD246">
        <v>2</v>
      </c>
      <c r="AE246">
        <v>2</v>
      </c>
      <c r="AF246">
        <v>2</v>
      </c>
      <c r="AG246">
        <v>2</v>
      </c>
      <c r="AH246">
        <v>1</v>
      </c>
      <c r="AI246">
        <v>2</v>
      </c>
      <c r="AJ246">
        <v>1</v>
      </c>
      <c r="AK246">
        <v>2</v>
      </c>
      <c r="AL246">
        <v>2</v>
      </c>
      <c r="AM246">
        <v>2</v>
      </c>
      <c r="AN246">
        <v>2</v>
      </c>
      <c r="AO246">
        <v>2</v>
      </c>
      <c r="AP246">
        <v>2</v>
      </c>
      <c r="AQ246">
        <v>2</v>
      </c>
      <c r="AR246">
        <v>2</v>
      </c>
      <c r="AS246">
        <v>2</v>
      </c>
      <c r="AT246">
        <v>2</v>
      </c>
      <c r="AU246">
        <v>2</v>
      </c>
      <c r="AV246">
        <v>2</v>
      </c>
      <c r="AW246">
        <v>2</v>
      </c>
      <c r="AX246">
        <v>2</v>
      </c>
      <c r="AY246">
        <v>2</v>
      </c>
      <c r="AZ246">
        <v>2</v>
      </c>
      <c r="BA246">
        <v>2</v>
      </c>
      <c r="BB246">
        <v>2</v>
      </c>
      <c r="BC246">
        <v>2</v>
      </c>
      <c r="BD246">
        <v>2</v>
      </c>
      <c r="BE246">
        <v>2</v>
      </c>
      <c r="BF246">
        <v>2</v>
      </c>
      <c r="BH246">
        <v>2</v>
      </c>
      <c r="BI246">
        <v>1</v>
      </c>
      <c r="BJ246">
        <v>2</v>
      </c>
      <c r="BK246">
        <v>2</v>
      </c>
      <c r="BL246">
        <v>2</v>
      </c>
      <c r="BM246">
        <v>2</v>
      </c>
      <c r="BN246">
        <v>2</v>
      </c>
      <c r="BO246">
        <v>2</v>
      </c>
      <c r="BQ246">
        <v>2</v>
      </c>
      <c r="BS246">
        <v>2</v>
      </c>
      <c r="BT246">
        <v>2</v>
      </c>
      <c r="BV246">
        <v>2</v>
      </c>
    </row>
    <row r="247" spans="1:74" x14ac:dyDescent="0.3">
      <c r="A247" s="155">
        <v>1057</v>
      </c>
      <c r="B247" t="s">
        <v>1443</v>
      </c>
      <c r="D247">
        <v>2</v>
      </c>
      <c r="E247">
        <v>2</v>
      </c>
      <c r="G247">
        <v>1</v>
      </c>
      <c r="H247">
        <v>2</v>
      </c>
      <c r="I247">
        <v>1</v>
      </c>
      <c r="J247">
        <v>2</v>
      </c>
      <c r="K247">
        <v>2</v>
      </c>
      <c r="L247">
        <v>2</v>
      </c>
      <c r="M247">
        <v>2</v>
      </c>
      <c r="N247">
        <v>2</v>
      </c>
      <c r="O247">
        <v>2</v>
      </c>
      <c r="Q247">
        <v>1</v>
      </c>
      <c r="R247">
        <v>2</v>
      </c>
      <c r="S247">
        <v>2</v>
      </c>
      <c r="T247">
        <v>2</v>
      </c>
      <c r="V247">
        <v>2</v>
      </c>
      <c r="X247">
        <v>2</v>
      </c>
      <c r="Y247">
        <v>2</v>
      </c>
      <c r="Z247">
        <v>2</v>
      </c>
      <c r="AA247">
        <v>1</v>
      </c>
      <c r="AB247">
        <v>2</v>
      </c>
      <c r="AC247">
        <v>2</v>
      </c>
      <c r="AD247">
        <v>2</v>
      </c>
      <c r="AE247">
        <v>2</v>
      </c>
      <c r="AF247">
        <v>1</v>
      </c>
      <c r="AG247">
        <v>1</v>
      </c>
      <c r="AH247">
        <v>2</v>
      </c>
      <c r="AI247">
        <v>1</v>
      </c>
      <c r="AJ247">
        <v>1</v>
      </c>
      <c r="AK247">
        <v>2</v>
      </c>
      <c r="AL247">
        <v>2</v>
      </c>
      <c r="AM247">
        <v>2</v>
      </c>
      <c r="AN247">
        <v>2</v>
      </c>
      <c r="AO247">
        <v>2</v>
      </c>
      <c r="AP247">
        <v>2</v>
      </c>
      <c r="AQ247">
        <v>2</v>
      </c>
      <c r="AR247">
        <v>2</v>
      </c>
      <c r="AS247">
        <v>2</v>
      </c>
      <c r="AT247">
        <v>2</v>
      </c>
      <c r="AU247">
        <v>2</v>
      </c>
      <c r="AV247">
        <v>1</v>
      </c>
      <c r="AW247">
        <v>2</v>
      </c>
      <c r="AX247">
        <v>1</v>
      </c>
      <c r="AY247">
        <v>2</v>
      </c>
      <c r="AZ247">
        <v>2</v>
      </c>
      <c r="BA247">
        <v>2</v>
      </c>
      <c r="BB247">
        <v>2</v>
      </c>
      <c r="BC247">
        <v>2</v>
      </c>
      <c r="BD247">
        <v>2</v>
      </c>
      <c r="BE247">
        <v>2</v>
      </c>
      <c r="BF247">
        <v>2</v>
      </c>
      <c r="BH247">
        <v>2</v>
      </c>
      <c r="BI247">
        <v>2</v>
      </c>
      <c r="BJ247">
        <v>2</v>
      </c>
      <c r="BK247">
        <v>2</v>
      </c>
      <c r="BL247">
        <v>2</v>
      </c>
      <c r="BM247">
        <v>2</v>
      </c>
      <c r="BN247">
        <v>1</v>
      </c>
      <c r="BO247">
        <v>2</v>
      </c>
      <c r="BQ247">
        <v>2</v>
      </c>
      <c r="BS247">
        <v>2</v>
      </c>
      <c r="BT247">
        <v>1</v>
      </c>
      <c r="BV247">
        <v>2</v>
      </c>
    </row>
    <row r="248" spans="1:74" x14ac:dyDescent="0.3">
      <c r="A248" s="155">
        <v>1058</v>
      </c>
      <c r="B248" t="s">
        <v>1444</v>
      </c>
      <c r="D248">
        <v>2</v>
      </c>
      <c r="E248">
        <v>2</v>
      </c>
      <c r="G248">
        <v>1</v>
      </c>
      <c r="H248">
        <v>2</v>
      </c>
      <c r="I248">
        <v>2</v>
      </c>
      <c r="J248">
        <v>2</v>
      </c>
      <c r="K248">
        <v>2</v>
      </c>
      <c r="L248">
        <v>2</v>
      </c>
      <c r="M248">
        <v>2</v>
      </c>
      <c r="N248">
        <v>2</v>
      </c>
      <c r="O248">
        <v>2</v>
      </c>
      <c r="Q248">
        <v>1</v>
      </c>
      <c r="R248">
        <v>2</v>
      </c>
      <c r="S248">
        <v>2</v>
      </c>
      <c r="T248">
        <v>2</v>
      </c>
      <c r="V248">
        <v>2</v>
      </c>
      <c r="X248">
        <v>2</v>
      </c>
      <c r="Y248">
        <v>2</v>
      </c>
      <c r="Z248">
        <v>2</v>
      </c>
      <c r="AA248">
        <v>2</v>
      </c>
      <c r="AB248">
        <v>2</v>
      </c>
      <c r="AC248">
        <v>2</v>
      </c>
      <c r="AD248">
        <v>2</v>
      </c>
      <c r="AE248">
        <v>2</v>
      </c>
      <c r="AF248">
        <v>2</v>
      </c>
      <c r="AG248">
        <v>2</v>
      </c>
      <c r="AH248">
        <v>2</v>
      </c>
      <c r="AI248">
        <v>2</v>
      </c>
      <c r="AJ248">
        <v>1</v>
      </c>
      <c r="AK248">
        <v>2</v>
      </c>
      <c r="AL248">
        <v>2</v>
      </c>
      <c r="AM248">
        <v>1</v>
      </c>
      <c r="AN248">
        <v>1</v>
      </c>
      <c r="AO248">
        <v>1</v>
      </c>
      <c r="AP248">
        <v>2</v>
      </c>
      <c r="AQ248">
        <v>2</v>
      </c>
      <c r="AR248">
        <v>2</v>
      </c>
      <c r="AS248">
        <v>2</v>
      </c>
      <c r="AT248">
        <v>2</v>
      </c>
      <c r="AU248">
        <v>2</v>
      </c>
      <c r="AV248">
        <v>2</v>
      </c>
      <c r="AW248">
        <v>2</v>
      </c>
      <c r="AX248">
        <v>2</v>
      </c>
      <c r="AY248">
        <v>2</v>
      </c>
      <c r="AZ248">
        <v>2</v>
      </c>
      <c r="BA248">
        <v>2</v>
      </c>
      <c r="BB248">
        <v>1</v>
      </c>
      <c r="BC248">
        <v>2</v>
      </c>
      <c r="BD248">
        <v>2</v>
      </c>
      <c r="BE248">
        <v>2</v>
      </c>
      <c r="BF248">
        <v>2</v>
      </c>
      <c r="BH248">
        <v>2</v>
      </c>
      <c r="BI248">
        <v>1</v>
      </c>
      <c r="BJ248">
        <v>2</v>
      </c>
      <c r="BK248">
        <v>2</v>
      </c>
      <c r="BL248">
        <v>2</v>
      </c>
      <c r="BM248">
        <v>2</v>
      </c>
      <c r="BN248">
        <v>1</v>
      </c>
      <c r="BO248">
        <v>2</v>
      </c>
      <c r="BQ248">
        <v>2</v>
      </c>
      <c r="BS248">
        <v>2</v>
      </c>
      <c r="BT248">
        <v>2</v>
      </c>
      <c r="BV248">
        <v>2</v>
      </c>
    </row>
    <row r="249" spans="1:74" x14ac:dyDescent="0.3">
      <c r="A249" s="155">
        <v>1059</v>
      </c>
      <c r="B249" t="s">
        <v>1636</v>
      </c>
      <c r="D249">
        <v>1</v>
      </c>
      <c r="E249">
        <v>1</v>
      </c>
      <c r="G249">
        <v>2</v>
      </c>
      <c r="H249">
        <v>1</v>
      </c>
      <c r="I249">
        <v>1</v>
      </c>
      <c r="J249">
        <v>1</v>
      </c>
      <c r="K249">
        <v>1</v>
      </c>
      <c r="L249">
        <v>1</v>
      </c>
      <c r="M249">
        <v>1</v>
      </c>
      <c r="N249">
        <v>1</v>
      </c>
      <c r="O249">
        <v>1</v>
      </c>
      <c r="Q249">
        <v>1</v>
      </c>
      <c r="R249">
        <v>1</v>
      </c>
      <c r="S249">
        <v>1</v>
      </c>
      <c r="T249">
        <v>1</v>
      </c>
      <c r="V249">
        <v>1</v>
      </c>
      <c r="X249">
        <v>1</v>
      </c>
      <c r="Y249">
        <v>1</v>
      </c>
      <c r="Z249">
        <v>1</v>
      </c>
      <c r="AA249">
        <v>1</v>
      </c>
      <c r="AB249">
        <v>1</v>
      </c>
      <c r="AC249">
        <v>1</v>
      </c>
      <c r="AD249">
        <v>1</v>
      </c>
      <c r="AE249">
        <v>1</v>
      </c>
      <c r="AF249">
        <v>2</v>
      </c>
      <c r="AG249">
        <v>1</v>
      </c>
      <c r="AH249">
        <v>1</v>
      </c>
      <c r="AI249">
        <v>1</v>
      </c>
      <c r="AJ249">
        <v>1</v>
      </c>
      <c r="AK249">
        <v>1</v>
      </c>
      <c r="AL249">
        <v>1</v>
      </c>
      <c r="AM249">
        <v>1</v>
      </c>
      <c r="AN249">
        <v>1</v>
      </c>
      <c r="AO249">
        <v>1</v>
      </c>
      <c r="AP249">
        <v>1</v>
      </c>
      <c r="AQ249">
        <v>1</v>
      </c>
      <c r="AR249">
        <v>1</v>
      </c>
      <c r="AS249">
        <v>1</v>
      </c>
      <c r="AT249">
        <v>1</v>
      </c>
      <c r="AU249">
        <v>1</v>
      </c>
      <c r="AV249">
        <v>1</v>
      </c>
      <c r="AW249">
        <v>1</v>
      </c>
      <c r="AX249">
        <v>1</v>
      </c>
      <c r="AY249">
        <v>1</v>
      </c>
      <c r="AZ249">
        <v>1</v>
      </c>
      <c r="BA249">
        <v>1</v>
      </c>
      <c r="BB249">
        <v>1</v>
      </c>
      <c r="BC249">
        <v>1</v>
      </c>
      <c r="BD249">
        <v>1</v>
      </c>
      <c r="BE249">
        <v>1</v>
      </c>
      <c r="BF249">
        <v>1</v>
      </c>
      <c r="BH249">
        <v>1</v>
      </c>
      <c r="BI249">
        <v>1</v>
      </c>
      <c r="BJ249">
        <v>1</v>
      </c>
      <c r="BK249">
        <v>1</v>
      </c>
      <c r="BL249">
        <v>1</v>
      </c>
      <c r="BM249">
        <v>1</v>
      </c>
      <c r="BN249">
        <v>1</v>
      </c>
      <c r="BO249">
        <v>1</v>
      </c>
      <c r="BQ249">
        <v>1</v>
      </c>
      <c r="BS249">
        <v>1</v>
      </c>
      <c r="BT249">
        <v>1</v>
      </c>
      <c r="BV249">
        <v>1</v>
      </c>
    </row>
    <row r="250" spans="1:74" x14ac:dyDescent="0.3">
      <c r="A250" s="155">
        <v>1060</v>
      </c>
      <c r="B250" t="s">
        <v>1637</v>
      </c>
      <c r="D250">
        <v>790004</v>
      </c>
      <c r="E250">
        <v>8570345</v>
      </c>
      <c r="G250">
        <v>0</v>
      </c>
      <c r="H250">
        <v>584548</v>
      </c>
      <c r="I250">
        <v>7875</v>
      </c>
      <c r="J250">
        <v>0</v>
      </c>
      <c r="K250">
        <v>250000</v>
      </c>
      <c r="L250">
        <v>526549</v>
      </c>
      <c r="M250">
        <v>0</v>
      </c>
      <c r="N250">
        <v>33750</v>
      </c>
      <c r="O250">
        <v>38473</v>
      </c>
      <c r="Q250">
        <v>0</v>
      </c>
      <c r="R250">
        <v>0</v>
      </c>
      <c r="S250">
        <v>964378</v>
      </c>
      <c r="T250">
        <v>2281874</v>
      </c>
      <c r="V250">
        <v>101505</v>
      </c>
      <c r="X250">
        <v>0</v>
      </c>
      <c r="Y250">
        <v>158029</v>
      </c>
      <c r="Z250">
        <v>1160942</v>
      </c>
      <c r="AA250">
        <v>0</v>
      </c>
      <c r="AB250">
        <v>0</v>
      </c>
      <c r="AC250">
        <v>0</v>
      </c>
      <c r="AD250">
        <v>57990</v>
      </c>
      <c r="AE250">
        <v>3746</v>
      </c>
      <c r="AF250">
        <v>98000</v>
      </c>
      <c r="AG250">
        <v>158074</v>
      </c>
      <c r="AH250">
        <v>0</v>
      </c>
      <c r="AI250">
        <v>0</v>
      </c>
      <c r="AJ250">
        <v>0</v>
      </c>
      <c r="AK250">
        <v>0</v>
      </c>
      <c r="AL250">
        <v>81007</v>
      </c>
      <c r="AM250">
        <v>248437</v>
      </c>
      <c r="AN250">
        <v>65970</v>
      </c>
      <c r="AO250">
        <v>5691543</v>
      </c>
      <c r="AP250">
        <v>0</v>
      </c>
      <c r="AQ250">
        <v>0</v>
      </c>
      <c r="AR250">
        <v>0</v>
      </c>
      <c r="AS250">
        <v>494682</v>
      </c>
      <c r="AT250">
        <v>60674</v>
      </c>
      <c r="AU250">
        <v>238952</v>
      </c>
      <c r="AV250">
        <v>586403</v>
      </c>
      <c r="AW250">
        <v>0</v>
      </c>
      <c r="AX250">
        <v>6900</v>
      </c>
      <c r="AY250">
        <v>7800</v>
      </c>
      <c r="AZ250">
        <v>1131535</v>
      </c>
      <c r="BA250">
        <v>0</v>
      </c>
      <c r="BB250">
        <v>0</v>
      </c>
      <c r="BC250">
        <v>15671</v>
      </c>
      <c r="BD250">
        <v>129030</v>
      </c>
      <c r="BE250">
        <v>0</v>
      </c>
      <c r="BF250">
        <v>0</v>
      </c>
      <c r="BH250">
        <v>35747</v>
      </c>
      <c r="BI250">
        <v>0</v>
      </c>
      <c r="BJ250">
        <v>169952</v>
      </c>
      <c r="BK250">
        <v>0</v>
      </c>
      <c r="BL250">
        <v>0</v>
      </c>
      <c r="BM250">
        <v>471354</v>
      </c>
      <c r="BN250">
        <v>0</v>
      </c>
      <c r="BO250">
        <v>0</v>
      </c>
      <c r="BQ250">
        <v>0</v>
      </c>
      <c r="BS250">
        <v>525000</v>
      </c>
      <c r="BT250">
        <v>0</v>
      </c>
      <c r="BV250">
        <v>318863</v>
      </c>
    </row>
    <row r="251" spans="1:74" x14ac:dyDescent="0.3">
      <c r="A251" s="155">
        <v>1061</v>
      </c>
      <c r="B251" t="s">
        <v>1638</v>
      </c>
      <c r="D251">
        <v>0</v>
      </c>
      <c r="E251">
        <v>16961251</v>
      </c>
      <c r="G251">
        <v>0</v>
      </c>
      <c r="H251">
        <v>0</v>
      </c>
      <c r="I251">
        <v>0</v>
      </c>
      <c r="J251">
        <v>0</v>
      </c>
      <c r="K251">
        <v>187083</v>
      </c>
      <c r="L251">
        <v>0</v>
      </c>
      <c r="M251">
        <v>0</v>
      </c>
      <c r="N251">
        <v>0</v>
      </c>
      <c r="O251">
        <v>124700</v>
      </c>
      <c r="Q251">
        <v>0</v>
      </c>
      <c r="R251">
        <v>0</v>
      </c>
      <c r="S251">
        <v>0</v>
      </c>
      <c r="T251">
        <v>0</v>
      </c>
      <c r="V251">
        <v>0</v>
      </c>
      <c r="X251">
        <v>717405</v>
      </c>
      <c r="Y251">
        <v>0</v>
      </c>
      <c r="Z251">
        <v>0</v>
      </c>
      <c r="AA251">
        <v>0</v>
      </c>
      <c r="AB251">
        <v>0</v>
      </c>
      <c r="AC251">
        <v>0</v>
      </c>
      <c r="AD251">
        <v>199836</v>
      </c>
      <c r="AE251">
        <v>182214</v>
      </c>
      <c r="AF251">
        <v>0</v>
      </c>
      <c r="AG251">
        <v>0</v>
      </c>
      <c r="AH251">
        <v>0</v>
      </c>
      <c r="AI251">
        <v>0</v>
      </c>
      <c r="AJ251">
        <v>0</v>
      </c>
      <c r="AK251">
        <v>65811</v>
      </c>
      <c r="AL251">
        <v>126784</v>
      </c>
      <c r="AM251">
        <v>0</v>
      </c>
      <c r="AN251">
        <v>0</v>
      </c>
      <c r="AO251">
        <v>0</v>
      </c>
      <c r="AP251">
        <v>0</v>
      </c>
      <c r="AQ251">
        <v>0</v>
      </c>
      <c r="AR251">
        <v>0</v>
      </c>
      <c r="AS251">
        <v>4299325</v>
      </c>
      <c r="AT251">
        <v>0</v>
      </c>
      <c r="AU251">
        <v>587909</v>
      </c>
      <c r="AV251">
        <v>0</v>
      </c>
      <c r="AW251">
        <v>0</v>
      </c>
      <c r="AX251">
        <v>0</v>
      </c>
      <c r="AY251">
        <v>0</v>
      </c>
      <c r="AZ251">
        <v>0</v>
      </c>
      <c r="BA251">
        <v>34419</v>
      </c>
      <c r="BB251">
        <v>0</v>
      </c>
      <c r="BC251">
        <v>0</v>
      </c>
      <c r="BD251">
        <v>564396</v>
      </c>
      <c r="BE251">
        <v>0</v>
      </c>
      <c r="BF251">
        <v>0</v>
      </c>
      <c r="BH251">
        <v>0</v>
      </c>
      <c r="BI251">
        <v>0</v>
      </c>
      <c r="BJ251">
        <v>0</v>
      </c>
      <c r="BK251">
        <v>0</v>
      </c>
      <c r="BL251">
        <v>0</v>
      </c>
      <c r="BM251">
        <v>0</v>
      </c>
      <c r="BN251">
        <v>631977</v>
      </c>
      <c r="BO251">
        <v>274558</v>
      </c>
      <c r="BQ251">
        <v>0</v>
      </c>
      <c r="BS251">
        <v>0</v>
      </c>
      <c r="BT251">
        <v>0</v>
      </c>
      <c r="BV251">
        <v>0</v>
      </c>
    </row>
    <row r="252" spans="1:74" x14ac:dyDescent="0.3">
      <c r="A252" s="155">
        <v>1062</v>
      </c>
      <c r="B252" t="s">
        <v>1639</v>
      </c>
      <c r="D252">
        <v>1</v>
      </c>
      <c r="E252">
        <v>1</v>
      </c>
      <c r="G252">
        <v>0</v>
      </c>
      <c r="H252">
        <v>1</v>
      </c>
      <c r="I252">
        <v>0</v>
      </c>
      <c r="J252">
        <v>0</v>
      </c>
      <c r="K252">
        <v>1</v>
      </c>
      <c r="L252">
        <v>1</v>
      </c>
      <c r="M252">
        <v>1</v>
      </c>
      <c r="N252">
        <v>0</v>
      </c>
      <c r="O252">
        <v>1</v>
      </c>
      <c r="Q252">
        <v>1</v>
      </c>
      <c r="R252">
        <v>1</v>
      </c>
      <c r="S252">
        <v>1</v>
      </c>
      <c r="T252">
        <v>1</v>
      </c>
      <c r="V252">
        <v>1</v>
      </c>
      <c r="X252">
        <v>1</v>
      </c>
      <c r="Y252">
        <v>1</v>
      </c>
      <c r="Z252">
        <v>1</v>
      </c>
      <c r="AA252">
        <v>1</v>
      </c>
      <c r="AB252">
        <v>1</v>
      </c>
      <c r="AC252">
        <v>0</v>
      </c>
      <c r="AD252">
        <v>1</v>
      </c>
      <c r="AE252">
        <v>1</v>
      </c>
      <c r="AF252">
        <v>1</v>
      </c>
      <c r="AG252">
        <v>1</v>
      </c>
      <c r="AH252">
        <v>2</v>
      </c>
      <c r="AI252">
        <v>0</v>
      </c>
      <c r="AJ252">
        <v>1</v>
      </c>
      <c r="AK252">
        <v>1</v>
      </c>
      <c r="AL252">
        <v>1</v>
      </c>
      <c r="AM252">
        <v>1</v>
      </c>
      <c r="AN252">
        <v>3</v>
      </c>
      <c r="AO252">
        <v>1</v>
      </c>
      <c r="AP252">
        <v>1</v>
      </c>
      <c r="AQ252">
        <v>1</v>
      </c>
      <c r="AR252">
        <v>1</v>
      </c>
      <c r="AS252">
        <v>1</v>
      </c>
      <c r="AT252">
        <v>1</v>
      </c>
      <c r="AU252">
        <v>1</v>
      </c>
      <c r="AV252">
        <v>1</v>
      </c>
      <c r="AW252">
        <v>0</v>
      </c>
      <c r="AX252">
        <v>1</v>
      </c>
      <c r="AY252">
        <v>1</v>
      </c>
      <c r="AZ252">
        <v>1</v>
      </c>
      <c r="BA252">
        <v>1</v>
      </c>
      <c r="BB252">
        <v>1</v>
      </c>
      <c r="BC252">
        <v>0</v>
      </c>
      <c r="BD252">
        <v>1</v>
      </c>
      <c r="BE252">
        <v>1</v>
      </c>
      <c r="BF252">
        <v>1</v>
      </c>
      <c r="BH252">
        <v>1</v>
      </c>
      <c r="BI252">
        <v>1</v>
      </c>
      <c r="BJ252">
        <v>1</v>
      </c>
      <c r="BK252">
        <v>1</v>
      </c>
      <c r="BL252">
        <v>1</v>
      </c>
      <c r="BM252">
        <v>1</v>
      </c>
      <c r="BN252">
        <v>1</v>
      </c>
      <c r="BO252">
        <v>1</v>
      </c>
      <c r="BQ252">
        <v>1</v>
      </c>
      <c r="BS252">
        <v>1</v>
      </c>
      <c r="BT252">
        <v>1</v>
      </c>
      <c r="BV252">
        <v>1</v>
      </c>
    </row>
    <row r="253" spans="1:74" x14ac:dyDescent="0.3">
      <c r="A253" s="155">
        <v>1063</v>
      </c>
      <c r="B253" t="s">
        <v>1640</v>
      </c>
      <c r="D253">
        <v>1</v>
      </c>
      <c r="E253">
        <v>1</v>
      </c>
      <c r="G253">
        <v>0</v>
      </c>
      <c r="H253">
        <v>1</v>
      </c>
      <c r="I253">
        <v>0</v>
      </c>
      <c r="J253">
        <v>0</v>
      </c>
      <c r="K253">
        <v>1</v>
      </c>
      <c r="L253">
        <v>1</v>
      </c>
      <c r="M253">
        <v>1</v>
      </c>
      <c r="N253">
        <v>0</v>
      </c>
      <c r="O253">
        <v>1</v>
      </c>
      <c r="Q253">
        <v>1</v>
      </c>
      <c r="R253">
        <v>1</v>
      </c>
      <c r="S253">
        <v>1</v>
      </c>
      <c r="T253">
        <v>1</v>
      </c>
      <c r="V253">
        <v>1</v>
      </c>
      <c r="X253">
        <v>1</v>
      </c>
      <c r="Y253">
        <v>1</v>
      </c>
      <c r="Z253">
        <v>1</v>
      </c>
      <c r="AA253">
        <v>1</v>
      </c>
      <c r="AB253">
        <v>1</v>
      </c>
      <c r="AC253">
        <v>0</v>
      </c>
      <c r="AD253">
        <v>1</v>
      </c>
      <c r="AE253">
        <v>1</v>
      </c>
      <c r="AF253">
        <v>1</v>
      </c>
      <c r="AG253">
        <v>1</v>
      </c>
      <c r="AH253">
        <v>2</v>
      </c>
      <c r="AI253">
        <v>0</v>
      </c>
      <c r="AJ253">
        <v>1</v>
      </c>
      <c r="AK253">
        <v>1</v>
      </c>
      <c r="AL253">
        <v>1</v>
      </c>
      <c r="AM253">
        <v>1</v>
      </c>
      <c r="AN253">
        <v>3</v>
      </c>
      <c r="AO253">
        <v>1</v>
      </c>
      <c r="AP253">
        <v>1</v>
      </c>
      <c r="AQ253">
        <v>1</v>
      </c>
      <c r="AR253">
        <v>1</v>
      </c>
      <c r="AS253">
        <v>1</v>
      </c>
      <c r="AT253">
        <v>1</v>
      </c>
      <c r="AU253">
        <v>1</v>
      </c>
      <c r="AV253">
        <v>1</v>
      </c>
      <c r="AW253">
        <v>0</v>
      </c>
      <c r="AX253">
        <v>1</v>
      </c>
      <c r="AY253">
        <v>1</v>
      </c>
      <c r="AZ253">
        <v>1</v>
      </c>
      <c r="BA253">
        <v>1</v>
      </c>
      <c r="BB253">
        <v>1</v>
      </c>
      <c r="BC253">
        <v>0</v>
      </c>
      <c r="BD253">
        <v>1</v>
      </c>
      <c r="BE253">
        <v>1</v>
      </c>
      <c r="BF253">
        <v>1</v>
      </c>
      <c r="BH253">
        <v>1</v>
      </c>
      <c r="BI253">
        <v>1</v>
      </c>
      <c r="BJ253">
        <v>1</v>
      </c>
      <c r="BK253">
        <v>1</v>
      </c>
      <c r="BL253">
        <v>1</v>
      </c>
      <c r="BM253">
        <v>1</v>
      </c>
      <c r="BN253">
        <v>1</v>
      </c>
      <c r="BO253">
        <v>1</v>
      </c>
      <c r="BQ253">
        <v>1</v>
      </c>
      <c r="BS253">
        <v>1</v>
      </c>
      <c r="BT253">
        <v>1</v>
      </c>
      <c r="BV253">
        <v>1</v>
      </c>
    </row>
    <row r="254" spans="1:74" x14ac:dyDescent="0.3">
      <c r="A254" s="155">
        <v>1064</v>
      </c>
      <c r="B254" t="s">
        <v>1641</v>
      </c>
      <c r="D254">
        <v>790004</v>
      </c>
      <c r="E254">
        <v>12191711</v>
      </c>
      <c r="L254">
        <v>526548</v>
      </c>
      <c r="M254">
        <v>0</v>
      </c>
      <c r="T254">
        <v>2281874</v>
      </c>
      <c r="Z254">
        <v>1160942</v>
      </c>
      <c r="AH254">
        <v>0</v>
      </c>
      <c r="AM254">
        <v>248437</v>
      </c>
      <c r="AO254">
        <v>1535786</v>
      </c>
      <c r="AS254">
        <v>494682</v>
      </c>
      <c r="AZ254">
        <v>1131535</v>
      </c>
      <c r="BF254">
        <v>0</v>
      </c>
      <c r="BJ254">
        <v>169952</v>
      </c>
      <c r="BN254">
        <v>0</v>
      </c>
      <c r="BV254">
        <v>318863</v>
      </c>
    </row>
    <row r="255" spans="1:74" x14ac:dyDescent="0.3">
      <c r="A255" s="155">
        <v>1065</v>
      </c>
      <c r="B255" t="s">
        <v>1642</v>
      </c>
      <c r="D255">
        <v>0</v>
      </c>
      <c r="E255">
        <v>0</v>
      </c>
      <c r="L255">
        <v>0</v>
      </c>
      <c r="M255">
        <v>0</v>
      </c>
      <c r="T255">
        <v>0</v>
      </c>
      <c r="Z255">
        <v>0</v>
      </c>
      <c r="AH255">
        <v>0</v>
      </c>
      <c r="AM255">
        <v>0</v>
      </c>
      <c r="AO255">
        <v>0</v>
      </c>
      <c r="AS255">
        <v>0</v>
      </c>
      <c r="AZ255">
        <v>0</v>
      </c>
      <c r="BF255">
        <v>0</v>
      </c>
      <c r="BJ255">
        <v>0</v>
      </c>
      <c r="BN255">
        <v>0</v>
      </c>
      <c r="BV255">
        <v>0</v>
      </c>
    </row>
    <row r="256" spans="1:74" x14ac:dyDescent="0.3">
      <c r="A256" s="155">
        <v>1066</v>
      </c>
      <c r="B256" t="s">
        <v>1643</v>
      </c>
      <c r="D256" t="s">
        <v>2435</v>
      </c>
      <c r="E256" t="s">
        <v>1649</v>
      </c>
      <c r="G256" t="s">
        <v>2436</v>
      </c>
      <c r="H256" t="s">
        <v>1657</v>
      </c>
      <c r="I256" t="s">
        <v>2437</v>
      </c>
      <c r="J256" t="s">
        <v>2438</v>
      </c>
      <c r="K256" t="s">
        <v>2439</v>
      </c>
      <c r="L256" t="s">
        <v>1650</v>
      </c>
      <c r="M256" t="s">
        <v>1652</v>
      </c>
      <c r="N256" t="s">
        <v>2440</v>
      </c>
      <c r="O256" t="s">
        <v>1645</v>
      </c>
      <c r="Q256" t="s">
        <v>2441</v>
      </c>
      <c r="R256" t="s">
        <v>2442</v>
      </c>
      <c r="S256" t="s">
        <v>2443</v>
      </c>
      <c r="T256" t="s">
        <v>1652</v>
      </c>
      <c r="V256" t="s">
        <v>2444</v>
      </c>
      <c r="X256" t="s">
        <v>1648</v>
      </c>
      <c r="Y256" t="s">
        <v>2445</v>
      </c>
      <c r="Z256" t="s">
        <v>1647</v>
      </c>
      <c r="AA256" t="s">
        <v>2446</v>
      </c>
      <c r="AB256" t="s">
        <v>2447</v>
      </c>
      <c r="AC256" t="s">
        <v>2448</v>
      </c>
      <c r="AD256" t="s">
        <v>2449</v>
      </c>
      <c r="AE256" t="s">
        <v>2450</v>
      </c>
      <c r="AF256" t="s">
        <v>2451</v>
      </c>
      <c r="AG256" t="s">
        <v>2452</v>
      </c>
      <c r="AH256" t="s">
        <v>2453</v>
      </c>
      <c r="AI256" t="s">
        <v>1645</v>
      </c>
      <c r="AJ256" t="s">
        <v>2454</v>
      </c>
      <c r="AK256" t="s">
        <v>1655</v>
      </c>
      <c r="AL256" t="s">
        <v>2455</v>
      </c>
      <c r="AM256" t="s">
        <v>2446</v>
      </c>
      <c r="AN256" t="s">
        <v>2456</v>
      </c>
      <c r="AO256" t="s">
        <v>2443</v>
      </c>
      <c r="AP256" t="s">
        <v>1650</v>
      </c>
      <c r="AQ256" t="s">
        <v>2457</v>
      </c>
      <c r="AR256" t="s">
        <v>1644</v>
      </c>
      <c r="AS256" t="s">
        <v>1650</v>
      </c>
      <c r="AT256" t="s">
        <v>1653</v>
      </c>
      <c r="AU256" t="s">
        <v>1656</v>
      </c>
      <c r="AV256" t="s">
        <v>2450</v>
      </c>
      <c r="AW256" t="s">
        <v>2458</v>
      </c>
      <c r="AX256" t="s">
        <v>2459</v>
      </c>
      <c r="AY256" t="s">
        <v>2460</v>
      </c>
      <c r="AZ256" t="s">
        <v>1649</v>
      </c>
      <c r="BA256" t="s">
        <v>2461</v>
      </c>
      <c r="BB256" t="s">
        <v>1651</v>
      </c>
      <c r="BC256" t="s">
        <v>2462</v>
      </c>
      <c r="BD256" t="s">
        <v>2463</v>
      </c>
      <c r="BE256" t="s">
        <v>2464</v>
      </c>
      <c r="BF256" t="s">
        <v>2465</v>
      </c>
      <c r="BH256" t="s">
        <v>1650</v>
      </c>
      <c r="BI256" t="s">
        <v>2466</v>
      </c>
      <c r="BJ256" t="s">
        <v>1658</v>
      </c>
      <c r="BK256" t="s">
        <v>1650</v>
      </c>
      <c r="BL256" t="s">
        <v>1652</v>
      </c>
      <c r="BM256" t="s">
        <v>2467</v>
      </c>
      <c r="BN256" t="s">
        <v>1646</v>
      </c>
      <c r="BO256" t="s">
        <v>2437</v>
      </c>
      <c r="BQ256" t="s">
        <v>2468</v>
      </c>
      <c r="BS256" t="s">
        <v>1654</v>
      </c>
      <c r="BT256" t="s">
        <v>2469</v>
      </c>
      <c r="BV256" t="s">
        <v>1649</v>
      </c>
    </row>
    <row r="257" spans="1:74" x14ac:dyDescent="0.3">
      <c r="A257" s="155">
        <v>9000</v>
      </c>
      <c r="B257" t="s">
        <v>951</v>
      </c>
      <c r="C257" t="s">
        <v>349</v>
      </c>
      <c r="D257">
        <v>313841816.41000003</v>
      </c>
      <c r="E257">
        <v>30027948064.112999</v>
      </c>
      <c r="F257">
        <v>50364.01</v>
      </c>
      <c r="G257">
        <v>233386009.49000001</v>
      </c>
      <c r="H257">
        <v>102438221.55</v>
      </c>
      <c r="I257">
        <v>839504.71499999997</v>
      </c>
      <c r="J257">
        <v>17004743.32</v>
      </c>
      <c r="K257">
        <v>74338146</v>
      </c>
      <c r="L257">
        <v>243373524.12</v>
      </c>
      <c r="M257">
        <v>852811460.53740001</v>
      </c>
      <c r="N257">
        <v>8148097.6310000001</v>
      </c>
      <c r="O257">
        <v>43321168.039999999</v>
      </c>
      <c r="P257">
        <v>50373.01</v>
      </c>
      <c r="Q257">
        <v>15728303.369999999</v>
      </c>
      <c r="R257">
        <v>27649865.760000002</v>
      </c>
      <c r="S257">
        <v>80685809.609999999</v>
      </c>
      <c r="T257">
        <v>302433476.34100002</v>
      </c>
      <c r="U257">
        <v>50375.01</v>
      </c>
      <c r="V257">
        <v>99832862.280000001</v>
      </c>
      <c r="W257">
        <v>50377.09</v>
      </c>
      <c r="X257">
        <v>408850861.31999999</v>
      </c>
      <c r="Y257">
        <v>42518403.719999999</v>
      </c>
      <c r="Z257">
        <v>3559633901.4450002</v>
      </c>
      <c r="AA257">
        <v>351257078.18000001</v>
      </c>
      <c r="AB257">
        <v>13721309.449999999</v>
      </c>
      <c r="AC257">
        <v>39179560.210000001</v>
      </c>
      <c r="AD257">
        <v>71255011.290000007</v>
      </c>
      <c r="AE257">
        <v>63140865.450000003</v>
      </c>
      <c r="AF257">
        <v>38683904.579999998</v>
      </c>
      <c r="AG257">
        <v>42650314.509999998</v>
      </c>
      <c r="AH257">
        <v>408554872.08999997</v>
      </c>
      <c r="AI257">
        <v>4365411.1624999996</v>
      </c>
      <c r="AJ257">
        <v>81902436.030000001</v>
      </c>
      <c r="AK257">
        <v>6702558.8600000003</v>
      </c>
      <c r="AL257">
        <v>51754128.240000002</v>
      </c>
      <c r="AM257">
        <v>152159891.52000001</v>
      </c>
      <c r="AN257">
        <v>22867128.010000002</v>
      </c>
      <c r="AO257">
        <v>2137285840.5495999</v>
      </c>
      <c r="AP257">
        <v>62240402.630000003</v>
      </c>
      <c r="AQ257">
        <v>7411312.9199999999</v>
      </c>
      <c r="AR257">
        <v>14940919.630000001</v>
      </c>
      <c r="AS257">
        <v>1906878869.8199999</v>
      </c>
      <c r="AT257">
        <v>38400079.229999997</v>
      </c>
      <c r="AU257">
        <v>151659824.19999999</v>
      </c>
      <c r="AV257">
        <v>134434434.23500001</v>
      </c>
      <c r="AW257">
        <v>45189622.630000003</v>
      </c>
      <c r="AX257">
        <v>23129583.760000002</v>
      </c>
      <c r="AY257">
        <v>8305907.1749999998</v>
      </c>
      <c r="AZ257">
        <v>383659094.37</v>
      </c>
      <c r="BA257">
        <v>48986971.710000001</v>
      </c>
      <c r="BB257">
        <v>21431940.649999999</v>
      </c>
      <c r="BC257">
        <v>22861382.870000001</v>
      </c>
      <c r="BD257">
        <v>291616374.60250002</v>
      </c>
      <c r="BE257">
        <v>115177764.06</v>
      </c>
      <c r="BF257">
        <v>1816397564.1775</v>
      </c>
      <c r="BG257">
        <v>50407.01</v>
      </c>
      <c r="BH257">
        <v>7286565.5099999998</v>
      </c>
      <c r="BI257">
        <v>21140866.800000001</v>
      </c>
      <c r="BJ257">
        <v>1035274761.41</v>
      </c>
      <c r="BK257">
        <v>78897663.939999998</v>
      </c>
      <c r="BL257">
        <v>875945256.67999995</v>
      </c>
      <c r="BM257">
        <v>222388742.97580001</v>
      </c>
      <c r="BN257">
        <v>493165014.92559999</v>
      </c>
      <c r="BO257">
        <v>164896231.25</v>
      </c>
      <c r="BP257">
        <v>50415</v>
      </c>
      <c r="BQ257">
        <v>89521681.680000007</v>
      </c>
      <c r="BR257">
        <v>50417</v>
      </c>
      <c r="BS257">
        <v>160073782.48300001</v>
      </c>
      <c r="BT257">
        <v>50964020.210000001</v>
      </c>
      <c r="BU257">
        <v>50420.01</v>
      </c>
      <c r="BV257">
        <v>159602637.84999999</v>
      </c>
    </row>
    <row r="258" spans="1:74" x14ac:dyDescent="0.3">
      <c r="A258" s="155">
        <v>9001</v>
      </c>
      <c r="B258" t="s">
        <v>952</v>
      </c>
      <c r="C258" t="s">
        <v>953</v>
      </c>
      <c r="D258">
        <v>17216847</v>
      </c>
      <c r="E258">
        <v>2400160543</v>
      </c>
      <c r="F258">
        <v>0</v>
      </c>
      <c r="G258">
        <v>18626157</v>
      </c>
      <c r="H258">
        <v>8747747</v>
      </c>
      <c r="I258">
        <v>84078</v>
      </c>
      <c r="J258">
        <v>2809505</v>
      </c>
      <c r="K258">
        <v>12661286</v>
      </c>
      <c r="L258">
        <v>11160862</v>
      </c>
      <c r="M258">
        <v>53688654</v>
      </c>
      <c r="N258">
        <v>981073</v>
      </c>
      <c r="O258">
        <v>2198347</v>
      </c>
      <c r="P258">
        <v>0</v>
      </c>
      <c r="Q258">
        <v>2320704</v>
      </c>
      <c r="R258">
        <v>3093408</v>
      </c>
      <c r="S258">
        <v>6649941</v>
      </c>
      <c r="T258">
        <v>33378338</v>
      </c>
      <c r="U258">
        <v>0</v>
      </c>
      <c r="V258">
        <v>2599133</v>
      </c>
      <c r="W258">
        <v>0</v>
      </c>
      <c r="X258">
        <v>39879777</v>
      </c>
      <c r="Y258">
        <v>5387512</v>
      </c>
      <c r="Z258">
        <v>255865141</v>
      </c>
      <c r="AA258">
        <v>68605074</v>
      </c>
      <c r="AB258">
        <v>527517</v>
      </c>
      <c r="AC258">
        <v>1495507</v>
      </c>
      <c r="AD258">
        <v>2798817</v>
      </c>
      <c r="AE258">
        <v>4056426</v>
      </c>
      <c r="AF258">
        <v>1364519</v>
      </c>
      <c r="AG258">
        <v>1743475</v>
      </c>
      <c r="AH258">
        <v>15683523</v>
      </c>
      <c r="AI258">
        <v>706159</v>
      </c>
      <c r="AJ258">
        <v>10015118</v>
      </c>
      <c r="AK258">
        <v>832280</v>
      </c>
      <c r="AL258">
        <v>3172779</v>
      </c>
      <c r="AM258">
        <v>10709847</v>
      </c>
      <c r="AN258">
        <v>1417945</v>
      </c>
      <c r="AO258">
        <v>110735006</v>
      </c>
      <c r="AP258">
        <v>3551140</v>
      </c>
      <c r="AQ258">
        <v>843820</v>
      </c>
      <c r="AR258">
        <v>1535934</v>
      </c>
      <c r="AS258">
        <v>99001289</v>
      </c>
      <c r="AT258">
        <v>1058758</v>
      </c>
      <c r="AU258">
        <v>11737900</v>
      </c>
      <c r="AV258">
        <v>4794228</v>
      </c>
      <c r="AW258">
        <v>1340290</v>
      </c>
      <c r="AX258">
        <v>5000533</v>
      </c>
      <c r="AY258">
        <v>990244</v>
      </c>
      <c r="AZ258">
        <v>17811113</v>
      </c>
      <c r="BA258">
        <v>4402663</v>
      </c>
      <c r="BB258">
        <v>256532</v>
      </c>
      <c r="BC258">
        <v>1658458</v>
      </c>
      <c r="BD258">
        <v>28915730</v>
      </c>
      <c r="BE258">
        <v>2961086</v>
      </c>
      <c r="BF258">
        <v>110171760</v>
      </c>
      <c r="BG258">
        <v>0</v>
      </c>
      <c r="BH258">
        <v>718723</v>
      </c>
      <c r="BI258">
        <v>874183</v>
      </c>
      <c r="BJ258">
        <v>57857014</v>
      </c>
      <c r="BK258">
        <v>3819113</v>
      </c>
      <c r="BL258">
        <v>72284163</v>
      </c>
      <c r="BM258">
        <v>31651930</v>
      </c>
      <c r="BN258">
        <v>26204120</v>
      </c>
      <c r="BO258">
        <v>5452799</v>
      </c>
      <c r="BP258">
        <v>0</v>
      </c>
      <c r="BQ258">
        <v>12411961</v>
      </c>
      <c r="BR258">
        <v>0</v>
      </c>
      <c r="BS258">
        <v>8921617</v>
      </c>
      <c r="BT258">
        <v>3842494</v>
      </c>
      <c r="BU258">
        <v>0</v>
      </c>
      <c r="BV258">
        <v>9065190</v>
      </c>
    </row>
    <row r="259" spans="1:74" x14ac:dyDescent="0.3">
      <c r="A259" s="155">
        <v>9002</v>
      </c>
      <c r="B259" t="s">
        <v>954</v>
      </c>
      <c r="C259" t="s">
        <v>955</v>
      </c>
      <c r="D259">
        <v>673261</v>
      </c>
      <c r="E259">
        <v>295069172</v>
      </c>
      <c r="F259">
        <v>0</v>
      </c>
      <c r="G259">
        <v>398525</v>
      </c>
      <c r="H259">
        <v>74063</v>
      </c>
      <c r="I259">
        <v>0</v>
      </c>
      <c r="J259">
        <v>597</v>
      </c>
      <c r="K259">
        <v>271523</v>
      </c>
      <c r="L259">
        <v>369221</v>
      </c>
      <c r="M259">
        <v>4068534</v>
      </c>
      <c r="N259">
        <v>2892</v>
      </c>
      <c r="O259">
        <v>204899</v>
      </c>
      <c r="P259">
        <v>0</v>
      </c>
      <c r="Q259">
        <v>124432</v>
      </c>
      <c r="R259">
        <v>387923</v>
      </c>
      <c r="S259">
        <v>65757</v>
      </c>
      <c r="T259">
        <v>2746175</v>
      </c>
      <c r="U259">
        <v>0</v>
      </c>
      <c r="V259">
        <v>1107959</v>
      </c>
      <c r="W259">
        <v>0</v>
      </c>
      <c r="X259">
        <v>1244459</v>
      </c>
      <c r="Y259">
        <v>325598</v>
      </c>
      <c r="Z259">
        <v>23453601</v>
      </c>
      <c r="AA259">
        <v>2718144</v>
      </c>
      <c r="AB259">
        <v>69990</v>
      </c>
      <c r="AC259">
        <v>17486</v>
      </c>
      <c r="AD259">
        <v>254374</v>
      </c>
      <c r="AE259">
        <v>56504</v>
      </c>
      <c r="AF259">
        <v>30263</v>
      </c>
      <c r="AG259">
        <v>35784</v>
      </c>
      <c r="AH259">
        <v>8347358</v>
      </c>
      <c r="AI259">
        <v>3654</v>
      </c>
      <c r="AJ259">
        <v>747091</v>
      </c>
      <c r="AK259">
        <v>65811</v>
      </c>
      <c r="AL259">
        <v>158936</v>
      </c>
      <c r="AM259">
        <v>1462018</v>
      </c>
      <c r="AN259">
        <v>38825</v>
      </c>
      <c r="AO259">
        <v>6729822</v>
      </c>
      <c r="AP259">
        <v>73243</v>
      </c>
      <c r="AQ259">
        <v>15311</v>
      </c>
      <c r="AR259">
        <v>12869</v>
      </c>
      <c r="AS259">
        <v>4685069</v>
      </c>
      <c r="AT259">
        <v>18722</v>
      </c>
      <c r="AU259">
        <v>758567</v>
      </c>
      <c r="AV259">
        <v>11382</v>
      </c>
      <c r="AW259">
        <v>23261</v>
      </c>
      <c r="AX259">
        <v>1276884</v>
      </c>
      <c r="AY259">
        <v>18045</v>
      </c>
      <c r="AZ259">
        <v>424800</v>
      </c>
      <c r="BA259">
        <v>244640</v>
      </c>
      <c r="BB259">
        <v>23121</v>
      </c>
      <c r="BC259">
        <v>38210</v>
      </c>
      <c r="BD259">
        <v>1124190</v>
      </c>
      <c r="BE259">
        <v>147122</v>
      </c>
      <c r="BF259">
        <v>9207161</v>
      </c>
      <c r="BG259">
        <v>0</v>
      </c>
      <c r="BH259">
        <v>66638</v>
      </c>
      <c r="BI259">
        <v>57716</v>
      </c>
      <c r="BJ259">
        <v>5459982</v>
      </c>
      <c r="BK259">
        <v>423475</v>
      </c>
      <c r="BL259">
        <v>5911070</v>
      </c>
      <c r="BM259">
        <v>2454961</v>
      </c>
      <c r="BN259">
        <v>2008152</v>
      </c>
      <c r="BO259">
        <v>325034</v>
      </c>
      <c r="BP259">
        <v>0</v>
      </c>
      <c r="BQ259">
        <v>722480</v>
      </c>
      <c r="BR259">
        <v>0</v>
      </c>
      <c r="BS259">
        <v>705990</v>
      </c>
      <c r="BT259">
        <v>113373</v>
      </c>
      <c r="BU259">
        <v>0</v>
      </c>
      <c r="BV259">
        <v>503974</v>
      </c>
    </row>
    <row r="260" spans="1:74" x14ac:dyDescent="0.3">
      <c r="A260" s="155">
        <v>9003</v>
      </c>
      <c r="B260" t="s">
        <v>956</v>
      </c>
      <c r="C260" t="s">
        <v>957</v>
      </c>
      <c r="D260">
        <v>6151158</v>
      </c>
      <c r="E260">
        <v>1132445666</v>
      </c>
      <c r="F260">
        <v>0</v>
      </c>
      <c r="G260">
        <v>5199519</v>
      </c>
      <c r="H260">
        <v>4843676</v>
      </c>
      <c r="I260">
        <v>0</v>
      </c>
      <c r="J260">
        <v>597</v>
      </c>
      <c r="K260">
        <v>336023</v>
      </c>
      <c r="L260">
        <v>8681435</v>
      </c>
      <c r="M260">
        <v>25601158</v>
      </c>
      <c r="N260">
        <v>2892</v>
      </c>
      <c r="O260">
        <v>357603</v>
      </c>
      <c r="P260">
        <v>0</v>
      </c>
      <c r="Q260">
        <v>611330</v>
      </c>
      <c r="R260">
        <v>764489</v>
      </c>
      <c r="S260">
        <v>726762</v>
      </c>
      <c r="T260">
        <v>26188723</v>
      </c>
      <c r="U260">
        <v>0</v>
      </c>
      <c r="V260">
        <v>1181807</v>
      </c>
      <c r="W260">
        <v>0</v>
      </c>
      <c r="X260">
        <v>15932891</v>
      </c>
      <c r="Y260">
        <v>1466904</v>
      </c>
      <c r="Z260">
        <v>142351195</v>
      </c>
      <c r="AA260">
        <v>11044740</v>
      </c>
      <c r="AB260">
        <v>69990</v>
      </c>
      <c r="AC260">
        <v>69274</v>
      </c>
      <c r="AD260">
        <v>1166898</v>
      </c>
      <c r="AE260">
        <v>401832</v>
      </c>
      <c r="AF260">
        <v>209047</v>
      </c>
      <c r="AG260">
        <v>1299087</v>
      </c>
      <c r="AH260">
        <v>11706599</v>
      </c>
      <c r="AI260">
        <v>3654</v>
      </c>
      <c r="AJ260">
        <v>3430412</v>
      </c>
      <c r="AK260">
        <v>65811</v>
      </c>
      <c r="AL260">
        <v>1076444</v>
      </c>
      <c r="AM260">
        <v>4178794</v>
      </c>
      <c r="AN260">
        <v>77700</v>
      </c>
      <c r="AO260">
        <v>38777846</v>
      </c>
      <c r="AP260">
        <v>610332</v>
      </c>
      <c r="AQ260">
        <v>63753</v>
      </c>
      <c r="AR260">
        <v>497762</v>
      </c>
      <c r="AS260">
        <v>78983721</v>
      </c>
      <c r="AT260">
        <v>18757</v>
      </c>
      <c r="AU260">
        <v>991121</v>
      </c>
      <c r="AV260">
        <v>1119824</v>
      </c>
      <c r="AW260">
        <v>410281</v>
      </c>
      <c r="AX260">
        <v>1495031</v>
      </c>
      <c r="AY260">
        <v>97388</v>
      </c>
      <c r="AZ260">
        <v>10896443</v>
      </c>
      <c r="BA260">
        <v>1512411</v>
      </c>
      <c r="BB260">
        <v>23121</v>
      </c>
      <c r="BC260">
        <v>69323</v>
      </c>
      <c r="BD260">
        <v>6548634</v>
      </c>
      <c r="BE260">
        <v>1342187</v>
      </c>
      <c r="BF260">
        <v>50951660</v>
      </c>
      <c r="BG260">
        <v>0</v>
      </c>
      <c r="BH260">
        <v>235278</v>
      </c>
      <c r="BI260">
        <v>57716</v>
      </c>
      <c r="BJ260">
        <v>29236583</v>
      </c>
      <c r="BK260">
        <v>729388</v>
      </c>
      <c r="BL260">
        <v>21177746</v>
      </c>
      <c r="BM260">
        <v>12367127</v>
      </c>
      <c r="BN260">
        <v>11625285</v>
      </c>
      <c r="BO260">
        <v>540196</v>
      </c>
      <c r="BP260">
        <v>0</v>
      </c>
      <c r="BQ260">
        <v>4417908</v>
      </c>
      <c r="BR260">
        <v>0</v>
      </c>
      <c r="BS260">
        <v>4348572</v>
      </c>
      <c r="BT260">
        <v>1209038</v>
      </c>
      <c r="BU260">
        <v>0</v>
      </c>
      <c r="BV260">
        <v>1716762</v>
      </c>
    </row>
    <row r="261" spans="1:74" x14ac:dyDescent="0.3">
      <c r="A261" s="155">
        <v>9004</v>
      </c>
      <c r="B261" t="s">
        <v>958</v>
      </c>
      <c r="C261" t="s">
        <v>959</v>
      </c>
      <c r="D261" t="s">
        <v>960</v>
      </c>
      <c r="E261" t="s">
        <v>960</v>
      </c>
      <c r="F261" t="s">
        <v>960</v>
      </c>
      <c r="G261" t="s">
        <v>960</v>
      </c>
      <c r="H261" t="s">
        <v>960</v>
      </c>
      <c r="I261" t="s">
        <v>349</v>
      </c>
      <c r="J261" t="s">
        <v>349</v>
      </c>
      <c r="K261" t="s">
        <v>349</v>
      </c>
      <c r="L261" t="s">
        <v>960</v>
      </c>
      <c r="M261" t="s">
        <v>960</v>
      </c>
      <c r="N261" t="s">
        <v>349</v>
      </c>
      <c r="O261" t="s">
        <v>960</v>
      </c>
      <c r="P261" t="s">
        <v>960</v>
      </c>
      <c r="Q261" t="s">
        <v>349</v>
      </c>
      <c r="R261" t="s">
        <v>349</v>
      </c>
      <c r="S261" t="s">
        <v>960</v>
      </c>
      <c r="T261" t="s">
        <v>349</v>
      </c>
      <c r="U261" t="s">
        <v>960</v>
      </c>
      <c r="V261" t="s">
        <v>960</v>
      </c>
      <c r="W261" t="s">
        <v>960</v>
      </c>
      <c r="X261" t="s">
        <v>960</v>
      </c>
      <c r="Y261" t="s">
        <v>349</v>
      </c>
      <c r="Z261" t="s">
        <v>960</v>
      </c>
      <c r="AA261" t="s">
        <v>349</v>
      </c>
      <c r="AB261" t="s">
        <v>960</v>
      </c>
      <c r="AC261" t="s">
        <v>960</v>
      </c>
      <c r="AD261" t="s">
        <v>960</v>
      </c>
      <c r="AE261" t="s">
        <v>960</v>
      </c>
      <c r="AF261" t="s">
        <v>960</v>
      </c>
      <c r="AG261" t="s">
        <v>960</v>
      </c>
      <c r="AH261" t="s">
        <v>960</v>
      </c>
      <c r="AI261" t="s">
        <v>349</v>
      </c>
      <c r="AJ261" t="s">
        <v>349</v>
      </c>
      <c r="AK261" t="s">
        <v>349</v>
      </c>
      <c r="AL261" t="s">
        <v>960</v>
      </c>
      <c r="AM261" t="s">
        <v>960</v>
      </c>
      <c r="AN261" t="s">
        <v>960</v>
      </c>
      <c r="AO261" t="s">
        <v>960</v>
      </c>
      <c r="AP261" t="s">
        <v>960</v>
      </c>
      <c r="AQ261" t="s">
        <v>349</v>
      </c>
      <c r="AR261" t="s">
        <v>960</v>
      </c>
      <c r="AS261" t="s">
        <v>960</v>
      </c>
      <c r="AT261" t="s">
        <v>960</v>
      </c>
      <c r="AU261" t="s">
        <v>960</v>
      </c>
      <c r="AV261" t="s">
        <v>960</v>
      </c>
      <c r="AW261" t="s">
        <v>960</v>
      </c>
      <c r="AX261" t="s">
        <v>349</v>
      </c>
      <c r="AY261" t="s">
        <v>349</v>
      </c>
      <c r="AZ261" t="s">
        <v>960</v>
      </c>
      <c r="BA261" t="s">
        <v>960</v>
      </c>
      <c r="BB261" t="s">
        <v>960</v>
      </c>
      <c r="BC261" t="s">
        <v>960</v>
      </c>
      <c r="BD261" t="s">
        <v>960</v>
      </c>
      <c r="BE261" t="s">
        <v>960</v>
      </c>
      <c r="BF261" t="s">
        <v>960</v>
      </c>
      <c r="BG261" t="s">
        <v>960</v>
      </c>
      <c r="BH261" t="s">
        <v>349</v>
      </c>
      <c r="BI261" t="s">
        <v>960</v>
      </c>
      <c r="BJ261" t="s">
        <v>960</v>
      </c>
      <c r="BK261" t="s">
        <v>960</v>
      </c>
      <c r="BL261" t="s">
        <v>960</v>
      </c>
      <c r="BM261" t="s">
        <v>349</v>
      </c>
      <c r="BN261" t="s">
        <v>960</v>
      </c>
      <c r="BO261" t="s">
        <v>960</v>
      </c>
      <c r="BP261" t="s">
        <v>349</v>
      </c>
      <c r="BQ261" t="s">
        <v>349</v>
      </c>
      <c r="BR261" t="s">
        <v>349</v>
      </c>
      <c r="BS261" t="s">
        <v>960</v>
      </c>
      <c r="BT261" t="s">
        <v>960</v>
      </c>
      <c r="BU261" t="s">
        <v>960</v>
      </c>
      <c r="BV261" t="s">
        <v>960</v>
      </c>
    </row>
    <row r="262" spans="1:74" x14ac:dyDescent="0.3">
      <c r="A262" s="155">
        <v>9005</v>
      </c>
      <c r="B262" t="s">
        <v>961</v>
      </c>
      <c r="C262" t="s">
        <v>962</v>
      </c>
      <c r="D262">
        <v>8703642</v>
      </c>
      <c r="E262">
        <v>486822991</v>
      </c>
      <c r="F262">
        <v>0</v>
      </c>
      <c r="G262">
        <v>6314455</v>
      </c>
      <c r="H262">
        <v>1597080</v>
      </c>
      <c r="I262">
        <v>74302</v>
      </c>
      <c r="J262">
        <v>1450463</v>
      </c>
      <c r="K262">
        <v>7945093</v>
      </c>
      <c r="L262">
        <v>1757008</v>
      </c>
      <c r="M262">
        <v>7446319</v>
      </c>
      <c r="N262">
        <v>842044</v>
      </c>
      <c r="O262">
        <v>1164760</v>
      </c>
      <c r="P262">
        <v>0</v>
      </c>
      <c r="Q262">
        <v>770888</v>
      </c>
      <c r="R262">
        <v>1200022</v>
      </c>
      <c r="S262">
        <v>1202358</v>
      </c>
      <c r="T262">
        <v>6435824</v>
      </c>
      <c r="U262">
        <v>0</v>
      </c>
      <c r="V262">
        <v>1208480</v>
      </c>
      <c r="W262">
        <v>0</v>
      </c>
      <c r="X262">
        <v>4901245</v>
      </c>
      <c r="Y262">
        <v>1722261</v>
      </c>
      <c r="Z262">
        <v>30346128</v>
      </c>
      <c r="AA262">
        <v>8039051</v>
      </c>
      <c r="AB262">
        <v>224181</v>
      </c>
      <c r="AC262">
        <v>521974</v>
      </c>
      <c r="AD262">
        <v>965260</v>
      </c>
      <c r="AE262">
        <v>2076386</v>
      </c>
      <c r="AF262">
        <v>459880</v>
      </c>
      <c r="AG262">
        <v>391638</v>
      </c>
      <c r="AH262">
        <v>3157651</v>
      </c>
      <c r="AI262">
        <v>326100</v>
      </c>
      <c r="AJ262">
        <v>3516040</v>
      </c>
      <c r="AK262">
        <v>636593</v>
      </c>
      <c r="AL262">
        <v>807761</v>
      </c>
      <c r="AM262">
        <v>1721921</v>
      </c>
      <c r="AN262">
        <v>674068</v>
      </c>
      <c r="AO262">
        <v>20451268</v>
      </c>
      <c r="AP262">
        <v>1469545</v>
      </c>
      <c r="AQ262">
        <v>686967</v>
      </c>
      <c r="AR262">
        <v>710767</v>
      </c>
      <c r="AS262">
        <v>22822160</v>
      </c>
      <c r="AT262">
        <v>386060</v>
      </c>
      <c r="AU262">
        <v>6287340</v>
      </c>
      <c r="AV262">
        <v>862331</v>
      </c>
      <c r="AW262">
        <v>399699</v>
      </c>
      <c r="AX262">
        <v>215229</v>
      </c>
      <c r="AY262">
        <v>479540</v>
      </c>
      <c r="AZ262">
        <v>5079681</v>
      </c>
      <c r="BA262">
        <v>1014902</v>
      </c>
      <c r="BB262">
        <v>166713</v>
      </c>
      <c r="BC262">
        <v>1415949</v>
      </c>
      <c r="BD262">
        <v>7403056</v>
      </c>
      <c r="BE262">
        <v>1042524</v>
      </c>
      <c r="BF262">
        <v>9915095</v>
      </c>
      <c r="BG262">
        <v>0</v>
      </c>
      <c r="BH262">
        <v>275335</v>
      </c>
      <c r="BI262">
        <v>459610</v>
      </c>
      <c r="BJ262">
        <v>12139182</v>
      </c>
      <c r="BK262">
        <v>1551791</v>
      </c>
      <c r="BL262">
        <v>12267635</v>
      </c>
      <c r="BM262">
        <v>9368987</v>
      </c>
      <c r="BN262">
        <v>6169220</v>
      </c>
      <c r="BO262">
        <v>2733650</v>
      </c>
      <c r="BP262">
        <v>0</v>
      </c>
      <c r="BQ262">
        <v>2645267</v>
      </c>
      <c r="BR262">
        <v>0</v>
      </c>
      <c r="BS262">
        <v>2415812</v>
      </c>
      <c r="BT262">
        <v>1546906</v>
      </c>
      <c r="BU262">
        <v>0</v>
      </c>
      <c r="BV262">
        <v>4273427</v>
      </c>
    </row>
    <row r="263" spans="1:74" x14ac:dyDescent="0.3">
      <c r="A263" s="155">
        <v>9006</v>
      </c>
      <c r="B263" t="s">
        <v>963</v>
      </c>
      <c r="C263" t="s">
        <v>964</v>
      </c>
      <c r="D263">
        <v>5969752</v>
      </c>
      <c r="E263">
        <v>498384725</v>
      </c>
      <c r="F263">
        <v>0</v>
      </c>
      <c r="G263">
        <v>5646068</v>
      </c>
      <c r="H263">
        <v>2395659</v>
      </c>
      <c r="I263">
        <v>36366</v>
      </c>
      <c r="J263">
        <v>459183</v>
      </c>
      <c r="K263">
        <v>1141778</v>
      </c>
      <c r="L263">
        <v>3911362</v>
      </c>
      <c r="M263">
        <v>16787032</v>
      </c>
      <c r="N263">
        <v>89311</v>
      </c>
      <c r="O263">
        <v>540311</v>
      </c>
      <c r="P263">
        <v>0</v>
      </c>
      <c r="Q263">
        <v>393269</v>
      </c>
      <c r="R263">
        <v>1542731</v>
      </c>
      <c r="S263">
        <v>2225407</v>
      </c>
      <c r="T263">
        <v>16851697</v>
      </c>
      <c r="U263">
        <v>0</v>
      </c>
      <c r="V263">
        <v>543338</v>
      </c>
      <c r="W263">
        <v>0</v>
      </c>
      <c r="X263">
        <v>9885363</v>
      </c>
      <c r="Y263">
        <v>1820790</v>
      </c>
      <c r="Z263">
        <v>70945475</v>
      </c>
      <c r="AA263">
        <v>13018851</v>
      </c>
      <c r="AB263">
        <v>312174</v>
      </c>
      <c r="AC263">
        <v>301825</v>
      </c>
      <c r="AD263">
        <v>1260280</v>
      </c>
      <c r="AE263">
        <v>1622755</v>
      </c>
      <c r="AF263">
        <v>525871</v>
      </c>
      <c r="AG263">
        <v>1179470</v>
      </c>
      <c r="AH263">
        <v>11127518</v>
      </c>
      <c r="AI263">
        <v>108331</v>
      </c>
      <c r="AJ263">
        <v>3168532</v>
      </c>
      <c r="AK263">
        <v>169561</v>
      </c>
      <c r="AL263">
        <v>1287650</v>
      </c>
      <c r="AM263">
        <v>5293216</v>
      </c>
      <c r="AN263">
        <v>356009</v>
      </c>
      <c r="AO263">
        <v>42448185</v>
      </c>
      <c r="AP263">
        <v>1258858</v>
      </c>
      <c r="AQ263">
        <v>101723</v>
      </c>
      <c r="AR263">
        <v>142669</v>
      </c>
      <c r="AS263">
        <v>34231698</v>
      </c>
      <c r="AT263">
        <v>279062</v>
      </c>
      <c r="AU263">
        <v>2930189</v>
      </c>
      <c r="AV263">
        <v>1875929</v>
      </c>
      <c r="AW263">
        <v>339535</v>
      </c>
      <c r="AX263">
        <v>359311</v>
      </c>
      <c r="AY263">
        <v>367745</v>
      </c>
      <c r="AZ263">
        <v>7301889</v>
      </c>
      <c r="BA263">
        <v>2175167</v>
      </c>
      <c r="BB263">
        <v>57262</v>
      </c>
      <c r="BC263">
        <v>332243</v>
      </c>
      <c r="BD263">
        <v>6649335</v>
      </c>
      <c r="BE263">
        <v>1415982</v>
      </c>
      <c r="BF263">
        <v>31181212</v>
      </c>
      <c r="BG263">
        <v>0</v>
      </c>
      <c r="BH263">
        <v>358912</v>
      </c>
      <c r="BI263">
        <v>238829</v>
      </c>
      <c r="BJ263">
        <v>16143324</v>
      </c>
      <c r="BK263">
        <v>1248829</v>
      </c>
      <c r="BL263">
        <v>21436643</v>
      </c>
      <c r="BM263">
        <v>5937174</v>
      </c>
      <c r="BN263">
        <v>7350708</v>
      </c>
      <c r="BO263">
        <v>1492314</v>
      </c>
      <c r="BP263">
        <v>0</v>
      </c>
      <c r="BQ263">
        <v>3359748</v>
      </c>
      <c r="BR263">
        <v>0</v>
      </c>
      <c r="BS263">
        <v>3979009</v>
      </c>
      <c r="BT263">
        <v>1289248</v>
      </c>
      <c r="BU263">
        <v>0</v>
      </c>
      <c r="BV263">
        <v>2626903</v>
      </c>
    </row>
    <row r="264" spans="1:74" x14ac:dyDescent="0.3">
      <c r="A264" s="155">
        <v>9007</v>
      </c>
      <c r="B264" t="s">
        <v>1532</v>
      </c>
      <c r="C264" t="s">
        <v>965</v>
      </c>
      <c r="D264">
        <v>1.458</v>
      </c>
      <c r="E264">
        <v>0.9768</v>
      </c>
      <c r="F264">
        <v>0</v>
      </c>
      <c r="G264">
        <v>1.1184000000000001</v>
      </c>
      <c r="H264">
        <v>0.66669999999999996</v>
      </c>
      <c r="I264">
        <v>2.0432000000000001</v>
      </c>
      <c r="J264">
        <v>3.1587999999999998</v>
      </c>
      <c r="K264">
        <v>6.9584999999999999</v>
      </c>
      <c r="L264">
        <v>0.44919999999999999</v>
      </c>
      <c r="M264">
        <v>0.44359999999999999</v>
      </c>
      <c r="N264">
        <v>9.4282000000000004</v>
      </c>
      <c r="O264">
        <v>2.1556999999999999</v>
      </c>
      <c r="P264">
        <v>0</v>
      </c>
      <c r="Q264">
        <v>1.9601999999999999</v>
      </c>
      <c r="R264">
        <v>0.77790000000000004</v>
      </c>
      <c r="S264">
        <v>0.5403</v>
      </c>
      <c r="T264">
        <v>0.38190000000000002</v>
      </c>
      <c r="U264">
        <v>0</v>
      </c>
      <c r="V264">
        <v>2.2242000000000002</v>
      </c>
      <c r="W264">
        <v>0</v>
      </c>
      <c r="X264">
        <v>0.49580000000000002</v>
      </c>
      <c r="Y264">
        <v>0.94589999999999996</v>
      </c>
      <c r="Z264">
        <v>0.42770000000000002</v>
      </c>
      <c r="AA264">
        <v>0.61750000000000005</v>
      </c>
      <c r="AB264">
        <v>0.71809999999999996</v>
      </c>
      <c r="AC264">
        <v>1.7294</v>
      </c>
      <c r="AD264">
        <v>0.76590000000000003</v>
      </c>
      <c r="AE264">
        <v>1.2795000000000001</v>
      </c>
      <c r="AF264">
        <v>0.87450000000000006</v>
      </c>
      <c r="AG264">
        <v>0.33200000000000002</v>
      </c>
      <c r="AH264">
        <v>0.2838</v>
      </c>
      <c r="AI264">
        <v>3.0102000000000002</v>
      </c>
      <c r="AJ264">
        <v>1.1096999999999999</v>
      </c>
      <c r="AK264">
        <v>3.7544</v>
      </c>
      <c r="AL264">
        <v>0.62729999999999997</v>
      </c>
      <c r="AM264">
        <v>0.32529999999999998</v>
      </c>
      <c r="AN264">
        <v>1.8934</v>
      </c>
      <c r="AO264">
        <v>0.48180000000000001</v>
      </c>
      <c r="AP264">
        <v>1.1674</v>
      </c>
      <c r="AQ264">
        <v>6.7533000000000003</v>
      </c>
      <c r="AR264">
        <v>4.9819000000000004</v>
      </c>
      <c r="AS264">
        <v>0.66669999999999996</v>
      </c>
      <c r="AT264">
        <v>1.3834</v>
      </c>
      <c r="AU264">
        <v>2.1457000000000002</v>
      </c>
      <c r="AV264">
        <v>0.4597</v>
      </c>
      <c r="AW264">
        <v>1.1772</v>
      </c>
      <c r="AX264">
        <v>0.59899999999999998</v>
      </c>
      <c r="AY264">
        <v>1.304</v>
      </c>
      <c r="AZ264">
        <v>0.69569999999999999</v>
      </c>
      <c r="BA264">
        <v>0.46660000000000001</v>
      </c>
      <c r="BB264">
        <v>2.9114</v>
      </c>
      <c r="BC264">
        <v>4.2618</v>
      </c>
      <c r="BD264">
        <v>1.1133999999999999</v>
      </c>
      <c r="BE264">
        <v>0.73629999999999995</v>
      </c>
      <c r="BF264">
        <v>0.318</v>
      </c>
      <c r="BG264">
        <v>0</v>
      </c>
      <c r="BH264">
        <v>0.7671</v>
      </c>
      <c r="BI264">
        <v>1.9244000000000001</v>
      </c>
      <c r="BJ264">
        <v>0.752</v>
      </c>
      <c r="BK264">
        <v>1.2425999999999999</v>
      </c>
      <c r="BL264">
        <v>0.57230000000000003</v>
      </c>
      <c r="BM264">
        <v>1.5780000000000001</v>
      </c>
      <c r="BN264">
        <v>0.83930000000000005</v>
      </c>
      <c r="BO264">
        <v>1.8318000000000001</v>
      </c>
      <c r="BP264">
        <v>0</v>
      </c>
      <c r="BQ264">
        <v>0.7873</v>
      </c>
      <c r="BR264">
        <v>0</v>
      </c>
      <c r="BS264">
        <v>0.60709999999999997</v>
      </c>
      <c r="BT264">
        <v>1.1999</v>
      </c>
      <c r="BU264">
        <v>0</v>
      </c>
      <c r="BV264">
        <v>1.6268</v>
      </c>
    </row>
    <row r="265" spans="1:74" x14ac:dyDescent="0.3">
      <c r="A265" s="155">
        <v>9008</v>
      </c>
      <c r="B265" t="s">
        <v>966</v>
      </c>
      <c r="C265" t="s">
        <v>349</v>
      </c>
      <c r="D265">
        <v>0</v>
      </c>
      <c r="E265">
        <v>0</v>
      </c>
      <c r="F265">
        <v>0</v>
      </c>
      <c r="G265">
        <v>0</v>
      </c>
      <c r="H265">
        <v>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0</v>
      </c>
      <c r="BL265">
        <v>0</v>
      </c>
      <c r="BM265">
        <v>0</v>
      </c>
      <c r="BN265">
        <v>0</v>
      </c>
      <c r="BO265">
        <v>0</v>
      </c>
      <c r="BP265">
        <v>0</v>
      </c>
      <c r="BQ265">
        <v>0</v>
      </c>
      <c r="BR265">
        <v>0</v>
      </c>
      <c r="BS265">
        <v>0</v>
      </c>
      <c r="BT265">
        <v>0</v>
      </c>
      <c r="BU265">
        <v>0</v>
      </c>
      <c r="BV265">
        <v>0</v>
      </c>
    </row>
    <row r="266" spans="1:74" x14ac:dyDescent="0.3">
      <c r="A266" s="155">
        <v>9010</v>
      </c>
      <c r="B266" t="s">
        <v>967</v>
      </c>
      <c r="C266" t="s">
        <v>968</v>
      </c>
      <c r="D266">
        <v>16.77</v>
      </c>
      <c r="E266">
        <v>11.09</v>
      </c>
      <c r="F266">
        <v>0</v>
      </c>
      <c r="G266">
        <v>8.49</v>
      </c>
      <c r="H266">
        <v>243.12</v>
      </c>
      <c r="I266">
        <v>0</v>
      </c>
      <c r="J266">
        <v>0</v>
      </c>
      <c r="K266">
        <v>0</v>
      </c>
      <c r="L266">
        <v>2.0099999999999998</v>
      </c>
      <c r="M266">
        <v>4.6500000000000004</v>
      </c>
      <c r="N266">
        <v>0</v>
      </c>
      <c r="O266">
        <v>20.69</v>
      </c>
      <c r="P266">
        <v>0</v>
      </c>
      <c r="Q266">
        <v>0</v>
      </c>
      <c r="R266">
        <v>0</v>
      </c>
      <c r="S266">
        <v>7.52</v>
      </c>
      <c r="T266">
        <v>0</v>
      </c>
      <c r="U266">
        <v>0</v>
      </c>
      <c r="V266">
        <v>2.2000000000000002</v>
      </c>
      <c r="W266">
        <v>0</v>
      </c>
      <c r="X266">
        <v>16.63</v>
      </c>
      <c r="Y266">
        <v>0</v>
      </c>
      <c r="Z266">
        <v>9.66</v>
      </c>
      <c r="AA266">
        <v>0</v>
      </c>
      <c r="AB266">
        <v>0.8</v>
      </c>
      <c r="AC266">
        <v>1.34</v>
      </c>
      <c r="AD266">
        <v>11.75</v>
      </c>
      <c r="AE266">
        <v>1.1000000000000001</v>
      </c>
      <c r="AF266">
        <v>8.6</v>
      </c>
      <c r="AG266">
        <v>2.06</v>
      </c>
      <c r="AH266">
        <v>1.35</v>
      </c>
      <c r="AI266">
        <v>0</v>
      </c>
      <c r="AJ266">
        <v>0</v>
      </c>
      <c r="AK266">
        <v>0</v>
      </c>
      <c r="AL266">
        <v>10.38</v>
      </c>
      <c r="AM266">
        <v>6.84</v>
      </c>
      <c r="AN266">
        <v>10.16</v>
      </c>
      <c r="AO266">
        <v>4.3899999999999997</v>
      </c>
      <c r="AP266">
        <v>7.02</v>
      </c>
      <c r="AQ266">
        <v>0</v>
      </c>
      <c r="AR266">
        <v>4.33</v>
      </c>
      <c r="AS266">
        <v>3.85</v>
      </c>
      <c r="AT266">
        <v>10.79</v>
      </c>
      <c r="AU266">
        <v>25.17</v>
      </c>
      <c r="AV266">
        <v>9.6300000000000008</v>
      </c>
      <c r="AW266">
        <v>10.71</v>
      </c>
      <c r="AX266">
        <v>0</v>
      </c>
      <c r="AY266">
        <v>0</v>
      </c>
      <c r="AZ266">
        <v>22.35</v>
      </c>
      <c r="BA266">
        <v>8.3699999999999992</v>
      </c>
      <c r="BB266">
        <v>29.95</v>
      </c>
      <c r="BC266">
        <v>233.58</v>
      </c>
      <c r="BD266">
        <v>35.56</v>
      </c>
      <c r="BE266">
        <v>2.48</v>
      </c>
      <c r="BF266">
        <v>4.6900000000000004</v>
      </c>
      <c r="BG266">
        <v>0</v>
      </c>
      <c r="BH266">
        <v>0</v>
      </c>
      <c r="BI266">
        <v>26.14</v>
      </c>
      <c r="BJ266">
        <v>14.5</v>
      </c>
      <c r="BK266">
        <v>7.27</v>
      </c>
      <c r="BL266">
        <v>13.34</v>
      </c>
      <c r="BM266">
        <v>0</v>
      </c>
      <c r="BN266">
        <v>8.83</v>
      </c>
      <c r="BO266">
        <v>6.25</v>
      </c>
      <c r="BP266">
        <v>0</v>
      </c>
      <c r="BQ266">
        <v>0</v>
      </c>
      <c r="BR266">
        <v>0</v>
      </c>
      <c r="BS266">
        <v>1.63</v>
      </c>
      <c r="BT266">
        <v>5.09</v>
      </c>
      <c r="BU266">
        <v>0</v>
      </c>
      <c r="BV266">
        <v>1.18</v>
      </c>
    </row>
    <row r="267" spans="1:74" x14ac:dyDescent="0.3">
      <c r="A267" s="155">
        <v>9011</v>
      </c>
      <c r="B267" t="s">
        <v>1659</v>
      </c>
      <c r="C267" t="s">
        <v>969</v>
      </c>
      <c r="D267">
        <v>545100</v>
      </c>
      <c r="E267">
        <v>109313747</v>
      </c>
      <c r="F267">
        <v>0</v>
      </c>
      <c r="G267">
        <v>749242</v>
      </c>
      <c r="H267">
        <v>465271</v>
      </c>
      <c r="I267">
        <v>0</v>
      </c>
      <c r="J267">
        <v>0</v>
      </c>
      <c r="K267">
        <v>0</v>
      </c>
      <c r="L267">
        <v>120793</v>
      </c>
      <c r="M267">
        <v>552719</v>
      </c>
      <c r="N267">
        <v>0</v>
      </c>
      <c r="O267">
        <v>95093</v>
      </c>
      <c r="P267">
        <v>0</v>
      </c>
      <c r="Q267">
        <v>0</v>
      </c>
      <c r="R267">
        <v>0</v>
      </c>
      <c r="S267">
        <v>87631</v>
      </c>
      <c r="T267">
        <v>0</v>
      </c>
      <c r="U267">
        <v>0</v>
      </c>
      <c r="V267">
        <v>63064</v>
      </c>
      <c r="W267">
        <v>0</v>
      </c>
      <c r="X267">
        <v>965588</v>
      </c>
      <c r="Y267">
        <v>0</v>
      </c>
      <c r="Z267">
        <v>-283932</v>
      </c>
      <c r="AA267">
        <v>0</v>
      </c>
      <c r="AB267">
        <v>-72278</v>
      </c>
      <c r="AC267">
        <v>-75909</v>
      </c>
      <c r="AD267">
        <v>126237</v>
      </c>
      <c r="AE267">
        <v>-198012</v>
      </c>
      <c r="AF267">
        <v>230558</v>
      </c>
      <c r="AG267">
        <v>-58953</v>
      </c>
      <c r="AH267">
        <v>-1060610</v>
      </c>
      <c r="AI267">
        <v>0</v>
      </c>
      <c r="AJ267">
        <v>0</v>
      </c>
      <c r="AK267">
        <v>0</v>
      </c>
      <c r="AL267">
        <v>30117</v>
      </c>
      <c r="AM267">
        <v>45418</v>
      </c>
      <c r="AN267">
        <v>50473</v>
      </c>
      <c r="AO267">
        <v>8045157</v>
      </c>
      <c r="AP267">
        <v>349964</v>
      </c>
      <c r="AQ267">
        <v>0</v>
      </c>
      <c r="AR267">
        <v>12212</v>
      </c>
      <c r="AS267">
        <v>1968216</v>
      </c>
      <c r="AT267">
        <v>56630</v>
      </c>
      <c r="AU267">
        <v>325348</v>
      </c>
      <c r="AV267">
        <v>492138</v>
      </c>
      <c r="AW267">
        <v>366209</v>
      </c>
      <c r="AX267">
        <v>0</v>
      </c>
      <c r="AY267">
        <v>0</v>
      </c>
      <c r="AZ267">
        <v>1579960</v>
      </c>
      <c r="BA267">
        <v>103973</v>
      </c>
      <c r="BB267">
        <v>170199</v>
      </c>
      <c r="BC267">
        <v>41964</v>
      </c>
      <c r="BD267">
        <v>2880467</v>
      </c>
      <c r="BE267">
        <v>49851</v>
      </c>
      <c r="BF267">
        <v>387585</v>
      </c>
      <c r="BG267">
        <v>0</v>
      </c>
      <c r="BH267">
        <v>0</v>
      </c>
      <c r="BI267">
        <v>110892</v>
      </c>
      <c r="BJ267">
        <v>3191149</v>
      </c>
      <c r="BK267">
        <v>4787</v>
      </c>
      <c r="BL267">
        <v>3093175</v>
      </c>
      <c r="BM267">
        <v>0</v>
      </c>
      <c r="BN267">
        <v>1810869</v>
      </c>
      <c r="BO267">
        <v>246436</v>
      </c>
      <c r="BP267">
        <v>0</v>
      </c>
      <c r="BQ267">
        <v>0</v>
      </c>
      <c r="BR267">
        <v>0</v>
      </c>
      <c r="BS267">
        <v>-390219</v>
      </c>
      <c r="BT267">
        <v>-204387</v>
      </c>
      <c r="BU267">
        <v>0</v>
      </c>
      <c r="BV267">
        <v>147710</v>
      </c>
    </row>
    <row r="268" spans="1:74" x14ac:dyDescent="0.3">
      <c r="A268" s="155">
        <v>9012</v>
      </c>
      <c r="B268" t="s">
        <v>1660</v>
      </c>
      <c r="C268" t="s">
        <v>969</v>
      </c>
      <c r="D268">
        <v>3.3039999999999998</v>
      </c>
      <c r="E268">
        <v>2.8374999999999999</v>
      </c>
      <c r="F268">
        <v>0</v>
      </c>
      <c r="G268">
        <v>1.4543999999999999</v>
      </c>
      <c r="H268">
        <v>0.90210000000000001</v>
      </c>
      <c r="I268">
        <v>0</v>
      </c>
      <c r="J268">
        <v>0</v>
      </c>
      <c r="K268">
        <v>0</v>
      </c>
      <c r="L268">
        <v>0.22090000000000001</v>
      </c>
      <c r="M268">
        <v>0.83209999999999995</v>
      </c>
      <c r="N268">
        <v>0</v>
      </c>
      <c r="O268">
        <v>2.2616000000000001</v>
      </c>
      <c r="P268">
        <v>0</v>
      </c>
      <c r="Q268">
        <v>0</v>
      </c>
      <c r="R268">
        <v>0</v>
      </c>
      <c r="S268">
        <v>1.7327999999999999</v>
      </c>
      <c r="T268">
        <v>0</v>
      </c>
      <c r="U268">
        <v>0</v>
      </c>
      <c r="V268">
        <v>0.45550000000000002</v>
      </c>
      <c r="W268">
        <v>0</v>
      </c>
      <c r="X268">
        <v>0.64239999999999997</v>
      </c>
      <c r="Y268">
        <v>0</v>
      </c>
      <c r="Z268">
        <v>0.60140000000000005</v>
      </c>
      <c r="AA268">
        <v>0</v>
      </c>
      <c r="AB268">
        <v>0</v>
      </c>
      <c r="AC268">
        <v>0.41399999999999998</v>
      </c>
      <c r="AD268">
        <v>0.91700000000000004</v>
      </c>
      <c r="AE268">
        <v>0.52449999999999997</v>
      </c>
      <c r="AF268">
        <v>0.7056</v>
      </c>
      <c r="AG268">
        <v>0.17330000000000001</v>
      </c>
      <c r="AH268">
        <v>0.39579999999999999</v>
      </c>
      <c r="AI268">
        <v>0</v>
      </c>
      <c r="AJ268">
        <v>0</v>
      </c>
      <c r="AK268">
        <v>0</v>
      </c>
      <c r="AL268">
        <v>1.3931</v>
      </c>
      <c r="AM268">
        <v>0.81399999999999995</v>
      </c>
      <c r="AN268">
        <v>0.67130000000000001</v>
      </c>
      <c r="AO268">
        <v>1.5559000000000001</v>
      </c>
      <c r="AP268">
        <v>0.66020000000000001</v>
      </c>
      <c r="AQ268">
        <v>0</v>
      </c>
      <c r="AR268">
        <v>1.68</v>
      </c>
      <c r="AS268">
        <v>0.67520000000000002</v>
      </c>
      <c r="AT268">
        <v>3.0998999999999999</v>
      </c>
      <c r="AU268">
        <v>6.1814</v>
      </c>
      <c r="AV268">
        <v>0.53580000000000005</v>
      </c>
      <c r="AW268">
        <v>1.4668000000000001</v>
      </c>
      <c r="AX268">
        <v>0</v>
      </c>
      <c r="AY268">
        <v>0</v>
      </c>
      <c r="AZ268">
        <v>1.5866</v>
      </c>
      <c r="BA268">
        <v>1.7428999999999999</v>
      </c>
      <c r="BB268">
        <v>1.9849000000000001</v>
      </c>
      <c r="BC268">
        <v>10.9033</v>
      </c>
      <c r="BD268">
        <v>2.1215000000000002</v>
      </c>
      <c r="BE268">
        <v>0.1716</v>
      </c>
      <c r="BF268">
        <v>0.94469999999999998</v>
      </c>
      <c r="BG268">
        <v>0</v>
      </c>
      <c r="BH268">
        <v>0</v>
      </c>
      <c r="BI268">
        <v>6.6462000000000003</v>
      </c>
      <c r="BJ268">
        <v>2.0876999999999999</v>
      </c>
      <c r="BK268">
        <v>0.84570000000000001</v>
      </c>
      <c r="BL268">
        <v>2.2589999999999999</v>
      </c>
      <c r="BM268">
        <v>0</v>
      </c>
      <c r="BN268">
        <v>1.1647000000000001</v>
      </c>
      <c r="BO268">
        <v>0.94210000000000005</v>
      </c>
      <c r="BP268">
        <v>0</v>
      </c>
      <c r="BQ268">
        <v>0</v>
      </c>
      <c r="BR268">
        <v>0</v>
      </c>
      <c r="BS268">
        <v>0.4355</v>
      </c>
      <c r="BT268">
        <v>0.7984</v>
      </c>
      <c r="BU268">
        <v>0</v>
      </c>
      <c r="BV268">
        <v>9.0399999999999994E-2</v>
      </c>
    </row>
    <row r="269" spans="1:74" x14ac:dyDescent="0.3">
      <c r="A269" s="155">
        <v>9013</v>
      </c>
      <c r="B269" t="s">
        <v>970</v>
      </c>
      <c r="C269" t="s">
        <v>971</v>
      </c>
      <c r="D269">
        <v>16.77</v>
      </c>
      <c r="E269">
        <v>11.09</v>
      </c>
      <c r="F269">
        <v>0</v>
      </c>
      <c r="G269">
        <v>8.49</v>
      </c>
      <c r="H269">
        <v>243.12</v>
      </c>
      <c r="I269">
        <v>0</v>
      </c>
      <c r="J269">
        <v>0</v>
      </c>
      <c r="K269">
        <v>0</v>
      </c>
      <c r="L269">
        <v>2.0099999999999998</v>
      </c>
      <c r="M269">
        <v>4.6500000000000004</v>
      </c>
      <c r="N269">
        <v>0</v>
      </c>
      <c r="O269">
        <v>20.69</v>
      </c>
      <c r="P269">
        <v>0</v>
      </c>
      <c r="Q269">
        <v>0</v>
      </c>
      <c r="R269">
        <v>0</v>
      </c>
      <c r="S269">
        <v>7.52</v>
      </c>
      <c r="T269">
        <v>0</v>
      </c>
      <c r="U269">
        <v>0</v>
      </c>
      <c r="V269">
        <v>2.2000000000000002</v>
      </c>
      <c r="W269">
        <v>0</v>
      </c>
      <c r="X269">
        <v>16.63</v>
      </c>
      <c r="Y269">
        <v>0</v>
      </c>
      <c r="Z269">
        <v>9.66</v>
      </c>
      <c r="AA269">
        <v>0</v>
      </c>
      <c r="AB269">
        <v>0.8</v>
      </c>
      <c r="AC269">
        <v>1.34</v>
      </c>
      <c r="AD269">
        <v>11.75</v>
      </c>
      <c r="AE269">
        <v>1.1000000000000001</v>
      </c>
      <c r="AF269">
        <v>8.6</v>
      </c>
      <c r="AG269">
        <v>2.06</v>
      </c>
      <c r="AH269">
        <v>1.35</v>
      </c>
      <c r="AI269">
        <v>0</v>
      </c>
      <c r="AJ269">
        <v>0</v>
      </c>
      <c r="AK269">
        <v>0</v>
      </c>
      <c r="AL269">
        <v>10.38</v>
      </c>
      <c r="AM269">
        <v>6.84</v>
      </c>
      <c r="AN269">
        <v>10.16</v>
      </c>
      <c r="AO269">
        <v>4.3899999999999997</v>
      </c>
      <c r="AP269">
        <v>7.02</v>
      </c>
      <c r="AQ269">
        <v>0</v>
      </c>
      <c r="AR269">
        <v>4.33</v>
      </c>
      <c r="AS269">
        <v>3.85</v>
      </c>
      <c r="AT269">
        <v>10.79</v>
      </c>
      <c r="AU269">
        <v>25.17</v>
      </c>
      <c r="AV269">
        <v>9.6300000000000008</v>
      </c>
      <c r="AW269">
        <v>10.71</v>
      </c>
      <c r="AX269">
        <v>0</v>
      </c>
      <c r="AY269">
        <v>0</v>
      </c>
      <c r="AZ269">
        <v>22.35</v>
      </c>
      <c r="BA269">
        <v>8.3699999999999992</v>
      </c>
      <c r="BB269">
        <v>29.95</v>
      </c>
      <c r="BC269">
        <v>233.58</v>
      </c>
      <c r="BD269">
        <v>35.56</v>
      </c>
      <c r="BE269">
        <v>2.48</v>
      </c>
      <c r="BF269">
        <v>4.6900000000000004</v>
      </c>
      <c r="BG269">
        <v>0</v>
      </c>
      <c r="BH269">
        <v>0</v>
      </c>
      <c r="BI269">
        <v>26.14</v>
      </c>
      <c r="BJ269">
        <v>14.5</v>
      </c>
      <c r="BK269">
        <v>7.27</v>
      </c>
      <c r="BL269">
        <v>13.34</v>
      </c>
      <c r="BM269">
        <v>0</v>
      </c>
      <c r="BN269">
        <v>8.83</v>
      </c>
      <c r="BO269">
        <v>6.25</v>
      </c>
      <c r="BP269">
        <v>0</v>
      </c>
      <c r="BQ269">
        <v>0</v>
      </c>
      <c r="BR269">
        <v>0</v>
      </c>
      <c r="BS269">
        <v>1.63</v>
      </c>
      <c r="BT269">
        <v>5.09</v>
      </c>
      <c r="BU269">
        <v>0</v>
      </c>
      <c r="BV269">
        <v>1.18</v>
      </c>
    </row>
    <row r="270" spans="1:74" x14ac:dyDescent="0.3">
      <c r="A270" s="155">
        <v>9014</v>
      </c>
      <c r="B270" t="s">
        <v>972</v>
      </c>
      <c r="C270" t="s">
        <v>973</v>
      </c>
      <c r="D270">
        <v>0</v>
      </c>
      <c r="E270">
        <v>0</v>
      </c>
      <c r="F270">
        <v>0</v>
      </c>
      <c r="G270">
        <v>0</v>
      </c>
      <c r="H270">
        <v>0</v>
      </c>
      <c r="I270">
        <v>0</v>
      </c>
      <c r="J270">
        <v>0</v>
      </c>
      <c r="K270">
        <v>0</v>
      </c>
      <c r="L270">
        <v>1.9</v>
      </c>
      <c r="M270">
        <v>0</v>
      </c>
      <c r="N270">
        <v>0</v>
      </c>
      <c r="O270">
        <v>0</v>
      </c>
      <c r="P270">
        <v>0</v>
      </c>
      <c r="Q270">
        <v>0</v>
      </c>
      <c r="R270">
        <v>0</v>
      </c>
      <c r="S270">
        <v>0</v>
      </c>
      <c r="T270">
        <v>0</v>
      </c>
      <c r="U270">
        <v>0</v>
      </c>
      <c r="V270">
        <v>0</v>
      </c>
      <c r="W270">
        <v>0</v>
      </c>
      <c r="X270">
        <v>0</v>
      </c>
      <c r="Y270">
        <v>0</v>
      </c>
      <c r="Z270">
        <v>5.68</v>
      </c>
      <c r="AA270">
        <v>0</v>
      </c>
      <c r="AB270">
        <v>0</v>
      </c>
      <c r="AC270">
        <v>0</v>
      </c>
      <c r="AD270">
        <v>0</v>
      </c>
      <c r="AE270">
        <v>0</v>
      </c>
      <c r="AF270">
        <v>0</v>
      </c>
      <c r="AG270">
        <v>0</v>
      </c>
      <c r="AH270">
        <v>0</v>
      </c>
      <c r="AI270">
        <v>0</v>
      </c>
      <c r="AJ270">
        <v>0</v>
      </c>
      <c r="AK270">
        <v>0</v>
      </c>
      <c r="AL270">
        <v>0</v>
      </c>
      <c r="AM270">
        <v>0</v>
      </c>
      <c r="AN270">
        <v>0</v>
      </c>
      <c r="AO270">
        <v>0</v>
      </c>
      <c r="AP270">
        <v>0</v>
      </c>
      <c r="AQ270">
        <v>0</v>
      </c>
      <c r="AR270">
        <v>0</v>
      </c>
      <c r="AS270">
        <v>0</v>
      </c>
      <c r="AT270">
        <v>0</v>
      </c>
      <c r="AU270">
        <v>0</v>
      </c>
      <c r="AV270">
        <v>7.36</v>
      </c>
      <c r="AW270">
        <v>0</v>
      </c>
      <c r="AX270">
        <v>0</v>
      </c>
      <c r="AY270">
        <v>0</v>
      </c>
      <c r="AZ270">
        <v>4.6900000000000004</v>
      </c>
      <c r="BA270">
        <v>0</v>
      </c>
      <c r="BB270">
        <v>0</v>
      </c>
      <c r="BC270">
        <v>0</v>
      </c>
      <c r="BD270">
        <v>0</v>
      </c>
      <c r="BE270">
        <v>11.53</v>
      </c>
      <c r="BF270">
        <v>4.8499999999999996</v>
      </c>
      <c r="BG270">
        <v>0</v>
      </c>
      <c r="BH270">
        <v>0</v>
      </c>
      <c r="BI270">
        <v>0</v>
      </c>
      <c r="BJ270">
        <v>6.36</v>
      </c>
      <c r="BK270">
        <v>0</v>
      </c>
      <c r="BL270">
        <v>0</v>
      </c>
      <c r="BM270">
        <v>0</v>
      </c>
      <c r="BN270">
        <v>10.039999999999999</v>
      </c>
      <c r="BO270">
        <v>0</v>
      </c>
      <c r="BP270">
        <v>0</v>
      </c>
      <c r="BQ270">
        <v>0</v>
      </c>
      <c r="BR270">
        <v>0</v>
      </c>
      <c r="BS270">
        <v>0</v>
      </c>
      <c r="BT270">
        <v>0</v>
      </c>
      <c r="BU270">
        <v>0</v>
      </c>
      <c r="BV270">
        <v>0</v>
      </c>
    </row>
    <row r="271" spans="1:74" x14ac:dyDescent="0.3">
      <c r="A271" s="155">
        <v>9015</v>
      </c>
      <c r="B271" t="s">
        <v>1661</v>
      </c>
      <c r="C271" t="s">
        <v>349</v>
      </c>
      <c r="D271">
        <v>0</v>
      </c>
      <c r="E271">
        <v>0</v>
      </c>
      <c r="F271">
        <v>0</v>
      </c>
      <c r="G271">
        <v>0</v>
      </c>
      <c r="H271">
        <v>0</v>
      </c>
      <c r="I271">
        <v>0</v>
      </c>
      <c r="J271">
        <v>0</v>
      </c>
      <c r="K271">
        <v>0</v>
      </c>
      <c r="L271">
        <v>-239402</v>
      </c>
      <c r="M271">
        <v>0</v>
      </c>
      <c r="N271">
        <v>0</v>
      </c>
      <c r="O271">
        <v>0</v>
      </c>
      <c r="P271">
        <v>0</v>
      </c>
      <c r="Q271">
        <v>0</v>
      </c>
      <c r="R271">
        <v>0</v>
      </c>
      <c r="S271">
        <v>0</v>
      </c>
      <c r="T271">
        <v>0</v>
      </c>
      <c r="U271">
        <v>0</v>
      </c>
      <c r="V271">
        <v>0</v>
      </c>
      <c r="W271">
        <v>0</v>
      </c>
      <c r="X271">
        <v>0</v>
      </c>
      <c r="Y271">
        <v>0</v>
      </c>
      <c r="Z271">
        <v>3515016</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511359</v>
      </c>
      <c r="AW271">
        <v>0</v>
      </c>
      <c r="AX271">
        <v>0</v>
      </c>
      <c r="AY271">
        <v>0</v>
      </c>
      <c r="AZ271">
        <v>1096813</v>
      </c>
      <c r="BA271">
        <v>0</v>
      </c>
      <c r="BB271">
        <v>0</v>
      </c>
      <c r="BC271">
        <v>0</v>
      </c>
      <c r="BD271">
        <v>0</v>
      </c>
      <c r="BE271">
        <v>-21869</v>
      </c>
      <c r="BF271">
        <v>4168482</v>
      </c>
      <c r="BG271">
        <v>0</v>
      </c>
      <c r="BH271">
        <v>0</v>
      </c>
      <c r="BI271">
        <v>0</v>
      </c>
      <c r="BJ271">
        <v>1198107</v>
      </c>
      <c r="BK271">
        <v>0</v>
      </c>
      <c r="BL271">
        <v>0</v>
      </c>
      <c r="BM271">
        <v>0</v>
      </c>
      <c r="BN271">
        <v>975152</v>
      </c>
      <c r="BO271">
        <v>0</v>
      </c>
      <c r="BP271">
        <v>0</v>
      </c>
      <c r="BQ271">
        <v>0</v>
      </c>
      <c r="BR271">
        <v>0</v>
      </c>
      <c r="BS271">
        <v>0</v>
      </c>
      <c r="BT271">
        <v>0</v>
      </c>
      <c r="BU271">
        <v>0</v>
      </c>
      <c r="BV271">
        <v>0</v>
      </c>
    </row>
    <row r="272" spans="1:74" x14ac:dyDescent="0.3">
      <c r="A272" s="155">
        <v>9016</v>
      </c>
      <c r="B272" t="s">
        <v>1662</v>
      </c>
      <c r="C272" t="s">
        <v>349</v>
      </c>
      <c r="D272">
        <v>0</v>
      </c>
      <c r="E272">
        <v>0</v>
      </c>
      <c r="F272">
        <v>0</v>
      </c>
      <c r="G272">
        <v>0</v>
      </c>
      <c r="H272">
        <v>0</v>
      </c>
      <c r="I272">
        <v>0</v>
      </c>
      <c r="J272">
        <v>0</v>
      </c>
      <c r="K272">
        <v>0</v>
      </c>
      <c r="L272">
        <v>8.0199999999999994E-2</v>
      </c>
      <c r="M272">
        <v>0</v>
      </c>
      <c r="N272">
        <v>0</v>
      </c>
      <c r="O272">
        <v>0</v>
      </c>
      <c r="P272">
        <v>0</v>
      </c>
      <c r="Q272">
        <v>0</v>
      </c>
      <c r="R272">
        <v>0</v>
      </c>
      <c r="S272">
        <v>0</v>
      </c>
      <c r="T272">
        <v>0</v>
      </c>
      <c r="U272">
        <v>0</v>
      </c>
      <c r="V272">
        <v>0</v>
      </c>
      <c r="W272">
        <v>0</v>
      </c>
      <c r="X272">
        <v>0</v>
      </c>
      <c r="Y272">
        <v>0</v>
      </c>
      <c r="Z272">
        <v>0.51819999999999999</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0.60750000000000004</v>
      </c>
      <c r="AW272">
        <v>0</v>
      </c>
      <c r="AX272">
        <v>0</v>
      </c>
      <c r="AY272">
        <v>0</v>
      </c>
      <c r="AZ272">
        <v>0.41039999999999999</v>
      </c>
      <c r="BA272">
        <v>0</v>
      </c>
      <c r="BB272">
        <v>0</v>
      </c>
      <c r="BC272">
        <v>0</v>
      </c>
      <c r="BD272">
        <v>0</v>
      </c>
      <c r="BE272">
        <v>0.92500000000000004</v>
      </c>
      <c r="BF272">
        <v>0.41720000000000002</v>
      </c>
      <c r="BG272">
        <v>0</v>
      </c>
      <c r="BH272">
        <v>0</v>
      </c>
      <c r="BI272">
        <v>0</v>
      </c>
      <c r="BJ272">
        <v>0.77639999999999998</v>
      </c>
      <c r="BK272">
        <v>0</v>
      </c>
      <c r="BL272">
        <v>0</v>
      </c>
      <c r="BM272">
        <v>0</v>
      </c>
      <c r="BN272">
        <v>1.0497000000000001</v>
      </c>
      <c r="BO272">
        <v>0</v>
      </c>
      <c r="BP272">
        <v>0</v>
      </c>
      <c r="BQ272">
        <v>0</v>
      </c>
      <c r="BR272">
        <v>0</v>
      </c>
      <c r="BS272">
        <v>0</v>
      </c>
      <c r="BT272">
        <v>0</v>
      </c>
      <c r="BU272">
        <v>0</v>
      </c>
      <c r="BV272">
        <v>0</v>
      </c>
    </row>
    <row r="273" spans="1:74" x14ac:dyDescent="0.3">
      <c r="A273" s="155">
        <v>9017</v>
      </c>
      <c r="B273" t="s">
        <v>974</v>
      </c>
      <c r="C273" t="s">
        <v>975</v>
      </c>
      <c r="D273">
        <v>0</v>
      </c>
      <c r="E273">
        <v>0</v>
      </c>
      <c r="F273">
        <v>0</v>
      </c>
      <c r="G273">
        <v>0</v>
      </c>
      <c r="H273">
        <v>0</v>
      </c>
      <c r="I273">
        <v>0</v>
      </c>
      <c r="J273">
        <v>0</v>
      </c>
      <c r="K273">
        <v>0</v>
      </c>
      <c r="L273">
        <v>1.9</v>
      </c>
      <c r="M273">
        <v>0</v>
      </c>
      <c r="N273">
        <v>0</v>
      </c>
      <c r="O273">
        <v>0</v>
      </c>
      <c r="P273">
        <v>0</v>
      </c>
      <c r="Q273">
        <v>0</v>
      </c>
      <c r="R273">
        <v>0</v>
      </c>
      <c r="S273">
        <v>0</v>
      </c>
      <c r="T273">
        <v>0</v>
      </c>
      <c r="U273">
        <v>0</v>
      </c>
      <c r="V273">
        <v>0</v>
      </c>
      <c r="W273">
        <v>0</v>
      </c>
      <c r="X273">
        <v>0</v>
      </c>
      <c r="Y273">
        <v>0</v>
      </c>
      <c r="Z273">
        <v>5.68</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7.36</v>
      </c>
      <c r="AW273">
        <v>0</v>
      </c>
      <c r="AX273">
        <v>0</v>
      </c>
      <c r="AY273">
        <v>0</v>
      </c>
      <c r="AZ273">
        <v>4.6900000000000004</v>
      </c>
      <c r="BA273">
        <v>0</v>
      </c>
      <c r="BB273">
        <v>0</v>
      </c>
      <c r="BC273">
        <v>0</v>
      </c>
      <c r="BD273">
        <v>0</v>
      </c>
      <c r="BE273">
        <v>11.53</v>
      </c>
      <c r="BF273">
        <v>4.8499999999999996</v>
      </c>
      <c r="BG273">
        <v>0</v>
      </c>
      <c r="BH273">
        <v>0</v>
      </c>
      <c r="BI273">
        <v>0</v>
      </c>
      <c r="BJ273">
        <v>6.36</v>
      </c>
      <c r="BK273">
        <v>0</v>
      </c>
      <c r="BL273">
        <v>0</v>
      </c>
      <c r="BM273">
        <v>0</v>
      </c>
      <c r="BN273">
        <v>10.039999999999999</v>
      </c>
      <c r="BO273">
        <v>0</v>
      </c>
      <c r="BP273">
        <v>0</v>
      </c>
      <c r="BQ273">
        <v>0</v>
      </c>
      <c r="BR273">
        <v>0</v>
      </c>
      <c r="BS273">
        <v>0</v>
      </c>
      <c r="BT273">
        <v>0</v>
      </c>
      <c r="BU273">
        <v>0</v>
      </c>
      <c r="BV273">
        <v>0</v>
      </c>
    </row>
    <row r="274" spans="1:74" x14ac:dyDescent="0.3">
      <c r="A274" s="155">
        <v>9018</v>
      </c>
      <c r="B274" t="s">
        <v>976</v>
      </c>
      <c r="C274" t="s">
        <v>977</v>
      </c>
      <c r="D274">
        <v>613261</v>
      </c>
      <c r="E274">
        <v>279537188</v>
      </c>
      <c r="F274" s="574">
        <v>0</v>
      </c>
      <c r="G274">
        <v>352525</v>
      </c>
      <c r="H274">
        <v>74063</v>
      </c>
      <c r="I274">
        <v>0</v>
      </c>
      <c r="J274">
        <v>597</v>
      </c>
      <c r="K274">
        <v>271523</v>
      </c>
      <c r="L274">
        <v>363288</v>
      </c>
      <c r="M274">
        <v>3991688</v>
      </c>
      <c r="N274">
        <v>2892</v>
      </c>
      <c r="O274">
        <v>190986</v>
      </c>
      <c r="P274">
        <v>0</v>
      </c>
      <c r="Q274">
        <v>23899</v>
      </c>
      <c r="R274">
        <v>336644</v>
      </c>
      <c r="S274">
        <v>33250</v>
      </c>
      <c r="T274">
        <v>1242731</v>
      </c>
      <c r="U274">
        <v>0</v>
      </c>
      <c r="V274">
        <v>1105513</v>
      </c>
      <c r="W274">
        <v>0</v>
      </c>
      <c r="X274">
        <v>350600</v>
      </c>
      <c r="Y274">
        <v>108184</v>
      </c>
      <c r="Z274">
        <v>21924742</v>
      </c>
      <c r="AA274">
        <v>2140999</v>
      </c>
      <c r="AB274">
        <v>72574</v>
      </c>
      <c r="AC274">
        <v>17486</v>
      </c>
      <c r="AD274">
        <v>250661</v>
      </c>
      <c r="AE274">
        <v>52985</v>
      </c>
      <c r="AF274">
        <v>29513</v>
      </c>
      <c r="AG274">
        <v>63698</v>
      </c>
      <c r="AH274">
        <v>8320103</v>
      </c>
      <c r="AI274">
        <v>3654</v>
      </c>
      <c r="AJ274">
        <v>744988</v>
      </c>
      <c r="AK274">
        <v>0</v>
      </c>
      <c r="AL274">
        <v>155301</v>
      </c>
      <c r="AM274">
        <v>1448426</v>
      </c>
      <c r="AN274">
        <v>38825</v>
      </c>
      <c r="AO274">
        <v>6524866</v>
      </c>
      <c r="AP274">
        <v>73243</v>
      </c>
      <c r="AQ274">
        <v>15311</v>
      </c>
      <c r="AR274">
        <v>12869</v>
      </c>
      <c r="AS274">
        <v>3501072</v>
      </c>
      <c r="AT274">
        <v>18722</v>
      </c>
      <c r="AU274">
        <v>170422</v>
      </c>
      <c r="AV274">
        <v>11382</v>
      </c>
      <c r="AW274">
        <v>16602</v>
      </c>
      <c r="AX274">
        <v>1274358</v>
      </c>
      <c r="AY274">
        <v>18045</v>
      </c>
      <c r="AZ274">
        <v>345072</v>
      </c>
      <c r="BA274">
        <v>244640</v>
      </c>
      <c r="BB274">
        <v>23121</v>
      </c>
      <c r="BC274">
        <v>38210</v>
      </c>
      <c r="BD274">
        <v>1006218</v>
      </c>
      <c r="BE274">
        <v>147122</v>
      </c>
      <c r="BF274">
        <v>9704208</v>
      </c>
      <c r="BG274">
        <v>0</v>
      </c>
      <c r="BH274">
        <v>66638</v>
      </c>
      <c r="BI274">
        <v>57716</v>
      </c>
      <c r="BJ274">
        <v>5344704</v>
      </c>
      <c r="BK274">
        <v>225044</v>
      </c>
      <c r="BL274">
        <v>4647544</v>
      </c>
      <c r="BM274">
        <v>1344298</v>
      </c>
      <c r="BN274">
        <v>1954368</v>
      </c>
      <c r="BO274">
        <v>325034</v>
      </c>
      <c r="BP274">
        <v>0</v>
      </c>
      <c r="BQ274">
        <v>203482</v>
      </c>
      <c r="BR274">
        <v>0</v>
      </c>
      <c r="BS274">
        <v>670990</v>
      </c>
      <c r="BT274">
        <v>89373</v>
      </c>
      <c r="BU274">
        <v>0</v>
      </c>
      <c r="BV274">
        <v>450353</v>
      </c>
    </row>
    <row r="275" spans="1:74" x14ac:dyDescent="0.3">
      <c r="A275" s="155">
        <v>9019</v>
      </c>
      <c r="B275" t="s">
        <v>978</v>
      </c>
      <c r="C275" t="s">
        <v>979</v>
      </c>
      <c r="D275">
        <v>613261</v>
      </c>
      <c r="E275">
        <v>279537188</v>
      </c>
      <c r="F275">
        <v>0</v>
      </c>
      <c r="G275">
        <v>352525</v>
      </c>
      <c r="H275">
        <v>74063</v>
      </c>
      <c r="I275">
        <v>0</v>
      </c>
      <c r="J275">
        <v>597</v>
      </c>
      <c r="K275">
        <v>271523</v>
      </c>
      <c r="L275">
        <v>363288</v>
      </c>
      <c r="M275">
        <v>3991688</v>
      </c>
      <c r="N275">
        <v>2892</v>
      </c>
      <c r="O275">
        <v>190986</v>
      </c>
      <c r="P275">
        <v>0</v>
      </c>
      <c r="Q275">
        <v>23899</v>
      </c>
      <c r="R275">
        <v>336644</v>
      </c>
      <c r="S275">
        <v>33250</v>
      </c>
      <c r="T275">
        <v>1242731</v>
      </c>
      <c r="U275">
        <v>0</v>
      </c>
      <c r="V275">
        <v>1105513</v>
      </c>
      <c r="W275">
        <v>0</v>
      </c>
      <c r="X275">
        <v>350600</v>
      </c>
      <c r="Y275">
        <v>108184</v>
      </c>
      <c r="Z275">
        <v>21924742</v>
      </c>
      <c r="AA275">
        <v>2140999</v>
      </c>
      <c r="AB275">
        <v>72574</v>
      </c>
      <c r="AC275">
        <v>17486</v>
      </c>
      <c r="AD275">
        <v>250661</v>
      </c>
      <c r="AE275">
        <v>52985</v>
      </c>
      <c r="AF275">
        <v>29513</v>
      </c>
      <c r="AG275">
        <v>63698</v>
      </c>
      <c r="AH275">
        <v>8320103</v>
      </c>
      <c r="AI275">
        <v>3654</v>
      </c>
      <c r="AJ275">
        <v>744988</v>
      </c>
      <c r="AK275">
        <v>0</v>
      </c>
      <c r="AL275">
        <v>155301</v>
      </c>
      <c r="AM275">
        <v>1448426</v>
      </c>
      <c r="AN275">
        <v>38825</v>
      </c>
      <c r="AO275">
        <v>6524866</v>
      </c>
      <c r="AP275">
        <v>73243</v>
      </c>
      <c r="AQ275">
        <v>15311</v>
      </c>
      <c r="AR275">
        <v>12869</v>
      </c>
      <c r="AS275">
        <v>3501072</v>
      </c>
      <c r="AT275">
        <v>18722</v>
      </c>
      <c r="AU275">
        <v>170422</v>
      </c>
      <c r="AV275">
        <v>11382</v>
      </c>
      <c r="AW275">
        <v>16602</v>
      </c>
      <c r="AX275">
        <v>1274358</v>
      </c>
      <c r="AY275">
        <v>18045</v>
      </c>
      <c r="AZ275">
        <v>345072</v>
      </c>
      <c r="BA275">
        <v>244640</v>
      </c>
      <c r="BB275">
        <v>23121</v>
      </c>
      <c r="BC275">
        <v>38210</v>
      </c>
      <c r="BD275">
        <v>1006218</v>
      </c>
      <c r="BE275">
        <v>147122</v>
      </c>
      <c r="BF275">
        <v>9704208</v>
      </c>
      <c r="BG275">
        <v>0</v>
      </c>
      <c r="BH275">
        <v>66638</v>
      </c>
      <c r="BI275">
        <v>57716</v>
      </c>
      <c r="BJ275">
        <v>5344704</v>
      </c>
      <c r="BK275">
        <v>225044</v>
      </c>
      <c r="BL275">
        <v>4647544</v>
      </c>
      <c r="BM275">
        <v>1344298</v>
      </c>
      <c r="BN275">
        <v>1954368</v>
      </c>
      <c r="BO275">
        <v>325034</v>
      </c>
      <c r="BP275">
        <v>0</v>
      </c>
      <c r="BQ275">
        <v>203482</v>
      </c>
      <c r="BR275">
        <v>0</v>
      </c>
      <c r="BS275">
        <v>670990</v>
      </c>
      <c r="BT275">
        <v>89373</v>
      </c>
      <c r="BU275">
        <v>0</v>
      </c>
      <c r="BV275">
        <v>450353</v>
      </c>
    </row>
    <row r="276" spans="1:74" s="566" customFormat="1" ht="43.2" x14ac:dyDescent="0.3">
      <c r="A276" s="785"/>
      <c r="B276" s="784" t="s">
        <v>1867</v>
      </c>
      <c r="C276" s="924" t="s">
        <v>1665</v>
      </c>
      <c r="D276" s="784">
        <f>(D106+D135-D3-D4-D5-D8+D191)/(D132+D109+D11-D133-D108-D240)</f>
        <v>1.5001409025311265</v>
      </c>
      <c r="E276" s="784">
        <f t="shared" ref="E276:J276" si="0">(E106+E135-E3-E4-E5-E8+E191)/(E132+E109+E11-E133-E108-E240)</f>
        <v>0.97680158837131292</v>
      </c>
      <c r="F276" s="784" t="e">
        <f t="shared" si="0"/>
        <v>#DIV/0!</v>
      </c>
      <c r="G276" s="784">
        <f t="shared" si="0"/>
        <v>1.1183809688441584</v>
      </c>
      <c r="H276" s="784">
        <f t="shared" si="0"/>
        <v>0.66665581370303539</v>
      </c>
      <c r="I276" s="784">
        <f t="shared" si="0"/>
        <v>2.2709823338834894</v>
      </c>
      <c r="J276" s="784">
        <f t="shared" si="0"/>
        <v>3.1587907217819473</v>
      </c>
      <c r="K276" s="784">
        <f>(L106+L135-L3-L4-L5-L8+L191)/(L132+L109+L11-L133-L108-L240)</f>
        <v>0.4621561102046603</v>
      </c>
      <c r="L276" s="784">
        <f t="shared" ref="L276:T276" si="1">(L106+L135-L3-L4-L5-L8+L191)/(L132+L109+L11-L133-L108-L240)</f>
        <v>0.4621561102046603</v>
      </c>
      <c r="M276" s="784">
        <f t="shared" si="1"/>
        <v>0.45299496476846629</v>
      </c>
      <c r="N276" s="784">
        <f t="shared" si="1"/>
        <v>10.15550865344027</v>
      </c>
      <c r="O276" s="784">
        <f t="shared" si="1"/>
        <v>2.1557214271040199</v>
      </c>
      <c r="P276" s="784" t="e">
        <f t="shared" si="1"/>
        <v>#DIV/0!</v>
      </c>
      <c r="Q276" s="784">
        <f t="shared" si="1"/>
        <v>2.065500065644752</v>
      </c>
      <c r="R276" s="784">
        <f t="shared" si="1"/>
        <v>0.80324048043609808</v>
      </c>
      <c r="S276" s="784">
        <f t="shared" si="1"/>
        <v>0.5729879908501716</v>
      </c>
      <c r="T276" s="784">
        <f t="shared" si="1"/>
        <v>0.39329137540248388</v>
      </c>
      <c r="U276" s="784"/>
      <c r="V276" s="784">
        <f t="shared" ref="V276:AU276" si="2">(V106+V135-V3-V4-V5-V8+V191)/(V132+V109+V11-V133-V108-V240)</f>
        <v>2.5439649038603229</v>
      </c>
      <c r="W276" s="784" t="e">
        <f t="shared" si="2"/>
        <v>#DIV/0!</v>
      </c>
      <c r="X276" s="784">
        <f t="shared" si="2"/>
        <v>0.50626713123986178</v>
      </c>
      <c r="Y276" s="784">
        <f t="shared" si="2"/>
        <v>0.96760258572547397</v>
      </c>
      <c r="Z276" s="784">
        <f t="shared" si="2"/>
        <v>0.42773873879905661</v>
      </c>
      <c r="AA276" s="784">
        <f t="shared" si="2"/>
        <v>0.61749312592946948</v>
      </c>
      <c r="AB276" s="784">
        <f t="shared" si="2"/>
        <v>0.88147795725138012</v>
      </c>
      <c r="AC276" s="784">
        <f t="shared" si="2"/>
        <v>1.7664991454726975</v>
      </c>
      <c r="AD276" s="784">
        <f t="shared" si="2"/>
        <v>0.79888765202709688</v>
      </c>
      <c r="AE276" s="784">
        <f t="shared" si="2"/>
        <v>1.3156913921241742</v>
      </c>
      <c r="AF276" s="784">
        <f t="shared" si="2"/>
        <v>0.87484377110397948</v>
      </c>
      <c r="AG276" s="784">
        <f t="shared" si="2"/>
        <v>0.35497124522453199</v>
      </c>
      <c r="AH276" s="784">
        <f t="shared" si="2"/>
        <v>0.28376957017728482</v>
      </c>
      <c r="AI276" s="784">
        <f t="shared" si="2"/>
        <v>3.0102186816331429</v>
      </c>
      <c r="AJ276" s="784">
        <f t="shared" si="2"/>
        <v>1.1285882664105653</v>
      </c>
      <c r="AK276" s="784">
        <f t="shared" si="2"/>
        <v>3.9732926387796628</v>
      </c>
      <c r="AL276" s="784">
        <f t="shared" si="2"/>
        <v>0.64745138870520302</v>
      </c>
      <c r="AM276" s="784">
        <f t="shared" si="2"/>
        <v>0.33685429385684168</v>
      </c>
      <c r="AN276" s="784">
        <f t="shared" si="2"/>
        <v>2.1471168149429349</v>
      </c>
      <c r="AO276" s="784">
        <f t="shared" si="2"/>
        <v>0.49445696131444189</v>
      </c>
      <c r="AP276" s="784">
        <f t="shared" si="2"/>
        <v>1.1673635946230632</v>
      </c>
      <c r="AQ276" s="784">
        <f t="shared" si="2"/>
        <v>6.7533104607610861</v>
      </c>
      <c r="AR276" s="784">
        <f t="shared" si="2"/>
        <v>5.1397218867733514</v>
      </c>
      <c r="AS276" s="784">
        <f t="shared" si="2"/>
        <v>0.66669669731253178</v>
      </c>
      <c r="AT276" s="784">
        <f t="shared" si="2"/>
        <v>1.4105894689919507</v>
      </c>
      <c r="AU276" s="784">
        <f t="shared" si="2"/>
        <v>2.2437556875970239</v>
      </c>
      <c r="AV276" s="784">
        <f>(AW106+AW135-AW3-AW4-AW5-AW8+AW191)/(AW132+AW109+AW11-AW133-AW108-AW240)</f>
        <v>1.1771952817824378</v>
      </c>
      <c r="AW276" s="784">
        <f t="shared" ref="AW276:BR276" si="3">(AW106+AW135-AW3-AW4-AW5-AW8+AW191)/(AW132+AW109+AW11-AW133-AW108-AW240)</f>
        <v>1.1771952817824378</v>
      </c>
      <c r="AX276" s="784">
        <f t="shared" si="3"/>
        <v>0.61036920659858607</v>
      </c>
      <c r="AY276" s="784">
        <f t="shared" si="3"/>
        <v>1.3040014140233043</v>
      </c>
      <c r="AZ276" s="784">
        <f t="shared" si="3"/>
        <v>0.7074738019787391</v>
      </c>
      <c r="BA276" s="784">
        <f t="shared" si="3"/>
        <v>0.46658578398807998</v>
      </c>
      <c r="BB276" s="784">
        <f t="shared" si="3"/>
        <v>3.1648157639956715</v>
      </c>
      <c r="BC276" s="784">
        <f t="shared" si="3"/>
        <v>4.2686995975339537</v>
      </c>
      <c r="BD276" s="784">
        <f t="shared" si="3"/>
        <v>1.1181053460829304</v>
      </c>
      <c r="BE276" s="784">
        <f t="shared" si="3"/>
        <v>0.74491965770925861</v>
      </c>
      <c r="BF276" s="784">
        <f t="shared" si="3"/>
        <v>0.32466552894564382</v>
      </c>
      <c r="BG276" s="784" t="e">
        <f t="shared" si="3"/>
        <v>#DIV/0!</v>
      </c>
      <c r="BH276" s="784">
        <f t="shared" si="3"/>
        <v>0.7671379056704708</v>
      </c>
      <c r="BI276" s="784">
        <f t="shared" si="3"/>
        <v>2.0093118824866663</v>
      </c>
      <c r="BJ276" s="784">
        <f t="shared" si="3"/>
        <v>0.76791340389545582</v>
      </c>
      <c r="BK276" s="784">
        <f t="shared" si="3"/>
        <v>1.2425968647428911</v>
      </c>
      <c r="BL276" s="784">
        <f t="shared" si="3"/>
        <v>0.57227407295069477</v>
      </c>
      <c r="BM276" s="784">
        <f t="shared" si="3"/>
        <v>1.5780212943060117</v>
      </c>
      <c r="BN276" s="784">
        <f t="shared" si="3"/>
        <v>0.84430521455180474</v>
      </c>
      <c r="BO276" s="784">
        <f t="shared" si="3"/>
        <v>1.8710968194126167</v>
      </c>
      <c r="BP276" s="784" t="e">
        <f t="shared" si="3"/>
        <v>#DIV/0!</v>
      </c>
      <c r="BQ276" s="784">
        <f t="shared" si="3"/>
        <v>0.79500498743898684</v>
      </c>
      <c r="BR276" s="784" t="e">
        <f t="shared" si="3"/>
        <v>#DIV/0!</v>
      </c>
      <c r="BS276" s="784">
        <f t="shared" ref="BS276:BV276" si="4">(BS106+BS135-BS3-BS4-BS5-BS8+BS191)/(BS132+BS109+BS11-BS133-BS108-BS240)</f>
        <v>0.63022634869412208</v>
      </c>
      <c r="BT276" s="784">
        <f t="shared" si="4"/>
        <v>1.199851386234456</v>
      </c>
      <c r="BU276" s="784" t="e">
        <f t="shared" si="4"/>
        <v>#DIV/0!</v>
      </c>
      <c r="BV276" s="784">
        <f t="shared" si="4"/>
        <v>1.6838483734341834</v>
      </c>
    </row>
    <row r="277" spans="1:74" x14ac:dyDescent="0.3">
      <c r="A277" s="565" t="s">
        <v>1877</v>
      </c>
      <c r="B277" s="566" t="s">
        <v>1876</v>
      </c>
      <c r="C277" s="566"/>
      <c r="D277" s="970">
        <f t="shared" ref="D277:AI277" si="5">1-((D123+D124+D125+D126)/(D115+D116+D117+D118))</f>
        <v>0.35988272383785458</v>
      </c>
      <c r="E277" s="970">
        <f t="shared" si="5"/>
        <v>0.57684580830581866</v>
      </c>
      <c r="F277" s="970" t="e">
        <f t="shared" si="5"/>
        <v>#DIV/0!</v>
      </c>
      <c r="G277" s="970">
        <f t="shared" si="5"/>
        <v>0.33750795713628534</v>
      </c>
      <c r="H277" s="970">
        <f t="shared" si="5"/>
        <v>0.45671487270715772</v>
      </c>
      <c r="I277" s="970" t="e">
        <f t="shared" si="5"/>
        <v>#DIV/0!</v>
      </c>
      <c r="J277" s="970" t="e">
        <f t="shared" si="5"/>
        <v>#DIV/0!</v>
      </c>
      <c r="K277" s="970" t="e">
        <f t="shared" si="5"/>
        <v>#DIV/0!</v>
      </c>
      <c r="L277" s="970">
        <f t="shared" si="5"/>
        <v>0.37427086556046063</v>
      </c>
      <c r="M277" s="970">
        <f t="shared" si="5"/>
        <v>0.54755478628328857</v>
      </c>
      <c r="N277" s="970" t="e">
        <f t="shared" si="5"/>
        <v>#DIV/0!</v>
      </c>
      <c r="O277" s="970">
        <f t="shared" si="5"/>
        <v>0.69055275341142719</v>
      </c>
      <c r="P277" s="970" t="e">
        <f t="shared" si="5"/>
        <v>#DIV/0!</v>
      </c>
      <c r="Q277" s="970" t="e">
        <f t="shared" si="5"/>
        <v>#DIV/0!</v>
      </c>
      <c r="R277" s="970" t="e">
        <f t="shared" si="5"/>
        <v>#DIV/0!</v>
      </c>
      <c r="S277" s="970">
        <f t="shared" si="5"/>
        <v>0.1637130785593407</v>
      </c>
      <c r="T277" s="970" t="e">
        <f t="shared" si="5"/>
        <v>#DIV/0!</v>
      </c>
      <c r="U277" s="970" t="e">
        <f t="shared" si="5"/>
        <v>#DIV/0!</v>
      </c>
      <c r="V277" s="970">
        <f t="shared" si="5"/>
        <v>0.63325941642164407</v>
      </c>
      <c r="W277" s="970" t="e">
        <f t="shared" si="5"/>
        <v>#DIV/0!</v>
      </c>
      <c r="X277" s="970">
        <f t="shared" si="5"/>
        <v>0.29766617364851355</v>
      </c>
      <c r="Y277" s="970" t="e">
        <f t="shared" si="5"/>
        <v>#DIV/0!</v>
      </c>
      <c r="Z277" s="970">
        <f t="shared" si="5"/>
        <v>0.4586458863159516</v>
      </c>
      <c r="AA277" s="970" t="e">
        <f t="shared" si="5"/>
        <v>#DIV/0!</v>
      </c>
      <c r="AB277" s="970">
        <f t="shared" si="5"/>
        <v>0.57854027296886823</v>
      </c>
      <c r="AC277" s="970">
        <f t="shared" si="5"/>
        <v>0.47154617130159382</v>
      </c>
      <c r="AD277" s="970">
        <f t="shared" si="5"/>
        <v>0.62082379056826575</v>
      </c>
      <c r="AE277" s="970">
        <f t="shared" si="5"/>
        <v>0.35556739237305268</v>
      </c>
      <c r="AF277" s="970">
        <f t="shared" si="5"/>
        <v>0.61136531932524241</v>
      </c>
      <c r="AG277" s="970">
        <f t="shared" si="5"/>
        <v>0.44853959506829078</v>
      </c>
      <c r="AH277" s="970">
        <f t="shared" si="5"/>
        <v>0.45402297283828175</v>
      </c>
      <c r="AI277" s="970" t="e">
        <f t="shared" si="5"/>
        <v>#DIV/0!</v>
      </c>
      <c r="AJ277" s="970" t="e">
        <f t="shared" ref="AJ277:BR277" si="6">1-((AJ123+AJ124+AJ125+AJ126)/(AJ115+AJ116+AJ117+AJ118))</f>
        <v>#DIV/0!</v>
      </c>
      <c r="AK277" s="970" t="e">
        <f t="shared" si="6"/>
        <v>#DIV/0!</v>
      </c>
      <c r="AL277" s="970">
        <f t="shared" si="6"/>
        <v>0.52447262377661441</v>
      </c>
      <c r="AM277" s="970">
        <f t="shared" si="6"/>
        <v>0.54621104847910407</v>
      </c>
      <c r="AN277" s="970">
        <f t="shared" si="6"/>
        <v>0.33513092798924293</v>
      </c>
      <c r="AO277" s="970">
        <f t="shared" si="6"/>
        <v>0.43437782368178124</v>
      </c>
      <c r="AP277" s="970">
        <f t="shared" si="6"/>
        <v>0.73406450248260469</v>
      </c>
      <c r="AQ277" s="970" t="e">
        <f t="shared" si="6"/>
        <v>#DIV/0!</v>
      </c>
      <c r="AR277" s="970">
        <f t="shared" si="6"/>
        <v>0.77797228086107706</v>
      </c>
      <c r="AS277" s="970">
        <f t="shared" si="6"/>
        <v>0.63027765159997839</v>
      </c>
      <c r="AT277" s="970">
        <f t="shared" si="6"/>
        <v>0.73883291273128959</v>
      </c>
      <c r="AU277" s="970">
        <f t="shared" si="6"/>
        <v>0.63423739991550132</v>
      </c>
      <c r="AV277" s="970">
        <f t="shared" si="6"/>
        <v>0.36357522390740427</v>
      </c>
      <c r="AW277" s="970">
        <f t="shared" si="6"/>
        <v>0.69211096762777102</v>
      </c>
      <c r="AX277" s="970" t="e">
        <f t="shared" si="6"/>
        <v>#DIV/0!</v>
      </c>
      <c r="AY277" s="970" t="e">
        <f t="shared" si="6"/>
        <v>#DIV/0!</v>
      </c>
      <c r="AZ277" s="970">
        <f t="shared" si="6"/>
        <v>0.38559313439870402</v>
      </c>
      <c r="BA277" s="970">
        <f t="shared" si="6"/>
        <v>0.61325481475777932</v>
      </c>
      <c r="BB277" s="970">
        <f t="shared" si="6"/>
        <v>0.57799206114556512</v>
      </c>
      <c r="BC277" s="970">
        <f t="shared" si="6"/>
        <v>0.37108953496644193</v>
      </c>
      <c r="BD277" s="970">
        <f t="shared" si="6"/>
        <v>0.60415367117457297</v>
      </c>
      <c r="BE277" s="970">
        <f t="shared" si="6"/>
        <v>0.65290937345765276</v>
      </c>
      <c r="BF277" s="970">
        <f t="shared" si="6"/>
        <v>0.72530081022078474</v>
      </c>
      <c r="BG277" s="970" t="e">
        <f t="shared" si="6"/>
        <v>#DIV/0!</v>
      </c>
      <c r="BH277" s="970" t="e">
        <f t="shared" si="6"/>
        <v>#DIV/0!</v>
      </c>
      <c r="BI277" s="970">
        <f t="shared" si="6"/>
        <v>0.55975208719045555</v>
      </c>
      <c r="BJ277" s="970">
        <f t="shared" si="6"/>
        <v>0.42278573255906515</v>
      </c>
      <c r="BK277" s="970">
        <f t="shared" si="6"/>
        <v>0.37264638666635908</v>
      </c>
      <c r="BL277" s="970">
        <f t="shared" si="6"/>
        <v>0.50366956470939095</v>
      </c>
      <c r="BM277" s="970" t="e">
        <f t="shared" si="6"/>
        <v>#DIV/0!</v>
      </c>
      <c r="BN277" s="970">
        <f t="shared" si="6"/>
        <v>0.59330033036798113</v>
      </c>
      <c r="BO277" s="970">
        <f t="shared" si="6"/>
        <v>0.69100505074172325</v>
      </c>
      <c r="BP277" s="970" t="e">
        <f t="shared" si="6"/>
        <v>#DIV/0!</v>
      </c>
      <c r="BQ277" s="970" t="e">
        <f t="shared" si="6"/>
        <v>#DIV/0!</v>
      </c>
      <c r="BR277" s="970" t="e">
        <f t="shared" si="6"/>
        <v>#DIV/0!</v>
      </c>
      <c r="BS277" s="970">
        <f t="shared" ref="BS277:BV277" si="7">1-((BS123+BS124+BS125+BS126)/(BS115+BS116+BS117+BS118))</f>
        <v>0.6334117563877667</v>
      </c>
      <c r="BT277" s="970">
        <f t="shared" si="7"/>
        <v>0.68585258447912656</v>
      </c>
      <c r="BU277" s="970" t="e">
        <f t="shared" si="7"/>
        <v>#DIV/0!</v>
      </c>
      <c r="BV277" s="970">
        <f t="shared" si="7"/>
        <v>0.54612540692100375</v>
      </c>
    </row>
    <row r="280" spans="1:74" x14ac:dyDescent="0.3">
      <c r="D280" s="122">
        <v>313841816.41000003</v>
      </c>
      <c r="E280" s="122">
        <v>30027948064.110001</v>
      </c>
      <c r="F280" s="122">
        <v>0.01</v>
      </c>
      <c r="G280" s="122">
        <v>233386009.49000001</v>
      </c>
      <c r="H280" s="122">
        <v>102438221.55</v>
      </c>
      <c r="I280" s="122">
        <v>839504.72</v>
      </c>
      <c r="J280" s="122">
        <v>17004743.32</v>
      </c>
      <c r="K280" s="122">
        <v>74338146</v>
      </c>
      <c r="L280" s="122">
        <v>243373524.12</v>
      </c>
      <c r="M280" s="122">
        <v>852811460.53999996</v>
      </c>
      <c r="N280" s="122">
        <v>8148097.6299999999</v>
      </c>
      <c r="O280" s="122">
        <v>43321168.039999999</v>
      </c>
      <c r="P280" s="122">
        <v>0.01</v>
      </c>
      <c r="Q280" s="122">
        <v>15728303.369999999</v>
      </c>
      <c r="R280" s="122">
        <v>27649865.760000002</v>
      </c>
      <c r="S280" s="122">
        <v>80685809.609999999</v>
      </c>
      <c r="T280" s="122">
        <v>302433476.33999997</v>
      </c>
      <c r="U280" s="122">
        <v>0.01</v>
      </c>
      <c r="V280" s="122">
        <v>99832862.280000001</v>
      </c>
      <c r="W280" s="122">
        <v>0.09</v>
      </c>
      <c r="X280" s="122">
        <v>408850861.31999999</v>
      </c>
      <c r="Y280" s="122">
        <v>42518403.719999999</v>
      </c>
      <c r="Z280" s="122">
        <v>3559633901.4499998</v>
      </c>
      <c r="AA280" s="122">
        <v>351257078.18000001</v>
      </c>
      <c r="AB280" s="122">
        <v>13721309.449999999</v>
      </c>
      <c r="AC280" s="122">
        <v>39179560.210000001</v>
      </c>
      <c r="AD280" s="122">
        <v>71255011.290000007</v>
      </c>
      <c r="AE280" s="122">
        <v>63140865.450000003</v>
      </c>
      <c r="AF280" s="122">
        <v>38683904.579999998</v>
      </c>
      <c r="AG280" s="122">
        <v>42650314.509999998</v>
      </c>
      <c r="AH280" s="122">
        <v>408554872.08999997</v>
      </c>
      <c r="AI280" s="122">
        <v>4365411.16</v>
      </c>
      <c r="AJ280" s="122">
        <v>81902436.030000001</v>
      </c>
      <c r="AK280" s="122">
        <v>6702558.8600000003</v>
      </c>
      <c r="AL280" s="122">
        <v>51754128.240000002</v>
      </c>
      <c r="AM280" s="122">
        <v>152159891.52000001</v>
      </c>
      <c r="AN280" s="122">
        <v>22867128.010000002</v>
      </c>
      <c r="AO280" s="122">
        <v>2137285840.55</v>
      </c>
      <c r="AP280" s="122">
        <v>62240402.630000003</v>
      </c>
      <c r="AQ280" s="122">
        <v>7411312.9199999999</v>
      </c>
      <c r="AR280" s="122">
        <v>14940919.630000001</v>
      </c>
      <c r="AS280" s="122">
        <v>1906878869.8199999</v>
      </c>
      <c r="AT280" s="122">
        <v>38400079.229999997</v>
      </c>
      <c r="AU280" s="122">
        <v>151659824.19999999</v>
      </c>
      <c r="AV280" s="122">
        <v>134434434.24000001</v>
      </c>
      <c r="AW280" s="122">
        <v>45189622.630000003</v>
      </c>
      <c r="AX280" s="122">
        <v>23129583.760000002</v>
      </c>
      <c r="AY280" s="122">
        <v>8305907.1799999997</v>
      </c>
      <c r="AZ280" s="122">
        <v>383659094.37</v>
      </c>
      <c r="BA280" s="122">
        <v>48986971.710000001</v>
      </c>
      <c r="BB280" s="122">
        <v>21431940.649999999</v>
      </c>
      <c r="BC280" s="122">
        <v>22861382.870000001</v>
      </c>
      <c r="BD280" s="122">
        <v>291616374.60000002</v>
      </c>
      <c r="BE280" s="122">
        <v>115177764.06</v>
      </c>
      <c r="BF280" s="122">
        <v>1816397564.1800001</v>
      </c>
      <c r="BG280" s="122">
        <v>0.01</v>
      </c>
      <c r="BH280" s="122">
        <v>7286565.5099999998</v>
      </c>
      <c r="BI280" s="122">
        <v>21140866.800000001</v>
      </c>
      <c r="BJ280" s="122">
        <v>1035274761.41</v>
      </c>
      <c r="BK280" s="122">
        <v>78897663.939999998</v>
      </c>
      <c r="BL280" s="122">
        <v>875945256.67999995</v>
      </c>
      <c r="BM280" s="122">
        <v>222388742.97999999</v>
      </c>
      <c r="BN280" s="122">
        <v>493165014.93000001</v>
      </c>
      <c r="BO280" s="122">
        <v>164896231.25</v>
      </c>
      <c r="BP280" t="s">
        <v>2470</v>
      </c>
      <c r="BQ280" s="568">
        <v>89521681.680000007</v>
      </c>
      <c r="BR280" t="s">
        <v>2470</v>
      </c>
      <c r="BS280" s="568">
        <v>160073782.47999999</v>
      </c>
      <c r="BT280" s="568">
        <v>50964020.210000001</v>
      </c>
      <c r="BU280" s="566">
        <v>0.01</v>
      </c>
      <c r="BV280" s="568">
        <v>159602637.84999999</v>
      </c>
    </row>
    <row r="281" spans="1:74" x14ac:dyDescent="0.3">
      <c r="D281" s="1042"/>
      <c r="E281" s="1042"/>
      <c r="F281" s="1042"/>
      <c r="G281" s="1042"/>
      <c r="H281" s="1042"/>
      <c r="I281" s="1042"/>
      <c r="J281" s="1042"/>
      <c r="K281" s="1042"/>
      <c r="L281" s="1042"/>
      <c r="M281" s="1042"/>
      <c r="N281" s="1042"/>
      <c r="O281" s="1042"/>
      <c r="P281" s="1042"/>
      <c r="Q281" s="1042"/>
      <c r="R281" s="1042"/>
      <c r="S281" s="1042"/>
      <c r="T281" s="1042"/>
      <c r="U281" s="1042"/>
      <c r="V281" s="1042"/>
      <c r="W281" s="1042"/>
      <c r="X281" s="1042"/>
      <c r="Y281" s="1042"/>
      <c r="Z281" s="1042"/>
      <c r="AA281" s="1042"/>
      <c r="AB281" s="1042"/>
      <c r="AC281" s="1042"/>
      <c r="AD281" s="1042"/>
      <c r="AE281" s="1042"/>
      <c r="AF281" s="1042"/>
      <c r="AG281" s="1042"/>
      <c r="AH281" s="1042"/>
      <c r="AI281" s="1042"/>
      <c r="AJ281" s="1042"/>
      <c r="AK281" s="1042"/>
      <c r="AL281" s="1042"/>
      <c r="AM281" s="1042"/>
      <c r="AN281" s="1042"/>
      <c r="AO281" s="1042"/>
      <c r="AP281" s="1042"/>
      <c r="AQ281" s="1042"/>
      <c r="AR281" s="1042"/>
      <c r="AS281" s="1042"/>
      <c r="AT281" s="1042"/>
      <c r="AU281" s="1042"/>
      <c r="AV281" s="1042"/>
      <c r="AW281" s="1042"/>
      <c r="AX281" s="1042"/>
      <c r="AY281" s="1042"/>
      <c r="AZ281" s="1042"/>
      <c r="BA281" s="1042"/>
      <c r="BB281" s="1042"/>
      <c r="BC281" s="1042"/>
      <c r="BD281" s="1042"/>
      <c r="BE281" s="1042"/>
      <c r="BF281" s="1042"/>
      <c r="BG281" s="1042"/>
      <c r="BH281" s="1042"/>
      <c r="BI281" s="1042"/>
      <c r="BJ281" s="1042"/>
      <c r="BK281" s="1042"/>
      <c r="BL281" s="1042"/>
      <c r="BM281" s="1042"/>
      <c r="BN281" s="1042"/>
      <c r="BO281" s="1042"/>
      <c r="BP281" s="1042"/>
      <c r="BQ281" s="1042"/>
      <c r="BR281" s="1042"/>
    </row>
    <row r="282" spans="1:74" s="568" customFormat="1" x14ac:dyDescent="0.3">
      <c r="A282" s="1048"/>
      <c r="D282" s="568">
        <f>D257-D280</f>
        <v>0</v>
      </c>
      <c r="E282" s="568">
        <f t="shared" ref="E282:BP282" si="8">E257-E280</f>
        <v>2.99835205078125E-3</v>
      </c>
      <c r="F282" s="1033">
        <f t="shared" si="8"/>
        <v>50364</v>
      </c>
      <c r="G282" s="568">
        <f t="shared" si="8"/>
        <v>0</v>
      </c>
      <c r="H282" s="568">
        <f t="shared" si="8"/>
        <v>0</v>
      </c>
      <c r="I282" s="1033">
        <f t="shared" si="8"/>
        <v>-5.0000000046566129E-3</v>
      </c>
      <c r="J282" s="568">
        <f t="shared" si="8"/>
        <v>0</v>
      </c>
      <c r="K282" s="568">
        <f t="shared" si="8"/>
        <v>0</v>
      </c>
      <c r="L282" s="568">
        <f t="shared" si="8"/>
        <v>0</v>
      </c>
      <c r="M282" s="568">
        <f t="shared" si="8"/>
        <v>-2.5999546051025391E-3</v>
      </c>
      <c r="N282" s="568">
        <f t="shared" si="8"/>
        <v>1.0000001639127731E-3</v>
      </c>
      <c r="O282" s="568">
        <f t="shared" si="8"/>
        <v>0</v>
      </c>
      <c r="P282" s="1033">
        <f t="shared" si="8"/>
        <v>50373</v>
      </c>
      <c r="Q282" s="568">
        <f t="shared" si="8"/>
        <v>0</v>
      </c>
      <c r="R282" s="568">
        <f t="shared" si="8"/>
        <v>0</v>
      </c>
      <c r="S282" s="568">
        <f t="shared" si="8"/>
        <v>0</v>
      </c>
      <c r="T282" s="568">
        <f t="shared" si="8"/>
        <v>1.0000467300415039E-3</v>
      </c>
      <c r="U282" s="1033">
        <f t="shared" si="8"/>
        <v>50375</v>
      </c>
      <c r="V282" s="568">
        <f t="shared" si="8"/>
        <v>0</v>
      </c>
      <c r="W282" s="1033">
        <f t="shared" si="8"/>
        <v>50377</v>
      </c>
      <c r="X282" s="568">
        <f t="shared" si="8"/>
        <v>0</v>
      </c>
      <c r="Y282" s="568">
        <f t="shared" si="8"/>
        <v>0</v>
      </c>
      <c r="Z282" s="568">
        <f t="shared" si="8"/>
        <v>-4.9996376037597656E-3</v>
      </c>
      <c r="AA282" s="568">
        <f t="shared" si="8"/>
        <v>0</v>
      </c>
      <c r="AB282" s="568">
        <f t="shared" si="8"/>
        <v>0</v>
      </c>
      <c r="AC282" s="568">
        <f t="shared" si="8"/>
        <v>0</v>
      </c>
      <c r="AD282" s="568">
        <f t="shared" si="8"/>
        <v>0</v>
      </c>
      <c r="AE282" s="568">
        <f t="shared" si="8"/>
        <v>0</v>
      </c>
      <c r="AF282" s="568">
        <f t="shared" si="8"/>
        <v>0</v>
      </c>
      <c r="AG282" s="568">
        <f t="shared" si="8"/>
        <v>0</v>
      </c>
      <c r="AH282" s="568">
        <f t="shared" si="8"/>
        <v>0</v>
      </c>
      <c r="AI282" s="568">
        <f t="shared" si="8"/>
        <v>2.4999994784593582E-3</v>
      </c>
      <c r="AJ282" s="568">
        <f t="shared" si="8"/>
        <v>0</v>
      </c>
      <c r="AK282" s="568">
        <f t="shared" si="8"/>
        <v>0</v>
      </c>
      <c r="AL282" s="568">
        <f t="shared" si="8"/>
        <v>0</v>
      </c>
      <c r="AM282" s="568">
        <f t="shared" si="8"/>
        <v>0</v>
      </c>
      <c r="AN282" s="568">
        <f t="shared" si="8"/>
        <v>0</v>
      </c>
      <c r="AO282" s="568">
        <f t="shared" si="8"/>
        <v>-4.0006637573242188E-4</v>
      </c>
      <c r="AP282" s="568">
        <f t="shared" si="8"/>
        <v>0</v>
      </c>
      <c r="AQ282" s="568">
        <f t="shared" si="8"/>
        <v>0</v>
      </c>
      <c r="AR282" s="568">
        <f t="shared" si="8"/>
        <v>0</v>
      </c>
      <c r="AS282" s="568">
        <f t="shared" si="8"/>
        <v>0</v>
      </c>
      <c r="AT282" s="568">
        <f t="shared" si="8"/>
        <v>0</v>
      </c>
      <c r="AU282" s="568">
        <f t="shared" si="8"/>
        <v>0</v>
      </c>
      <c r="AV282" s="568">
        <f t="shared" si="8"/>
        <v>-4.999995231628418E-3</v>
      </c>
      <c r="AW282" s="568">
        <f t="shared" si="8"/>
        <v>0</v>
      </c>
      <c r="AX282" s="568">
        <f t="shared" si="8"/>
        <v>0</v>
      </c>
      <c r="AY282" s="568">
        <f t="shared" si="8"/>
        <v>-4.999999888241291E-3</v>
      </c>
      <c r="AZ282" s="568">
        <f t="shared" si="8"/>
        <v>0</v>
      </c>
      <c r="BA282" s="568">
        <f t="shared" si="8"/>
        <v>0</v>
      </c>
      <c r="BB282" s="568">
        <f t="shared" si="8"/>
        <v>0</v>
      </c>
      <c r="BC282" s="568">
        <f t="shared" si="8"/>
        <v>0</v>
      </c>
      <c r="BD282" s="568">
        <f t="shared" si="8"/>
        <v>2.499997615814209E-3</v>
      </c>
      <c r="BE282" s="568">
        <f t="shared" si="8"/>
        <v>0</v>
      </c>
      <c r="BF282" s="568">
        <f t="shared" si="8"/>
        <v>-2.5000572204589844E-3</v>
      </c>
      <c r="BG282" s="1033">
        <f t="shared" si="8"/>
        <v>50407</v>
      </c>
      <c r="BH282" s="568">
        <f t="shared" si="8"/>
        <v>0</v>
      </c>
      <c r="BI282" s="568">
        <f t="shared" si="8"/>
        <v>0</v>
      </c>
      <c r="BJ282" s="568">
        <f t="shared" si="8"/>
        <v>0</v>
      </c>
      <c r="BK282" s="568">
        <f t="shared" si="8"/>
        <v>0</v>
      </c>
      <c r="BL282" s="568">
        <f t="shared" si="8"/>
        <v>0</v>
      </c>
      <c r="BM282" s="568">
        <f t="shared" si="8"/>
        <v>-4.199981689453125E-3</v>
      </c>
      <c r="BN282" s="568">
        <f t="shared" si="8"/>
        <v>-4.4000148773193359E-3</v>
      </c>
      <c r="BO282" s="568">
        <f t="shared" si="8"/>
        <v>0</v>
      </c>
      <c r="BP282" s="568" t="e">
        <f t="shared" si="8"/>
        <v>#VALUE!</v>
      </c>
      <c r="BQ282" s="568">
        <f t="shared" ref="BQ282:BV282" si="9">BQ257-BQ280</f>
        <v>0</v>
      </c>
      <c r="BR282" s="568" t="e">
        <f t="shared" si="9"/>
        <v>#VALUE!</v>
      </c>
      <c r="BS282" s="568">
        <f t="shared" si="9"/>
        <v>3.0000209808349609E-3</v>
      </c>
      <c r="BT282" s="568">
        <f t="shared" si="9"/>
        <v>0</v>
      </c>
      <c r="BU282" s="568">
        <f t="shared" si="9"/>
        <v>50420</v>
      </c>
      <c r="BV282" s="568">
        <f t="shared" si="9"/>
        <v>0</v>
      </c>
    </row>
    <row r="284" spans="1:74" x14ac:dyDescent="0.3">
      <c r="D284" t="s">
        <v>1369</v>
      </c>
      <c r="E284" t="s">
        <v>1370</v>
      </c>
      <c r="F284" t="s">
        <v>534</v>
      </c>
      <c r="G284" t="s">
        <v>1371</v>
      </c>
      <c r="H284" t="s">
        <v>535</v>
      </c>
      <c r="I284" t="s">
        <v>1372</v>
      </c>
      <c r="J284" t="s">
        <v>1373</v>
      </c>
      <c r="K284" t="s">
        <v>1374</v>
      </c>
      <c r="L284" t="s">
        <v>536</v>
      </c>
      <c r="M284" t="s">
        <v>1375</v>
      </c>
      <c r="N284" t="s">
        <v>1376</v>
      </c>
      <c r="O284" t="s">
        <v>1377</v>
      </c>
      <c r="P284" t="s">
        <v>537</v>
      </c>
      <c r="Q284" t="s">
        <v>825</v>
      </c>
      <c r="R284" t="s">
        <v>1378</v>
      </c>
      <c r="S284" t="s">
        <v>1379</v>
      </c>
      <c r="T284" t="s">
        <v>1380</v>
      </c>
      <c r="U284" t="s">
        <v>538</v>
      </c>
      <c r="V284" t="s">
        <v>1381</v>
      </c>
      <c r="W284" t="s">
        <v>539</v>
      </c>
      <c r="X284" t="s">
        <v>391</v>
      </c>
      <c r="Y284" t="s">
        <v>1382</v>
      </c>
      <c r="Z284" t="s">
        <v>1383</v>
      </c>
      <c r="AA284" t="s">
        <v>1384</v>
      </c>
      <c r="AB284" t="s">
        <v>540</v>
      </c>
      <c r="AC284" t="s">
        <v>1385</v>
      </c>
      <c r="AD284" t="s">
        <v>1386</v>
      </c>
      <c r="AE284" t="s">
        <v>826</v>
      </c>
      <c r="AF284" t="s">
        <v>827</v>
      </c>
      <c r="AG284" t="s">
        <v>828</v>
      </c>
      <c r="AH284" t="s">
        <v>829</v>
      </c>
      <c r="AI284" t="s">
        <v>1387</v>
      </c>
      <c r="AJ284" t="s">
        <v>1388</v>
      </c>
      <c r="AK284" t="s">
        <v>830</v>
      </c>
      <c r="AL284" t="s">
        <v>1389</v>
      </c>
      <c r="AM284" t="s">
        <v>1390</v>
      </c>
      <c r="AN284" t="s">
        <v>1391</v>
      </c>
      <c r="AO284" t="s">
        <v>1392</v>
      </c>
      <c r="AP284" t="s">
        <v>1393</v>
      </c>
      <c r="AQ284" t="s">
        <v>1394</v>
      </c>
      <c r="AR284" t="s">
        <v>1395</v>
      </c>
      <c r="AS284" t="s">
        <v>1396</v>
      </c>
      <c r="AT284" t="s">
        <v>1397</v>
      </c>
      <c r="AU284" t="s">
        <v>1398</v>
      </c>
      <c r="AV284" t="s">
        <v>542</v>
      </c>
      <c r="AW284" t="s">
        <v>1399</v>
      </c>
      <c r="AX284" t="s">
        <v>1400</v>
      </c>
      <c r="AY284" t="s">
        <v>543</v>
      </c>
      <c r="AZ284" t="s">
        <v>1401</v>
      </c>
      <c r="BA284" t="s">
        <v>1402</v>
      </c>
      <c r="BB284" t="s">
        <v>1403</v>
      </c>
      <c r="BC284" t="s">
        <v>1404</v>
      </c>
      <c r="BD284" t="s">
        <v>1405</v>
      </c>
      <c r="BE284" t="s">
        <v>544</v>
      </c>
      <c r="BF284" t="s">
        <v>1406</v>
      </c>
      <c r="BG284" t="s">
        <v>831</v>
      </c>
      <c r="BH284" t="s">
        <v>1407</v>
      </c>
      <c r="BI284" t="s">
        <v>1408</v>
      </c>
      <c r="BJ284" t="s">
        <v>1409</v>
      </c>
      <c r="BK284" t="s">
        <v>545</v>
      </c>
      <c r="BL284" t="s">
        <v>1410</v>
      </c>
      <c r="BM284" t="s">
        <v>1411</v>
      </c>
      <c r="BN284" t="s">
        <v>1412</v>
      </c>
      <c r="BO284" t="e">
        <v>#VALUE!</v>
      </c>
      <c r="BP284" t="s">
        <v>1414</v>
      </c>
      <c r="BQ284" t="s">
        <v>1415</v>
      </c>
      <c r="BR284" t="s">
        <v>2474</v>
      </c>
      <c r="BS284" t="s">
        <v>1416</v>
      </c>
      <c r="BT284" t="s">
        <v>1417</v>
      </c>
      <c r="BU284" t="e">
        <v>#N/A</v>
      </c>
      <c r="BV284" t="s">
        <v>1418</v>
      </c>
    </row>
    <row r="285" spans="1:74" x14ac:dyDescent="0.3">
      <c r="D285">
        <v>50312</v>
      </c>
      <c r="E285">
        <v>50313</v>
      </c>
      <c r="F285">
        <v>50314</v>
      </c>
      <c r="G285">
        <v>50315</v>
      </c>
      <c r="H285">
        <v>50316</v>
      </c>
      <c r="I285">
        <v>50481</v>
      </c>
      <c r="J285">
        <v>50561</v>
      </c>
      <c r="K285">
        <v>50317</v>
      </c>
      <c r="L285">
        <v>50318</v>
      </c>
      <c r="M285">
        <v>50319</v>
      </c>
      <c r="N285">
        <v>50489</v>
      </c>
      <c r="O285">
        <v>50320</v>
      </c>
      <c r="P285">
        <v>50323</v>
      </c>
      <c r="Q285">
        <v>50321</v>
      </c>
      <c r="R285">
        <v>50322</v>
      </c>
      <c r="S285">
        <v>50490</v>
      </c>
      <c r="T285">
        <v>50324</v>
      </c>
      <c r="U285">
        <v>50325</v>
      </c>
      <c r="V285">
        <v>50326</v>
      </c>
      <c r="W285">
        <v>50327</v>
      </c>
      <c r="X285">
        <v>50328</v>
      </c>
      <c r="Y285">
        <v>50329</v>
      </c>
      <c r="Z285">
        <v>50330</v>
      </c>
      <c r="AA285">
        <v>50331</v>
      </c>
      <c r="AB285">
        <v>50332</v>
      </c>
      <c r="AC285">
        <v>50333</v>
      </c>
      <c r="AD285">
        <v>50335</v>
      </c>
      <c r="AE285">
        <v>50334</v>
      </c>
      <c r="AF285">
        <v>50336</v>
      </c>
      <c r="AG285">
        <v>50337</v>
      </c>
      <c r="AH285">
        <v>50338</v>
      </c>
      <c r="AI285">
        <v>50339</v>
      </c>
      <c r="AJ285">
        <v>50443</v>
      </c>
      <c r="AK285">
        <v>50340</v>
      </c>
      <c r="AL285">
        <v>50456</v>
      </c>
      <c r="AM285">
        <v>50341</v>
      </c>
      <c r="AN285">
        <v>50342</v>
      </c>
      <c r="AO285">
        <v>50344</v>
      </c>
      <c r="AP285">
        <v>50345</v>
      </c>
      <c r="AQ285">
        <v>50503</v>
      </c>
      <c r="AR285">
        <v>50527</v>
      </c>
      <c r="AS285">
        <v>50346</v>
      </c>
      <c r="AT285">
        <v>50347</v>
      </c>
      <c r="AU285">
        <v>50529</v>
      </c>
      <c r="AV285">
        <v>50348</v>
      </c>
      <c r="AW285">
        <v>50349</v>
      </c>
      <c r="AX285">
        <v>50350</v>
      </c>
      <c r="AY285">
        <v>50541</v>
      </c>
      <c r="AZ285">
        <v>50351</v>
      </c>
      <c r="BA285">
        <v>50484</v>
      </c>
      <c r="BB285">
        <v>50352</v>
      </c>
      <c r="BC285">
        <v>50353</v>
      </c>
      <c r="BD285">
        <v>50354</v>
      </c>
      <c r="BE285">
        <v>50355</v>
      </c>
      <c r="BF285">
        <v>50356</v>
      </c>
      <c r="BG285">
        <v>50357</v>
      </c>
      <c r="BH285">
        <v>50482</v>
      </c>
      <c r="BI285">
        <v>50358</v>
      </c>
      <c r="BJ285">
        <v>50359</v>
      </c>
      <c r="BK285">
        <v>50360</v>
      </c>
      <c r="BL285">
        <v>50361</v>
      </c>
      <c r="BM285">
        <v>50362</v>
      </c>
      <c r="BN285">
        <v>50363</v>
      </c>
      <c r="BO285" t="e">
        <v>#VALUE!</v>
      </c>
      <c r="BP285">
        <v>50365</v>
      </c>
      <c r="BQ285">
        <v>50366</v>
      </c>
      <c r="BR285">
        <v>50367</v>
      </c>
      <c r="BS285">
        <v>50368</v>
      </c>
      <c r="BT285">
        <v>50369</v>
      </c>
      <c r="BU285">
        <v>0</v>
      </c>
      <c r="BV285">
        <v>50371</v>
      </c>
    </row>
    <row r="286" spans="1:74" x14ac:dyDescent="0.3">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c r="AA286" s="180"/>
      <c r="AB286" s="180"/>
      <c r="AC286" s="180"/>
      <c r="AD286" s="180"/>
      <c r="AE286" s="180"/>
      <c r="AF286" s="180"/>
      <c r="AG286" s="180"/>
      <c r="AH286" s="180"/>
      <c r="AI286" s="180"/>
      <c r="AJ286" s="180"/>
      <c r="AK286" s="180"/>
      <c r="AL286" s="180"/>
      <c r="AM286" s="180"/>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0"/>
      <c r="BR286" s="180"/>
      <c r="BS286" s="180"/>
      <c r="BT286" s="180"/>
      <c r="BU286" s="566"/>
      <c r="BV286" s="180"/>
    </row>
    <row r="288" spans="1:74" x14ac:dyDescent="0.3">
      <c r="I288" t="s">
        <v>2475</v>
      </c>
    </row>
    <row r="293" spans="4:74" x14ac:dyDescent="0.3">
      <c r="D293" s="568"/>
      <c r="E293" s="568"/>
      <c r="G293" s="568"/>
      <c r="H293" s="568"/>
      <c r="I293" s="568"/>
      <c r="J293" s="568"/>
      <c r="K293" s="568"/>
      <c r="L293" s="568"/>
      <c r="M293" s="568"/>
      <c r="N293" s="568"/>
      <c r="O293" s="568"/>
      <c r="Q293" s="568"/>
      <c r="R293" s="568"/>
      <c r="S293" s="568"/>
      <c r="T293" s="568"/>
      <c r="V293" s="568"/>
      <c r="X293" s="568"/>
      <c r="Y293" s="568"/>
      <c r="Z293" s="568"/>
      <c r="AA293" s="568"/>
      <c r="AB293" s="568"/>
      <c r="AC293" s="568"/>
      <c r="AD293" s="568"/>
      <c r="AE293" s="568"/>
      <c r="AF293" s="568"/>
      <c r="AG293" s="568"/>
      <c r="AH293" s="568"/>
      <c r="AI293" s="568"/>
      <c r="AJ293" s="568"/>
      <c r="AK293" s="568"/>
      <c r="AL293" s="568"/>
      <c r="AM293" s="568"/>
      <c r="AN293" t="s">
        <v>2471</v>
      </c>
      <c r="AO293" s="568" t="s">
        <v>2472</v>
      </c>
      <c r="AP293" t="s">
        <v>2473</v>
      </c>
      <c r="AQ293" s="568"/>
      <c r="AR293" s="568"/>
      <c r="AS293" s="568"/>
      <c r="AT293" s="568"/>
      <c r="AU293" s="568"/>
      <c r="AV293" s="568"/>
      <c r="AW293" s="568"/>
      <c r="AX293" s="568"/>
      <c r="AY293" s="568"/>
      <c r="AZ293" s="568"/>
      <c r="BA293" s="568"/>
      <c r="BB293" s="568"/>
      <c r="BC293" s="568"/>
      <c r="BD293" s="568"/>
      <c r="BE293" s="568"/>
      <c r="BF293" s="568"/>
      <c r="BH293" s="568"/>
      <c r="BI293" s="568"/>
      <c r="BJ293" s="568"/>
      <c r="BK293" s="568"/>
      <c r="BL293" s="568"/>
      <c r="BM293" s="568"/>
      <c r="BN293" s="568"/>
      <c r="BO293" s="568"/>
      <c r="BQ293" s="568"/>
      <c r="BS293" s="568"/>
      <c r="BT293" s="568"/>
      <c r="BV293" s="568"/>
    </row>
    <row r="294" spans="4:74" x14ac:dyDescent="0.3">
      <c r="AN294">
        <v>50526</v>
      </c>
      <c r="AO294">
        <v>50554</v>
      </c>
      <c r="AP294">
        <v>50343</v>
      </c>
    </row>
    <row r="295" spans="4:74" x14ac:dyDescent="0.3">
      <c r="AN295" s="122">
        <v>8668283</v>
      </c>
      <c r="AO295" s="122">
        <v>94152418.609999999</v>
      </c>
      <c r="AP295" s="122">
        <v>97379657.569999993</v>
      </c>
    </row>
    <row r="298" spans="4:74" x14ac:dyDescent="0.3">
      <c r="AN298" s="180" t="s">
        <v>2471</v>
      </c>
      <c r="AO298" s="180" t="s">
        <v>2472</v>
      </c>
      <c r="AP298" t="s">
        <v>2473</v>
      </c>
    </row>
    <row r="299" spans="4:74" x14ac:dyDescent="0.3">
      <c r="AN299">
        <v>50526</v>
      </c>
      <c r="AO299">
        <v>50554</v>
      </c>
      <c r="AP299">
        <v>50343</v>
      </c>
    </row>
    <row r="300" spans="4:74" x14ac:dyDescent="0.3">
      <c r="AN300" s="568">
        <v>8668283</v>
      </c>
      <c r="AO300" s="568">
        <v>94152418.609999999</v>
      </c>
      <c r="AP300" s="568">
        <v>97379657.569999993</v>
      </c>
    </row>
  </sheetData>
  <sheetProtection algorithmName="SHA-512" hashValue="U9+IfwQZYFd72DocAF3L2HyY2DChu3sZvXHBECSTTHXMVnnmr9GdgCFDXZM2rVTQo0OfiUeWe0q99iJ7hhuYmA==" saltValue="/cr6XUuiwu1r/gGTTXV0iw==" spinCount="100000"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T95"/>
  <sheetViews>
    <sheetView workbookViewId="0">
      <selection activeCell="K18" sqref="K18"/>
    </sheetView>
  </sheetViews>
  <sheetFormatPr defaultColWidth="9.109375" defaultRowHeight="14.4" x14ac:dyDescent="0.3"/>
  <cols>
    <col min="1" max="1" width="28.5546875" style="382" customWidth="1"/>
    <col min="2" max="12" width="9.109375" style="382"/>
    <col min="13" max="13" width="21.6640625" style="382" customWidth="1"/>
    <col min="14" max="14" width="16.88671875" style="382" customWidth="1"/>
    <col min="15" max="16" width="9.109375" style="382"/>
    <col min="17" max="17" width="18.109375" style="382" customWidth="1"/>
    <col min="18" max="18" width="11" style="382" customWidth="1"/>
    <col min="19" max="16384" width="9.109375" style="382"/>
  </cols>
  <sheetData>
    <row r="1" spans="1:20" x14ac:dyDescent="0.3">
      <c r="A1" s="382" t="s">
        <v>798</v>
      </c>
    </row>
    <row r="2" spans="1:20" ht="15" thickBot="1" x14ac:dyDescent="0.35">
      <c r="A2" s="380" t="s">
        <v>1369</v>
      </c>
      <c r="B2" s="156">
        <v>50312</v>
      </c>
      <c r="C2" s="378">
        <v>50</v>
      </c>
      <c r="D2" s="50"/>
      <c r="E2" s="50"/>
      <c r="G2" s="382">
        <v>100</v>
      </c>
      <c r="I2" s="382" t="s">
        <v>330</v>
      </c>
    </row>
    <row r="3" spans="1:20" ht="15" customHeight="1" thickBot="1" x14ac:dyDescent="0.35">
      <c r="A3" s="381" t="s">
        <v>1370</v>
      </c>
      <c r="B3" s="156">
        <v>50313</v>
      </c>
      <c r="C3" s="378">
        <v>50</v>
      </c>
      <c r="D3" s="49"/>
      <c r="E3" s="50"/>
      <c r="G3" s="382">
        <v>200</v>
      </c>
      <c r="I3" s="382" t="s">
        <v>331</v>
      </c>
      <c r="O3" s="384"/>
      <c r="P3" s="384"/>
      <c r="S3" s="384"/>
      <c r="T3" s="384"/>
    </row>
    <row r="4" spans="1:20" ht="15" customHeight="1" thickBot="1" x14ac:dyDescent="0.35">
      <c r="A4" s="381" t="s">
        <v>534</v>
      </c>
      <c r="B4" s="156">
        <v>50314</v>
      </c>
      <c r="C4" s="378">
        <v>50</v>
      </c>
      <c r="D4" s="49"/>
      <c r="E4" s="50"/>
      <c r="G4" s="382">
        <v>300</v>
      </c>
      <c r="I4" s="382" t="s">
        <v>332</v>
      </c>
      <c r="O4" s="384"/>
      <c r="P4" s="384"/>
      <c r="S4" s="384"/>
      <c r="T4" s="384"/>
    </row>
    <row r="5" spans="1:20" ht="15" thickBot="1" x14ac:dyDescent="0.35">
      <c r="A5" s="381" t="s">
        <v>1371</v>
      </c>
      <c r="B5" s="156">
        <v>50315</v>
      </c>
      <c r="C5" s="378">
        <v>50</v>
      </c>
      <c r="D5" s="49"/>
      <c r="E5" s="50"/>
      <c r="G5" s="382">
        <v>400</v>
      </c>
      <c r="O5" s="384"/>
      <c r="P5" s="384"/>
      <c r="S5" s="384"/>
      <c r="T5" s="384"/>
    </row>
    <row r="6" spans="1:20" ht="15" thickBot="1" x14ac:dyDescent="0.35">
      <c r="A6" s="381" t="s">
        <v>535</v>
      </c>
      <c r="B6" s="156">
        <v>50316</v>
      </c>
      <c r="C6" s="378">
        <v>50</v>
      </c>
      <c r="D6" s="49"/>
      <c r="E6" s="50"/>
      <c r="G6" s="382">
        <v>500</v>
      </c>
      <c r="O6" s="384"/>
      <c r="P6" s="384"/>
      <c r="S6" s="384"/>
      <c r="T6" s="384"/>
    </row>
    <row r="7" spans="1:20" ht="15" thickBot="1" x14ac:dyDescent="0.35">
      <c r="A7" s="381" t="s">
        <v>1372</v>
      </c>
      <c r="B7" s="156">
        <v>50481</v>
      </c>
      <c r="C7" s="378">
        <v>50</v>
      </c>
      <c r="D7" s="49"/>
      <c r="E7" s="50"/>
      <c r="O7" s="384"/>
      <c r="P7" s="384"/>
      <c r="S7" s="384"/>
      <c r="T7" s="384"/>
    </row>
    <row r="8" spans="1:20" ht="15" thickBot="1" x14ac:dyDescent="0.35">
      <c r="A8" s="381" t="s">
        <v>1373</v>
      </c>
      <c r="B8" s="156">
        <v>50561</v>
      </c>
      <c r="C8" s="378">
        <v>50</v>
      </c>
      <c r="D8" s="49"/>
      <c r="E8" s="50"/>
      <c r="O8" s="384"/>
      <c r="P8" s="384"/>
      <c r="S8" s="384"/>
      <c r="T8" s="384"/>
    </row>
    <row r="9" spans="1:20" ht="15" thickBot="1" x14ac:dyDescent="0.35">
      <c r="A9" s="381" t="s">
        <v>1374</v>
      </c>
      <c r="B9" s="156">
        <v>50317</v>
      </c>
      <c r="C9" s="378">
        <v>50</v>
      </c>
      <c r="D9" s="49"/>
      <c r="E9" s="50"/>
      <c r="O9" s="384"/>
      <c r="P9" s="384"/>
      <c r="S9" s="384"/>
      <c r="T9" s="384"/>
    </row>
    <row r="10" spans="1:20" ht="15" thickBot="1" x14ac:dyDescent="0.35">
      <c r="A10" s="381" t="s">
        <v>536</v>
      </c>
      <c r="B10" s="156">
        <v>50318</v>
      </c>
      <c r="C10" s="378">
        <v>50</v>
      </c>
      <c r="D10" s="49"/>
      <c r="E10" s="50"/>
      <c r="O10" s="384"/>
      <c r="P10" s="384"/>
      <c r="S10" s="384"/>
      <c r="T10" s="384"/>
    </row>
    <row r="11" spans="1:20" ht="15" thickBot="1" x14ac:dyDescent="0.35">
      <c r="A11" s="381" t="s">
        <v>1375</v>
      </c>
      <c r="B11" s="156">
        <v>50319</v>
      </c>
      <c r="C11" s="378">
        <v>50</v>
      </c>
      <c r="D11" s="49"/>
      <c r="E11" s="50"/>
      <c r="O11" s="384"/>
      <c r="P11" s="384"/>
      <c r="S11" s="384"/>
      <c r="T11" s="384"/>
    </row>
    <row r="12" spans="1:20" ht="15" thickBot="1" x14ac:dyDescent="0.35">
      <c r="A12" s="381" t="s">
        <v>1376</v>
      </c>
      <c r="B12" s="156">
        <v>50489</v>
      </c>
      <c r="C12" s="378">
        <v>50</v>
      </c>
      <c r="D12" s="49"/>
      <c r="E12" s="50"/>
      <c r="O12" s="384"/>
      <c r="P12" s="384"/>
      <c r="S12" s="384"/>
      <c r="T12" s="384"/>
    </row>
    <row r="13" spans="1:20" ht="15" thickBot="1" x14ac:dyDescent="0.35">
      <c r="A13" s="381" t="s">
        <v>1377</v>
      </c>
      <c r="B13" s="156">
        <v>50320</v>
      </c>
      <c r="C13" s="378">
        <v>50</v>
      </c>
      <c r="D13" s="49"/>
      <c r="E13" s="50"/>
      <c r="O13" s="384"/>
      <c r="P13" s="384"/>
      <c r="S13" s="384"/>
      <c r="T13" s="384"/>
    </row>
    <row r="14" spans="1:20" ht="15" thickBot="1" x14ac:dyDescent="0.35">
      <c r="A14" s="381" t="s">
        <v>537</v>
      </c>
      <c r="B14" s="156">
        <v>50323</v>
      </c>
      <c r="C14" s="378">
        <v>50</v>
      </c>
      <c r="D14" s="49"/>
      <c r="E14" s="50"/>
      <c r="O14" s="384"/>
      <c r="P14" s="384"/>
      <c r="S14" s="384"/>
      <c r="T14" s="384"/>
    </row>
    <row r="15" spans="1:20" ht="15" thickBot="1" x14ac:dyDescent="0.35">
      <c r="A15" s="381" t="s">
        <v>825</v>
      </c>
      <c r="B15" s="156">
        <v>50321</v>
      </c>
      <c r="C15" s="378">
        <v>50</v>
      </c>
      <c r="D15" s="49"/>
      <c r="E15" s="50"/>
      <c r="O15" s="384"/>
      <c r="P15" s="384"/>
      <c r="S15" s="384"/>
      <c r="T15" s="384"/>
    </row>
    <row r="16" spans="1:20" ht="15" thickBot="1" x14ac:dyDescent="0.35">
      <c r="A16" s="381" t="s">
        <v>1378</v>
      </c>
      <c r="B16" s="156">
        <v>50322</v>
      </c>
      <c r="C16" s="378">
        <v>50</v>
      </c>
      <c r="D16" s="49"/>
      <c r="E16" s="50"/>
      <c r="O16" s="384"/>
      <c r="P16" s="384"/>
      <c r="S16" s="384"/>
      <c r="T16" s="384"/>
    </row>
    <row r="17" spans="1:20" ht="15" thickBot="1" x14ac:dyDescent="0.35">
      <c r="A17" s="381" t="s">
        <v>1379</v>
      </c>
      <c r="B17" s="156">
        <v>50490</v>
      </c>
      <c r="C17" s="378">
        <v>50</v>
      </c>
      <c r="D17" s="49"/>
      <c r="E17" s="50"/>
      <c r="O17" s="384"/>
      <c r="P17" s="384"/>
      <c r="S17" s="384"/>
      <c r="T17" s="384"/>
    </row>
    <row r="18" spans="1:20" ht="15" thickBot="1" x14ac:dyDescent="0.35">
      <c r="A18" s="381" t="s">
        <v>1380</v>
      </c>
      <c r="B18" s="156">
        <v>50324</v>
      </c>
      <c r="C18" s="378">
        <v>50</v>
      </c>
      <c r="D18" s="49"/>
      <c r="E18" s="50"/>
      <c r="O18" s="384"/>
      <c r="P18" s="384"/>
      <c r="S18" s="384"/>
      <c r="T18" s="384"/>
    </row>
    <row r="19" spans="1:20" ht="15" thickBot="1" x14ac:dyDescent="0.35">
      <c r="A19" s="381" t="s">
        <v>538</v>
      </c>
      <c r="B19" s="156">
        <v>50325</v>
      </c>
      <c r="C19" s="378">
        <v>50</v>
      </c>
      <c r="D19" s="49"/>
      <c r="E19" s="50"/>
      <c r="O19" s="384"/>
      <c r="P19" s="384"/>
      <c r="S19" s="384"/>
      <c r="T19" s="384"/>
    </row>
    <row r="20" spans="1:20" ht="15" thickBot="1" x14ac:dyDescent="0.35">
      <c r="A20" s="381" t="s">
        <v>1381</v>
      </c>
      <c r="B20" s="156">
        <v>50326</v>
      </c>
      <c r="C20" s="378">
        <v>50</v>
      </c>
      <c r="D20" s="49"/>
      <c r="E20" s="50"/>
      <c r="O20" s="384"/>
      <c r="P20" s="384"/>
      <c r="S20" s="384"/>
      <c r="T20" s="384"/>
    </row>
    <row r="21" spans="1:20" ht="15" thickBot="1" x14ac:dyDescent="0.35">
      <c r="A21" s="381" t="s">
        <v>539</v>
      </c>
      <c r="B21" s="156">
        <v>50327</v>
      </c>
      <c r="C21" s="378">
        <v>50</v>
      </c>
      <c r="D21" s="49"/>
      <c r="E21" s="50"/>
      <c r="O21" s="384"/>
      <c r="P21" s="384"/>
      <c r="S21" s="384"/>
      <c r="T21" s="384"/>
    </row>
    <row r="22" spans="1:20" ht="15" thickBot="1" x14ac:dyDescent="0.35">
      <c r="A22" s="381" t="s">
        <v>391</v>
      </c>
      <c r="B22" s="156">
        <v>50328</v>
      </c>
      <c r="C22" s="378">
        <v>50</v>
      </c>
      <c r="D22" s="49"/>
      <c r="E22" s="50"/>
      <c r="O22" s="384"/>
      <c r="P22" s="384"/>
      <c r="S22" s="384"/>
      <c r="T22" s="384"/>
    </row>
    <row r="23" spans="1:20" ht="15" thickBot="1" x14ac:dyDescent="0.35">
      <c r="A23" s="381" t="s">
        <v>1382</v>
      </c>
      <c r="B23" s="156">
        <v>50329</v>
      </c>
      <c r="C23" s="378">
        <v>50</v>
      </c>
      <c r="D23" s="49"/>
      <c r="E23" s="50"/>
      <c r="O23" s="384"/>
      <c r="P23" s="384"/>
      <c r="S23" s="384"/>
      <c r="T23" s="384"/>
    </row>
    <row r="24" spans="1:20" ht="15" thickBot="1" x14ac:dyDescent="0.35">
      <c r="A24" s="381" t="s">
        <v>1383</v>
      </c>
      <c r="B24" s="156">
        <v>50330</v>
      </c>
      <c r="C24" s="378">
        <v>50</v>
      </c>
      <c r="D24" s="49"/>
      <c r="E24" s="50"/>
      <c r="O24" s="384"/>
      <c r="P24" s="384"/>
      <c r="S24" s="384"/>
      <c r="T24" s="384"/>
    </row>
    <row r="25" spans="1:20" ht="15" thickBot="1" x14ac:dyDescent="0.35">
      <c r="A25" s="381" t="s">
        <v>1384</v>
      </c>
      <c r="B25" s="156">
        <v>50331</v>
      </c>
      <c r="C25" s="378">
        <v>50</v>
      </c>
      <c r="D25" s="49"/>
      <c r="E25" s="50"/>
      <c r="O25" s="384"/>
      <c r="P25" s="384"/>
      <c r="S25" s="384"/>
      <c r="T25" s="384"/>
    </row>
    <row r="26" spans="1:20" ht="15" thickBot="1" x14ac:dyDescent="0.35">
      <c r="A26" s="381" t="s">
        <v>540</v>
      </c>
      <c r="B26" s="156">
        <v>50332</v>
      </c>
      <c r="C26" s="378">
        <v>50</v>
      </c>
      <c r="D26" s="49"/>
      <c r="E26" s="50"/>
      <c r="O26" s="384"/>
      <c r="P26" s="384"/>
      <c r="S26" s="384"/>
      <c r="T26" s="384"/>
    </row>
    <row r="27" spans="1:20" ht="15" thickBot="1" x14ac:dyDescent="0.35">
      <c r="A27" s="381" t="s">
        <v>1385</v>
      </c>
      <c r="B27" s="156">
        <v>50333</v>
      </c>
      <c r="C27" s="378">
        <v>50</v>
      </c>
      <c r="D27" s="49"/>
      <c r="E27" s="50"/>
      <c r="O27" s="384"/>
      <c r="P27" s="384"/>
      <c r="S27" s="384"/>
      <c r="T27" s="384"/>
    </row>
    <row r="28" spans="1:20" ht="15" thickBot="1" x14ac:dyDescent="0.35">
      <c r="A28" s="381" t="s">
        <v>1386</v>
      </c>
      <c r="B28" s="156">
        <v>50335</v>
      </c>
      <c r="C28" s="378">
        <v>50</v>
      </c>
      <c r="D28" s="49"/>
      <c r="E28" s="50"/>
      <c r="O28" s="384"/>
      <c r="P28" s="384"/>
      <c r="S28" s="384"/>
      <c r="T28" s="384"/>
    </row>
    <row r="29" spans="1:20" ht="15" thickBot="1" x14ac:dyDescent="0.35">
      <c r="A29" s="381" t="s">
        <v>826</v>
      </c>
      <c r="B29" s="156">
        <v>50334</v>
      </c>
      <c r="C29" s="378">
        <v>50</v>
      </c>
      <c r="D29" s="49"/>
      <c r="E29" s="50"/>
      <c r="O29" s="384"/>
      <c r="P29" s="384"/>
      <c r="S29" s="384"/>
      <c r="T29" s="384"/>
    </row>
    <row r="30" spans="1:20" ht="15" thickBot="1" x14ac:dyDescent="0.35">
      <c r="A30" s="381" t="s">
        <v>827</v>
      </c>
      <c r="B30" s="156">
        <v>50336</v>
      </c>
      <c r="C30" s="378">
        <v>50</v>
      </c>
      <c r="D30" s="49"/>
      <c r="E30" s="50"/>
      <c r="O30" s="384"/>
      <c r="P30" s="384"/>
      <c r="S30" s="384"/>
      <c r="T30" s="384"/>
    </row>
    <row r="31" spans="1:20" ht="15" thickBot="1" x14ac:dyDescent="0.35">
      <c r="A31" s="381" t="s">
        <v>828</v>
      </c>
      <c r="B31" s="156">
        <v>50337</v>
      </c>
      <c r="C31" s="378">
        <v>50</v>
      </c>
      <c r="D31" s="49"/>
      <c r="E31" s="50"/>
      <c r="O31" s="384"/>
      <c r="P31" s="384"/>
      <c r="S31" s="384"/>
      <c r="T31" s="384"/>
    </row>
    <row r="32" spans="1:20" ht="15" thickBot="1" x14ac:dyDescent="0.35">
      <c r="A32" s="381" t="s">
        <v>829</v>
      </c>
      <c r="B32" s="156">
        <v>50338</v>
      </c>
      <c r="C32" s="378">
        <v>50</v>
      </c>
      <c r="D32" s="49"/>
      <c r="E32" s="50"/>
      <c r="O32" s="384"/>
      <c r="P32" s="384"/>
      <c r="S32" s="384"/>
      <c r="T32" s="384"/>
    </row>
    <row r="33" spans="1:20" ht="15" thickBot="1" x14ac:dyDescent="0.35">
      <c r="A33" s="381" t="s">
        <v>1387</v>
      </c>
      <c r="B33" s="156">
        <v>50339</v>
      </c>
      <c r="C33" s="378">
        <v>50</v>
      </c>
      <c r="D33" s="49"/>
      <c r="E33" s="50"/>
      <c r="O33" s="384"/>
      <c r="P33" s="384"/>
      <c r="S33" s="384"/>
      <c r="T33" s="384"/>
    </row>
    <row r="34" spans="1:20" ht="15" thickBot="1" x14ac:dyDescent="0.35">
      <c r="A34" s="381" t="s">
        <v>1388</v>
      </c>
      <c r="B34" s="156">
        <v>50443</v>
      </c>
      <c r="C34" s="378">
        <v>50</v>
      </c>
      <c r="D34" s="49"/>
      <c r="E34" s="50"/>
      <c r="O34" s="384"/>
      <c r="P34" s="384"/>
      <c r="S34" s="384"/>
      <c r="T34" s="384"/>
    </row>
    <row r="35" spans="1:20" ht="15" thickBot="1" x14ac:dyDescent="0.35">
      <c r="A35" s="381" t="s">
        <v>830</v>
      </c>
      <c r="B35" s="156">
        <v>50340</v>
      </c>
      <c r="C35" s="378">
        <v>50</v>
      </c>
      <c r="D35" s="49"/>
      <c r="E35" s="50"/>
      <c r="O35" s="384"/>
      <c r="P35" s="384"/>
      <c r="S35" s="384"/>
      <c r="T35" s="384"/>
    </row>
    <row r="36" spans="1:20" ht="15" thickBot="1" x14ac:dyDescent="0.35">
      <c r="A36" s="381" t="s">
        <v>1389</v>
      </c>
      <c r="B36" s="156">
        <v>50456</v>
      </c>
      <c r="C36" s="378">
        <v>50</v>
      </c>
      <c r="D36" s="49"/>
      <c r="E36" s="50"/>
      <c r="O36" s="384"/>
      <c r="P36" s="384"/>
      <c r="S36" s="384"/>
      <c r="T36" s="384"/>
    </row>
    <row r="37" spans="1:20" ht="15" thickBot="1" x14ac:dyDescent="0.35">
      <c r="A37" s="381" t="s">
        <v>1390</v>
      </c>
      <c r="B37" s="156">
        <v>50341</v>
      </c>
      <c r="C37" s="378">
        <v>50</v>
      </c>
      <c r="D37" s="49"/>
      <c r="E37" s="50"/>
      <c r="O37" s="384"/>
      <c r="P37" s="384"/>
      <c r="S37" s="384"/>
      <c r="T37" s="384"/>
    </row>
    <row r="38" spans="1:20" ht="15" thickBot="1" x14ac:dyDescent="0.35">
      <c r="A38" s="381" t="s">
        <v>1391</v>
      </c>
      <c r="B38" s="156">
        <v>50342</v>
      </c>
      <c r="C38" s="378">
        <v>50</v>
      </c>
      <c r="D38" s="49"/>
      <c r="E38" s="50"/>
      <c r="O38" s="384"/>
      <c r="P38" s="384"/>
      <c r="S38" s="384"/>
      <c r="T38" s="384"/>
    </row>
    <row r="39" spans="1:20" ht="15" thickBot="1" x14ac:dyDescent="0.35">
      <c r="A39" s="381" t="s">
        <v>1392</v>
      </c>
      <c r="B39" s="156">
        <v>50344</v>
      </c>
      <c r="C39" s="378">
        <v>50</v>
      </c>
      <c r="D39" s="49"/>
      <c r="E39" s="50"/>
      <c r="O39" s="384"/>
      <c r="P39" s="384"/>
      <c r="S39" s="384"/>
      <c r="T39" s="384"/>
    </row>
    <row r="40" spans="1:20" ht="15" thickBot="1" x14ac:dyDescent="0.35">
      <c r="A40" s="381" t="s">
        <v>1393</v>
      </c>
      <c r="B40" s="156">
        <v>50345</v>
      </c>
      <c r="C40" s="378">
        <v>50</v>
      </c>
      <c r="D40" s="49"/>
      <c r="E40" s="50"/>
      <c r="O40" s="384"/>
      <c r="P40" s="384"/>
      <c r="S40" s="384"/>
      <c r="T40" s="384"/>
    </row>
    <row r="41" spans="1:20" ht="15" thickBot="1" x14ac:dyDescent="0.35">
      <c r="A41" s="381" t="s">
        <v>1394</v>
      </c>
      <c r="B41" s="156">
        <v>50503</v>
      </c>
      <c r="C41" s="378">
        <v>50</v>
      </c>
      <c r="D41" s="49"/>
      <c r="E41" s="50"/>
      <c r="O41" s="384"/>
      <c r="P41" s="384"/>
      <c r="S41" s="384"/>
      <c r="T41" s="384"/>
    </row>
    <row r="42" spans="1:20" ht="15" thickBot="1" x14ac:dyDescent="0.35">
      <c r="A42" s="381" t="s">
        <v>1395</v>
      </c>
      <c r="B42" s="156">
        <v>50527</v>
      </c>
      <c r="C42" s="378">
        <v>50</v>
      </c>
      <c r="D42" s="49"/>
      <c r="E42" s="50"/>
      <c r="O42" s="384"/>
      <c r="P42" s="384"/>
      <c r="S42" s="384"/>
      <c r="T42" s="384"/>
    </row>
    <row r="43" spans="1:20" ht="15" thickBot="1" x14ac:dyDescent="0.35">
      <c r="A43" s="381" t="s">
        <v>1396</v>
      </c>
      <c r="B43" s="156">
        <v>50346</v>
      </c>
      <c r="C43" s="378">
        <v>50</v>
      </c>
      <c r="D43" s="49"/>
      <c r="E43" s="50"/>
      <c r="O43" s="384"/>
      <c r="P43" s="384"/>
      <c r="S43" s="384"/>
      <c r="T43" s="384"/>
    </row>
    <row r="44" spans="1:20" ht="15" thickBot="1" x14ac:dyDescent="0.35">
      <c r="A44" s="381" t="s">
        <v>1397</v>
      </c>
      <c r="B44" s="156">
        <v>50347</v>
      </c>
      <c r="C44" s="378">
        <v>50</v>
      </c>
      <c r="D44" s="49"/>
      <c r="E44" s="50"/>
      <c r="O44" s="384"/>
      <c r="P44" s="384"/>
      <c r="S44" s="384"/>
      <c r="T44" s="384"/>
    </row>
    <row r="45" spans="1:20" ht="15" thickBot="1" x14ac:dyDescent="0.35">
      <c r="A45" s="381" t="s">
        <v>1398</v>
      </c>
      <c r="B45" s="156">
        <v>50529</v>
      </c>
      <c r="C45" s="378">
        <v>50</v>
      </c>
      <c r="D45" s="49"/>
      <c r="E45" s="50"/>
      <c r="O45" s="384"/>
      <c r="P45" s="384"/>
      <c r="S45" s="384"/>
      <c r="T45" s="384"/>
    </row>
    <row r="46" spans="1:20" ht="15" thickBot="1" x14ac:dyDescent="0.35">
      <c r="A46" s="381" t="s">
        <v>542</v>
      </c>
      <c r="B46" s="156">
        <v>50348</v>
      </c>
      <c r="C46" s="378">
        <v>50</v>
      </c>
      <c r="D46" s="49"/>
      <c r="E46" s="50"/>
      <c r="O46" s="384"/>
      <c r="P46" s="384"/>
      <c r="S46" s="384"/>
      <c r="T46" s="384"/>
    </row>
    <row r="47" spans="1:20" ht="15" thickBot="1" x14ac:dyDescent="0.35">
      <c r="A47" s="381" t="s">
        <v>1399</v>
      </c>
      <c r="B47" s="156">
        <v>50349</v>
      </c>
      <c r="C47" s="378">
        <v>50</v>
      </c>
      <c r="D47" s="49"/>
      <c r="E47" s="50"/>
      <c r="O47" s="384"/>
      <c r="P47" s="384"/>
      <c r="S47" s="384"/>
      <c r="T47" s="384"/>
    </row>
    <row r="48" spans="1:20" ht="15" thickBot="1" x14ac:dyDescent="0.35">
      <c r="A48" s="381" t="s">
        <v>1400</v>
      </c>
      <c r="B48" s="156">
        <v>50350</v>
      </c>
      <c r="C48" s="378">
        <v>50</v>
      </c>
      <c r="D48" s="49"/>
      <c r="E48" s="50"/>
      <c r="O48" s="384"/>
      <c r="P48" s="384"/>
      <c r="S48" s="384"/>
      <c r="T48" s="384"/>
    </row>
    <row r="49" spans="1:20" ht="15" thickBot="1" x14ac:dyDescent="0.35">
      <c r="A49" s="381" t="s">
        <v>543</v>
      </c>
      <c r="B49" s="156">
        <v>50541</v>
      </c>
      <c r="C49" s="378">
        <v>50</v>
      </c>
      <c r="D49" s="49"/>
      <c r="E49" s="50"/>
      <c r="O49" s="384"/>
      <c r="P49" s="384"/>
      <c r="S49" s="384"/>
      <c r="T49" s="384"/>
    </row>
    <row r="50" spans="1:20" ht="15" thickBot="1" x14ac:dyDescent="0.35">
      <c r="A50" s="381" t="s">
        <v>1401</v>
      </c>
      <c r="B50" s="156">
        <v>50351</v>
      </c>
      <c r="C50" s="378">
        <v>50</v>
      </c>
      <c r="D50" s="49"/>
      <c r="E50" s="50"/>
      <c r="O50" s="384"/>
      <c r="P50" s="384"/>
      <c r="S50" s="384"/>
      <c r="T50" s="384"/>
    </row>
    <row r="51" spans="1:20" ht="15" thickBot="1" x14ac:dyDescent="0.35">
      <c r="A51" s="381" t="s">
        <v>1402</v>
      </c>
      <c r="B51" s="156">
        <v>50484</v>
      </c>
      <c r="C51" s="378">
        <v>50</v>
      </c>
      <c r="D51" s="49"/>
      <c r="E51" s="50"/>
      <c r="O51" s="384"/>
      <c r="P51" s="384"/>
      <c r="S51" s="384"/>
      <c r="T51" s="384"/>
    </row>
    <row r="52" spans="1:20" ht="15" thickBot="1" x14ac:dyDescent="0.35">
      <c r="A52" s="381" t="s">
        <v>1403</v>
      </c>
      <c r="B52" s="156">
        <v>50352</v>
      </c>
      <c r="C52" s="378">
        <v>50</v>
      </c>
      <c r="D52" s="49"/>
      <c r="E52" s="50"/>
      <c r="O52" s="384"/>
      <c r="P52" s="384"/>
      <c r="S52" s="384"/>
      <c r="T52" s="384"/>
    </row>
    <row r="53" spans="1:20" ht="15" thickBot="1" x14ac:dyDescent="0.35">
      <c r="A53" s="381" t="s">
        <v>1404</v>
      </c>
      <c r="B53" s="156">
        <v>50353</v>
      </c>
      <c r="C53" s="378">
        <v>50</v>
      </c>
      <c r="D53" s="49"/>
      <c r="E53" s="50"/>
      <c r="O53" s="384"/>
      <c r="P53" s="384"/>
      <c r="S53" s="384"/>
      <c r="T53" s="384"/>
    </row>
    <row r="54" spans="1:20" ht="15" thickBot="1" x14ac:dyDescent="0.35">
      <c r="A54" s="381" t="s">
        <v>1405</v>
      </c>
      <c r="B54" s="156">
        <v>50354</v>
      </c>
      <c r="C54" s="378">
        <v>50</v>
      </c>
      <c r="D54" s="49"/>
      <c r="E54" s="50"/>
      <c r="O54" s="384"/>
      <c r="P54" s="384"/>
      <c r="S54" s="384"/>
      <c r="T54" s="384"/>
    </row>
    <row r="55" spans="1:20" ht="15" thickBot="1" x14ac:dyDescent="0.35">
      <c r="A55" s="381" t="s">
        <v>544</v>
      </c>
      <c r="B55" s="156">
        <v>50355</v>
      </c>
      <c r="C55" s="378">
        <v>50</v>
      </c>
      <c r="D55" s="49"/>
      <c r="E55" s="50"/>
      <c r="O55" s="384"/>
      <c r="P55" s="384"/>
      <c r="S55" s="384"/>
      <c r="T55" s="384"/>
    </row>
    <row r="56" spans="1:20" ht="15" thickBot="1" x14ac:dyDescent="0.35">
      <c r="A56" s="381" t="s">
        <v>1406</v>
      </c>
      <c r="B56" s="156">
        <v>50356</v>
      </c>
      <c r="C56" s="378">
        <v>50</v>
      </c>
      <c r="D56" s="49"/>
      <c r="E56" s="50"/>
      <c r="O56" s="384"/>
      <c r="P56" s="384"/>
      <c r="S56" s="384"/>
      <c r="T56" s="384"/>
    </row>
    <row r="57" spans="1:20" ht="15" thickBot="1" x14ac:dyDescent="0.35">
      <c r="A57" s="381" t="s">
        <v>831</v>
      </c>
      <c r="B57" s="156">
        <v>50357</v>
      </c>
      <c r="C57" s="378">
        <v>50</v>
      </c>
      <c r="D57" s="49"/>
      <c r="E57" s="50"/>
      <c r="O57" s="384"/>
      <c r="P57" s="384"/>
      <c r="S57" s="384"/>
      <c r="T57" s="384"/>
    </row>
    <row r="58" spans="1:20" ht="15" thickBot="1" x14ac:dyDescent="0.35">
      <c r="A58" s="381" t="s">
        <v>1407</v>
      </c>
      <c r="B58" s="156">
        <v>50482</v>
      </c>
      <c r="C58" s="378">
        <v>50</v>
      </c>
      <c r="D58" s="49"/>
      <c r="E58" s="50"/>
      <c r="O58" s="384"/>
      <c r="P58" s="384"/>
      <c r="S58" s="384"/>
      <c r="T58" s="384"/>
    </row>
    <row r="59" spans="1:20" ht="15" thickBot="1" x14ac:dyDescent="0.35">
      <c r="A59" s="381" t="s">
        <v>1408</v>
      </c>
      <c r="B59" s="156">
        <v>50358</v>
      </c>
      <c r="C59" s="378">
        <v>50</v>
      </c>
      <c r="D59" s="49"/>
      <c r="E59" s="50"/>
      <c r="O59" s="384"/>
      <c r="P59" s="384"/>
      <c r="S59" s="384"/>
      <c r="T59" s="384"/>
    </row>
    <row r="60" spans="1:20" ht="15" thickBot="1" x14ac:dyDescent="0.35">
      <c r="A60" s="381" t="s">
        <v>1409</v>
      </c>
      <c r="B60" s="156">
        <v>50359</v>
      </c>
      <c r="C60" s="378">
        <v>50</v>
      </c>
      <c r="D60" s="49"/>
      <c r="E60" s="50"/>
      <c r="O60" s="384"/>
      <c r="P60" s="384"/>
      <c r="S60" s="384"/>
      <c r="T60" s="384"/>
    </row>
    <row r="61" spans="1:20" ht="15" thickBot="1" x14ac:dyDescent="0.35">
      <c r="A61" s="381" t="s">
        <v>545</v>
      </c>
      <c r="B61" s="156">
        <v>50360</v>
      </c>
      <c r="C61" s="378">
        <v>50</v>
      </c>
      <c r="D61" s="49"/>
      <c r="E61" s="50"/>
      <c r="O61" s="384"/>
      <c r="P61" s="384"/>
      <c r="S61" s="384"/>
      <c r="T61" s="384"/>
    </row>
    <row r="62" spans="1:20" ht="15" thickBot="1" x14ac:dyDescent="0.35">
      <c r="A62" s="381" t="s">
        <v>1410</v>
      </c>
      <c r="B62" s="156">
        <v>50361</v>
      </c>
      <c r="C62" s="378">
        <v>50</v>
      </c>
      <c r="D62" s="49"/>
      <c r="E62" s="50"/>
      <c r="O62" s="384"/>
      <c r="P62" s="384"/>
      <c r="S62" s="384"/>
      <c r="T62" s="384"/>
    </row>
    <row r="63" spans="1:20" ht="15" thickBot="1" x14ac:dyDescent="0.35">
      <c r="A63" s="381" t="s">
        <v>1411</v>
      </c>
      <c r="B63" s="156">
        <v>50362</v>
      </c>
      <c r="C63" s="378">
        <v>50</v>
      </c>
      <c r="D63" s="49"/>
      <c r="E63" s="50"/>
      <c r="O63" s="384"/>
      <c r="P63" s="384"/>
      <c r="S63" s="384"/>
      <c r="T63" s="384"/>
    </row>
    <row r="64" spans="1:20" ht="15" thickBot="1" x14ac:dyDescent="0.35">
      <c r="A64" s="381" t="s">
        <v>1412</v>
      </c>
      <c r="B64" s="156">
        <v>50363</v>
      </c>
      <c r="C64" s="378">
        <v>50</v>
      </c>
      <c r="D64" s="49"/>
      <c r="E64" s="50"/>
      <c r="O64" s="384"/>
      <c r="P64" s="384"/>
      <c r="S64" s="384"/>
      <c r="T64" s="384"/>
    </row>
    <row r="65" spans="1:20" ht="15" thickBot="1" x14ac:dyDescent="0.35">
      <c r="A65" s="381" t="s">
        <v>1413</v>
      </c>
      <c r="B65" s="156">
        <v>50364</v>
      </c>
      <c r="C65" s="378">
        <v>50</v>
      </c>
      <c r="D65" s="49"/>
      <c r="E65" s="50"/>
      <c r="O65" s="384"/>
      <c r="P65" s="384"/>
      <c r="S65" s="384"/>
      <c r="T65" s="384"/>
    </row>
    <row r="66" spans="1:20" ht="15" thickBot="1" x14ac:dyDescent="0.35">
      <c r="A66" s="381" t="s">
        <v>1414</v>
      </c>
      <c r="B66" s="156">
        <v>50365</v>
      </c>
      <c r="C66" s="378">
        <v>50</v>
      </c>
      <c r="D66" s="49"/>
      <c r="E66" s="50"/>
      <c r="O66" s="384"/>
      <c r="P66" s="384"/>
      <c r="S66" s="384"/>
      <c r="T66" s="384"/>
    </row>
    <row r="67" spans="1:20" ht="15" thickBot="1" x14ac:dyDescent="0.35">
      <c r="A67" s="381" t="s">
        <v>1415</v>
      </c>
      <c r="B67" s="156">
        <v>50366</v>
      </c>
      <c r="C67" s="378">
        <v>50</v>
      </c>
      <c r="D67" s="49"/>
      <c r="E67" s="50"/>
      <c r="O67" s="384"/>
      <c r="P67" s="384"/>
      <c r="S67" s="384"/>
      <c r="T67" s="384"/>
    </row>
    <row r="68" spans="1:20" ht="15" thickBot="1" x14ac:dyDescent="0.35">
      <c r="A68" s="381" t="s">
        <v>1426</v>
      </c>
      <c r="B68" s="156">
        <v>50367</v>
      </c>
      <c r="C68" s="378">
        <v>50</v>
      </c>
      <c r="D68" s="49"/>
      <c r="E68" s="50"/>
      <c r="O68" s="384"/>
      <c r="P68" s="384"/>
      <c r="S68" s="384"/>
      <c r="T68" s="384"/>
    </row>
    <row r="69" spans="1:20" x14ac:dyDescent="0.3">
      <c r="A69" s="382" t="s">
        <v>1416</v>
      </c>
      <c r="B69" s="382">
        <v>50368</v>
      </c>
      <c r="C69" s="378">
        <v>50</v>
      </c>
    </row>
    <row r="70" spans="1:20" x14ac:dyDescent="0.3">
      <c r="A70" s="382" t="s">
        <v>1417</v>
      </c>
      <c r="B70" s="382">
        <v>50369</v>
      </c>
      <c r="C70" s="378">
        <v>50</v>
      </c>
    </row>
    <row r="71" spans="1:20" x14ac:dyDescent="0.3">
      <c r="A71" s="382" t="s">
        <v>546</v>
      </c>
      <c r="B71" s="382">
        <v>50370</v>
      </c>
      <c r="C71" s="378">
        <v>50</v>
      </c>
    </row>
    <row r="72" spans="1:20" x14ac:dyDescent="0.3">
      <c r="A72" s="382" t="s">
        <v>1418</v>
      </c>
      <c r="B72" s="382">
        <v>50371</v>
      </c>
      <c r="C72" s="378">
        <v>50</v>
      </c>
    </row>
    <row r="73" spans="1:20" x14ac:dyDescent="0.3">
      <c r="C73" s="378"/>
    </row>
    <row r="74" spans="1:20" x14ac:dyDescent="0.3">
      <c r="C74" s="378"/>
    </row>
    <row r="75" spans="1:20" x14ac:dyDescent="0.3">
      <c r="C75" s="378"/>
    </row>
    <row r="76" spans="1:20" x14ac:dyDescent="0.3">
      <c r="C76" s="378"/>
    </row>
    <row r="77" spans="1:20" x14ac:dyDescent="0.3">
      <c r="C77" s="378"/>
    </row>
    <row r="78" spans="1:20" x14ac:dyDescent="0.3">
      <c r="C78" s="378"/>
    </row>
    <row r="79" spans="1:20" x14ac:dyDescent="0.3">
      <c r="C79" s="378"/>
    </row>
    <row r="80" spans="1:20" x14ac:dyDescent="0.3">
      <c r="C80" s="378"/>
    </row>
    <row r="81" spans="3:3" x14ac:dyDescent="0.3">
      <c r="C81" s="378"/>
    </row>
    <row r="82" spans="3:3" x14ac:dyDescent="0.3">
      <c r="C82" s="378"/>
    </row>
    <row r="83" spans="3:3" x14ac:dyDescent="0.3">
      <c r="C83" s="378"/>
    </row>
    <row r="84" spans="3:3" x14ac:dyDescent="0.3">
      <c r="C84" s="378"/>
    </row>
    <row r="85" spans="3:3" x14ac:dyDescent="0.3">
      <c r="C85" s="378"/>
    </row>
    <row r="86" spans="3:3" x14ac:dyDescent="0.3">
      <c r="C86" s="378"/>
    </row>
    <row r="87" spans="3:3" x14ac:dyDescent="0.3">
      <c r="C87" s="378"/>
    </row>
    <row r="88" spans="3:3" x14ac:dyDescent="0.3">
      <c r="C88" s="378"/>
    </row>
    <row r="89" spans="3:3" x14ac:dyDescent="0.3">
      <c r="C89" s="378"/>
    </row>
    <row r="90" spans="3:3" x14ac:dyDescent="0.3">
      <c r="C90" s="378"/>
    </row>
    <row r="91" spans="3:3" x14ac:dyDescent="0.3">
      <c r="C91" s="378"/>
    </row>
    <row r="92" spans="3:3" x14ac:dyDescent="0.3">
      <c r="C92" s="378"/>
    </row>
    <row r="93" spans="3:3" x14ac:dyDescent="0.3">
      <c r="C93" s="378"/>
    </row>
    <row r="94" spans="3:3" x14ac:dyDescent="0.3">
      <c r="C94" s="378"/>
    </row>
    <row r="95" spans="3:3" x14ac:dyDescent="0.3">
      <c r="C95" s="378"/>
    </row>
  </sheetData>
  <sheetProtection algorithmName="SHA-512" hashValue="IbFsosaeLKqifPmoBhZGGZQ1HnBF1FwZe0VbGTSJg5CAVGoHKghSbi3729GOpO8ZFoiTgIoC2i2L6mKUNGeGgw==" saltValue="zp73pwbi/Gmc8KHVSiDUd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customXml/itemProps3.xml><?xml version="1.0" encoding="utf-8"?>
<ds:datastoreItem xmlns:ds="http://schemas.openxmlformats.org/officeDocument/2006/customXml" ds:itemID="{748ED7BE-98F7-46AD-806A-4A5AD2D2AF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Instructions</vt:lpstr>
      <vt:lpstr>Unit Data from Audit Worksheet</vt:lpstr>
      <vt:lpstr>TD Info Completed by Auditor</vt:lpstr>
      <vt:lpstr>Performance  Indicators Print</vt:lpstr>
      <vt:lpstr>Import</vt:lpstr>
      <vt:lpstr>Performance Indicator FBA%</vt:lpstr>
      <vt:lpstr>RSS</vt:lpstr>
      <vt:lpstr>Electric trans</vt:lpstr>
      <vt:lpstr>Electric Policy Info</vt:lpstr>
      <vt:lpstr>Tax Reval Rate</vt:lpstr>
      <vt:lpstr>PY1 Data(H)</vt:lpstr>
      <vt:lpstr>PY2 Data(H)</vt:lpstr>
      <vt:lpstr>Unit Names(H)</vt:lpstr>
      <vt:lpstr>Instructions!Print_Area</vt:lpstr>
      <vt:lpstr>'Performance  Indicators Print'!Print_Area</vt:lpstr>
      <vt:lpstr>'TD Info Completed by Auditor'!Print_Area</vt:lpstr>
      <vt:lpstr>'Unit Data from Audit Worksheet'!Print_Area</vt:lpstr>
      <vt:lpstr>'Performance  Indicators Print'!Print_Titles</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2023-12-01T18:32:04Z</cp:lastPrinted>
  <dcterms:created xsi:type="dcterms:W3CDTF">2011-03-11T21:05:05Z</dcterms:created>
  <dcterms:modified xsi:type="dcterms:W3CDTF">2024-10-16T22:32:52Z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