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D7A99D41-8C60-4D20-8841-594D8B97C8E1}" xr6:coauthVersionLast="47" xr6:coauthVersionMax="47" xr10:uidLastSave="{00000000-0000-0000-0000-000000000000}"/>
  <bookViews>
    <workbookView xWindow="57480" yWindow="-8370" windowWidth="29040" windowHeight="15840" tabRatio="878"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erformance Indicator FBA%" sheetId="93" r:id="rId6"/>
    <sheet name="RSS" sheetId="99" r:id="rId7"/>
    <sheet name="Electric trans" sheetId="89" r:id="rId8"/>
    <sheet name="Electric Policy Info" sheetId="100" state="hidden" r:id="rId9"/>
    <sheet name="Tax Reval Rate" sheetId="72" state="hidden"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9"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3">'Performance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7">#REF!</definedName>
    <definedName name="Print_Selection_Internal" localSheetId="3">#REF!</definedName>
    <definedName name="Print_Selection_Internal" localSheetId="5">#REF!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7">#REF!</definedName>
    <definedName name="TD_IMPORT_RANGE" localSheetId="0">#REF!</definedName>
    <definedName name="TD_IMPORT_RANGE" localSheetId="3">#REF!</definedName>
    <definedName name="TD_IMPORT_RANGE" localSheetId="5">#REF!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88" l="1"/>
  <c r="P28" i="88"/>
  <c r="Q19" i="88"/>
  <c r="P19" i="88"/>
  <c r="BS276" i="84"/>
  <c r="BT276" i="84"/>
  <c r="BU276" i="84"/>
  <c r="BV276" i="84"/>
  <c r="BW276" i="84"/>
  <c r="BX276" i="84"/>
  <c r="BY276" i="84"/>
  <c r="BZ276" i="84"/>
  <c r="CA276" i="84"/>
  <c r="CB276" i="84"/>
  <c r="CC276" i="84"/>
  <c r="CD276" i="84"/>
  <c r="BS277" i="84"/>
  <c r="BT277" i="84"/>
  <c r="BU277" i="84"/>
  <c r="BV277" i="84"/>
  <c r="BW277" i="84"/>
  <c r="BX277" i="84"/>
  <c r="BY277" i="84"/>
  <c r="BZ277" i="84"/>
  <c r="CA277" i="84"/>
  <c r="CB277" i="84"/>
  <c r="CC277" i="84"/>
  <c r="CD277" i="84"/>
  <c r="BS278" i="82"/>
  <c r="BT278" i="82"/>
  <c r="BU278" i="82"/>
  <c r="BV278" i="82"/>
  <c r="BW278" i="82"/>
  <c r="BX278" i="82"/>
  <c r="BY278" i="82"/>
  <c r="BZ278" i="82"/>
  <c r="CA278" i="82"/>
  <c r="CB278" i="82"/>
  <c r="CC278" i="82"/>
  <c r="CD278" i="82"/>
  <c r="BS279" i="82"/>
  <c r="BT279" i="82"/>
  <c r="BU279" i="82"/>
  <c r="BV279" i="82"/>
  <c r="BW279" i="82"/>
  <c r="BX279" i="82"/>
  <c r="BY279" i="82"/>
  <c r="BZ279" i="82"/>
  <c r="CA279" i="82"/>
  <c r="CB279" i="82"/>
  <c r="CC279" i="82"/>
  <c r="CD279" i="82"/>
  <c r="BQ259" i="82"/>
  <c r="I342" i="82"/>
  <c r="J342" i="82"/>
  <c r="K342" i="82"/>
  <c r="L342" i="82"/>
  <c r="M342" i="82"/>
  <c r="N342" i="82"/>
  <c r="O342" i="82"/>
  <c r="P342" i="82"/>
  <c r="Q342" i="82"/>
  <c r="R342" i="82"/>
  <c r="S342" i="82"/>
  <c r="T342" i="82"/>
  <c r="U342" i="82"/>
  <c r="V342" i="82"/>
  <c r="W342" i="82"/>
  <c r="X342" i="82"/>
  <c r="Y342" i="82"/>
  <c r="Z342" i="82"/>
  <c r="AA342" i="82"/>
  <c r="AB342" i="82"/>
  <c r="AC342" i="82"/>
  <c r="AD342" i="82"/>
  <c r="AE342" i="82"/>
  <c r="AF342" i="82"/>
  <c r="AG342" i="82"/>
  <c r="AH342" i="82"/>
  <c r="AI342" i="82"/>
  <c r="AJ342" i="82"/>
  <c r="AK342" i="82"/>
  <c r="AL342" i="82"/>
  <c r="AM342" i="82"/>
  <c r="AN342" i="82"/>
  <c r="AO342" i="82"/>
  <c r="AP342" i="82"/>
  <c r="AQ342" i="82"/>
  <c r="AR342" i="82"/>
  <c r="AS342" i="82"/>
  <c r="AT342" i="82"/>
  <c r="AU342" i="82"/>
  <c r="AV342" i="82"/>
  <c r="AW342" i="82"/>
  <c r="AX342" i="82"/>
  <c r="AY342" i="82"/>
  <c r="AZ342" i="82"/>
  <c r="BA342" i="82"/>
  <c r="BB342" i="82"/>
  <c r="BC342" i="82"/>
  <c r="BD342" i="82"/>
  <c r="BE342" i="82"/>
  <c r="BF342" i="82"/>
  <c r="BG342" i="82"/>
  <c r="BH342" i="82"/>
  <c r="BI342" i="82"/>
  <c r="BJ342" i="82"/>
  <c r="BK342" i="82"/>
  <c r="BL342" i="82"/>
  <c r="BM342" i="82"/>
  <c r="BN342" i="82"/>
  <c r="BO342" i="82"/>
  <c r="BP342" i="82"/>
  <c r="BQ342" i="82"/>
  <c r="BR342" i="82"/>
  <c r="BS342" i="82"/>
  <c r="BT342" i="82"/>
  <c r="BU342" i="82"/>
  <c r="BV342" i="82"/>
  <c r="BW342" i="82"/>
  <c r="BX342" i="82"/>
  <c r="BY342" i="82"/>
  <c r="BZ342" i="82"/>
  <c r="CA342" i="82"/>
  <c r="CB342" i="82"/>
  <c r="CC342" i="82"/>
  <c r="CD342" i="82"/>
  <c r="E342" i="82"/>
  <c r="F342" i="82"/>
  <c r="G342" i="82"/>
  <c r="H342" i="82"/>
  <c r="D342" i="82"/>
  <c r="Q339" i="82"/>
  <c r="E339" i="82"/>
  <c r="CD339" i="82"/>
  <c r="BS285" i="82"/>
  <c r="BT285" i="82"/>
  <c r="BU285" i="82"/>
  <c r="BV285" i="82"/>
  <c r="BW285" i="82"/>
  <c r="BX285" i="82"/>
  <c r="BY285" i="82"/>
  <c r="BZ285" i="82"/>
  <c r="CA285" i="82"/>
  <c r="CB285" i="82"/>
  <c r="CC285" i="82"/>
  <c r="CD285" i="82"/>
  <c r="BS286" i="82"/>
  <c r="BT286" i="82"/>
  <c r="BU286" i="82"/>
  <c r="BV286" i="82"/>
  <c r="BW286" i="82"/>
  <c r="BX286" i="82"/>
  <c r="BY286" i="82"/>
  <c r="BZ286" i="82"/>
  <c r="CA286" i="82"/>
  <c r="CB286" i="82"/>
  <c r="CC286" i="82"/>
  <c r="CD286" i="82"/>
  <c r="BS287" i="82"/>
  <c r="BT287" i="82"/>
  <c r="BU287" i="82"/>
  <c r="BV287" i="82"/>
  <c r="BW287" i="82"/>
  <c r="BX287" i="82"/>
  <c r="BY287" i="82"/>
  <c r="BZ287" i="82"/>
  <c r="CA287" i="82"/>
  <c r="CB287" i="82"/>
  <c r="CC287" i="82"/>
  <c r="CD287" i="82"/>
  <c r="BS288" i="82"/>
  <c r="BT288" i="82"/>
  <c r="BU288" i="82"/>
  <c r="BV288" i="82"/>
  <c r="BW288" i="82"/>
  <c r="BX288" i="82"/>
  <c r="BY288" i="82"/>
  <c r="BZ288" i="82"/>
  <c r="CA288" i="82"/>
  <c r="CB288" i="82"/>
  <c r="CC288" i="82"/>
  <c r="CD288" i="82"/>
  <c r="BS289" i="82"/>
  <c r="BT289" i="82"/>
  <c r="BU289" i="82"/>
  <c r="BV289" i="82"/>
  <c r="BW289" i="82"/>
  <c r="BX289" i="82"/>
  <c r="BY289" i="82"/>
  <c r="BZ289" i="82"/>
  <c r="CA289" i="82"/>
  <c r="CB289" i="82"/>
  <c r="CC289" i="82"/>
  <c r="CD289" i="82"/>
  <c r="BS290" i="82"/>
  <c r="BT290" i="82"/>
  <c r="BU290" i="82"/>
  <c r="BV290" i="82"/>
  <c r="BW290" i="82"/>
  <c r="BX290" i="82"/>
  <c r="BY290" i="82"/>
  <c r="BZ290" i="82"/>
  <c r="CA290" i="82"/>
  <c r="CB290" i="82"/>
  <c r="CC290" i="82"/>
  <c r="CD290" i="82"/>
  <c r="BS291" i="82"/>
  <c r="BT291" i="82"/>
  <c r="BU291" i="82"/>
  <c r="BV291" i="82"/>
  <c r="BW291" i="82"/>
  <c r="BX291" i="82"/>
  <c r="BY291" i="82"/>
  <c r="BZ291" i="82"/>
  <c r="CA291" i="82"/>
  <c r="CB291" i="82"/>
  <c r="CC291" i="82"/>
  <c r="CD291" i="82"/>
  <c r="BS292" i="82"/>
  <c r="BT292" i="82"/>
  <c r="BU292" i="82"/>
  <c r="BV292" i="82"/>
  <c r="BW292" i="82"/>
  <c r="BX292" i="82"/>
  <c r="BY292" i="82"/>
  <c r="BZ292" i="82"/>
  <c r="CA292" i="82"/>
  <c r="CB292" i="82"/>
  <c r="CC292" i="82"/>
  <c r="CD292" i="82"/>
  <c r="BS293" i="82"/>
  <c r="BT293" i="82"/>
  <c r="BU293" i="82"/>
  <c r="BV293" i="82"/>
  <c r="BV328" i="82" s="1"/>
  <c r="BV329" i="82" s="1"/>
  <c r="BV336" i="82" s="1"/>
  <c r="BW293" i="82"/>
  <c r="BX293" i="82"/>
  <c r="BY293" i="82"/>
  <c r="BZ293" i="82"/>
  <c r="CA293" i="82"/>
  <c r="CB293" i="82"/>
  <c r="CC293" i="82"/>
  <c r="CD293" i="82"/>
  <c r="BS294" i="82"/>
  <c r="BT294" i="82"/>
  <c r="BU294" i="82"/>
  <c r="BV294" i="82"/>
  <c r="BW294" i="82"/>
  <c r="BX294" i="82"/>
  <c r="BY294" i="82"/>
  <c r="BZ294" i="82"/>
  <c r="CA294" i="82"/>
  <c r="CB294" i="82"/>
  <c r="CC294" i="82"/>
  <c r="CD294" i="82"/>
  <c r="BS295" i="82"/>
  <c r="BT295" i="82"/>
  <c r="BU295" i="82"/>
  <c r="BV295" i="82"/>
  <c r="BW295" i="82"/>
  <c r="BX295" i="82"/>
  <c r="BY295" i="82"/>
  <c r="BZ295" i="82"/>
  <c r="CA295" i="82"/>
  <c r="CB295" i="82"/>
  <c r="CC295" i="82"/>
  <c r="CD295" i="82"/>
  <c r="BS296" i="82"/>
  <c r="BT296" i="82"/>
  <c r="BU296" i="82"/>
  <c r="BV296" i="82"/>
  <c r="BW296" i="82"/>
  <c r="BX296" i="82"/>
  <c r="BY296" i="82"/>
  <c r="BZ296" i="82"/>
  <c r="CA296" i="82"/>
  <c r="CB296" i="82"/>
  <c r="CC296" i="82"/>
  <c r="CD296" i="82"/>
  <c r="BS297" i="82"/>
  <c r="BT297" i="82"/>
  <c r="BU297" i="82"/>
  <c r="BV297" i="82"/>
  <c r="BW297" i="82"/>
  <c r="BX297" i="82"/>
  <c r="BY297" i="82"/>
  <c r="BZ297" i="82"/>
  <c r="CA297" i="82"/>
  <c r="CB297" i="82"/>
  <c r="CC297" i="82"/>
  <c r="CD297" i="82"/>
  <c r="BS298" i="82"/>
  <c r="BT298" i="82"/>
  <c r="BU298" i="82"/>
  <c r="BV298" i="82"/>
  <c r="BW298" i="82"/>
  <c r="BX298" i="82"/>
  <c r="BY298" i="82"/>
  <c r="BZ298" i="82"/>
  <c r="CA298" i="82"/>
  <c r="CB298" i="82"/>
  <c r="CC298" i="82"/>
  <c r="CD298" i="82"/>
  <c r="BS299" i="82"/>
  <c r="BT299" i="82"/>
  <c r="BU299" i="82"/>
  <c r="BV299" i="82"/>
  <c r="BW299" i="82"/>
  <c r="BX299" i="82"/>
  <c r="BY299" i="82"/>
  <c r="BZ299" i="82"/>
  <c r="CA299" i="82"/>
  <c r="CB299" i="82"/>
  <c r="CC299" i="82"/>
  <c r="CD299" i="82"/>
  <c r="BS300" i="82"/>
  <c r="BT300" i="82"/>
  <c r="BU300" i="82"/>
  <c r="BV300" i="82"/>
  <c r="BW300" i="82"/>
  <c r="BX300" i="82"/>
  <c r="BY300" i="82"/>
  <c r="BZ300" i="82"/>
  <c r="CA300" i="82"/>
  <c r="CB300" i="82"/>
  <c r="CC300" i="82"/>
  <c r="CD300" i="82"/>
  <c r="BS301" i="82"/>
  <c r="BT301" i="82"/>
  <c r="BU301" i="82"/>
  <c r="BV301" i="82"/>
  <c r="BW301" i="82"/>
  <c r="BX301" i="82"/>
  <c r="BY301" i="82"/>
  <c r="BZ301" i="82"/>
  <c r="CA301" i="82"/>
  <c r="CB301" i="82"/>
  <c r="CC301" i="82"/>
  <c r="CD301" i="82"/>
  <c r="BS302" i="82"/>
  <c r="BT302" i="82"/>
  <c r="BU302" i="82"/>
  <c r="BV302" i="82"/>
  <c r="BW302" i="82"/>
  <c r="BX302" i="82"/>
  <c r="BY302" i="82"/>
  <c r="BZ302" i="82"/>
  <c r="CA302" i="82"/>
  <c r="CB302" i="82"/>
  <c r="CC302" i="82"/>
  <c r="CD302" i="82"/>
  <c r="BS303" i="82"/>
  <c r="BT303" i="82"/>
  <c r="BU303" i="82"/>
  <c r="BV303" i="82"/>
  <c r="BW303" i="82"/>
  <c r="BX303" i="82"/>
  <c r="BY303" i="82"/>
  <c r="BZ303" i="82"/>
  <c r="CA303" i="82"/>
  <c r="CB303" i="82"/>
  <c r="CC303" i="82"/>
  <c r="CD303" i="82"/>
  <c r="BS304" i="82"/>
  <c r="BT304" i="82"/>
  <c r="BU304" i="82"/>
  <c r="BV304" i="82"/>
  <c r="BW304" i="82"/>
  <c r="BX304" i="82"/>
  <c r="BY304" i="82"/>
  <c r="BZ304" i="82"/>
  <c r="CA304" i="82"/>
  <c r="CB304" i="82"/>
  <c r="CC304" i="82"/>
  <c r="CD304" i="82"/>
  <c r="BS305" i="82"/>
  <c r="BT305" i="82"/>
  <c r="BU305" i="82"/>
  <c r="BV305" i="82"/>
  <c r="BW305" i="82"/>
  <c r="BX305" i="82"/>
  <c r="BY305" i="82"/>
  <c r="BZ305" i="82"/>
  <c r="CA305" i="82"/>
  <c r="CB305" i="82"/>
  <c r="CC305" i="82"/>
  <c r="CD305" i="82"/>
  <c r="BS306" i="82"/>
  <c r="BT306" i="82"/>
  <c r="BU306" i="82"/>
  <c r="BV306" i="82"/>
  <c r="BW306" i="82"/>
  <c r="BX306" i="82"/>
  <c r="BY306" i="82"/>
  <c r="BZ306" i="82"/>
  <c r="CA306" i="82"/>
  <c r="CB306" i="82"/>
  <c r="CC306" i="82"/>
  <c r="CD306" i="82"/>
  <c r="BS307" i="82"/>
  <c r="BT307" i="82"/>
  <c r="BU307" i="82"/>
  <c r="BV307" i="82"/>
  <c r="BW307" i="82"/>
  <c r="BX307" i="82"/>
  <c r="BY307" i="82"/>
  <c r="BZ307" i="82"/>
  <c r="CA307" i="82"/>
  <c r="CB307" i="82"/>
  <c r="CC307" i="82"/>
  <c r="CD307" i="82"/>
  <c r="BS308" i="82"/>
  <c r="BT308" i="82"/>
  <c r="BU308" i="82"/>
  <c r="BV308" i="82"/>
  <c r="BW308" i="82"/>
  <c r="BX308" i="82"/>
  <c r="BY308" i="82"/>
  <c r="BZ308" i="82"/>
  <c r="CA308" i="82"/>
  <c r="CB308" i="82"/>
  <c r="CC308" i="82"/>
  <c r="CD308" i="82"/>
  <c r="BS309" i="82"/>
  <c r="BT309" i="82"/>
  <c r="BU309" i="82"/>
  <c r="BV309" i="82"/>
  <c r="BW309" i="82"/>
  <c r="BX309" i="82"/>
  <c r="BY309" i="82"/>
  <c r="BZ309" i="82"/>
  <c r="CA309" i="82"/>
  <c r="CB309" i="82"/>
  <c r="CC309" i="82"/>
  <c r="CD309" i="82"/>
  <c r="BS310" i="82"/>
  <c r="BT310" i="82"/>
  <c r="BU310" i="82"/>
  <c r="BV310" i="82"/>
  <c r="BW310" i="82"/>
  <c r="BX310" i="82"/>
  <c r="BY310" i="82"/>
  <c r="BZ310" i="82"/>
  <c r="CA310" i="82"/>
  <c r="CB310" i="82"/>
  <c r="CC310" i="82"/>
  <c r="CD310" i="82"/>
  <c r="BS311" i="82"/>
  <c r="BS328" i="82" s="1"/>
  <c r="BS329" i="82" s="1"/>
  <c r="BS336" i="82" s="1"/>
  <c r="BT311" i="82"/>
  <c r="BU311" i="82"/>
  <c r="BV311" i="82"/>
  <c r="BW311" i="82"/>
  <c r="BX311" i="82"/>
  <c r="BY311" i="82"/>
  <c r="BZ311" i="82"/>
  <c r="CA311" i="82"/>
  <c r="CB311" i="82"/>
  <c r="CC311" i="82"/>
  <c r="CD311" i="82"/>
  <c r="BS312" i="82"/>
  <c r="BT312" i="82"/>
  <c r="BU312" i="82"/>
  <c r="BV312" i="82"/>
  <c r="BW312" i="82"/>
  <c r="BX312" i="82"/>
  <c r="BY312" i="82"/>
  <c r="BZ312" i="82"/>
  <c r="CA312" i="82"/>
  <c r="CB312" i="82"/>
  <c r="CC312" i="82"/>
  <c r="CD312" i="82"/>
  <c r="BS313" i="82"/>
  <c r="BT313" i="82"/>
  <c r="BU313" i="82"/>
  <c r="BV313" i="82"/>
  <c r="BW313" i="82"/>
  <c r="BX313" i="82"/>
  <c r="BY313" i="82"/>
  <c r="BZ313" i="82"/>
  <c r="CA313" i="82"/>
  <c r="CB313" i="82"/>
  <c r="CC313" i="82"/>
  <c r="CD313" i="82"/>
  <c r="BS314" i="82"/>
  <c r="BT314" i="82"/>
  <c r="BU314" i="82"/>
  <c r="BV314" i="82"/>
  <c r="BW314" i="82"/>
  <c r="BX314" i="82"/>
  <c r="BY314" i="82"/>
  <c r="BZ314" i="82"/>
  <c r="CA314" i="82"/>
  <c r="CB314" i="82"/>
  <c r="CC314" i="82"/>
  <c r="CD314" i="82"/>
  <c r="BS315" i="82"/>
  <c r="BT315" i="82"/>
  <c r="BU315" i="82"/>
  <c r="BV315" i="82"/>
  <c r="BW315" i="82"/>
  <c r="BX315" i="82"/>
  <c r="BY315" i="82"/>
  <c r="BZ315" i="82"/>
  <c r="CA315" i="82"/>
  <c r="CB315" i="82"/>
  <c r="CC315" i="82"/>
  <c r="CD315" i="82"/>
  <c r="BS316" i="82"/>
  <c r="BT316" i="82"/>
  <c r="BU316" i="82"/>
  <c r="BV316" i="82"/>
  <c r="BW316" i="82"/>
  <c r="BX316" i="82"/>
  <c r="BY316" i="82"/>
  <c r="BZ316" i="82"/>
  <c r="CA316" i="82"/>
  <c r="CB316" i="82"/>
  <c r="CC316" i="82"/>
  <c r="CD316" i="82"/>
  <c r="BS317" i="82"/>
  <c r="BT317" i="82"/>
  <c r="BU317" i="82"/>
  <c r="BV317" i="82"/>
  <c r="BW317" i="82"/>
  <c r="BX317" i="82"/>
  <c r="BY317" i="82"/>
  <c r="BZ317" i="82"/>
  <c r="CA317" i="82"/>
  <c r="CB317" i="82"/>
  <c r="CC317" i="82"/>
  <c r="CD317" i="82"/>
  <c r="BS318" i="82"/>
  <c r="BT318" i="82"/>
  <c r="BU318" i="82"/>
  <c r="BV318" i="82"/>
  <c r="BW318" i="82"/>
  <c r="BX318" i="82"/>
  <c r="BY318" i="82"/>
  <c r="BZ318" i="82"/>
  <c r="CA318" i="82"/>
  <c r="CB318" i="82"/>
  <c r="CC318" i="82"/>
  <c r="CD318" i="82"/>
  <c r="BS319" i="82"/>
  <c r="BT319" i="82"/>
  <c r="BU319" i="82"/>
  <c r="BV319" i="82"/>
  <c r="BW319" i="82"/>
  <c r="BX319" i="82"/>
  <c r="BY319" i="82"/>
  <c r="BZ319" i="82"/>
  <c r="CA319" i="82"/>
  <c r="CB319" i="82"/>
  <c r="CC319" i="82"/>
  <c r="CD319" i="82"/>
  <c r="BS320" i="82"/>
  <c r="BT320" i="82"/>
  <c r="BU320" i="82"/>
  <c r="BV320" i="82"/>
  <c r="BW320" i="82"/>
  <c r="BX320" i="82"/>
  <c r="BY320" i="82"/>
  <c r="BZ320" i="82"/>
  <c r="CA320" i="82"/>
  <c r="CB320" i="82"/>
  <c r="CC320" i="82"/>
  <c r="CD320" i="82"/>
  <c r="BS321" i="82"/>
  <c r="BT321" i="82"/>
  <c r="BU321" i="82"/>
  <c r="BV321" i="82"/>
  <c r="BW321" i="82"/>
  <c r="BX321" i="82"/>
  <c r="BY321" i="82"/>
  <c r="BZ321" i="82"/>
  <c r="CA321" i="82"/>
  <c r="CB321" i="82"/>
  <c r="CC321" i="82"/>
  <c r="CD321" i="82"/>
  <c r="BS322" i="82"/>
  <c r="BT322" i="82"/>
  <c r="BU322" i="82"/>
  <c r="BV322" i="82"/>
  <c r="BW322" i="82"/>
  <c r="BX322" i="82"/>
  <c r="BY322" i="82"/>
  <c r="BZ322" i="82"/>
  <c r="CA322" i="82"/>
  <c r="CB322" i="82"/>
  <c r="CC322" i="82"/>
  <c r="CD322" i="82"/>
  <c r="BS323" i="82"/>
  <c r="BT323" i="82"/>
  <c r="BU323" i="82"/>
  <c r="BV323" i="82"/>
  <c r="BW323" i="82"/>
  <c r="BX323" i="82"/>
  <c r="BY323" i="82"/>
  <c r="BZ323" i="82"/>
  <c r="CA323" i="82"/>
  <c r="CB323" i="82"/>
  <c r="CC323" i="82"/>
  <c r="CD323" i="82"/>
  <c r="BS324" i="82"/>
  <c r="BT324" i="82"/>
  <c r="BU324" i="82"/>
  <c r="BV324" i="82"/>
  <c r="BW324" i="82"/>
  <c r="BX324" i="82"/>
  <c r="BY324" i="82"/>
  <c r="BZ324" i="82"/>
  <c r="CA324" i="82"/>
  <c r="CB324" i="82"/>
  <c r="CC324" i="82"/>
  <c r="CD324" i="82"/>
  <c r="BS325" i="82"/>
  <c r="BT325" i="82"/>
  <c r="BU325" i="82"/>
  <c r="BV325" i="82"/>
  <c r="BW325" i="82"/>
  <c r="BX325" i="82"/>
  <c r="BY325" i="82"/>
  <c r="BZ325" i="82"/>
  <c r="CA325" i="82"/>
  <c r="CB325" i="82"/>
  <c r="CC325" i="82"/>
  <c r="CD325" i="82"/>
  <c r="BS326" i="82"/>
  <c r="BT326" i="82"/>
  <c r="BU326" i="82"/>
  <c r="BV326" i="82"/>
  <c r="BW326" i="82"/>
  <c r="BX326" i="82"/>
  <c r="BY326" i="82"/>
  <c r="BZ326" i="82"/>
  <c r="CA326" i="82"/>
  <c r="CB326" i="82"/>
  <c r="CC326" i="82"/>
  <c r="CD326" i="82"/>
  <c r="BS327" i="82"/>
  <c r="BT327" i="82"/>
  <c r="BU327" i="82"/>
  <c r="BV327" i="82"/>
  <c r="BW327" i="82"/>
  <c r="BX327" i="82"/>
  <c r="BY327" i="82"/>
  <c r="BZ327" i="82"/>
  <c r="CA327" i="82"/>
  <c r="CB327" i="82"/>
  <c r="CC327" i="82"/>
  <c r="CD327" i="82"/>
  <c r="BT328" i="82"/>
  <c r="BU328" i="82"/>
  <c r="BU329" i="82" s="1"/>
  <c r="BU336" i="82" s="1"/>
  <c r="BW328" i="82"/>
  <c r="BW329" i="82" s="1"/>
  <c r="BW336" i="82" s="1"/>
  <c r="BX328" i="82"/>
  <c r="BY328" i="82"/>
  <c r="BZ328" i="82"/>
  <c r="CA328" i="82"/>
  <c r="CB328" i="82"/>
  <c r="CC328" i="82"/>
  <c r="CD328" i="82"/>
  <c r="BT329" i="82"/>
  <c r="BX329" i="82"/>
  <c r="BY329" i="82"/>
  <c r="BZ329" i="82"/>
  <c r="CA329" i="82"/>
  <c r="CB329" i="82"/>
  <c r="CC329" i="82"/>
  <c r="CD329" i="82"/>
  <c r="BS332" i="82"/>
  <c r="BT332" i="82"/>
  <c r="BU332" i="82"/>
  <c r="BV332" i="82"/>
  <c r="BW332" i="82"/>
  <c r="BX332" i="82"/>
  <c r="BY332" i="82"/>
  <c r="BZ332" i="82"/>
  <c r="CA332" i="82"/>
  <c r="CB332" i="82"/>
  <c r="CC332" i="82"/>
  <c r="CD332" i="82"/>
  <c r="BS333" i="82"/>
  <c r="BT333" i="82"/>
  <c r="BU333" i="82"/>
  <c r="BV333" i="82"/>
  <c r="BW333" i="82"/>
  <c r="BX333" i="82"/>
  <c r="BY333" i="82"/>
  <c r="BZ333" i="82"/>
  <c r="CA333" i="82"/>
  <c r="CB333" i="82"/>
  <c r="CC333" i="82"/>
  <c r="CD333" i="82"/>
  <c r="BS334" i="82"/>
  <c r="BT334" i="82"/>
  <c r="BU334" i="82"/>
  <c r="BV334" i="82"/>
  <c r="BW334" i="82"/>
  <c r="BX334" i="82"/>
  <c r="BY334" i="82"/>
  <c r="BZ334" i="82"/>
  <c r="CA334" i="82"/>
  <c r="CB334" i="82"/>
  <c r="CC334" i="82"/>
  <c r="CD334" i="82"/>
  <c r="BT336" i="82"/>
  <c r="BX336" i="82"/>
  <c r="BY336" i="82"/>
  <c r="BZ336" i="82"/>
  <c r="CA336" i="82"/>
  <c r="CB336" i="82"/>
  <c r="CC336" i="82"/>
  <c r="CD336" i="82"/>
  <c r="AA282" i="84"/>
  <c r="AB282" i="84"/>
  <c r="AC282" i="84"/>
  <c r="AD282" i="84"/>
  <c r="AE282" i="84"/>
  <c r="AF282" i="84"/>
  <c r="AG282" i="84"/>
  <c r="AH282" i="84"/>
  <c r="AI282" i="84"/>
  <c r="AJ282" i="84"/>
  <c r="AK282" i="84"/>
  <c r="AL282" i="84"/>
  <c r="AM282" i="84"/>
  <c r="AN282" i="84"/>
  <c r="AO282" i="84"/>
  <c r="AP282" i="84"/>
  <c r="AQ282" i="84"/>
  <c r="AR282" i="84"/>
  <c r="AS282" i="84"/>
  <c r="AT282" i="84"/>
  <c r="AU282" i="84"/>
  <c r="AV282" i="84"/>
  <c r="AW282" i="84"/>
  <c r="AX282" i="84"/>
  <c r="AY282" i="84"/>
  <c r="AZ282" i="84"/>
  <c r="BA282" i="84"/>
  <c r="BB282" i="84"/>
  <c r="BC282" i="84"/>
  <c r="BD282" i="84"/>
  <c r="BE282" i="84"/>
  <c r="BF282" i="84"/>
  <c r="BG282" i="84"/>
  <c r="BH282" i="84"/>
  <c r="BI282" i="84"/>
  <c r="BJ282" i="84"/>
  <c r="BK282" i="84"/>
  <c r="BL282" i="84"/>
  <c r="BM282" i="84"/>
  <c r="BN282" i="84"/>
  <c r="BO282" i="84"/>
  <c r="BP282" i="84"/>
  <c r="BQ282" i="84"/>
  <c r="BR282" i="84"/>
  <c r="BS282" i="84"/>
  <c r="BT282" i="84"/>
  <c r="BU282" i="84"/>
  <c r="BV282" i="84"/>
  <c r="BW282" i="84"/>
  <c r="BX282" i="84"/>
  <c r="BY282" i="84"/>
  <c r="BZ282" i="84"/>
  <c r="CA282" i="84"/>
  <c r="CB282" i="84"/>
  <c r="CC282" i="84"/>
  <c r="CD282" i="84"/>
  <c r="E282" i="84"/>
  <c r="F282" i="84"/>
  <c r="G282" i="84"/>
  <c r="H282" i="84"/>
  <c r="I282" i="84"/>
  <c r="J282" i="84"/>
  <c r="K282" i="84"/>
  <c r="L282" i="84"/>
  <c r="M282" i="84"/>
  <c r="N282" i="84"/>
  <c r="O282" i="84"/>
  <c r="P282" i="84"/>
  <c r="Q282" i="84"/>
  <c r="R282" i="84"/>
  <c r="S282" i="84"/>
  <c r="T282" i="84"/>
  <c r="U282" i="84"/>
  <c r="V282" i="84"/>
  <c r="W282" i="84"/>
  <c r="X282" i="84"/>
  <c r="Y282" i="84"/>
  <c r="Z282" i="84"/>
  <c r="D282" i="84"/>
  <c r="L239" i="28" l="1"/>
  <c r="L240" i="28"/>
  <c r="G86" i="1"/>
  <c r="E278" i="82"/>
  <c r="F278" i="82"/>
  <c r="G278" i="82"/>
  <c r="H278" i="82"/>
  <c r="I278" i="82"/>
  <c r="J278" i="82"/>
  <c r="K278" i="82"/>
  <c r="L278" i="82"/>
  <c r="M278" i="82"/>
  <c r="N278" i="82"/>
  <c r="O278" i="82"/>
  <c r="P278" i="82"/>
  <c r="Q278" i="82"/>
  <c r="R278" i="82"/>
  <c r="S278" i="82"/>
  <c r="T278" i="82"/>
  <c r="U278" i="82"/>
  <c r="V278" i="82"/>
  <c r="W278" i="82"/>
  <c r="X278" i="82"/>
  <c r="Y278" i="82"/>
  <c r="Z278" i="82"/>
  <c r="AA278" i="82"/>
  <c r="AB278" i="82"/>
  <c r="AC278" i="82"/>
  <c r="AD278" i="82"/>
  <c r="AE278" i="82"/>
  <c r="AF278" i="82"/>
  <c r="AG278" i="82"/>
  <c r="AH278" i="82"/>
  <c r="AI278" i="82"/>
  <c r="AJ278" i="82"/>
  <c r="AK278" i="82"/>
  <c r="AL278" i="82"/>
  <c r="AM278" i="82"/>
  <c r="AN278" i="82"/>
  <c r="AO278" i="82"/>
  <c r="AP278" i="82"/>
  <c r="AQ278" i="82"/>
  <c r="AR278" i="82"/>
  <c r="AS278" i="82"/>
  <c r="AT278" i="82"/>
  <c r="AU278" i="82"/>
  <c r="AV278" i="82"/>
  <c r="AW278" i="82"/>
  <c r="AX278" i="82"/>
  <c r="AY278" i="82"/>
  <c r="AZ278" i="82"/>
  <c r="BA278" i="82"/>
  <c r="BB278" i="82"/>
  <c r="BC278" i="82"/>
  <c r="BD278" i="82"/>
  <c r="BE278" i="82"/>
  <c r="BF278" i="82"/>
  <c r="BG278" i="82"/>
  <c r="BH278" i="82"/>
  <c r="BI278" i="82"/>
  <c r="BJ278" i="82"/>
  <c r="BK278" i="82"/>
  <c r="BL278" i="82"/>
  <c r="BM278" i="82"/>
  <c r="BN278" i="82"/>
  <c r="BO278" i="82"/>
  <c r="BP278" i="82"/>
  <c r="BQ278" i="82"/>
  <c r="BR278" i="82"/>
  <c r="D278" i="82"/>
  <c r="N30" i="88"/>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D333" i="82"/>
  <c r="D334" i="82"/>
  <c r="D332" i="82"/>
  <c r="B324" i="82"/>
  <c r="C324" i="82"/>
  <c r="D324"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A324" i="82"/>
  <c r="E239" i="1"/>
  <c r="E240" i="1"/>
  <c r="E241" i="1"/>
  <c r="E228" i="1"/>
  <c r="E229" i="1"/>
  <c r="E231" i="1"/>
  <c r="E232" i="1"/>
  <c r="E233" i="1"/>
  <c r="E234" i="1"/>
  <c r="E235" i="1"/>
  <c r="B285" i="82"/>
  <c r="C285"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286" i="82"/>
  <c r="C286"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287" i="82"/>
  <c r="C287"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288" i="82"/>
  <c r="C288"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289" i="82"/>
  <c r="C289"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290" i="82"/>
  <c r="C290"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291" i="82"/>
  <c r="C291"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292" i="82"/>
  <c r="C292"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293" i="82"/>
  <c r="C293"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294" i="82"/>
  <c r="C294"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295" i="82"/>
  <c r="C295"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296" i="82"/>
  <c r="C296"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297" i="82"/>
  <c r="C297"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298" i="82"/>
  <c r="C298"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299" i="82"/>
  <c r="C299"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300" i="82"/>
  <c r="C300"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301" i="82"/>
  <c r="C301"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302" i="82"/>
  <c r="C302"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303" i="82"/>
  <c r="C303"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304" i="82"/>
  <c r="C304"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305" i="82"/>
  <c r="C305"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306" i="82"/>
  <c r="C306"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307" i="82"/>
  <c r="C307"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308" i="82"/>
  <c r="C308"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309" i="82"/>
  <c r="C309" i="82"/>
  <c r="D309"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310" i="82"/>
  <c r="C310" i="82"/>
  <c r="D31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311" i="82"/>
  <c r="C311" i="82"/>
  <c r="D311"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312" i="82"/>
  <c r="C312" i="82"/>
  <c r="D312"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313" i="82"/>
  <c r="C313" i="82"/>
  <c r="D313"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314" i="82"/>
  <c r="C314" i="82"/>
  <c r="D314"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315" i="82"/>
  <c r="C315" i="82"/>
  <c r="D315"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316" i="82"/>
  <c r="C316" i="82"/>
  <c r="D316"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317" i="82"/>
  <c r="C317" i="82"/>
  <c r="D317"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318" i="82"/>
  <c r="C318" i="82"/>
  <c r="D318"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319" i="82"/>
  <c r="C319" i="82"/>
  <c r="D319"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320" i="82"/>
  <c r="C320" i="82"/>
  <c r="D320"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321" i="82"/>
  <c r="C321" i="82"/>
  <c r="D321"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322" i="82"/>
  <c r="C322" i="82"/>
  <c r="D322"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323" i="82"/>
  <c r="C323" i="82"/>
  <c r="D323"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325" i="82"/>
  <c r="C325" i="82"/>
  <c r="D325"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326" i="82"/>
  <c r="C326" i="82"/>
  <c r="D326"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327" i="82"/>
  <c r="C327" i="82"/>
  <c r="D327"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A334" i="82"/>
  <c r="A333" i="82"/>
  <c r="A332" i="82"/>
  <c r="A327" i="82"/>
  <c r="A326" i="82"/>
  <c r="A325" i="82"/>
  <c r="A323" i="82"/>
  <c r="A322" i="82"/>
  <c r="A321" i="82"/>
  <c r="A320" i="82"/>
  <c r="A317" i="82"/>
  <c r="A318" i="82"/>
  <c r="A319" i="82"/>
  <c r="A316" i="82"/>
  <c r="A315" i="82"/>
  <c r="A314" i="82"/>
  <c r="A311" i="82"/>
  <c r="A312" i="82"/>
  <c r="A313" i="82"/>
  <c r="A310" i="82"/>
  <c r="A308" i="82"/>
  <c r="A309" i="82"/>
  <c r="A307" i="82"/>
  <c r="A306" i="82"/>
  <c r="A305" i="82"/>
  <c r="A304" i="82"/>
  <c r="A303" i="82"/>
  <c r="A302" i="82"/>
  <c r="A301" i="82"/>
  <c r="A300" i="82"/>
  <c r="A299" i="82"/>
  <c r="A298" i="82"/>
  <c r="A297" i="82"/>
  <c r="A296" i="82"/>
  <c r="A295" i="82"/>
  <c r="A294" i="82"/>
  <c r="A293" i="82"/>
  <c r="A292" i="82"/>
  <c r="A291" i="82"/>
  <c r="A290" i="82"/>
  <c r="A289" i="82"/>
  <c r="A288" i="82"/>
  <c r="A287" i="82"/>
  <c r="A286" i="82"/>
  <c r="A285" i="82"/>
  <c r="BR276" i="84"/>
  <c r="BQ276" i="84"/>
  <c r="BP276" i="84"/>
  <c r="BO276" i="84"/>
  <c r="BN276" i="84"/>
  <c r="BM276" i="84"/>
  <c r="BL276" i="84"/>
  <c r="BK276" i="84"/>
  <c r="BJ276" i="84"/>
  <c r="BI276" i="84"/>
  <c r="BH276" i="84"/>
  <c r="BG276" i="84"/>
  <c r="BF276" i="84"/>
  <c r="BE276" i="84"/>
  <c r="BD276" i="84"/>
  <c r="BC276" i="84"/>
  <c r="BB276" i="84"/>
  <c r="BA276" i="84"/>
  <c r="AZ276" i="84"/>
  <c r="AY276" i="84"/>
  <c r="AX276" i="84"/>
  <c r="AW276" i="84"/>
  <c r="AV276" i="84"/>
  <c r="AU276" i="84"/>
  <c r="AT276" i="84"/>
  <c r="AS276" i="84"/>
  <c r="AR276" i="84"/>
  <c r="AQ276" i="84"/>
  <c r="AP276" i="84"/>
  <c r="AO276" i="84"/>
  <c r="AN276" i="84"/>
  <c r="AM276" i="84"/>
  <c r="AL276" i="84"/>
  <c r="AK276" i="84"/>
  <c r="AJ276" i="84"/>
  <c r="AI276" i="84"/>
  <c r="AH276" i="84"/>
  <c r="AG276" i="84"/>
  <c r="AF276" i="84"/>
  <c r="AE276" i="84"/>
  <c r="AD276" i="84"/>
  <c r="AC276" i="84"/>
  <c r="AB276" i="84"/>
  <c r="AA276" i="84"/>
  <c r="Z276" i="84"/>
  <c r="Y276" i="84"/>
  <c r="X276" i="84"/>
  <c r="W276" i="84"/>
  <c r="V276" i="84"/>
  <c r="T276" i="84"/>
  <c r="S276" i="84"/>
  <c r="R276" i="84"/>
  <c r="Q276" i="84"/>
  <c r="P276" i="84"/>
  <c r="O276" i="84"/>
  <c r="N276" i="84"/>
  <c r="M276" i="84"/>
  <c r="L276" i="84"/>
  <c r="K276" i="84"/>
  <c r="J276" i="84"/>
  <c r="I276" i="84"/>
  <c r="H276" i="84"/>
  <c r="G276" i="84"/>
  <c r="F276" i="84"/>
  <c r="E276" i="84"/>
  <c r="D276" i="84"/>
  <c r="D277" i="84"/>
  <c r="E277" i="84"/>
  <c r="F277" i="84"/>
  <c r="G277" i="84"/>
  <c r="H277" i="84"/>
  <c r="I277" i="84"/>
  <c r="J277" i="84"/>
  <c r="K277" i="84"/>
  <c r="L277" i="84"/>
  <c r="M277" i="84"/>
  <c r="N277" i="84"/>
  <c r="O277" i="84"/>
  <c r="P277" i="84"/>
  <c r="Q277" i="84"/>
  <c r="R277" i="84"/>
  <c r="S277" i="84"/>
  <c r="T277" i="84"/>
  <c r="U277" i="84"/>
  <c r="V277" i="84"/>
  <c r="W277" i="84"/>
  <c r="X277" i="84"/>
  <c r="Y277" i="84"/>
  <c r="Z277" i="84"/>
  <c r="AA277" i="84"/>
  <c r="AB277" i="84"/>
  <c r="AC277" i="84"/>
  <c r="AD277" i="84"/>
  <c r="AE277" i="84"/>
  <c r="AF277" i="84"/>
  <c r="AG277" i="84"/>
  <c r="AH277" i="84"/>
  <c r="AI277" i="84"/>
  <c r="AJ277" i="84"/>
  <c r="AK277" i="84"/>
  <c r="AL277" i="84"/>
  <c r="AM277" i="84"/>
  <c r="AN277" i="84"/>
  <c r="AO277" i="84"/>
  <c r="AP277" i="84"/>
  <c r="AQ277" i="84"/>
  <c r="AR277" i="84"/>
  <c r="AS277" i="84"/>
  <c r="AT277" i="84"/>
  <c r="AU277" i="84"/>
  <c r="AV277" i="84"/>
  <c r="AW277" i="84"/>
  <c r="AX277" i="84"/>
  <c r="AY277" i="84"/>
  <c r="AZ277" i="84"/>
  <c r="BA277" i="84"/>
  <c r="BB277" i="84"/>
  <c r="BC277" i="84"/>
  <c r="BD277" i="84"/>
  <c r="BE277" i="84"/>
  <c r="BF277" i="84"/>
  <c r="BG277" i="84"/>
  <c r="BH277" i="84"/>
  <c r="BI277" i="84"/>
  <c r="BJ277" i="84"/>
  <c r="BK277" i="84"/>
  <c r="BL277" i="84"/>
  <c r="BM277" i="84"/>
  <c r="BN277" i="84"/>
  <c r="BO277" i="84"/>
  <c r="BP277" i="84"/>
  <c r="BQ277" i="84"/>
  <c r="BR277" i="84"/>
  <c r="H77" i="1"/>
  <c r="D27" i="91"/>
  <c r="G13" i="88"/>
  <c r="BQ328" i="82" l="1"/>
  <c r="BQ329" i="82" s="1"/>
  <c r="BQ336" i="82" s="1"/>
  <c r="Z328" i="82"/>
  <c r="Z329" i="82" s="1"/>
  <c r="Z336" i="82" s="1"/>
  <c r="AO328" i="82"/>
  <c r="AO329" i="82" s="1"/>
  <c r="AO336" i="82" s="1"/>
  <c r="AZ328" i="82"/>
  <c r="AZ329" i="82" s="1"/>
  <c r="AZ336" i="82" s="1"/>
  <c r="N328" i="82"/>
  <c r="N329" i="82" s="1"/>
  <c r="N336" i="82" s="1"/>
  <c r="BA328" i="82"/>
  <c r="BA329" i="82" s="1"/>
  <c r="BA336" i="82" s="1"/>
  <c r="BD328" i="82"/>
  <c r="BD329" i="82" s="1"/>
  <c r="BD336" i="82" s="1"/>
  <c r="AC328" i="82"/>
  <c r="AC329" i="82" s="1"/>
  <c r="AC336" i="82" s="1"/>
  <c r="AN328" i="82"/>
  <c r="AN329" i="82" s="1"/>
  <c r="AN336" i="82" s="1"/>
  <c r="BM328" i="82"/>
  <c r="BM329" i="82" s="1"/>
  <c r="BM336" i="82" s="1"/>
  <c r="P328" i="82"/>
  <c r="P329" i="82" s="1"/>
  <c r="P336" i="82" s="1"/>
  <c r="M328" i="82"/>
  <c r="M329" i="82" s="1"/>
  <c r="M336" i="82" s="1"/>
  <c r="BO328" i="82"/>
  <c r="BO329" i="82" s="1"/>
  <c r="BO336" i="82" s="1"/>
  <c r="BC328" i="82"/>
  <c r="BC329" i="82" s="1"/>
  <c r="BC336" i="82" s="1"/>
  <c r="AM328" i="82"/>
  <c r="AM329" i="82" s="1"/>
  <c r="AM336" i="82" s="1"/>
  <c r="AA328" i="82"/>
  <c r="AA329" i="82" s="1"/>
  <c r="AA336" i="82" s="1"/>
  <c r="O328" i="82"/>
  <c r="O329" i="82" s="1"/>
  <c r="O336" i="82" s="1"/>
  <c r="BJ328" i="82"/>
  <c r="BJ329" i="82" s="1"/>
  <c r="BJ336" i="82" s="1"/>
  <c r="AX328" i="82"/>
  <c r="AX329" i="82" s="1"/>
  <c r="AX336" i="82" s="1"/>
  <c r="AK328" i="82"/>
  <c r="AK329" i="82" s="1"/>
  <c r="AK336" i="82" s="1"/>
  <c r="Y328" i="82"/>
  <c r="Y329" i="82" s="1"/>
  <c r="Y336" i="82" s="1"/>
  <c r="AH328" i="82"/>
  <c r="AH329" i="82" s="1"/>
  <c r="AH336" i="82" s="1"/>
  <c r="V328" i="82"/>
  <c r="V329" i="82" s="1"/>
  <c r="V336" i="82" s="1"/>
  <c r="J328" i="82"/>
  <c r="J329" i="82" s="1"/>
  <c r="J336" i="82" s="1"/>
  <c r="AQ328" i="82"/>
  <c r="AQ329" i="82" s="1"/>
  <c r="AQ336" i="82" s="1"/>
  <c r="AE328" i="82"/>
  <c r="AE329" i="82" s="1"/>
  <c r="AE336" i="82" s="1"/>
  <c r="S328" i="82"/>
  <c r="S329" i="82" s="1"/>
  <c r="S336" i="82" s="1"/>
  <c r="G328" i="82"/>
  <c r="G329" i="82" s="1"/>
  <c r="G336" i="82" s="1"/>
  <c r="AJ328" i="82"/>
  <c r="AJ329" i="82" s="1"/>
  <c r="AJ336" i="82" s="1"/>
  <c r="X328" i="82"/>
  <c r="X329" i="82" s="1"/>
  <c r="X336" i="82" s="1"/>
  <c r="L328" i="82"/>
  <c r="L329" i="82" s="1"/>
  <c r="L336" i="82" s="1"/>
  <c r="AG328" i="82"/>
  <c r="AG329" i="82" s="1"/>
  <c r="AG336" i="82" s="1"/>
  <c r="U328" i="82"/>
  <c r="U329" i="82" s="1"/>
  <c r="U336" i="82" s="1"/>
  <c r="I328" i="82"/>
  <c r="I329" i="82" s="1"/>
  <c r="I336" i="82" s="1"/>
  <c r="BN328" i="82"/>
  <c r="BN329" i="82" s="1"/>
  <c r="BN336" i="82" s="1"/>
  <c r="BB328" i="82"/>
  <c r="BB329" i="82" s="1"/>
  <c r="BB336" i="82" s="1"/>
  <c r="AP328" i="82"/>
  <c r="AP329" i="82" s="1"/>
  <c r="AP336" i="82" s="1"/>
  <c r="AD328" i="82"/>
  <c r="AD329" i="82" s="1"/>
  <c r="AD336" i="82" s="1"/>
  <c r="R328" i="82"/>
  <c r="R329" i="82" s="1"/>
  <c r="R336" i="82" s="1"/>
  <c r="F328" i="82"/>
  <c r="F329" i="82" s="1"/>
  <c r="F336" i="82" s="1"/>
  <c r="BL328" i="82"/>
  <c r="BL329" i="82" s="1"/>
  <c r="BL336" i="82" s="1"/>
  <c r="BK328" i="82"/>
  <c r="BK329" i="82" s="1"/>
  <c r="BK336" i="82" s="1"/>
  <c r="AY328" i="82"/>
  <c r="AY329" i="82" s="1"/>
  <c r="AY336" i="82" s="1"/>
  <c r="BH328" i="82"/>
  <c r="BH329" i="82" s="1"/>
  <c r="BH336" i="82" s="1"/>
  <c r="AV328" i="82"/>
  <c r="AV329" i="82" s="1"/>
  <c r="AV336" i="82" s="1"/>
  <c r="BR328" i="82"/>
  <c r="BR329" i="82" s="1"/>
  <c r="BR336" i="82" s="1"/>
  <c r="AT328" i="82"/>
  <c r="AT329" i="82" s="1"/>
  <c r="AT336" i="82" s="1"/>
  <c r="AL328" i="82"/>
  <c r="AL329" i="82" s="1"/>
  <c r="AL336" i="82" s="1"/>
  <c r="AI328" i="82"/>
  <c r="AI329" i="82" s="1"/>
  <c r="AI336" i="82" s="1"/>
  <c r="W328" i="82"/>
  <c r="W329" i="82" s="1"/>
  <c r="W336" i="82" s="1"/>
  <c r="K328" i="82"/>
  <c r="K329" i="82" s="1"/>
  <c r="K336" i="82" s="1"/>
  <c r="BP328" i="82"/>
  <c r="BP329" i="82" s="1"/>
  <c r="BP336" i="82" s="1"/>
  <c r="AR328" i="82"/>
  <c r="AR329" i="82" s="1"/>
  <c r="AR336" i="82" s="1"/>
  <c r="AF328" i="82"/>
  <c r="AF329" i="82" s="1"/>
  <c r="AF336" i="82" s="1"/>
  <c r="T328" i="82"/>
  <c r="T329" i="82" s="1"/>
  <c r="T336" i="82" s="1"/>
  <c r="H328" i="82"/>
  <c r="H329" i="82" s="1"/>
  <c r="H336" i="82" s="1"/>
  <c r="Q328" i="82"/>
  <c r="Q329" i="82" s="1"/>
  <c r="Q336" i="82" s="1"/>
  <c r="E328" i="82"/>
  <c r="E329" i="82" s="1"/>
  <c r="AB328" i="82"/>
  <c r="AB329" i="82" s="1"/>
  <c r="AB336" i="82" s="1"/>
  <c r="D328" i="82"/>
  <c r="BG328" i="82"/>
  <c r="BG329" i="82" s="1"/>
  <c r="BG336" i="82" s="1"/>
  <c r="AU328" i="82"/>
  <c r="AU329" i="82" s="1"/>
  <c r="AU336" i="82" s="1"/>
  <c r="BF328" i="82"/>
  <c r="BF329" i="82" s="1"/>
  <c r="BF336" i="82" s="1"/>
  <c r="BE328" i="82"/>
  <c r="BE329" i="82" s="1"/>
  <c r="BE336" i="82" s="1"/>
  <c r="AS328" i="82"/>
  <c r="AS329" i="82" s="1"/>
  <c r="AS336" i="82" s="1"/>
  <c r="BI328" i="82"/>
  <c r="BI329" i="82" s="1"/>
  <c r="BI336" i="82" s="1"/>
  <c r="AW328" i="82"/>
  <c r="AW329" i="82" s="1"/>
  <c r="AW336" i="82" s="1"/>
  <c r="D28" i="91"/>
  <c r="D29" i="91"/>
  <c r="E336" i="82" l="1"/>
  <c r="D24" i="91"/>
  <c r="D23" i="91"/>
  <c r="D22" i="91"/>
  <c r="D19" i="91"/>
  <c r="D18" i="91"/>
  <c r="D17" i="91"/>
  <c r="D16" i="91"/>
  <c r="L30" i="88"/>
  <c r="M30" i="88"/>
  <c r="G30" i="88" s="1"/>
  <c r="C259" i="28"/>
  <c r="E259" i="28"/>
  <c r="L259" i="28" s="1"/>
  <c r="E30" i="88" s="1"/>
  <c r="A259" i="28"/>
  <c r="D31" i="91" l="1"/>
  <c r="D26" i="91"/>
  <c r="D13" i="91" l="1"/>
  <c r="D33" i="91"/>
  <c r="D15" i="91"/>
  <c r="D14" i="91"/>
  <c r="E219" i="28"/>
  <c r="C228" i="28" l="1"/>
  <c r="E218" i="28" l="1"/>
  <c r="E231" i="28" l="1"/>
  <c r="L219" i="28" l="1"/>
  <c r="C219" i="28"/>
  <c r="E279" i="82" l="1"/>
  <c r="F279" i="82"/>
  <c r="G279" i="82"/>
  <c r="H279" i="82"/>
  <c r="I279" i="82"/>
  <c r="J279" i="82"/>
  <c r="K279" i="82"/>
  <c r="L279" i="82"/>
  <c r="M279" i="82"/>
  <c r="N279" i="82"/>
  <c r="O279" i="82"/>
  <c r="P279" i="82"/>
  <c r="Q279" i="82"/>
  <c r="R279" i="82"/>
  <c r="S279" i="82"/>
  <c r="T279" i="82"/>
  <c r="U279" i="82"/>
  <c r="V279" i="82"/>
  <c r="W279" i="82"/>
  <c r="X279" i="82"/>
  <c r="Y279" i="82"/>
  <c r="Z279" i="82"/>
  <c r="AA279" i="82"/>
  <c r="AB279" i="82"/>
  <c r="AC279" i="82"/>
  <c r="AD279" i="82"/>
  <c r="AE279" i="82"/>
  <c r="AF279" i="82"/>
  <c r="AG279" i="82"/>
  <c r="AH279" i="82"/>
  <c r="AI279" i="82"/>
  <c r="AJ279" i="82"/>
  <c r="AK279" i="82"/>
  <c r="AL279" i="82"/>
  <c r="AM279" i="82"/>
  <c r="AN279" i="82"/>
  <c r="AO279" i="82"/>
  <c r="AP279" i="82"/>
  <c r="AQ279" i="82"/>
  <c r="AR279" i="82"/>
  <c r="AS279" i="82"/>
  <c r="AT279" i="82"/>
  <c r="AU279" i="82"/>
  <c r="AV279" i="82"/>
  <c r="AW279" i="82"/>
  <c r="AX279" i="82"/>
  <c r="AY279" i="82"/>
  <c r="AZ279" i="82"/>
  <c r="BA279" i="82"/>
  <c r="BB279" i="82"/>
  <c r="BC279" i="82"/>
  <c r="BD279" i="82"/>
  <c r="BE279" i="82"/>
  <c r="BF279" i="82"/>
  <c r="BG279" i="82"/>
  <c r="BH279" i="82"/>
  <c r="BI279" i="82"/>
  <c r="BJ279" i="82"/>
  <c r="BK279" i="82"/>
  <c r="BL279" i="82"/>
  <c r="BM279" i="82"/>
  <c r="BN279" i="82"/>
  <c r="BO279" i="82"/>
  <c r="BP279" i="82"/>
  <c r="BQ279" i="82"/>
  <c r="BR279" i="82"/>
  <c r="D279" i="82"/>
  <c r="D25" i="91" l="1"/>
  <c r="E146" i="28" l="1"/>
  <c r="E147" i="28"/>
  <c r="M13" i="88"/>
  <c r="D35" i="91" l="1"/>
  <c r="C220" i="28" l="1"/>
  <c r="E230" i="28"/>
  <c r="E229" i="28"/>
  <c r="C109" i="72" l="1"/>
  <c r="E21" i="1" l="1"/>
  <c r="E14" i="1"/>
  <c r="E11" i="1"/>
  <c r="E264" i="1" l="1"/>
  <c r="E261" i="1"/>
  <c r="E260" i="1"/>
  <c r="E255" i="1"/>
  <c r="E256" i="1"/>
  <c r="E257" i="1"/>
  <c r="E258" i="1"/>
  <c r="E259" i="1"/>
  <c r="E254" i="1"/>
  <c r="E251" i="1"/>
  <c r="E249" i="1"/>
  <c r="E247" i="1"/>
  <c r="E245" i="1"/>
  <c r="E243" i="1"/>
  <c r="E244" i="1"/>
  <c r="E242" i="1"/>
  <c r="E238" i="1"/>
  <c r="E227"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s="1"/>
  <c r="G40" i="88" l="1"/>
  <c r="E225" i="28"/>
  <c r="E258" i="28"/>
  <c r="E4" i="99" l="1"/>
  <c r="C4" i="99"/>
  <c r="B4" i="99"/>
  <c r="B44" i="91" l="1"/>
  <c r="B42" i="91"/>
  <c r="B40" i="91"/>
  <c r="B3" i="93" l="1"/>
  <c r="G71" i="28" l="1"/>
  <c r="G245" i="1"/>
  <c r="G244" i="1"/>
  <c r="G126" i="1"/>
  <c r="G100" i="1"/>
  <c r="G69" i="1" l="1"/>
  <c r="E257" i="28" l="1"/>
  <c r="C257"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11" i="89" l="1"/>
  <c r="B7"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E204" i="1" l="1"/>
  <c r="E295" i="1" s="1"/>
  <c r="E191" i="1"/>
  <c r="E198" i="1"/>
  <c r="E294" i="1" s="1"/>
  <c r="E210" i="1"/>
  <c r="Y269" i="28"/>
  <c r="X267" i="28"/>
  <c r="X266" i="28"/>
  <c r="X269" i="28" s="1"/>
  <c r="Z269" i="28" s="1"/>
  <c r="E293" i="1" l="1"/>
  <c r="E296" i="1"/>
  <c r="E211" i="1"/>
  <c r="E297" i="1" s="1"/>
  <c r="E292" i="1" l="1"/>
  <c r="E299" i="1" s="1"/>
  <c r="A290" i="1"/>
  <c r="G114" i="1" l="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L28" i="88" l="1"/>
  <c r="L19" i="88"/>
  <c r="M28" i="88"/>
  <c r="M19" i="88"/>
  <c r="L27" i="88"/>
  <c r="Q25" i="88"/>
  <c r="M25" i="88" s="1"/>
  <c r="L15" i="88"/>
  <c r="P25" i="88"/>
  <c r="L25" i="88" s="1"/>
  <c r="P16" i="88"/>
  <c r="L16" i="88" s="1"/>
  <c r="M24" i="88"/>
  <c r="Q16" i="88"/>
  <c r="M16" i="88" s="1"/>
  <c r="M15" i="88"/>
  <c r="M21" i="88"/>
  <c r="D21" i="88" s="1"/>
  <c r="L11" i="88"/>
  <c r="L24" i="88"/>
  <c r="L21" i="88"/>
  <c r="C21" i="88" s="1"/>
  <c r="M11" i="88"/>
  <c r="M18" i="88"/>
  <c r="M27" i="88"/>
  <c r="L18"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<sst xmlns="http://schemas.openxmlformats.org/spreadsheetml/2006/main" count="6794" uniqueCount="2745">
  <si>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</si>
  <si>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</si>
  <si>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</si>
  <si>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</si>
  <si>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</si>
  <si>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</si>
  <si>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</si>
  <si>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</si>
  <si>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</si>
  <si>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</si>
  <si>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</si>
  <si>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</si>
  <si>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</si>
  <si>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</si>
  <si>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</si>
  <si>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</si>
  <si>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</si>
  <si>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</si>
  <si>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</si>
  <si>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</si>
  <si>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</si>
  <si>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</si>
  <si>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</si>
  <si>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</si>
  <si>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</si>
  <si>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</si>
  <si>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</si>
  <si>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</si>
  <si>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</si>
  <si>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</si>
  <si>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</si>
  <si>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</si>
  <si>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</si>
  <si>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</si>
  <si>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</si>
  <si>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</si>
  <si>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</si>
  <si>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</si>
  <si>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</si>
  <si>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</si>
  <si>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</si>
  <si>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</si>
  <si>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</si>
  <si>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</si>
  <si>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</si>
  <si>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</si>
  <si>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</si>
  <si>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</si>
  <si>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</si>
  <si>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</si>
  <si>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</si>
  <si>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</si>
  <si>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</si>
  <si>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</si>
  <si>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</si>
  <si>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</si>
  <si>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</si>
  <si>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</si>
  <si>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</si>
  <si>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</si>
  <si>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</si>
  <si>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</si>
  <si>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</si>
  <si>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</si>
  <si>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</si>
  <si>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</si>
  <si>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</si>
  <si>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</si>
  <si>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</si>
  <si>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</si>
  <si>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</si>
  <si>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</si>
  <si>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</si>
  <si>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</si>
  <si>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</si>
  <si>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</si>
  <si>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</si>
  <si>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</si>
  <si>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</si>
  <si>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</si>
  <si>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</si>
  <si>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</si>
  <si>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</si>
  <si>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</si>
  <si>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</si>
  <si>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</si>
  <si>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</si>
  <si>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</si>
  <si>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</si>
  <si>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</si>
  <si>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</si>
  <si>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</si>
  <si>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</si>
  <si>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</si>
  <si>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</si>
  <si>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</si>
  <si>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</si>
  <si>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</si>
  <si>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</si>
  <si>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</si>
  <si>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</si>
  <si>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</si>
  <si>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</si>
  <si>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</si>
  <si>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</si>
  <si>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</si>
  <si>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</si>
  <si>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</si>
  <si>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</si>
  <si>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</si>
  <si>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</si>
  <si>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</si>
  <si>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</si>
  <si>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</si>
  <si>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</si>
  <si>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</si>
  <si>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</si>
  <si>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</si>
  <si>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</si>
  <si>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</si>
  <si>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</si>
  <si>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</si>
  <si>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</si>
  <si>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</si>
  <si>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</si>
  <si>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</si>
  <si>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</si>
  <si>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</si>
  <si>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</si>
  <si>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</si>
  <si>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</si>
  <si>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</si>
  <si>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</si>
  <si>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</si>
  <si>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</si>
  <si>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</si>
  <si>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</si>
  <si>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</si>
  <si>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</si>
  <si>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</si>
  <si>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</si>
  <si>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</si>
  <si>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</si>
  <si>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</si>
  <si>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</si>
  <si>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</si>
  <si>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</si>
  <si>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</si>
  <si>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</si>
  <si>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</si>
  <si>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</si>
  <si>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</si>
  <si>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</si>
  <si>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</si>
  <si>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</si>
  <si>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</si>
  <si>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</si>
  <si>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</si>
  <si>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</si>
  <si>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</si>
  <si>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</si>
  <si>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</si>
  <si>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</si>
  <si>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</si>
  <si>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</si>
  <si>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</si>
  <si>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</si>
  <si>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</si>
  <si>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</si>
  <si>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</si>
  <si>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</si>
  <si>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</si>
  <si>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</si>
  <si>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</si>
  <si>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</si>
  <si>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</si>
  <si>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</si>
  <si>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</si>
  <si>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</si>
  <si>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</si>
  <si>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</si>
  <si>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</si>
  <si>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</si>
  <si>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</si>
  <si>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</si>
  <si>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</si>
  <si>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</si>
  <si>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</si>
  <si>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</si>
  <si>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</si>
  <si>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</si>
  <si>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</si>
  <si>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</si>
  <si>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</si>
  <si>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</si>
  <si>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</si>
  <si>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</si>
  <si>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</si>
  <si>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</si>
  <si>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</si>
  <si>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</si>
  <si>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</si>
  <si>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</si>
  <si>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</si>
  <si>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</si>
  <si>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</si>
  <si>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</si>
  <si>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</si>
  <si>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</si>
  <si>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</si>
  <si>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</si>
  <si>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</si>
  <si>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</si>
  <si>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</si>
  <si>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</si>
  <si>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</si>
  <si>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</si>
  <si>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</si>
  <si>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</si>
  <si>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</si>
  <si>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</si>
  <si>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</si>
  <si>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</si>
  <si>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</si>
  <si>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</si>
  <si>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</si>
  <si>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</si>
  <si>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</si>
  <si>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</si>
  <si>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</si>
  <si>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</si>
  <si>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</si>
  <si>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</si>
  <si>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</si>
  <si>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</si>
  <si>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</si>
  <si>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</si>
  <si>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</si>
  <si>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</si>
  <si>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</si>
  <si>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</si>
  <si>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</si>
  <si>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</si>
  <si>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</si>
  <si>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</si>
  <si>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</si>
  <si>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</si>
  <si>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</si>
  <si>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</si>
  <si>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</si>
  <si>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</si>
  <si>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</si>
  <si>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</si>
  <si>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</si>
  <si>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</si>
  <si>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</si>
  <si>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</si>
  <si>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</si>
  <si>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</si>
  <si>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</si>
  <si>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</si>
  <si>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</si>
  <si>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</si>
  <si>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</si>
  <si>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</si>
  <si>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</si>
  <si>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</si>
  <si>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</si>
  <si>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</si>
  <si>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</si>
  <si>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</si>
  <si>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</si>
  <si>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</si>
  <si>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</si>
  <si>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</si>
  <si>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</si>
  <si>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</si>
  <si>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</si>
  <si>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</si>
  <si>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</si>
  <si>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</si>
  <si>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</si>
  <si>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</si>
  <si>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</si>
  <si>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</si>
  <si>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</si>
  <si>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</si>
  <si>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</si>
  <si>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</si>
  <si>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</si>
  <si>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</si>
  <si>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</si>
  <si>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</si>
  <si>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</si>
  <si>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</si>
  <si>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</si>
  <si>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</si>
  <si>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</si>
  <si>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</si>
  <si>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</si>
  <si>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</si>
  <si>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</si>
  <si>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</si>
  <si>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</si>
  <si>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</si>
  <si>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</si>
  <si>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</si>
  <si>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</si>
  <si>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</si>
  <si>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</si>
  <si>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</si>
  <si>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</si>
  <si>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</si>
  <si>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</si>
  <si>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</si>
  <si>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</si>
  <si>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</si>
  <si>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</si>
  <si>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</si>
  <si>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</si>
  <si>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</si>
  <si>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</si>
  <si>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</si>
  <si>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</si>
  <si>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</si>
  <si>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</si>
  <si>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</si>
  <si>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</si>
  <si>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</si>
  <si>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</si>
  <si>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</si>
  <si>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</si>
  <si>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</si>
  <si>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</si>
  <si>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</si>
  <si>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</si>
  <si>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</si>
  <si>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</si>
  <si>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</si>
  <si>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</si>
  <si>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</si>
  <si>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</si>
  <si>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</si>
  <si>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</si>
  <si>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</si>
  <si>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</si>
  <si>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</si>
  <si>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</si>
  <si>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</si>
  <si>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</si>
  <si>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</si>
  <si>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</si>
  <si>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</si>
  <si>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</si>
  <si>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</si>
  <si>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</si>
  <si>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</si>
  <si>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</si>
  <si>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</si>
  <si>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</si>
  <si>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</si>
  <si>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</si>
  <si>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</si>
  <si>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</si>
  <si>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</si>
  <si>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</si>
  <si>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</si>
  <si>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</si>
  <si>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</si>
  <si>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</si>
  <si>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</si>
  <si>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</si>
  <si>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</si>
  <si>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</si>
  <si>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</si>
  <si>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</si>
  <si>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</si>
  <si>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</si>
  <si>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</si>
  <si>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</si>
  <si>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</si>
  <si>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</si>
  <si>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</si>
  <si>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</si>
  <si>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</si>
  <si>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</si>
  <si>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</si>
  <si>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</si>
  <si>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</si>
  <si>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</si>
  <si>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</si>
  <si>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</si>
  <si>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</si>
  <si>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</si>
  <si>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</si>
  <si>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</si>
  <si>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</si>
  <si>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</si>
  <si>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</si>
  <si>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</si>
  <si>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</si>
  <si>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</si>
  <si>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</si>
  <si>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</si>
  <si>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</si>
  <si>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</si>
  <si>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</si>
  <si>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</si>
  <si>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</si>
  <si>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</si>
  <si>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</si>
  <si>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</si>
  <si>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</si>
  <si>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</si>
  <si>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</si>
  <si>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</si>
  <si>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</si>
  <si>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</si>
  <si>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</si>
  <si>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</si>
  <si>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</si>
  <si>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</si>
  <si>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</si>
  <si>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</si>
  <si>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</si>
  <si>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</si>
  <si>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</si>
  <si>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</si>
  <si>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</si>
  <si>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</si>
  <si>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</si>
  <si>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</si>
  <si>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</si>
  <si>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</si>
  <si>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</si>
  <si>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</si>
  <si>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</si>
  <si>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</si>
  <si>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</si>
  <si>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</si>
  <si>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</si>
  <si>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</si>
  <si>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</si>
  <si>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</si>
  <si>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</si>
  <si>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</si>
  <si>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</si>
  <si>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</si>
  <si>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</si>
  <si>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</si>
  <si>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</si>
  <si>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</si>
  <si>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</si>
  <si>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</si>
  <si>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</si>
  <si>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</si>
  <si>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</si>
  <si>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</si>
  <si>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</si>
  <si>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</si>
  <si>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</si>
  <si>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</si>
  <si>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</si>
  <si>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</si>
  <si>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</si>
  <si>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</si>
  <si>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</si>
  <si>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</si>
  <si>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</si>
  <si>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</si>
  <si>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</si>
  <si>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</si>
  <si>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</si>
  <si>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</si>
  <si>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</si>
  <si>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</si>
  <si>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</si>
  <si>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</si>
  <si>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</si>
  <si>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</si>
  <si>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</si>
  <si>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</si>
  <si>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</si>
  <si>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</si>
  <si>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</si>
  <si>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</si>
  <si>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</si>
  <si>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Colerain</t>
  </si>
  <si>
    <t>Columbia</t>
  </si>
  <si>
    <t>Dobbins Heights</t>
  </si>
  <si>
    <t>Dover</t>
  </si>
  <si>
    <t>Earl</t>
  </si>
  <si>
    <t>East Laurinburg</t>
  </si>
  <si>
    <t>East Spencer</t>
  </si>
  <si>
    <t>Edgecombe County</t>
  </si>
  <si>
    <t>Ellerbe</t>
  </si>
  <si>
    <t>Elm City</t>
  </si>
  <si>
    <t>Enfield</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</si>
  <si>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</si>
  <si>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</si>
  <si>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</si>
  <si>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</si>
  <si>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</si>
  <si>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</si>
  <si>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</si>
  <si>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</si>
  <si>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</si>
  <si>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</si>
  <si>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</si>
  <si>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</si>
  <si>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</si>
  <si>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</si>
  <si>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</si>
  <si>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</si>
  <si>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</si>
  <si>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</si>
  <si>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</si>
  <si>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</si>
  <si>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</si>
  <si>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</si>
  <si>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</si>
  <si>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</si>
  <si>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</si>
  <si>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</si>
  <si>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</si>
  <si>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</si>
  <si>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</si>
  <si>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</si>
  <si>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</si>
  <si>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</si>
  <si>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</si>
  <si>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</si>
  <si>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</si>
  <si>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</si>
  <si>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</si>
  <si>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</si>
  <si>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</si>
  <si>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</si>
  <si>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</si>
  <si>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</si>
  <si>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</si>
  <si>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</si>
  <si>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</si>
  <si>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</si>
  <si>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</si>
  <si>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</si>
  <si>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</si>
  <si>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</si>
  <si>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</si>
  <si>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</si>
  <si>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</si>
  <si>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</si>
  <si>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</si>
  <si>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</si>
  <si>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</si>
  <si>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</si>
  <si>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</si>
  <si>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</si>
  <si>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</si>
  <si>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</si>
  <si>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</si>
  <si>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</si>
  <si>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</si>
  <si>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</si>
  <si>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</si>
  <si>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</si>
  <si>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</si>
  <si>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</si>
  <si>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</si>
  <si>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</si>
  <si>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</si>
  <si>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</si>
  <si>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</si>
  <si>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</si>
  <si>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</si>
  <si>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</si>
  <si>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</si>
  <si>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</si>
  <si>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</si>
  <si>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</si>
  <si>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</si>
  <si>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</si>
  <si>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</si>
  <si>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</si>
  <si>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</si>
  <si>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</si>
  <si>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</si>
  <si>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</si>
  <si>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</si>
  <si>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</si>
  <si>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</si>
  <si>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</si>
  <si>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</si>
  <si>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</si>
  <si>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</si>
  <si>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</si>
  <si>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</si>
  <si>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</si>
  <si>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</si>
  <si>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</si>
  <si>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</si>
  <si>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</si>
  <si>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</si>
  <si>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</si>
  <si>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</si>
  <si>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</si>
  <si>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</si>
  <si>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</si>
  <si>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</si>
  <si>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</si>
  <si>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</si>
  <si>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</si>
  <si>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</si>
  <si>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</si>
  <si>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</si>
  <si>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</si>
  <si>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</si>
  <si>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</si>
  <si>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</si>
  <si>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</si>
  <si>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</si>
  <si>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</si>
  <si>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</si>
  <si>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</si>
  <si>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</si>
  <si>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</si>
  <si>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</si>
  <si>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</si>
  <si>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</si>
  <si>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</si>
  <si>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</si>
  <si>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</si>
  <si>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</si>
  <si>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</si>
  <si>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</si>
  <si>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</si>
  <si>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</si>
  <si>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</si>
  <si>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</si>
  <si>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</si>
  <si>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</si>
  <si>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</si>
  <si>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</si>
  <si>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</si>
  <si>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</si>
  <si>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</si>
  <si>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</si>
  <si>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</si>
  <si>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</si>
  <si>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</si>
  <si>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</si>
  <si>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</si>
  <si>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</si>
  <si>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</si>
  <si>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</si>
  <si>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</si>
  <si>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</si>
  <si>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</si>
  <si>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</si>
  <si>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</si>
  <si>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</si>
  <si>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</si>
  <si>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</si>
  <si>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</si>
  <si>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</si>
  <si>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</si>
  <si>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</si>
  <si>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</si>
  <si>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</si>
  <si>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</si>
  <si>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</si>
  <si>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</si>
  <si>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</si>
  <si>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</si>
  <si>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</si>
  <si>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</si>
  <si>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</si>
  <si>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</si>
  <si>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</si>
  <si>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</si>
  <si>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</si>
  <si>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</si>
  <si>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</si>
  <si>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</si>
  <si>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</si>
  <si>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</si>
  <si>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</si>
  <si>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</si>
  <si>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</si>
  <si>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</si>
  <si>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</si>
  <si>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</si>
  <si>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</si>
  <si>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</si>
  <si>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</si>
  <si>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</si>
  <si>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</si>
  <si>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</si>
  <si>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</si>
  <si>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</si>
  <si>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</si>
  <si>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</si>
  <si>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</si>
  <si>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</si>
  <si>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</si>
  <si>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</si>
  <si>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</si>
  <si>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</si>
  <si>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</si>
  <si>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</si>
  <si>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</si>
  <si>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</si>
  <si>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</si>
  <si>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</si>
  <si>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</si>
  <si>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</si>
  <si>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</si>
  <si>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</si>
  <si>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</si>
  <si>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</si>
  <si>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</si>
  <si>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</si>
  <si>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</si>
  <si>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</si>
  <si>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</si>
  <si>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</si>
  <si>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</si>
  <si>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</si>
  <si>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</si>
  <si>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</si>
  <si>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</si>
  <si>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</si>
  <si>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</si>
  <si>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</si>
  <si>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</si>
  <si>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</si>
  <si>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</si>
  <si>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</si>
  <si>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</si>
  <si>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</si>
  <si>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</si>
  <si>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</si>
  <si>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</si>
  <si>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</si>
  <si>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</si>
  <si>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</si>
  <si>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</si>
  <si>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</si>
  <si>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</si>
  <si>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</si>
  <si>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</si>
  <si>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</si>
  <si>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</si>
  <si>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</si>
  <si>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</si>
  <si>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</si>
  <si>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</si>
  <si>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</si>
  <si>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</si>
  <si>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</si>
  <si>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</si>
  <si>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</si>
  <si>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</si>
  <si>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</si>
  <si>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</si>
  <si>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</si>
  <si>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</si>
  <si>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</si>
  <si>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</si>
  <si>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</si>
  <si>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</si>
  <si>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</si>
  <si>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</si>
  <si>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</si>
  <si>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</si>
  <si>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</si>
  <si>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</si>
  <si>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</si>
  <si>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</si>
  <si>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</si>
  <si>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</si>
  <si>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</si>
  <si>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</si>
  <si>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</si>
  <si>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</si>
  <si>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</si>
  <si>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</si>
  <si>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</si>
  <si>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</si>
  <si>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</si>
  <si>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</si>
  <si>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</si>
  <si>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</si>
  <si>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</si>
  <si>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</si>
  <si>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</si>
  <si>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</si>
  <si>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</si>
  <si>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</si>
  <si>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</si>
  <si>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</si>
  <si>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</si>
  <si>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</si>
  <si>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</si>
  <si>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</si>
  <si>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</si>
  <si>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</si>
  <si>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</si>
  <si>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</si>
  <si>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</si>
  <si>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</si>
  <si>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</si>
  <si>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</si>
  <si>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</si>
  <si>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</si>
  <si>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</si>
  <si>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</si>
  <si>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</si>
  <si>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</si>
  <si>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</si>
  <si>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</si>
  <si>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</si>
  <si>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</si>
  <si>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</si>
  <si>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</si>
  <si>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</si>
  <si>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</si>
  <si>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</si>
  <si>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</si>
  <si>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</si>
  <si>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</si>
  <si>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</si>
  <si>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</si>
  <si>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</si>
  <si>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</si>
  <si>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</si>
  <si>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</si>
  <si>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</si>
  <si>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</si>
  <si>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</si>
  <si>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</si>
  <si>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</si>
  <si>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</si>
  <si>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</si>
  <si>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</si>
  <si>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</si>
  <si>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</si>
  <si>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</si>
  <si>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</si>
  <si>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</si>
  <si>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</si>
  <si>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</si>
  <si>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</si>
  <si>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</si>
  <si>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</si>
  <si>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</si>
  <si>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</si>
  <si>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</si>
  <si>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</si>
  <si>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</si>
  <si>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</si>
  <si>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</si>
  <si>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</si>
  <si>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</si>
  <si>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</si>
  <si>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</si>
  <si>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</si>
  <si>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</si>
  <si>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</si>
  <si>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</si>
  <si>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</si>
  <si>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</si>
  <si>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</si>
  <si>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</si>
  <si>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</si>
  <si>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</si>
  <si>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</si>
  <si>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</si>
  <si>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WS - Total Current Assets</t>
  </si>
  <si>
    <t>WS - Select Current Liabilities</t>
  </si>
  <si>
    <t>Electric - Total Current Assets</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</si>
  <si>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</si>
  <si>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</si>
  <si>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</si>
  <si>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</si>
  <si>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</si>
  <si>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</si>
  <si>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</si>
  <si>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</si>
  <si>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Amount of the Water Sewer Fund Balance appropriated in next year's budget</t>
  </si>
  <si>
    <t>OPEB
1-implicit rate only
2-no benefit
3-benfit
4- state health plan</t>
  </si>
  <si>
    <t>Yes  or "1" indicates unit has defined benefit other than the ones adm. By the state</t>
  </si>
  <si>
    <t>WS-Advance From - Liability</t>
  </si>
  <si>
    <t>WS-Advance To - Asset</t>
  </si>
  <si>
    <t>Electric-Advance From - Liability</t>
  </si>
  <si>
    <t>Electric-Advance To - Asset</t>
  </si>
  <si>
    <t>GF - Advance to</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</si>
  <si>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</si>
  <si>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</si>
  <si>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</si>
  <si>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</si>
  <si>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</si>
  <si>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</si>
  <si>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</si>
  <si>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</si>
  <si>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</si>
  <si>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</si>
  <si>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</si>
  <si>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</si>
  <si>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</si>
  <si>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</si>
  <si>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</si>
  <si>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</si>
  <si>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</si>
  <si>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</si>
  <si>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</si>
  <si>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</si>
  <si>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</si>
  <si>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</si>
  <si>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Leslie</t>
  </si>
  <si>
    <t>Susan</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</si>
  <si>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</si>
  <si>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</si>
  <si>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</si>
  <si>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</si>
  <si>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</si>
  <si>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1/1/2010</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</si>
  <si>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</si>
  <si>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</si>
  <si>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</si>
  <si>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</si>
  <si>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</si>
  <si>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</si>
  <si>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</si>
  <si>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</si>
  <si>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</si>
  <si>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</si>
  <si>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</si>
  <si>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Town Clerk</t>
  </si>
  <si>
    <t>Town Manager</t>
  </si>
  <si>
    <t>Date the FO signed the Data Input worksheet</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</si>
  <si>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</si>
  <si>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</si>
  <si>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</si>
  <si>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</si>
  <si>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</si>
  <si>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</si>
  <si>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</si>
  <si>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</si>
  <si>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</si>
  <si>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</si>
  <si>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</si>
  <si>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</si>
  <si>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</si>
  <si>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</si>
  <si>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</si>
  <si>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</si>
  <si>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</si>
  <si>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</si>
  <si>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</si>
  <si>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</si>
  <si>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</si>
  <si>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</si>
  <si>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</si>
  <si>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</si>
  <si>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</si>
  <si>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</si>
  <si>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</si>
  <si>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</si>
  <si>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</si>
  <si>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</si>
  <si>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</si>
  <si>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</si>
  <si>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</si>
  <si>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</si>
  <si>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</si>
  <si>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</si>
  <si>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</si>
  <si>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</si>
  <si>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</si>
  <si>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</si>
  <si>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</si>
  <si>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</si>
  <si>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</si>
  <si>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</si>
  <si>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</si>
  <si>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</si>
  <si>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</si>
  <si>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</si>
  <si>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</si>
  <si>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</si>
  <si>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</si>
  <si>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</si>
  <si>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</si>
  <si>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</si>
  <si>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</si>
  <si>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</si>
  <si>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</si>
  <si>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</si>
  <si>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</si>
  <si>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</si>
  <si>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</si>
  <si>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</si>
  <si>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</si>
  <si>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</si>
  <si>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</si>
  <si>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</si>
  <si>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</si>
  <si>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</si>
  <si>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</si>
  <si>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</si>
  <si>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</si>
  <si>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</si>
  <si>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</si>
  <si>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</si>
  <si>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</si>
  <si>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</si>
  <si>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</si>
  <si>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</si>
  <si>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</si>
  <si>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</si>
  <si>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</si>
  <si>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</si>
  <si>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</si>
  <si>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</si>
  <si>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</si>
  <si>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</si>
  <si>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</si>
  <si>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</si>
  <si>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</si>
  <si>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</si>
  <si>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</si>
  <si>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</si>
  <si>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</si>
  <si>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</si>
  <si>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</si>
  <si>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</si>
  <si>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</si>
  <si>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</si>
  <si>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</si>
  <si>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</si>
  <si>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</si>
  <si>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</si>
  <si>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</si>
  <si>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</si>
  <si>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</si>
  <si>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</si>
  <si>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</si>
  <si>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</si>
  <si>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</si>
  <si>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</si>
  <si>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</si>
  <si>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</si>
  <si>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</si>
  <si>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</si>
  <si>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</si>
  <si>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</si>
  <si>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</si>
  <si>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</si>
  <si>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</si>
  <si>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</si>
  <si>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</si>
  <si>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Linda</t>
  </si>
  <si>
    <t>1/1/2015</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</si>
  <si>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</si>
  <si>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</si>
  <si>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</si>
  <si>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</si>
  <si>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</si>
  <si>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</si>
  <si>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</si>
  <si>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</si>
  <si>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</si>
  <si>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</si>
  <si>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</si>
  <si>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</si>
  <si>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</si>
  <si>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</si>
  <si>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</si>
  <si>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</si>
  <si>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</si>
  <si>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</si>
  <si>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</si>
  <si>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</si>
  <si>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</si>
  <si>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</si>
  <si>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</si>
  <si>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</si>
  <si>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</si>
  <si>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</si>
  <si>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</si>
  <si>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</si>
  <si>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</si>
  <si>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</si>
  <si>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</si>
  <si>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</si>
  <si>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</si>
  <si>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</si>
  <si>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</si>
  <si>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</si>
  <si>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</si>
  <si>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</si>
  <si>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</si>
  <si>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</si>
  <si>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</si>
  <si>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</si>
  <si>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</si>
  <si>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</si>
  <si>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</si>
  <si>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</si>
  <si>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</si>
  <si>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</si>
  <si>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</si>
  <si>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</si>
  <si>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</si>
  <si>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</si>
  <si>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</si>
  <si>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</si>
  <si>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</si>
  <si>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</si>
  <si>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</si>
  <si>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</si>
  <si>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</si>
  <si>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</si>
  <si>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</si>
  <si>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</si>
  <si>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</si>
  <si>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</si>
  <si>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</si>
  <si>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</si>
  <si>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</si>
  <si>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</si>
  <si>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</si>
  <si>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</si>
  <si>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</si>
  <si>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</si>
  <si>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</si>
  <si>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</si>
  <si>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</si>
  <si>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</si>
  <si>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</si>
  <si>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</si>
  <si>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</si>
  <si>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</si>
  <si>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</si>
  <si>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</si>
  <si>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</si>
  <si>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</si>
  <si>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</si>
  <si>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</si>
  <si>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</si>
  <si>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</si>
  <si>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</si>
  <si>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</si>
  <si>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</si>
  <si>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</si>
  <si>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</si>
  <si>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</si>
  <si>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</si>
  <si>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</si>
  <si>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</si>
  <si>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</si>
  <si>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</si>
  <si>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</si>
  <si>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</si>
  <si>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</si>
  <si>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</si>
  <si>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</si>
  <si>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</si>
  <si>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</si>
  <si>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</si>
  <si>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</si>
  <si>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</si>
  <si>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</si>
  <si>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</si>
  <si>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</si>
  <si>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</si>
  <si>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</si>
  <si>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</si>
  <si>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</si>
  <si>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</si>
  <si>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</si>
  <si>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</si>
  <si>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</si>
  <si>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</si>
  <si>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</si>
  <si>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</si>
  <si>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</si>
  <si>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</si>
  <si>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</si>
  <si>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</si>
  <si>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</si>
  <si>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</si>
  <si>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</si>
  <si>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</si>
  <si>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</si>
  <si>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</si>
  <si>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</si>
  <si>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</si>
  <si>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</si>
  <si>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</si>
  <si>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</si>
  <si>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</si>
  <si>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</si>
  <si>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</si>
  <si>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</si>
  <si>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</si>
  <si>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</si>
  <si>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</si>
  <si>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</si>
  <si>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</si>
  <si>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</si>
  <si>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</si>
  <si>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</si>
  <si>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</si>
  <si>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</si>
  <si>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</si>
  <si>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</si>
  <si>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</si>
  <si>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</si>
  <si>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</si>
  <si>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</si>
  <si>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</si>
  <si>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</si>
  <si>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</si>
  <si>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</si>
  <si>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</si>
  <si>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</si>
  <si>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</si>
  <si>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</si>
  <si>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</si>
  <si>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</si>
  <si>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</si>
  <si>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</si>
  <si>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</si>
  <si>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</si>
  <si>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</si>
  <si>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</si>
  <si>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</si>
  <si>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</si>
  <si>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</si>
  <si>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</si>
  <si>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</si>
  <si>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</si>
  <si>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</si>
  <si>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</si>
  <si>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</si>
  <si>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</si>
  <si>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</si>
  <si>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</si>
  <si>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</si>
  <si>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</si>
  <si>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</si>
  <si>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</si>
  <si>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</si>
  <si>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</si>
  <si>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</si>
  <si>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</si>
  <si>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</si>
  <si>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</si>
  <si>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</si>
  <si>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</si>
  <si>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</si>
  <si>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</si>
  <si>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</si>
  <si>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</si>
  <si>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</si>
  <si>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</si>
  <si>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</si>
  <si>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</si>
  <si>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</si>
  <si>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</si>
  <si>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</si>
  <si>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</si>
  <si>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</si>
  <si>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</si>
  <si>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</si>
  <si>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</si>
  <si>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</si>
  <si>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</si>
  <si>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</si>
  <si>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</si>
  <si>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</si>
  <si>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</si>
  <si>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</si>
  <si>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</si>
  <si>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</si>
  <si>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</si>
  <si>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</si>
  <si>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</si>
  <si>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</si>
  <si>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</si>
  <si>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</si>
  <si>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</si>
  <si>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</si>
  <si>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</si>
  <si>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</si>
  <si>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</si>
  <si>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</si>
  <si>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</si>
  <si>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</si>
  <si>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</si>
  <si>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</si>
  <si>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</si>
  <si>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</si>
  <si>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</si>
  <si>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</si>
  <si>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</si>
  <si>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</si>
  <si>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</si>
  <si>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</si>
  <si>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</si>
  <si>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</si>
  <si>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</si>
  <si>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</si>
  <si>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</si>
  <si>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</si>
  <si>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</si>
  <si>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</si>
  <si>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</si>
  <si>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</si>
  <si>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</si>
  <si>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</si>
  <si>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</si>
  <si>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</si>
  <si>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</si>
  <si>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</si>
  <si>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</si>
  <si>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</si>
  <si>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</si>
  <si>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</si>
  <si>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</si>
  <si>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</si>
  <si>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</si>
  <si>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</si>
  <si>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</si>
  <si>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</si>
  <si>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</si>
  <si>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</si>
  <si>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</si>
  <si>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</si>
  <si>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</si>
  <si>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</si>
  <si>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</si>
  <si>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</si>
  <si>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</si>
  <si>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</si>
  <si>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</si>
  <si>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</si>
  <si>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</si>
  <si>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</si>
  <si>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</si>
  <si>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</si>
  <si>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</si>
  <si>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</si>
  <si>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</si>
  <si>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</si>
  <si>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</si>
  <si>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</si>
  <si>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</si>
  <si>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</si>
  <si>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</si>
  <si>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</si>
  <si>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</si>
  <si>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</si>
  <si>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</si>
  <si>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</si>
  <si>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</si>
  <si>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</si>
  <si>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</si>
  <si>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</si>
  <si>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</si>
  <si>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</si>
  <si>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</si>
  <si>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</si>
  <si>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</si>
  <si>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</si>
  <si>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</si>
  <si>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</si>
  <si>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</si>
  <si>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</si>
  <si>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</si>
  <si>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</si>
  <si>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</si>
  <si>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</si>
  <si>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</si>
  <si>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</si>
  <si>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</si>
  <si>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</si>
  <si>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</si>
  <si>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</si>
  <si>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</si>
  <si>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</si>
  <si>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</si>
  <si>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</si>
  <si>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</si>
  <si>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</si>
  <si>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</si>
  <si>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</si>
  <si>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</si>
  <si>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</si>
  <si>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</si>
  <si>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</si>
  <si>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</si>
  <si>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</si>
  <si>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</si>
  <si>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</si>
  <si>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</si>
  <si>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</si>
  <si>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</si>
  <si>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</si>
  <si>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</si>
  <si>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</si>
  <si>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</si>
  <si>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</si>
  <si>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</si>
  <si>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</si>
  <si>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</si>
  <si>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</si>
  <si>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</si>
  <si>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</si>
  <si>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</si>
  <si>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</si>
  <si>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</si>
  <si>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</si>
  <si>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</si>
  <si>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</si>
  <si>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</si>
  <si>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</si>
  <si>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</si>
  <si>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</si>
  <si>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</si>
  <si>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</si>
  <si>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</si>
  <si>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</si>
  <si>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</si>
  <si>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</si>
  <si>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</si>
  <si>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</si>
  <si>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</si>
  <si>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</si>
  <si>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</si>
  <si>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</si>
  <si>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</si>
  <si>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</si>
  <si>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</si>
  <si>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</si>
  <si>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</si>
  <si>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</si>
  <si>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</si>
  <si>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</si>
  <si>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</si>
  <si>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</si>
  <si>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</si>
  <si>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</si>
  <si>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</si>
  <si>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</si>
  <si>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</si>
  <si>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</si>
  <si>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</si>
  <si>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</si>
  <si>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</si>
  <si>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</si>
  <si>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</si>
  <si>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</si>
  <si>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</si>
  <si>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</si>
  <si>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</si>
  <si>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</si>
  <si>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</si>
  <si>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</si>
  <si>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</si>
  <si>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</si>
  <si>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</si>
  <si>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</si>
  <si>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</si>
  <si>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</si>
  <si>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</si>
  <si>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</si>
  <si>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</si>
  <si>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</si>
  <si>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</si>
  <si>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</si>
  <si>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</si>
  <si>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</si>
  <si>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</si>
  <si>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</si>
  <si>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</si>
  <si>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</si>
  <si>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</si>
  <si>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</si>
  <si>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</si>
  <si>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</si>
  <si>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</si>
  <si>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</si>
  <si>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</si>
  <si>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</si>
  <si>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</si>
  <si>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</si>
  <si>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</si>
  <si>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</si>
  <si>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</si>
  <si>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</si>
  <si>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</si>
  <si>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</si>
  <si>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</si>
  <si>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</si>
  <si>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</si>
  <si>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</si>
  <si>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</si>
  <si>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</si>
  <si>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</si>
  <si>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</si>
  <si>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</si>
  <si>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</si>
  <si>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</si>
  <si>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</si>
  <si>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</si>
  <si>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</si>
  <si>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</si>
  <si>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</si>
  <si>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</si>
  <si>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</si>
  <si>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</si>
  <si>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</si>
  <si>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</si>
  <si>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</si>
  <si>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</si>
  <si>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</si>
  <si>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</si>
  <si>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</si>
  <si>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</si>
  <si>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</si>
  <si>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</si>
  <si>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</si>
  <si>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</si>
  <si>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</si>
  <si>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</si>
  <si>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</si>
  <si>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</si>
  <si>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</si>
  <si>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</si>
  <si>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</si>
  <si>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</si>
  <si>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</si>
  <si>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</si>
  <si>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</si>
  <si>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Diane</t>
  </si>
  <si>
    <t>Tammy</t>
  </si>
  <si>
    <t>Carolyn</t>
  </si>
  <si>
    <t>Wendy</t>
  </si>
  <si>
    <t>Floyd</t>
  </si>
  <si>
    <t>Almond</t>
  </si>
  <si>
    <t>Lewis</t>
  </si>
  <si>
    <t>Evans</t>
  </si>
  <si>
    <t>Wood</t>
  </si>
  <si>
    <t>Smith</t>
  </si>
  <si>
    <t>Williams</t>
  </si>
  <si>
    <t>Holland</t>
  </si>
  <si>
    <t>Moore</t>
  </si>
  <si>
    <t>1/1/2005</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</si>
  <si>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</si>
  <si>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</si>
  <si>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</si>
  <si>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</si>
  <si>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</si>
  <si>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</si>
  <si>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</si>
  <si>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</si>
  <si>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</si>
  <si>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</si>
  <si>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</si>
  <si>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</si>
  <si>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</si>
  <si>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</si>
  <si>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</si>
  <si>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</si>
  <si>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</si>
  <si>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</si>
  <si>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</si>
  <si>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</si>
  <si>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</si>
  <si>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</si>
  <si>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</si>
  <si>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This is a description question that is retained on the data input tab - This information is not uploaded to CCH or our data base</t>
  </si>
  <si>
    <t>Capital -</t>
  </si>
  <si>
    <t>Operations -</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</si>
  <si>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</si>
  <si>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</si>
  <si>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</si>
  <si>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</si>
  <si>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</si>
  <si>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</si>
  <si>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</si>
  <si>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</si>
  <si>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</si>
  <si>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David</t>
  </si>
  <si>
    <t>Lisa</t>
  </si>
  <si>
    <t>Powell</t>
  </si>
  <si>
    <t>Miller</t>
  </si>
  <si>
    <t>Taylor</t>
  </si>
  <si>
    <t>1/25/2023</t>
  </si>
  <si>
    <t>7/1/2022</t>
  </si>
  <si>
    <t>2/17/2023</t>
  </si>
  <si>
    <t>yes</t>
  </si>
  <si>
    <t>1/5/2023</t>
  </si>
  <si>
    <t>2/14/2023</t>
  </si>
  <si>
    <t>1/4/2023</t>
  </si>
  <si>
    <t>11/22/2022</t>
  </si>
  <si>
    <t>11/14/2022</t>
  </si>
  <si>
    <t>11/30/2022</t>
  </si>
  <si>
    <t>10/20/2022</t>
  </si>
  <si>
    <t>10/31/2022</t>
  </si>
  <si>
    <t>12/20/2022</t>
  </si>
  <si>
    <t>11/3/2022</t>
  </si>
  <si>
    <t>11/10/2022</t>
  </si>
  <si>
    <t>11/7/2022</t>
  </si>
  <si>
    <t>11/28/2022</t>
  </si>
  <si>
    <t>9/30/2022</t>
  </si>
  <si>
    <t>12/1/2022</t>
  </si>
  <si>
    <t>10/28/2022</t>
  </si>
  <si>
    <t>11/29/2022</t>
  </si>
  <si>
    <t>3/24/2023</t>
  </si>
  <si>
    <t>11/17/2022</t>
  </si>
  <si>
    <t>10/11/2022</t>
  </si>
  <si>
    <t>11/9/2022</t>
  </si>
  <si>
    <t>5/11/2023</t>
  </si>
  <si>
    <t>12/8/2022</t>
  </si>
  <si>
    <t>12/21/2022</t>
  </si>
  <si>
    <t>Number of other matters that auditor asked the unit to respond to.</t>
  </si>
  <si>
    <t>3/6/2023</t>
  </si>
  <si>
    <t>12/13/2022</t>
  </si>
  <si>
    <t>1/10/2023</t>
  </si>
  <si>
    <t>2/15/2023</t>
  </si>
  <si>
    <t>11/15/2022</t>
  </si>
  <si>
    <t>12/12/2022</t>
  </si>
  <si>
    <t>5/1/2023</t>
  </si>
  <si>
    <t>1/3/2023</t>
  </si>
  <si>
    <t>12/5/2022</t>
  </si>
  <si>
    <t>4/11/2023</t>
  </si>
  <si>
    <t>5/2/2023</t>
  </si>
  <si>
    <t>3/7/2023</t>
  </si>
  <si>
    <t>10/17/2022</t>
  </si>
  <si>
    <t>11/21/2022</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</si>
  <si>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</si>
  <si>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</si>
  <si>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</si>
  <si>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</si>
  <si>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</si>
  <si>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</si>
  <si>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</si>
  <si>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</si>
  <si>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</si>
  <si>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</si>
  <si>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</si>
  <si>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</si>
  <si>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</si>
  <si>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</si>
  <si>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2023-01-05</t>
  </si>
  <si>
    <t>2023-02-28</t>
  </si>
  <si>
    <t>2022-10-27</t>
  </si>
  <si>
    <t>2022-11-29</t>
  </si>
  <si>
    <t>2022-11-30</t>
  </si>
  <si>
    <t>2022-11-10</t>
  </si>
  <si>
    <t>2022-10-31</t>
  </si>
  <si>
    <t>2022-12-21</t>
  </si>
  <si>
    <t>2022-11-28</t>
  </si>
  <si>
    <t>2022-09-30</t>
  </si>
  <si>
    <t>2022-12-01</t>
  </si>
  <si>
    <t>2023-01-20</t>
  </si>
  <si>
    <t>2022-11-22</t>
  </si>
  <si>
    <t>2022-10-17</t>
  </si>
  <si>
    <t>2022-12-20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</si>
  <si>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</si>
  <si>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</si>
  <si>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</si>
  <si>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</si>
  <si>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sum</t>
  </si>
  <si>
    <t>Net Total row 279 less row 326</t>
  </si>
  <si>
    <t>New Account 647 for FY 2020 added to formula and new account 1050 added FY 2022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</si>
  <si>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</si>
  <si>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</si>
  <si>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</si>
  <si>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</si>
  <si>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</si>
  <si>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</si>
  <si>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</si>
  <si>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</si>
  <si>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</si>
  <si>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</si>
  <si>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</si>
  <si>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</si>
  <si>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</si>
  <si>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</si>
  <si>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</si>
  <si>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</si>
  <si>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</si>
  <si>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</si>
  <si>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</si>
  <si>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</si>
  <si>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</si>
  <si>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</si>
  <si>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</si>
  <si>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</si>
  <si>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</si>
  <si>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</si>
  <si>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</si>
  <si>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</si>
  <si>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</si>
  <si>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</si>
  <si>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</si>
  <si>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</si>
  <si>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</si>
  <si>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</si>
  <si>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</si>
  <si>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</si>
  <si>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</si>
  <si>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</si>
  <si>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</si>
  <si>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</si>
  <si>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</si>
  <si>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</si>
  <si>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</si>
  <si>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</si>
  <si>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</si>
  <si>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</si>
  <si>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</si>
  <si>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</si>
  <si>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</si>
  <si>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</si>
  <si>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</si>
  <si>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</si>
  <si>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</si>
  <si>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</si>
  <si>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</si>
  <si>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</si>
  <si>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</si>
  <si>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</si>
  <si>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</si>
  <si>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</si>
  <si>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</si>
  <si>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</si>
  <si>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</si>
  <si>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</si>
  <si>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</si>
  <si>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</si>
  <si>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</si>
  <si>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</si>
  <si>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</si>
  <si>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</si>
  <si>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</si>
  <si>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</si>
  <si>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</si>
  <si>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</si>
  <si>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</si>
  <si>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</si>
  <si>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</si>
  <si>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</si>
  <si>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</si>
  <si>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</si>
  <si>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</si>
  <si>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</si>
  <si>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</si>
  <si>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</si>
  <si>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</si>
  <si>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</si>
  <si>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</si>
  <si>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</si>
  <si>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</si>
  <si>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</si>
  <si>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</si>
  <si>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</si>
  <si>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</si>
  <si>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</si>
  <si>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</si>
  <si>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</si>
  <si>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</si>
  <si>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</si>
  <si>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</si>
  <si>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</si>
  <si>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</si>
  <si>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</si>
  <si>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</si>
  <si>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</si>
  <si>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</si>
  <si>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</si>
  <si>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</si>
  <si>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</si>
  <si>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</si>
  <si>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</si>
  <si>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</si>
  <si>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</si>
  <si>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</si>
  <si>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</si>
  <si>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</si>
  <si>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</si>
  <si>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</si>
  <si>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</si>
  <si>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</si>
  <si>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</si>
  <si>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</si>
  <si>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</si>
  <si>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</si>
  <si>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</si>
  <si>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</si>
  <si>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</si>
  <si>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</si>
  <si>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</si>
  <si>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</si>
  <si>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</si>
  <si>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</si>
  <si>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</si>
  <si>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</si>
  <si>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</si>
  <si>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</si>
  <si>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</si>
  <si>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</si>
  <si>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</si>
  <si>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</si>
  <si>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</si>
  <si>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</si>
  <si>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</si>
  <si>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</si>
  <si>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</si>
  <si>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</si>
  <si>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</si>
  <si>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</si>
  <si>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</si>
  <si>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</si>
  <si>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</si>
  <si>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</si>
  <si>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</si>
  <si>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</si>
  <si>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</si>
  <si>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</si>
  <si>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</si>
  <si>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</si>
  <si>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</si>
  <si>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</si>
  <si>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</si>
  <si>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</si>
  <si>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</si>
  <si>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</si>
  <si>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</si>
  <si>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</si>
  <si>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</si>
  <si>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</si>
  <si>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</si>
  <si>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</si>
  <si>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</si>
  <si>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</si>
  <si>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</si>
  <si>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</si>
  <si>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</si>
  <si>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</si>
  <si>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</si>
  <si>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</si>
  <si>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</si>
  <si>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</si>
  <si>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</si>
  <si>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</si>
  <si>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</si>
  <si>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</si>
  <si>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</si>
  <si>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</si>
  <si>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</si>
  <si>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</si>
  <si>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</si>
  <si>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</si>
  <si>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</si>
  <si>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</si>
  <si>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</si>
  <si>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</si>
  <si>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</si>
  <si>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</si>
  <si>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</si>
  <si>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</si>
  <si>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</si>
  <si>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</si>
  <si>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This indicator advises whether or not the unit has issues with debt service payments or bond covenants.</t>
  </si>
  <si>
    <t>This indicator advises if any other issues that the unit should address in the FPIC response letter.</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</si>
  <si>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</si>
  <si>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</si>
  <si>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</si>
  <si>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</si>
  <si>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</si>
  <si>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</si>
  <si>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</si>
  <si>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</si>
  <si>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</si>
  <si>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</si>
  <si>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</si>
  <si>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</si>
  <si>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</si>
  <si>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</si>
  <si>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</si>
  <si>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</si>
  <si>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</si>
  <si>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</si>
  <si>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</si>
  <si>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</si>
  <si>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</si>
  <si>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</si>
  <si>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</si>
  <si>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</si>
  <si>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</si>
  <si>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</si>
  <si>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</si>
  <si>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</si>
  <si>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</si>
  <si>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</si>
  <si>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</si>
  <si>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</si>
  <si>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</si>
  <si>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</si>
  <si>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</si>
  <si>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</si>
  <si>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</si>
  <si>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</si>
  <si>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</si>
  <si>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</si>
  <si>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</si>
  <si>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</si>
  <si>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</si>
  <si>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</si>
  <si>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</si>
  <si>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</si>
  <si>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</si>
  <si>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</si>
  <si>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</si>
  <si>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Director of Finance</t>
  </si>
  <si>
    <t>7/12/2023</t>
  </si>
  <si>
    <t>8/8/2023</t>
  </si>
  <si>
    <t>12/15/2023</t>
  </si>
  <si>
    <t>Was the finance officer or interim finance officer bonded (Yes or No) pursuant to G.S. 159-29</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</si>
  <si>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</si>
  <si>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</si>
  <si>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</si>
  <si>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answer to 1059 is "No," was the unit without a board-appointed interim or permanent finance officer for more than 2 weeks at any time in the fiscal year</t>
  </si>
  <si>
    <t>Is there is a going concern noted in the audit report</t>
  </si>
  <si>
    <t>Did your audit disclose any budget violations at the adopted ordinance level (Yes or No)</t>
  </si>
  <si>
    <t>Does the Performance Indicator Print worksheet in this workbook have a red shaded cell</t>
  </si>
  <si>
    <t>TD Info Completed by Auditor tab: CCH acct # 1079</t>
  </si>
  <si>
    <t>Please do not answer this question unless the unit has a  water and/or sewer fund</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</si>
  <si>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</si>
  <si>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</si>
  <si>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indicator is to determine if any time during the fiscal year, the unit was without a board-appointed finance officer.</t>
  </si>
  <si>
    <t>Remaining useful life of asset greater than or equal to 0.50</t>
  </si>
  <si>
    <t>What date was the audit report submitted to the LGC?  (Note audit reports are due four months after fiscal year end regardless of the contract submission date.)</t>
  </si>
  <si>
    <t xml:space="preserve">What date was the audit report submitted to the LGC? </t>
  </si>
  <si>
    <t>J</t>
  </si>
  <si>
    <t>C31</t>
  </si>
  <si>
    <t>C30</t>
  </si>
  <si>
    <t>Review</t>
  </si>
  <si>
    <t>The indicator is to determine if any time during the fiscal year, the unit was board-appointed finance officer was not bonded.</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</si>
  <si>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</si>
  <si>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Amount transferred from the Water and Sewer Fund to  Water and Sewer Capital Project Funds</t>
  </si>
  <si>
    <t>Fiscal Review, UAL Determination, Financial Performance Indicator</t>
  </si>
  <si>
    <t>Amount transferred from the Water and Sewer Fund to Water and Sewer Capital Project Funds</t>
  </si>
  <si>
    <t>Does the Unit have a non-state administered pension plan</t>
  </si>
  <si>
    <t>What date was the audit report submitted to the LGC?  (Note audit reports are due four months after fiscal year end regardless of the contract submission date.)  Enter as "MM/DD/YYYY"</t>
  </si>
  <si>
    <t>Capital Assets for Water and Sewer Activity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</si>
  <si>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</si>
  <si>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1/1/2025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</si>
  <si>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"7/1/2024" to indicate that an FPIC response is not required.</t>
    </r>
  </si>
  <si>
    <t xml:space="preserve"> Fiscal Year 2024 -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</si>
  <si>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</si>
  <si>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</si>
  <si>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</si>
  <si>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</si>
  <si>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</si>
  <si>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</si>
  <si>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</si>
  <si>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</si>
  <si>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</si>
  <si>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r>
      <t xml:space="preserve">The questions to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</si>
  <si>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r>
      <t xml:space="preserve">If you appropriated General Fund Balance in your 2024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</si>
  <si>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r>
      <t xml:space="preserve">Please enter the fiscal year end reported on the unit's audited financial statements if other than 6/30/2024.  </t>
    </r>
    <r>
      <rPr>
        <b/>
        <sz val="11"/>
        <color theme="1"/>
        <rFont val="Calibri"/>
        <family val="2"/>
        <scheme val="minor"/>
      </rPr>
      <t xml:space="preserve">Do not delete 6/30/2024 if applicable. </t>
    </r>
    <r>
      <rPr>
        <sz val="11"/>
        <color theme="1"/>
        <rFont val="Calibri"/>
        <family val="2"/>
        <scheme val="minor"/>
      </rPr>
      <t xml:space="preserve">            Format "MM/DD/YYYY"</t>
    </r>
  </si>
  <si>
    <t>Fiscal Year 2024</t>
  </si>
  <si>
    <t>2024-2025</t>
  </si>
  <si>
    <t>reappraisal</t>
  </si>
  <si>
    <t>PROPERTY TAX RATES AND REAPPRAISAL SCHEDULES FOR NORTH CAROLINA COUNTIES</t>
  </si>
  <si>
    <t>did not use this report</t>
  </si>
  <si>
    <t xml:space="preserve">Beaufort, Buncombe, Caldwell, Carteret, Chatham, Cleveland, Cumberland, Dare, Davie, Duplin, Durham, Forsyth, Gates, Haywood, Jackson, Johnston, Lenoir, Martin, New Hanover, Orange, Person, Polk, Stanly, Stokes, Surry, Transylvania, Tyrrell, Union, Warren, Wayne, Wilkes </t>
  </si>
  <si>
    <t>If the fiscal year-end is other than 6/30/2024, 9/30/2024, 12/31/2024 or 3/31/2025, please contact us.</t>
  </si>
  <si>
    <t>Lynn</t>
  </si>
  <si>
    <t>11/3/2023</t>
  </si>
  <si>
    <t>11/17/2023</t>
  </si>
  <si>
    <t>4/8/2024</t>
  </si>
  <si>
    <t>12/4/2023</t>
  </si>
  <si>
    <t>2024-01-03</t>
  </si>
  <si>
    <t>PY2</t>
  </si>
  <si>
    <t>N/A -</t>
  </si>
  <si>
    <t>Hak</t>
  </si>
  <si>
    <t>Brown</t>
  </si>
  <si>
    <t>Ung</t>
  </si>
  <si>
    <t>permanent</t>
  </si>
  <si>
    <t>9/25/2023</t>
  </si>
  <si>
    <t>11/14/2023</t>
  </si>
  <si>
    <t>Hak Ung</t>
  </si>
  <si>
    <t>FINANCE DIRECTOR</t>
  </si>
  <si>
    <t>Chief Financial Officer</t>
  </si>
  <si>
    <t>1/16/2024</t>
  </si>
  <si>
    <t>10/31/2023</t>
  </si>
  <si>
    <t>11/22/2023</t>
  </si>
  <si>
    <t>5/20/2024</t>
  </si>
  <si>
    <t>10/27/2023</t>
  </si>
  <si>
    <t>1/8/2024</t>
  </si>
  <si>
    <t>11/30/2023</t>
  </si>
  <si>
    <t>2/6/2024</t>
  </si>
  <si>
    <t>12/21/2023</t>
  </si>
  <si>
    <t>11/1/2023</t>
  </si>
  <si>
    <t>10/12/2023</t>
  </si>
  <si>
    <t>11/20/2023</t>
  </si>
  <si>
    <t>11/27/2023</t>
  </si>
  <si>
    <t>11/28/2023</t>
  </si>
  <si>
    <t>11/13/2023</t>
  </si>
  <si>
    <t>11/9/2023</t>
  </si>
  <si>
    <t>12/11/2023</t>
  </si>
  <si>
    <t>11/29/2023</t>
  </si>
  <si>
    <t>11/21/2023</t>
  </si>
  <si>
    <t>3/29/2024</t>
  </si>
  <si>
    <t>4/30/2024</t>
  </si>
  <si>
    <t>12/1/2023</t>
  </si>
  <si>
    <t>5/7/2024</t>
  </si>
  <si>
    <t>10/2/2023</t>
  </si>
  <si>
    <t>12/31/2023</t>
  </si>
  <si>
    <t>Were there any issues or other matters presented to the Governing Board regarding internal controls (not already listed as a material weakness or significant deficiency?</t>
  </si>
  <si>
    <t>12/5/2023</t>
  </si>
  <si>
    <t>12/12/2023</t>
  </si>
  <si>
    <t>7/1/2023</t>
  </si>
  <si>
    <t>3/14/2024</t>
  </si>
  <si>
    <t>1/2/2024</t>
  </si>
  <si>
    <t>1/9/2024</t>
  </si>
  <si>
    <t>2/1/2024</t>
  </si>
  <si>
    <t>5/14/2024</t>
  </si>
  <si>
    <t>2023-10-31</t>
  </si>
  <si>
    <t>2023-11-29</t>
  </si>
  <si>
    <t>2023-11-22</t>
  </si>
  <si>
    <t>2024-05-20</t>
  </si>
  <si>
    <t>2023-10-27</t>
  </si>
  <si>
    <t>2023-11-30</t>
  </si>
  <si>
    <t>2023-10-30</t>
  </si>
  <si>
    <t>2024-06-28</t>
  </si>
  <si>
    <t>2023-10-24</t>
  </si>
  <si>
    <t>2023-12-01</t>
  </si>
  <si>
    <t>2023-11-13</t>
  </si>
  <si>
    <t>2023-10-12</t>
  </si>
  <si>
    <t>2023-11-16</t>
  </si>
  <si>
    <t>2024-01-24</t>
  </si>
  <si>
    <t>2024-02-27</t>
  </si>
  <si>
    <t>2023-11-27</t>
  </si>
  <si>
    <t>2023-10-02</t>
  </si>
  <si>
    <t>2024-01-08</t>
  </si>
  <si>
    <t>2023-11-02</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</si>
  <si>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</si>
  <si>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</si>
  <si>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</si>
  <si>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</si>
  <si>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Transfers from General Fund to Water and Sewer Fund (Enter as positive.)</t>
  </si>
  <si>
    <t>Transfers from Water and Sewer to General Fund. (Enter as positive.)</t>
  </si>
  <si>
    <t>Amount transferred from the Water and Sewer Fund to a Water and Sewer Capital Project Fund</t>
  </si>
  <si>
    <t>If the answer to 1059 is "No" then was the unit without a board-appointed interim or permanent finance officer for more than 2 weeks at any time in the fiscal year? (Note:  Please include a noncompliance finding related to GS 159-24, GS 159-25(a)(2) or GS</t>
  </si>
  <si>
    <t>1/19/2024</t>
  </si>
  <si>
    <t>12/29/2023</t>
  </si>
  <si>
    <t>10/24/2023</t>
  </si>
  <si>
    <t>11/5/2023</t>
  </si>
  <si>
    <t>11/16/2023</t>
  </si>
  <si>
    <t>2/27/2024</t>
  </si>
  <si>
    <t xml:space="preserve">Was a  Management Letter issued by the auditor to the unit of government? </t>
  </si>
  <si>
    <t>Capital - Various projects related largely in part to Fire Station 6 project, street paving, parking lot at Charlotte Avenue, Morgan-Windsor Alley project, Senior Center Renovation and others</t>
  </si>
  <si>
    <t>Capital - Funds were transferred to capital projects</t>
  </si>
  <si>
    <t>Capital - Stormwater improvements, police vehicles</t>
  </si>
  <si>
    <t>Capital - The Town had multiple capital asset purchases in the General Fund for 2022.</t>
  </si>
  <si>
    <t>Operations - Substantial increase in capital outlay compared with prior year.</t>
  </si>
  <si>
    <t>Operations - Paid off Debt</t>
  </si>
  <si>
    <t>Nancy</t>
  </si>
  <si>
    <t>Ann</t>
  </si>
  <si>
    <t>Gloria</t>
  </si>
  <si>
    <t>Beverly</t>
  </si>
  <si>
    <t>Sue</t>
  </si>
  <si>
    <t>Sharon</t>
  </si>
  <si>
    <t>Frederick</t>
  </si>
  <si>
    <t>Brian</t>
  </si>
  <si>
    <t>Micah</t>
  </si>
  <si>
    <t>Martha</t>
  </si>
  <si>
    <t>Ben</t>
  </si>
  <si>
    <t>Elizabeth</t>
  </si>
  <si>
    <t>Jewel</t>
  </si>
  <si>
    <t>Jessie</t>
  </si>
  <si>
    <t>Pamela</t>
  </si>
  <si>
    <t>Amy</t>
  </si>
  <si>
    <t>Michelle</t>
  </si>
  <si>
    <t>Jamie</t>
  </si>
  <si>
    <t>Chad</t>
  </si>
  <si>
    <t>John</t>
  </si>
  <si>
    <t>Jerry</t>
  </si>
  <si>
    <t>Kimberly</t>
  </si>
  <si>
    <t>Sandra</t>
  </si>
  <si>
    <t>Kimberley</t>
  </si>
  <si>
    <t>Amanda</t>
  </si>
  <si>
    <t>CHRISTINA</t>
  </si>
  <si>
    <t>Stephen</t>
  </si>
  <si>
    <t>Caitlin</t>
  </si>
  <si>
    <t>Connie</t>
  </si>
  <si>
    <t>Donna</t>
  </si>
  <si>
    <t>Samuel</t>
  </si>
  <si>
    <t>Patti</t>
  </si>
  <si>
    <t>Daisy</t>
  </si>
  <si>
    <t>Renee'</t>
  </si>
  <si>
    <t>Lettie</t>
  </si>
  <si>
    <t>Richard</t>
  </si>
  <si>
    <t>Bobbie</t>
  </si>
  <si>
    <t>Heather</t>
  </si>
  <si>
    <t>Cynthia</t>
  </si>
  <si>
    <t>Randy</t>
  </si>
  <si>
    <t>James</t>
  </si>
  <si>
    <t>Dale</t>
  </si>
  <si>
    <t>Marie</t>
  </si>
  <si>
    <t>Julie</t>
  </si>
  <si>
    <t>Beth</t>
  </si>
  <si>
    <t>Brooke</t>
  </si>
  <si>
    <t>Christopher</t>
  </si>
  <si>
    <t>Dorenda</t>
  </si>
  <si>
    <t>Jerricka</t>
  </si>
  <si>
    <t>Carol</t>
  </si>
  <si>
    <t>Toni</t>
  </si>
  <si>
    <t>Carlyle</t>
  </si>
  <si>
    <t>Michael</t>
  </si>
  <si>
    <t>Medlin</t>
  </si>
  <si>
    <t>Fudge</t>
  </si>
  <si>
    <t>Vinson</t>
  </si>
  <si>
    <t>Love</t>
  </si>
  <si>
    <t>Hunt</t>
  </si>
  <si>
    <t>Becker</t>
  </si>
  <si>
    <t>Gaskins</t>
  </si>
  <si>
    <t>Welch</t>
  </si>
  <si>
    <t>Edquist</t>
  </si>
  <si>
    <t>Trivette</t>
  </si>
  <si>
    <t>Lucas</t>
  </si>
  <si>
    <t>Strickland</t>
  </si>
  <si>
    <t>Blackburn</t>
  </si>
  <si>
    <t>Presnell</t>
  </si>
  <si>
    <t>Ballard</t>
  </si>
  <si>
    <t>Lasater</t>
  </si>
  <si>
    <t>Parris</t>
  </si>
  <si>
    <t>Emslie</t>
  </si>
  <si>
    <t>Stone</t>
  </si>
  <si>
    <t>Roberts</t>
  </si>
  <si>
    <t>Butler</t>
  </si>
  <si>
    <t>Schueneman</t>
  </si>
  <si>
    <t>Simons</t>
  </si>
  <si>
    <t>O'Keefe</t>
  </si>
  <si>
    <t>Merrick</t>
  </si>
  <si>
    <t>Ostrom</t>
  </si>
  <si>
    <t>Robinson</t>
  </si>
  <si>
    <t>Bradshaw</t>
  </si>
  <si>
    <t>EBRON</t>
  </si>
  <si>
    <t>Cranford</t>
  </si>
  <si>
    <t>Elliott</t>
  </si>
  <si>
    <t>Bauguess</t>
  </si>
  <si>
    <t>Melton</t>
  </si>
  <si>
    <t>Harrell</t>
  </si>
  <si>
    <t>Hatten</t>
  </si>
  <si>
    <t>Anders</t>
  </si>
  <si>
    <t>Efrid</t>
  </si>
  <si>
    <t>Ivey</t>
  </si>
  <si>
    <t>Navarette</t>
  </si>
  <si>
    <t>Overman</t>
  </si>
  <si>
    <t>Ricks</t>
  </si>
  <si>
    <t>Humphrey</t>
  </si>
  <si>
    <t>McNally</t>
  </si>
  <si>
    <t>Carothers</t>
  </si>
  <si>
    <t>Sowers</t>
  </si>
  <si>
    <t>Boaz</t>
  </si>
  <si>
    <t>Anderson</t>
  </si>
  <si>
    <t>Capps</t>
  </si>
  <si>
    <t>Cowan</t>
  </si>
  <si>
    <t>Hunter</t>
  </si>
  <si>
    <t>Keesler</t>
  </si>
  <si>
    <t>Tucker</t>
  </si>
  <si>
    <t>McGee</t>
  </si>
  <si>
    <t>Meacham</t>
  </si>
  <si>
    <t>Hatley</t>
  </si>
  <si>
    <t>Napier</t>
  </si>
  <si>
    <t>Martin</t>
  </si>
  <si>
    <t>Hoggard</t>
  </si>
  <si>
    <t>interim</t>
  </si>
  <si>
    <t>PERMANENT</t>
  </si>
  <si>
    <t>YES</t>
  </si>
  <si>
    <t>12/4/2013</t>
  </si>
  <si>
    <t>1/1/2018</t>
  </si>
  <si>
    <t>1/1/2013</t>
  </si>
  <si>
    <t>12/1/2019</t>
  </si>
  <si>
    <t>2/21/2007</t>
  </si>
  <si>
    <t>1/1/2016</t>
  </si>
  <si>
    <t>11/20/2017</t>
  </si>
  <si>
    <t>3/26/2018</t>
  </si>
  <si>
    <t>6/1/2022</t>
  </si>
  <si>
    <t>12/1/2015</t>
  </si>
  <si>
    <t>2/9/2016</t>
  </si>
  <si>
    <t>11/1/2014</t>
  </si>
  <si>
    <t>11/27/2017</t>
  </si>
  <si>
    <t>11/16/2020</t>
  </si>
  <si>
    <t>6/30/2022</t>
  </si>
  <si>
    <t>2/1/2018</t>
  </si>
  <si>
    <t>1/25/2016</t>
  </si>
  <si>
    <t>11/2/2021</t>
  </si>
  <si>
    <t>1/25/2022</t>
  </si>
  <si>
    <t>7/9/2022</t>
  </si>
  <si>
    <t>9/13/2021</t>
  </si>
  <si>
    <t>6/1/2018</t>
  </si>
  <si>
    <t>7/1/2021</t>
  </si>
  <si>
    <t>12/4/2019</t>
  </si>
  <si>
    <t>1/1/2004</t>
  </si>
  <si>
    <t>5/1/2020</t>
  </si>
  <si>
    <t>8/4/2022</t>
  </si>
  <si>
    <t>1/1/2022</t>
  </si>
  <si>
    <t>1/1/2014</t>
  </si>
  <si>
    <t>12/1/1998</t>
  </si>
  <si>
    <t>2/21/1991</t>
  </si>
  <si>
    <t>1/1/1995</t>
  </si>
  <si>
    <t>3/21/2014</t>
  </si>
  <si>
    <t>6/30/2016</t>
  </si>
  <si>
    <t>8/1/2009</t>
  </si>
  <si>
    <t>2/1/2023</t>
  </si>
  <si>
    <t>1/1/2012</t>
  </si>
  <si>
    <t>11/1/2021</t>
  </si>
  <si>
    <t>11/1/2016</t>
  </si>
  <si>
    <t>1/1/2008</t>
  </si>
  <si>
    <t>1/31/2020</t>
  </si>
  <si>
    <t>6/11/2018</t>
  </si>
  <si>
    <t>4/12/2022</t>
  </si>
  <si>
    <t>5/15/2020</t>
  </si>
  <si>
    <t>6/29/2015</t>
  </si>
  <si>
    <t>1/1/2017</t>
  </si>
  <si>
    <t>8/1/2016</t>
  </si>
  <si>
    <t>Nancy Medlin</t>
  </si>
  <si>
    <t>Ann Fudge</t>
  </si>
  <si>
    <t>GLORIA VINSON</t>
  </si>
  <si>
    <t>Beverly Love</t>
  </si>
  <si>
    <t>Linda Hunt</t>
  </si>
  <si>
    <t>Sue Powell</t>
  </si>
  <si>
    <t>Sharon Williams</t>
  </si>
  <si>
    <t>Frederick Becker</t>
  </si>
  <si>
    <t>David Gaskins</t>
  </si>
  <si>
    <t>Brian Welch</t>
  </si>
  <si>
    <t>Micah Edquist</t>
  </si>
  <si>
    <t>Lynn Trivette</t>
  </si>
  <si>
    <t>Martha Lucas</t>
  </si>
  <si>
    <t>Lisa Strickland</t>
  </si>
  <si>
    <t>Ben Blackburn</t>
  </si>
  <si>
    <t>Elizabeth Presnell</t>
  </si>
  <si>
    <t>Evans Ballard</t>
  </si>
  <si>
    <t>Jewel Lasater</t>
  </si>
  <si>
    <t>Jessie Parris</t>
  </si>
  <si>
    <t>Nancy H. B. Emslie</t>
  </si>
  <si>
    <t>Pamela M Stone</t>
  </si>
  <si>
    <t>Amy Roberts</t>
  </si>
  <si>
    <t>Michelle Wood</t>
  </si>
  <si>
    <t>Jamie Butler</t>
  </si>
  <si>
    <t>Amy Schueneman</t>
  </si>
  <si>
    <t>Carolyn Brown</t>
  </si>
  <si>
    <t>Chad Simons</t>
  </si>
  <si>
    <t>Amy Miller</t>
  </si>
  <si>
    <t>John O'Keefe</t>
  </si>
  <si>
    <t>Jerry Merrick</t>
  </si>
  <si>
    <t>Kimberly A. Ostrom</t>
  </si>
  <si>
    <t>Susan Almond</t>
  </si>
  <si>
    <t>Sandra Lewis</t>
  </si>
  <si>
    <t>Kimberley Robinson</t>
  </si>
  <si>
    <t>Amanda Bradshaw</t>
  </si>
  <si>
    <t>CHRISTINA EBRON</t>
  </si>
  <si>
    <t>Stephen Cranford</t>
  </si>
  <si>
    <t>Caitlin Elliott</t>
  </si>
  <si>
    <t>Connie Bauguess</t>
  </si>
  <si>
    <t>Donna Strickland</t>
  </si>
  <si>
    <t>Samuel L Melton</t>
  </si>
  <si>
    <t>Rhonda Sue Harrell</t>
  </si>
  <si>
    <t>David Hatten</t>
  </si>
  <si>
    <t>Samuel Anders</t>
  </si>
  <si>
    <t>Patti Efrid</t>
  </si>
  <si>
    <t>Daisy Ivey</t>
  </si>
  <si>
    <t>Renee' Taylor</t>
  </si>
  <si>
    <t>Diane Miller</t>
  </si>
  <si>
    <t>Lettie Navarette</t>
  </si>
  <si>
    <t>Richard Overman</t>
  </si>
  <si>
    <t>Bobby Ricks</t>
  </si>
  <si>
    <t>Heather Humphrey</t>
  </si>
  <si>
    <t>Cynthia McNally</t>
  </si>
  <si>
    <t>Randy Carothers</t>
  </si>
  <si>
    <t>James Hamilton</t>
  </si>
  <si>
    <t>Dale Sowers</t>
  </si>
  <si>
    <t>Marie Moore</t>
  </si>
  <si>
    <t>Wendy Holland</t>
  </si>
  <si>
    <t>James Michael Boaz</t>
  </si>
  <si>
    <t>Julie Anderson</t>
  </si>
  <si>
    <t>Connie Capps</t>
  </si>
  <si>
    <t>Beth Cowan</t>
  </si>
  <si>
    <t>Brooke Hunter</t>
  </si>
  <si>
    <t>Tammy Keesler</t>
  </si>
  <si>
    <t>Christopher Tucker</t>
  </si>
  <si>
    <t>Lisa McGee</t>
  </si>
  <si>
    <t>Heather Meacham</t>
  </si>
  <si>
    <t>Bobbie Hatley</t>
  </si>
  <si>
    <t>DORENDA WALLACE</t>
  </si>
  <si>
    <t>Jerricka B. Napier</t>
  </si>
  <si>
    <t>Carol Martin</t>
  </si>
  <si>
    <t>Toni Floyd</t>
  </si>
  <si>
    <t>Carlyle Hoggard</t>
  </si>
  <si>
    <t>Michael King</t>
  </si>
  <si>
    <t>TOWN CLERK/FINANACE OFFICER</t>
  </si>
  <si>
    <t>Interim Town Manager and Finance Officer</t>
  </si>
  <si>
    <t>Interim CFO</t>
  </si>
  <si>
    <t>Town Clerk/Finance Officer</t>
  </si>
  <si>
    <t>Deputy Town Manager/Finance Director</t>
  </si>
  <si>
    <t>Councilman - Finance officer</t>
  </si>
  <si>
    <t>Finance Officer/Commissioner</t>
  </si>
  <si>
    <t>Finance Office/Town Clerk</t>
  </si>
  <si>
    <t>Town Manager/Finance Officer</t>
  </si>
  <si>
    <t>Assistant Town Manager/Finance Director</t>
  </si>
  <si>
    <t>Financial Services Director</t>
  </si>
  <si>
    <t>Finance Officer/Clerk</t>
  </si>
  <si>
    <t>Commissioner/Finance Officer</t>
  </si>
  <si>
    <t>1/17/2024</t>
  </si>
  <si>
    <t>1/9/2023</t>
  </si>
  <si>
    <t>10/21/2022</t>
  </si>
  <si>
    <t>11/25/2022</t>
  </si>
  <si>
    <t>10/29/2022</t>
  </si>
  <si>
    <t>11/5/2022</t>
  </si>
  <si>
    <t>2/23/2023</t>
  </si>
  <si>
    <t>1/28/2023</t>
  </si>
  <si>
    <t>5/30/2023</t>
  </si>
  <si>
    <t>3/12/2023</t>
  </si>
  <si>
    <t>2/7/2023</t>
  </si>
  <si>
    <t>6/24/2024</t>
  </si>
  <si>
    <t>6/6/2023</t>
  </si>
  <si>
    <t>11/24/2021</t>
  </si>
  <si>
    <t>6/20/2023</t>
  </si>
  <si>
    <t>6/14/2023</t>
  </si>
  <si>
    <t>1/24/2022</t>
  </si>
  <si>
    <t>10/12/2022</t>
  </si>
  <si>
    <t>1/19/2023</t>
  </si>
  <si>
    <t>9/15/2022</t>
  </si>
  <si>
    <t>11/18/2022</t>
  </si>
  <si>
    <t>12/22/2022</t>
  </si>
  <si>
    <t>7/28/2023</t>
  </si>
  <si>
    <t>11/23/2023</t>
  </si>
  <si>
    <t>11/21/2021</t>
  </si>
  <si>
    <t>12/14/2022</t>
  </si>
  <si>
    <t>6/1/2023</t>
  </si>
  <si>
    <t>7/20/2023</t>
  </si>
  <si>
    <t>12/7/2022</t>
  </si>
  <si>
    <t>1/30/2023</t>
  </si>
  <si>
    <t>919-284-2572</t>
  </si>
  <si>
    <t>252-430-7716</t>
  </si>
  <si>
    <t>252-235-5761</t>
  </si>
  <si>
    <t>704-888-2232 ext.14</t>
  </si>
  <si>
    <t>336-764-5455</t>
  </si>
  <si>
    <t>828-890-2901</t>
  </si>
  <si>
    <t>336-234-0030</t>
  </si>
  <si>
    <t>704-243-0505</t>
  </si>
  <si>
    <t>252-249-1755</t>
  </si>
  <si>
    <t>704-545-9726</t>
  </si>
  <si>
    <t>704-463-1234</t>
  </si>
  <si>
    <t>336-753-6702</t>
  </si>
  <si>
    <t>252-459-7276</t>
  </si>
  <si>
    <t>704-282-4534</t>
  </si>
  <si>
    <t>828-669-8002 ext.3050</t>
  </si>
  <si>
    <t>828-894-0954</t>
  </si>
  <si>
    <t>704-663-2357</t>
  </si>
  <si>
    <t>252-726-6848</t>
  </si>
  <si>
    <t>828-438-5240</t>
  </si>
  <si>
    <t>919-463-6178</t>
  </si>
  <si>
    <t>336-786-3514</t>
  </si>
  <si>
    <t>910-439-5111</t>
  </si>
  <si>
    <t>704-951-3002</t>
  </si>
  <si>
    <t>910-658-9539</t>
  </si>
  <si>
    <t>704-436-0381</t>
  </si>
  <si>
    <t>252-398-5904</t>
  </si>
  <si>
    <t>828-837-2510</t>
  </si>
  <si>
    <t>252-449-2020</t>
  </si>
  <si>
    <t>252-459-4511 ext.226</t>
  </si>
  <si>
    <t>910-520-5509</t>
  </si>
  <si>
    <t>252-639-2713</t>
  </si>
  <si>
    <t>704-463-5423</t>
  </si>
  <si>
    <t>828-733-2023</t>
  </si>
  <si>
    <t>828-695-4270</t>
  </si>
  <si>
    <t>910-594-0827</t>
  </si>
  <si>
    <t>910-652-5602</t>
  </si>
  <si>
    <t>910-328-1349</t>
  </si>
  <si>
    <t>336-667-7129 ext.3004</t>
  </si>
  <si>
    <t>704-474-3416</t>
  </si>
  <si>
    <t>252-902-9535</t>
  </si>
  <si>
    <t>910-201-5016</t>
  </si>
  <si>
    <t>336-643-7577</t>
  </si>
  <si>
    <t>704-485-3351</t>
  </si>
  <si>
    <t>910-579-2166</t>
  </si>
  <si>
    <t>828-668-4244 ext.301</t>
  </si>
  <si>
    <t>252-249-0555</t>
  </si>
  <si>
    <t>910-733-5509</t>
  </si>
  <si>
    <t>336-584-4258</t>
  </si>
  <si>
    <t>919-603-1125</t>
  </si>
  <si>
    <t>910-858-3360</t>
  </si>
  <si>
    <t>252-795-4600</t>
  </si>
  <si>
    <t>704-482-9764</t>
  </si>
  <si>
    <t>704-272-7781</t>
  </si>
  <si>
    <t>252-393-8666</t>
  </si>
  <si>
    <t>910-521-9758</t>
  </si>
  <si>
    <t>919-242-5126</t>
  </si>
  <si>
    <t>336-444-3000</t>
  </si>
  <si>
    <t>252-247-4353</t>
  </si>
  <si>
    <t>919-965-2284</t>
  </si>
  <si>
    <t>910-281-3124</t>
  </si>
  <si>
    <t>910-295-8646</t>
  </si>
  <si>
    <t>252-827-4435</t>
  </si>
  <si>
    <t>704-889-1722</t>
  </si>
  <si>
    <t>252-568-3181</t>
  </si>
  <si>
    <t>919-542-4621 ext.1102</t>
  </si>
  <si>
    <t>252-793-9011 ext.233</t>
  </si>
  <si>
    <t>704-272-7463</t>
  </si>
  <si>
    <t>704-472-8135</t>
  </si>
  <si>
    <t>252-224-9831</t>
  </si>
  <si>
    <t>252-332-9536</t>
  </si>
  <si>
    <t>919-936-8171</t>
  </si>
  <si>
    <t>nmedlin@centralpinesnc.gov</t>
  </si>
  <si>
    <t>fudgemid7@aol.com</t>
  </si>
  <si>
    <t>gloria@townofmiddlesexnc.com</t>
  </si>
  <si>
    <t>blove@midlandnc.us</t>
  </si>
  <si>
    <t>lhunt@midway-nc.gov</t>
  </si>
  <si>
    <t>susan.powell@millsriver.org</t>
  </si>
  <si>
    <t>miltonncfinanceofficer@gmail.com</t>
  </si>
  <si>
    <t>msncmayor@yahoo.com</t>
  </si>
  <si>
    <t>minnesottbeach.gov@gmail.com</t>
  </si>
  <si>
    <t>bwelch@admin.minthill.com</t>
  </si>
  <si>
    <t>clerk@villageofmisenheimernc.gov</t>
  </si>
  <si>
    <t>ltrivette@mocksvillenc.gov</t>
  </si>
  <si>
    <t>mslucas4358@centurylink.net</t>
  </si>
  <si>
    <t>lstrickland@monroenc.org</t>
  </si>
  <si>
    <t>bblackburn@townofmontreat.org</t>
  </si>
  <si>
    <t>jpresnell4@hotmail.com</t>
  </si>
  <si>
    <t>eballard@mooresvillenc.gov</t>
  </si>
  <si>
    <t>jewel.lasater@moreheadcitync.org</t>
  </si>
  <si>
    <t>jparris@morgantonnc.gov</t>
  </si>
  <si>
    <t>nemslie@townofmorrisville.org</t>
  </si>
  <si>
    <t>pstone@mountairy.org</t>
  </si>
  <si>
    <t>aroberts@mtgileadnc.com</t>
  </si>
  <si>
    <t>michelle.wood@mtholly.us</t>
  </si>
  <si>
    <t>jbutler@townofmountolivenc.com</t>
  </si>
  <si>
    <t>amy@mtpleasantnc.us</t>
  </si>
  <si>
    <t>cbrown@murfreesboronc.net</t>
  </si>
  <si>
    <t>manager@townofmurphync.com</t>
  </si>
  <si>
    <t>amy.miller@nagsheadnc.gov</t>
  </si>
  <si>
    <t>john.okeefe@townofnashvillenc.gov</t>
  </si>
  <si>
    <t>JLMerrick26@gmail.com</t>
  </si>
  <si>
    <t>ostromk@newbernnc.gov</t>
  </si>
  <si>
    <t>clerk@newlondonnc.org</t>
  </si>
  <si>
    <t>finance@townofnewland.org</t>
  </si>
  <si>
    <t>krobinson@newtonnc.gov</t>
  </si>
  <si>
    <t>abradshaw@newtongrove.net</t>
  </si>
  <si>
    <t>TOWNCLERK@TOWNOFNORLINA.COM</t>
  </si>
  <si>
    <t>sdcranford@gmail.com</t>
  </si>
  <si>
    <t>finance@northtopsailbeachnc.gov</t>
  </si>
  <si>
    <t>finance@north-wilkesboro.com</t>
  </si>
  <si>
    <t>cityclerk@cityofnorthwest.com</t>
  </si>
  <si>
    <t>financeofficer@norwoodgov.com</t>
  </si>
  <si>
    <t>harrelr@ecu.edu</t>
  </si>
  <si>
    <t>dhatten@oakislandnc.com</t>
  </si>
  <si>
    <t>Sam@samanderscpa.com</t>
  </si>
  <si>
    <t>pefrid@oakboro.com</t>
  </si>
  <si>
    <t>daisy@oibgov.com</t>
  </si>
  <si>
    <t>rtaylor@oldfortnc.com</t>
  </si>
  <si>
    <t>manager@townoforiental.com</t>
  </si>
  <si>
    <t>jpllett2000@yahoo.com</t>
  </si>
  <si>
    <t>rovermanossipee@yahoo.com</t>
  </si>
  <si>
    <t>hak.ung@oxfordnc.org</t>
  </si>
  <si>
    <t>thetownofpantego@gmail.com</t>
  </si>
  <si>
    <t>clerk@townofparkton.org</t>
  </si>
  <si>
    <t>cmcnally@parmelenc.com</t>
  </si>
  <si>
    <t>rcarothers@carolina.rr.com</t>
  </si>
  <si>
    <t>townofpeachland@windstream.net</t>
  </si>
  <si>
    <t>bealsea@yahoo.com</t>
  </si>
  <si>
    <t>marie@pembrokenc.com</t>
  </si>
  <si>
    <t>Clerk@pikevillenc.gov</t>
  </si>
  <si>
    <t>mboaz@pilotmountainnc.org</t>
  </si>
  <si>
    <t>janderson@townofpks.com</t>
  </si>
  <si>
    <t>depclerk@pinelevel.org</t>
  </si>
  <si>
    <t>pinebluff@nc.rr.com</t>
  </si>
  <si>
    <t>bhunter@vopnc.org</t>
  </si>
  <si>
    <t>tkeesler@pinetopsnc.com</t>
  </si>
  <si>
    <t>ctucker@pinevillenc.gov</t>
  </si>
  <si>
    <t>townclerk@townofpinkhill.com</t>
  </si>
  <si>
    <t>hmeacham@pittsboronc.gov</t>
  </si>
  <si>
    <t>townclerk@pleasantgarden.net</t>
  </si>
  <si>
    <t>dorenda.wallace@visitplymouthnc.gov</t>
  </si>
  <si>
    <t>townofpolkton@windstream.net</t>
  </si>
  <si>
    <t>cmartinunc86@gmail.com</t>
  </si>
  <si>
    <t>admin@townoffpollocksville.com</t>
  </si>
  <si>
    <t>cohoggard@gmail.com</t>
  </si>
  <si>
    <t>m.king@myprincetonnc.com</t>
  </si>
  <si>
    <t>1/25/2024</t>
  </si>
  <si>
    <t>2/13/2023</t>
  </si>
  <si>
    <t>1/12/2023</t>
  </si>
  <si>
    <t>12/15/2022</t>
  </si>
  <si>
    <t>3/15/2023</t>
  </si>
  <si>
    <t>4/12/2023</t>
  </si>
  <si>
    <t>3/16/2023</t>
  </si>
  <si>
    <t>8/6/2024</t>
  </si>
  <si>
    <t>7/10/2023</t>
  </si>
  <si>
    <t>6/27/2023</t>
  </si>
  <si>
    <t>6/19/2023</t>
  </si>
  <si>
    <t>1/15/2023</t>
  </si>
  <si>
    <t>5/31/2023</t>
  </si>
  <si>
    <t>8/1/2023</t>
  </si>
  <si>
    <t>1/2/2023</t>
  </si>
  <si>
    <t>7/3/2023</t>
  </si>
  <si>
    <t>9/15/2023</t>
  </si>
  <si>
    <t>12/29/2022</t>
  </si>
  <si>
    <t>2023-05-02</t>
  </si>
  <si>
    <t>2022-10-20</t>
  </si>
  <si>
    <t>2022-11-17</t>
  </si>
  <si>
    <t>2023-02-15</t>
  </si>
  <si>
    <t>2022-11-11</t>
  </si>
  <si>
    <t>2023-02-03</t>
  </si>
  <si>
    <t>2022-10-24</t>
  </si>
  <si>
    <t>2023-02-23</t>
  </si>
  <si>
    <t>2023-03-08</t>
  </si>
  <si>
    <t>2023-06-05</t>
  </si>
  <si>
    <t>2023-03-13</t>
  </si>
  <si>
    <t>2022-12-09</t>
  </si>
  <si>
    <t>2023-06-09</t>
  </si>
  <si>
    <t>2022-11-21</t>
  </si>
  <si>
    <t>2023-01-25</t>
  </si>
  <si>
    <t>2023-04-30</t>
  </si>
  <si>
    <t>2023-11-17</t>
  </si>
  <si>
    <t>2023-06-14</t>
  </si>
  <si>
    <t>2023-01-24</t>
  </si>
  <si>
    <t>2022-10-12</t>
  </si>
  <si>
    <t>2023-02-14</t>
  </si>
  <si>
    <t>2022-11-18</t>
  </si>
  <si>
    <t>2023-06-22</t>
  </si>
  <si>
    <t>2023-02-22</t>
  </si>
  <si>
    <t>2023-08-12</t>
  </si>
  <si>
    <t>2024-02-22</t>
  </si>
  <si>
    <t>2022-10-19</t>
  </si>
  <si>
    <t>2023-03-06</t>
  </si>
  <si>
    <t>2022-11-08</t>
  </si>
  <si>
    <t>2023-06-02</t>
  </si>
  <si>
    <t>2023-01-09</t>
  </si>
  <si>
    <t>2023-07-20</t>
  </si>
  <si>
    <t>2022-12-31</t>
  </si>
  <si>
    <t>2023-01-31</t>
  </si>
  <si>
    <t>Michelle Bass</t>
  </si>
  <si>
    <t>4/25/2023</t>
  </si>
  <si>
    <t>910-374-5658</t>
  </si>
  <si>
    <t>proctorvillenc@gmail.com</t>
  </si>
  <si>
    <t>2023-04-28</t>
  </si>
  <si>
    <t xml:space="preserve">                            -  </t>
  </si>
  <si>
    <t>rounding</t>
  </si>
  <si>
    <t>Capital - The Town had multiple capital asset purchases in the General Fund for 2023.</t>
  </si>
  <si>
    <t>Capital - Projects</t>
  </si>
  <si>
    <t>N/A - The fund blance was in general fund</t>
  </si>
  <si>
    <t>Capital - Land Purchase</t>
  </si>
  <si>
    <t>Likeyal</t>
  </si>
  <si>
    <t>Anita</t>
  </si>
  <si>
    <t>Rachel</t>
  </si>
  <si>
    <t>JESSIE</t>
  </si>
  <si>
    <t>Pam</t>
  </si>
  <si>
    <t>Lee Ann</t>
  </si>
  <si>
    <t>Tressa</t>
  </si>
  <si>
    <t>Christina</t>
  </si>
  <si>
    <t>Melanie</t>
  </si>
  <si>
    <t>Robin</t>
  </si>
  <si>
    <t>April</t>
  </si>
  <si>
    <t>Bea</t>
  </si>
  <si>
    <t>Ashley</t>
  </si>
  <si>
    <t>Dana</t>
  </si>
  <si>
    <t>Lauren</t>
  </si>
  <si>
    <t>Southerland</t>
  </si>
  <si>
    <t>Blair</t>
  </si>
  <si>
    <t>Eddings</t>
  </si>
  <si>
    <t>Quinn</t>
  </si>
  <si>
    <t>PARRIS</t>
  </si>
  <si>
    <t>Haithcock</t>
  </si>
  <si>
    <t>Rudd</t>
  </si>
  <si>
    <t>Ebron</t>
  </si>
  <si>
    <t>Baugess</t>
  </si>
  <si>
    <t>Hatley Murray</t>
  </si>
  <si>
    <t>Trexler</t>
  </si>
  <si>
    <t>Fitch</t>
  </si>
  <si>
    <t>Wishall</t>
  </si>
  <si>
    <t>Cunningham</t>
  </si>
  <si>
    <t>Willoughby</t>
  </si>
  <si>
    <t>Dysart</t>
  </si>
  <si>
    <t>Van Nostrand</t>
  </si>
  <si>
    <t>Culberson</t>
  </si>
  <si>
    <t>Bass</t>
  </si>
  <si>
    <t>4/3/2023</t>
  </si>
  <si>
    <t>7/1/2024</t>
  </si>
  <si>
    <t>1/1/2024</t>
  </si>
  <si>
    <t>Likeyal Southerland</t>
  </si>
  <si>
    <t>Rachel Eddings</t>
  </si>
  <si>
    <t>Christopher Quinn</t>
  </si>
  <si>
    <t>Lee Ann Haithcock</t>
  </si>
  <si>
    <t>Tressa Rudd</t>
  </si>
  <si>
    <t>Christina Ebron</t>
  </si>
  <si>
    <t>Connie Baugess</t>
  </si>
  <si>
    <t>Luke Melton</t>
  </si>
  <si>
    <t>Leslie Hatley Murray</t>
  </si>
  <si>
    <t>Melanie Trexler</t>
  </si>
  <si>
    <t>Robin Fitch</t>
  </si>
  <si>
    <t>April Wishall</t>
  </si>
  <si>
    <t>Bea Cunningham</t>
  </si>
  <si>
    <t>Ashley Willoughby</t>
  </si>
  <si>
    <t>RACHEL DYSART</t>
  </si>
  <si>
    <t>Dana Van Nostrand</t>
  </si>
  <si>
    <t>Lauren Smith</t>
  </si>
  <si>
    <t>Bobbie Hatley Culberson</t>
  </si>
  <si>
    <t>Dorenda Wallace</t>
  </si>
  <si>
    <t>Finance Officer/Mayor Pro-Tem</t>
  </si>
  <si>
    <t>Finance Director/ACM</t>
  </si>
  <si>
    <t>Councilman - Finance Officer</t>
  </si>
  <si>
    <t>Finance Officer/Town Clerk</t>
  </si>
  <si>
    <t>Town Clerk/ Finance Officer</t>
  </si>
  <si>
    <t>Administrative Assistant</t>
  </si>
  <si>
    <t>7/12/2024</t>
  </si>
  <si>
    <t>11/15/2023</t>
  </si>
  <si>
    <t>9/21/2023</t>
  </si>
  <si>
    <t>1/29/2024</t>
  </si>
  <si>
    <t>10/23/2023</t>
  </si>
  <si>
    <t>3/31/2024</t>
  </si>
  <si>
    <t>1/31/2024</t>
  </si>
  <si>
    <t>11/7/2023</t>
  </si>
  <si>
    <t>5/29/2024</t>
  </si>
  <si>
    <t>12/7/2023</t>
  </si>
  <si>
    <t>6/6/2024</t>
  </si>
  <si>
    <t>12/25/2023</t>
  </si>
  <si>
    <t>12/8/2023</t>
  </si>
  <si>
    <t>10/26/2023</t>
  </si>
  <si>
    <t>12/28/2023</t>
  </si>
  <si>
    <t>10/30/2023</t>
  </si>
  <si>
    <t>4/26/2024</t>
  </si>
  <si>
    <t>6/19/2024</t>
  </si>
  <si>
    <t>10/16/2023</t>
  </si>
  <si>
    <t>10/28/2023</t>
  </si>
  <si>
    <t>3/7/2024</t>
  </si>
  <si>
    <t>10/29/2023</t>
  </si>
  <si>
    <t>2/5/2024</t>
  </si>
  <si>
    <t>5/1/2024</t>
  </si>
  <si>
    <t>252-492-6104</t>
  </si>
  <si>
    <t>828-669-8002 ext.3020</t>
  </si>
  <si>
    <t>704-402-9046</t>
  </si>
  <si>
    <t>252-726-6848 ext.104</t>
  </si>
  <si>
    <t>919-463-6178 ext.9194636178</t>
  </si>
  <si>
    <t>910-210-0951</t>
  </si>
  <si>
    <t>919-658-9537 ext.113</t>
  </si>
  <si>
    <t>252-456-3325</t>
  </si>
  <si>
    <t>910-655-3110</t>
  </si>
  <si>
    <t>843-999-1068</t>
  </si>
  <si>
    <t>252-586-3181</t>
  </si>
  <si>
    <t>336-674-3002 ext.102</t>
  </si>
  <si>
    <t>252-793-9101</t>
  </si>
  <si>
    <t>tomiddls123@gmail.com</t>
  </si>
  <si>
    <t>mcbuilder@gmail.com</t>
  </si>
  <si>
    <t>reddings@townofmontreat.org</t>
  </si>
  <si>
    <t>cquinn@mooresvillenc.gov</t>
  </si>
  <si>
    <t>haithcock@mtgileadnc.com</t>
  </si>
  <si>
    <t>finance@townofmountolivenc.com</t>
  </si>
  <si>
    <t>tressa.rudd@townofnashvillenc.gov</t>
  </si>
  <si>
    <t>townclerk@townofnorlina.com</t>
  </si>
  <si>
    <t>finance@northwilkesboronc.gov</t>
  </si>
  <si>
    <t>harrellr@ecu.edu</t>
  </si>
  <si>
    <t>davehatten@yahoo.com</t>
  </si>
  <si>
    <t>lmurray@oakboro.com</t>
  </si>
  <si>
    <t>melanie.trexler@oxfordnc.org</t>
  </si>
  <si>
    <t>robin.fitch@townofparkton.org</t>
  </si>
  <si>
    <t>parmeletown@gmail.com</t>
  </si>
  <si>
    <t>townofpeletier@gmail.com</t>
  </si>
  <si>
    <t>mailto:marie@pembrokenc.gov</t>
  </si>
  <si>
    <t>arwilloughby@pinelevel.org</t>
  </si>
  <si>
    <t>racheld@townofpinebluffnc.org</t>
  </si>
  <si>
    <t>dvannostrand@vopnc.org</t>
  </si>
  <si>
    <t>cturcker@pinevillenc.gov</t>
  </si>
  <si>
    <t>dorenda.wallace@visitplymouthnc.com</t>
  </si>
  <si>
    <t>admin@townofpollocksville.com</t>
  </si>
  <si>
    <t>7/15/2024</t>
  </si>
  <si>
    <t>1/30/2024</t>
  </si>
  <si>
    <t>3/5/2024</t>
  </si>
  <si>
    <t>3/16/2024</t>
  </si>
  <si>
    <t>1/3/2024</t>
  </si>
  <si>
    <t>6/4/2024</t>
  </si>
  <si>
    <t>5/6/2024</t>
  </si>
  <si>
    <t>2/15/2024</t>
  </si>
  <si>
    <t>12/20/2023</t>
  </si>
  <si>
    <t>7/23/2024</t>
  </si>
  <si>
    <t>1/11/2024</t>
  </si>
  <si>
    <t>2/12/2024</t>
  </si>
  <si>
    <t>10/25/2023</t>
  </si>
  <si>
    <t>5/15/2024</t>
  </si>
  <si>
    <t>2024-07-13</t>
  </si>
  <si>
    <t>2023-09-25</t>
  </si>
  <si>
    <t>2024-01-30</t>
  </si>
  <si>
    <t>2023-10-03</t>
  </si>
  <si>
    <t>2023-10-26</t>
  </si>
  <si>
    <t>2023-11-04</t>
  </si>
  <si>
    <t>2024-03-31</t>
  </si>
  <si>
    <t>2024-01-31</t>
  </si>
  <si>
    <t>2023-11-10</t>
  </si>
  <si>
    <t>2024-01-16</t>
  </si>
  <si>
    <t>2023-10-19</t>
  </si>
  <si>
    <t>2024-06-04</t>
  </si>
  <si>
    <t>2024-06-06</t>
  </si>
  <si>
    <t>2023-10-25</t>
  </si>
  <si>
    <t>2024-05-01</t>
  </si>
  <si>
    <t>2023-12-08</t>
  </si>
  <si>
    <t>2024-02-01</t>
  </si>
  <si>
    <t>2023-11-21</t>
  </si>
  <si>
    <t>2024-04-05</t>
  </si>
  <si>
    <t>2024-07-01</t>
  </si>
  <si>
    <t>2024-06-05</t>
  </si>
  <si>
    <t>2023-12-31</t>
  </si>
  <si>
    <t>2023-11-08</t>
  </si>
  <si>
    <t>2024-01-25</t>
  </si>
  <si>
    <t>2024-06-20</t>
  </si>
  <si>
    <t>2023-10-28</t>
  </si>
  <si>
    <t>2024-03-10</t>
  </si>
  <si>
    <t>2023-11-07</t>
  </si>
  <si>
    <t>2024-02-08</t>
  </si>
  <si>
    <t>2024-05-15</t>
  </si>
  <si>
    <t>10/1/2023</t>
  </si>
  <si>
    <t>11/10/2023</t>
  </si>
  <si>
    <t>10/19/2023</t>
  </si>
  <si>
    <t>5/30/2024</t>
  </si>
  <si>
    <t>2/7/2024</t>
  </si>
  <si>
    <t>1/22/2024</t>
  </si>
  <si>
    <t>4/5/2024</t>
  </si>
  <si>
    <t>11/8/2023</t>
  </si>
  <si>
    <t>6/20/2024</t>
  </si>
  <si>
    <t>3/10/2024</t>
  </si>
  <si>
    <t>2/9/2024</t>
  </si>
  <si>
    <t>5/2/2024</t>
  </si>
  <si>
    <t>Audit Year 2022</t>
  </si>
  <si>
    <t>PY1</t>
  </si>
  <si>
    <t>Audit Year 2023</t>
  </si>
  <si>
    <t>Version Date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</si>
</sst>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
      <b/>
      <i/>
      <u/>
      <sz val="12"/>
      <name val="Cambria"/>
      <family val="1"/>
    </font>
    <font>
      <b/>
      <sz val="11"/>
      <color rgb="FFFF0000"/>
      <name val="Times New Roman"/>
      <family val="1"/>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
      <patternFill patternType="solid">
        <fgColor rgb="FF99FF66"/>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2" fillId="0" borderId="0"/>
    <xf numFmtId="43" fontId="112" fillId="0" borderId="0" applyFont="0" applyFill="0" applyBorder="0" applyAlignment="0" applyProtection="0"/>
    <xf numFmtId="0" fontId="112" fillId="0" borderId="0"/>
    <xf numFmtId="0" fontId="123" fillId="0" borderId="0"/>
    <xf numFmtId="0" fontId="33" fillId="0" borderId="0"/>
    <xf numFmtId="0" fontId="123" fillId="0" borderId="0"/>
    <xf numFmtId="43" fontId="112" fillId="0" borderId="0" applyFont="0" applyFill="0" applyBorder="0" applyAlignment="0" applyProtection="0"/>
    <xf numFmtId="0" fontId="112" fillId="0" borderId="0"/>
    <xf numFmtId="0" fontId="112" fillId="0" borderId="0"/>
    <xf numFmtId="0" fontId="112" fillId="0" borderId="0"/>
    <xf numFmtId="0" fontId="124" fillId="0" borderId="0"/>
    <xf numFmtId="0" fontId="124" fillId="0" borderId="0"/>
    <xf numFmtId="0" fontId="125" fillId="0" borderId="0"/>
    <xf numFmtId="0" fontId="124" fillId="0" borderId="0"/>
    <xf numFmtId="0" fontId="123" fillId="0" borderId="0"/>
    <xf numFmtId="0" fontId="124"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4" fillId="0" borderId="0"/>
    <xf numFmtId="0" fontId="123" fillId="0" borderId="0"/>
    <xf numFmtId="0" fontId="123"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3" fillId="0" borderId="0"/>
    <xf numFmtId="0" fontId="125" fillId="0" borderId="0"/>
    <xf numFmtId="0" fontId="123"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6"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4" fillId="0" borderId="0"/>
    <xf numFmtId="0" fontId="176" fillId="0" borderId="0"/>
    <xf numFmtId="43" fontId="176" fillId="0" borderId="0" applyFont="0" applyFill="0" applyBorder="0" applyAlignment="0" applyProtection="0"/>
    <xf numFmtId="44" fontId="17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4" fillId="0" borderId="0"/>
    <xf numFmtId="0" fontId="184" fillId="0" borderId="0"/>
    <xf numFmtId="0" fontId="185" fillId="0" borderId="0"/>
    <xf numFmtId="0" fontId="185" fillId="0" borderId="0"/>
    <xf numFmtId="0" fontId="185" fillId="0" borderId="0"/>
    <xf numFmtId="0" fontId="185"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5" fillId="0" borderId="0"/>
    <xf numFmtId="0" fontId="186" fillId="0" borderId="0"/>
    <xf numFmtId="0" fontId="185"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7" fillId="0" borderId="0"/>
  </cellStyleXfs>
  <cellXfs count="1181">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1" fillId="26" borderId="0" xfId="682" applyFont="1" applyFill="1"/>
    <xf numFmtId="0" fontId="49" fillId="0" borderId="17" xfId="682" applyFont="1" applyBorder="1" applyAlignment="1">
      <alignment horizontal="center"/>
    </xf>
    <xf numFmtId="0" fontId="132" fillId="0" borderId="0" xfId="682" applyFont="1"/>
    <xf numFmtId="0" fontId="132" fillId="0" borderId="0" xfId="682" applyFont="1" applyAlignment="1">
      <alignment vertical="center"/>
    </xf>
    <xf numFmtId="0" fontId="49" fillId="0" borderId="14" xfId="682" applyFont="1" applyBorder="1" applyAlignment="1">
      <alignment horizontal="center" vertical="center" wrapText="1"/>
    </xf>
    <xf numFmtId="0" fontId="133"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3" fillId="0" borderId="0" xfId="682" applyFont="1" applyAlignment="1">
      <alignment vertical="center"/>
    </xf>
    <xf numFmtId="0" fontId="135"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7"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7"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4" fillId="0" borderId="0" xfId="0" applyNumberFormat="1" applyFont="1" applyFill="1" applyAlignment="1" applyProtection="1">
      <alignment horizontal="left" vertical="center" wrapText="1"/>
    </xf>
    <xf numFmtId="0" fontId="144"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1"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4" fillId="74" borderId="0" xfId="0" applyFont="1" applyFill="1" applyAlignment="1" applyProtection="1">
      <alignment horizontal="left" vertical="center"/>
    </xf>
    <xf numFmtId="0" fontId="80" fillId="74" borderId="0" xfId="0" applyFont="1" applyFill="1" applyAlignment="1" applyProtection="1">
      <alignment vertical="center"/>
    </xf>
    <xf numFmtId="0" fontId="155" fillId="74" borderId="0" xfId="0" applyFont="1" applyFill="1" applyAlignment="1" applyProtection="1">
      <alignment vertical="center"/>
      <protection locked="0"/>
    </xf>
    <xf numFmtId="0" fontId="57" fillId="74" borderId="0" xfId="0" applyFont="1" applyFill="1" applyAlignment="1">
      <alignment vertical="center" wrapText="1"/>
    </xf>
    <xf numFmtId="41" fontId="156"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1" fillId="77" borderId="57" xfId="0" applyFont="1" applyFill="1" applyBorder="1" applyAlignment="1">
      <alignment horizontal="center" vertical="center" wrapText="1"/>
    </xf>
    <xf numFmtId="0" fontId="158" fillId="0" borderId="0" xfId="0" applyFont="1"/>
    <xf numFmtId="0" fontId="162" fillId="73" borderId="0" xfId="0" applyFont="1" applyFill="1" applyAlignment="1">
      <alignment horizontal="justify" vertical="center"/>
    </xf>
    <xf numFmtId="0" fontId="162" fillId="73" borderId="0" xfId="0" applyFont="1" applyFill="1" applyAlignment="1">
      <alignment vertical="center"/>
    </xf>
    <xf numFmtId="0" fontId="0" fillId="0" borderId="0" xfId="0" applyAlignment="1">
      <alignment vertical="center"/>
    </xf>
    <xf numFmtId="0" fontId="162" fillId="73" borderId="0" xfId="0" applyFont="1" applyFill="1" applyAlignment="1">
      <alignment vertical="center" wrapText="1"/>
    </xf>
    <xf numFmtId="0" fontId="166" fillId="73" borderId="0" xfId="611" applyFont="1" applyFill="1" applyAlignment="1">
      <alignment vertical="center"/>
    </xf>
    <xf numFmtId="0" fontId="167" fillId="73" borderId="0" xfId="0" applyFont="1" applyFill="1" applyAlignment="1">
      <alignment vertical="center"/>
    </xf>
    <xf numFmtId="0" fontId="168" fillId="73" borderId="0" xfId="611" applyFont="1" applyFill="1" applyAlignment="1" applyProtection="1">
      <alignment vertical="center"/>
      <protection locked="0"/>
    </xf>
    <xf numFmtId="0" fontId="167" fillId="73" borderId="0" xfId="0" applyFont="1" applyFill="1"/>
    <xf numFmtId="0" fontId="168" fillId="73" borderId="0" xfId="611" applyFont="1" applyFill="1" applyProtection="1">
      <protection locked="0"/>
    </xf>
    <xf numFmtId="0" fontId="116" fillId="73" borderId="0" xfId="30098" quotePrefix="1" applyFont="1" applyFill="1" applyAlignment="1">
      <alignment horizontal="left" vertical="center" wrapText="1" indent="1"/>
    </xf>
    <xf numFmtId="0" fontId="171" fillId="73" borderId="0" xfId="30098" applyFont="1" applyFill="1" applyAlignment="1">
      <alignment vertical="center" wrapText="1"/>
    </xf>
    <xf numFmtId="0" fontId="35" fillId="0" borderId="0" xfId="611"/>
    <xf numFmtId="0" fontId="162" fillId="73" borderId="0" xfId="30098" applyFont="1" applyFill="1" applyAlignment="1">
      <alignment vertical="center" wrapText="1"/>
    </xf>
    <xf numFmtId="0" fontId="168"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0" fillId="20" borderId="0" xfId="0" applyFill="1"/>
    <xf numFmtId="0" fontId="0" fillId="29" borderId="0" xfId="0" applyFill="1" applyAlignment="1">
      <alignment horizontal="center"/>
    </xf>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36" borderId="0" xfId="0" applyFill="1" applyAlignment="1">
      <alignment horizontal="center"/>
    </xf>
    <xf numFmtId="0" fontId="0" fillId="36"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29"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0"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0" fillId="0" borderId="0" xfId="26000" applyFont="1"/>
    <xf numFmtId="0" fontId="44" fillId="0" borderId="0" xfId="26000" applyFont="1" applyAlignment="1">
      <alignment vertical="top"/>
    </xf>
    <xf numFmtId="0" fontId="130"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1"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6"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Fill="1" applyAlignment="1">
      <alignment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2"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6"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3"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4" fillId="26" borderId="0" xfId="546" applyNumberFormat="1" applyFont="1" applyFill="1"/>
    <xf numFmtId="41" fontId="134" fillId="26" borderId="0" xfId="546" applyNumberFormat="1" applyFont="1" applyFill="1"/>
    <xf numFmtId="41" fontId="134"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4"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153"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4"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3"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0" fontId="0" fillId="34" borderId="0" xfId="0" applyNumberFormat="1" applyFont="1" applyFill="1" applyBorder="1" applyAlignment="1" applyProtection="1">
      <alignment horizontal="left" vertical="center" wrapText="1"/>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0" fontId="0" fillId="36" borderId="0" xfId="0" applyNumberFormat="1" applyFont="1" applyFill="1" applyAlignment="1" applyProtection="1">
      <alignment horizontal="left" vertical="center" wrapText="1"/>
    </xf>
    <xf numFmtId="0" fontId="0" fillId="84"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0" fillId="0" borderId="0" xfId="0" applyFont="1"/>
    <xf numFmtId="186" fontId="190" fillId="0" borderId="0" xfId="0" applyNumberFormat="1" applyFont="1"/>
    <xf numFmtId="0" fontId="190" fillId="0" borderId="0" xfId="0" applyFont="1" applyAlignment="1">
      <alignment horizontal="center"/>
    </xf>
    <xf numFmtId="186" fontId="190"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5"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0"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0"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3"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3"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78" fillId="0" borderId="57" xfId="4688" applyNumberFormat="1" applyFont="1" applyFill="1" applyBorder="1" applyAlignment="1" applyProtection="1">
      <alignment horizontal="center" vertical="center" wrapText="1"/>
    </xf>
    <xf numFmtId="10" fontId="178"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78"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0" fillId="0" borderId="0" xfId="0" quotePrefix="1" applyFill="1" applyAlignment="1">
      <alignment horizontal="center"/>
    </xf>
    <xf numFmtId="0" fontId="135" fillId="0" borderId="0" xfId="0" applyFont="1" applyFill="1" applyAlignment="1">
      <alignment horizontal="left" vertical="center" wrapText="1"/>
    </xf>
    <xf numFmtId="0" fontId="68" fillId="0" borderId="76" xfId="0" applyFont="1" applyFill="1" applyBorder="1" applyAlignment="1">
      <alignment vertical="center"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0" fontId="0" fillId="0" borderId="57" xfId="0" applyNumberFormat="1" applyFill="1" applyBorder="1" applyAlignment="1" applyProtection="1">
      <alignment horizontal="center" vertical="center" wrapText="1"/>
    </xf>
    <xf numFmtId="0" fontId="182" fillId="34" borderId="57" xfId="0" applyFont="1" applyFill="1" applyBorder="1" applyAlignment="1">
      <alignment horizontal="left" vertical="center" wrapText="1"/>
    </xf>
    <xf numFmtId="0" fontId="39" fillId="0" borderId="57" xfId="0" quotePrefix="1" applyFont="1" applyFill="1" applyBorder="1" applyAlignment="1" applyProtection="1">
      <alignment horizontal="center" vertical="center"/>
    </xf>
    <xf numFmtId="10" fontId="39" fillId="34" borderId="57" xfId="0" applyNumberFormat="1" applyFont="1" applyFill="1" applyBorder="1" applyAlignment="1" applyProtection="1">
      <alignment horizontal="center"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0" fontId="44" fillId="73" borderId="0" xfId="4688" applyNumberFormat="1" applyFont="1" applyFill="1" applyAlignment="1" applyProtection="1">
      <alignment wrapText="1"/>
    </xf>
    <xf numFmtId="0" fontId="0" fillId="73" borderId="0" xfId="0" applyFill="1" applyProtection="1"/>
    <xf numFmtId="0" fontId="0" fillId="34" borderId="0" xfId="0" applyFont="1" applyFill="1" applyAlignment="1" applyProtection="1">
      <alignment vertical="center" wrapText="1"/>
      <protection locked="0"/>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vertical="center"/>
    </xf>
    <xf numFmtId="37" fontId="0" fillId="34" borderId="29" xfId="439" applyNumberFormat="1" applyFont="1" applyFill="1" applyBorder="1" applyAlignment="1" applyProtection="1">
      <alignment horizontal="right" vertical="center"/>
    </xf>
    <xf numFmtId="49" fontId="0" fillId="34" borderId="29" xfId="439" applyNumberFormat="1" applyFont="1" applyFill="1" applyBorder="1" applyAlignment="1" applyProtection="1">
      <alignment horizontal="right" vertical="center" wrapText="1"/>
    </xf>
    <xf numFmtId="171" fontId="0" fillId="0" borderId="0" xfId="0" applyNumberFormat="1" applyFont="1" applyFill="1" applyAlignment="1" applyProtection="1">
      <alignment vertical="center" wrapText="1"/>
    </xf>
    <xf numFmtId="0" fontId="37" fillId="34" borderId="16" xfId="0" applyFont="1" applyFill="1" applyBorder="1" applyAlignment="1" applyProtection="1">
      <alignment horizontal="justify" vertical="center" wrapText="1"/>
    </xf>
    <xf numFmtId="190" fontId="0" fillId="34" borderId="16" xfId="0" applyNumberFormat="1" applyFill="1" applyBorder="1" applyAlignment="1" applyProtection="1">
      <alignment horizontal="center" vertical="center" wrapText="1"/>
    </xf>
    <xf numFmtId="0" fontId="183" fillId="34" borderId="57" xfId="0" applyFont="1" applyFill="1" applyBorder="1" applyAlignment="1" applyProtection="1">
      <alignment vertical="center" wrapText="1"/>
    </xf>
    <xf numFmtId="0" fontId="69" fillId="36" borderId="0" xfId="0" applyFont="1" applyFill="1" applyAlignment="1" applyProtection="1">
      <alignment horizontal="center" vertical="center" wrapText="1"/>
    </xf>
    <xf numFmtId="0" fontId="41" fillId="34" borderId="25" xfId="0" applyNumberFormat="1" applyFont="1" applyFill="1" applyBorder="1" applyAlignment="1" applyProtection="1">
      <alignment horizontal="left" vertical="center" wrapText="1"/>
    </xf>
    <xf numFmtId="14" fontId="0" fillId="78" borderId="64" xfId="439" applyNumberFormat="1" applyFont="1" applyFill="1" applyBorder="1" applyAlignment="1" applyProtection="1">
      <alignment horizontal="center" vertical="center" wrapText="1"/>
    </xf>
    <xf numFmtId="0" fontId="0" fillId="1" borderId="57" xfId="0" applyFill="1" applyBorder="1" applyAlignment="1">
      <alignment horizontal="center" vertical="center" wrapText="1"/>
    </xf>
    <xf numFmtId="14" fontId="0" fillId="0" borderId="0" xfId="0" applyNumberFormat="1" applyAlignment="1">
      <alignment horizontal="center" vertical="center"/>
    </xf>
    <xf numFmtId="14" fontId="0" fillId="0" borderId="57" xfId="0" applyNumberFormat="1" applyBorder="1" applyAlignment="1" applyProtection="1">
      <alignment horizontal="center" vertical="center" wrapText="1"/>
    </xf>
    <xf numFmtId="14" fontId="44" fillId="0" borderId="0" xfId="0" applyNumberFormat="1" applyFont="1" applyProtection="1"/>
    <xf numFmtId="14" fontId="44" fillId="0" borderId="74" xfId="0" applyNumberFormat="1" applyFont="1" applyBorder="1" applyProtection="1"/>
    <xf numFmtId="0" fontId="69" fillId="85" borderId="76" xfId="0" applyFont="1" applyFill="1" applyBorder="1" applyAlignment="1">
      <alignment vertical="center" wrapText="1"/>
    </xf>
    <xf numFmtId="0" fontId="0" fillId="85" borderId="10" xfId="0" applyFill="1" applyBorder="1" applyAlignment="1">
      <alignment vertical="center" wrapText="1"/>
    </xf>
    <xf numFmtId="14" fontId="44" fillId="0" borderId="69" xfId="0" applyNumberFormat="1" applyFont="1" applyBorder="1" applyProtection="1"/>
    <xf numFmtId="14" fontId="44" fillId="34" borderId="70" xfId="0" applyNumberFormat="1" applyFont="1" applyFill="1" applyBorder="1" applyProtection="1"/>
    <xf numFmtId="14" fontId="44" fillId="34" borderId="71" xfId="0" applyNumberFormat="1" applyFont="1" applyFill="1" applyBorder="1" applyProtection="1"/>
    <xf numFmtId="0" fontId="44" fillId="0" borderId="22" xfId="0" applyFont="1" applyBorder="1" applyProtection="1"/>
    <xf numFmtId="0" fontId="44" fillId="0" borderId="0" xfId="0" applyFont="1" applyBorder="1" applyProtection="1"/>
    <xf numFmtId="0" fontId="44" fillId="0" borderId="56" xfId="0" applyFont="1" applyBorder="1" applyProtection="1"/>
    <xf numFmtId="14" fontId="44" fillId="0" borderId="0" xfId="0" applyNumberFormat="1" applyFont="1" applyBorder="1" applyProtection="1"/>
    <xf numFmtId="14" fontId="44" fillId="0" borderId="56" xfId="0" applyNumberFormat="1" applyFont="1" applyBorder="1" applyProtection="1"/>
    <xf numFmtId="0" fontId="44" fillId="0" borderId="72" xfId="0" applyFont="1" applyBorder="1" applyProtection="1"/>
    <xf numFmtId="14" fontId="44" fillId="0" borderId="17" xfId="0" applyNumberFormat="1" applyFont="1" applyBorder="1" applyProtection="1"/>
    <xf numFmtId="14" fontId="44" fillId="0" borderId="73" xfId="0" applyNumberFormat="1" applyFont="1" applyBorder="1" applyProtection="1"/>
    <xf numFmtId="38" fontId="68" fillId="20" borderId="0" xfId="0" applyNumberFormat="1" applyFont="1" applyFill="1" applyAlignment="1" applyProtection="1">
      <alignment vertical="center" wrapText="1"/>
    </xf>
    <xf numFmtId="0" fontId="0" fillId="0" borderId="77" xfId="0" applyFill="1" applyBorder="1" applyAlignment="1">
      <alignment horizontal="center" vertical="center"/>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76" xfId="0"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10" xfId="0" applyFill="1" applyBorder="1" applyAlignment="1" applyProtection="1">
      <alignment vertical="center" wrapText="1"/>
      <protection locked="0"/>
    </xf>
    <xf numFmtId="0" fontId="0" fillId="0" borderId="10" xfId="0" applyFill="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168" fontId="0" fillId="0" borderId="0" xfId="0" applyNumberFormat="1" applyFont="1" applyAlignment="1" applyProtection="1">
      <alignment wrapText="1"/>
    </xf>
    <xf numFmtId="37" fontId="0" fillId="0" borderId="0" xfId="0" applyNumberFormat="1" applyFont="1" applyFill="1" applyAlignment="1" applyProtection="1">
      <alignment horizontal="center" vertical="center" wrapText="1"/>
    </xf>
    <xf numFmtId="14" fontId="0" fillId="0" borderId="0" xfId="0" applyNumberFormat="1" applyFont="1" applyAlignment="1">
      <alignment wrapText="1"/>
    </xf>
    <xf numFmtId="14" fontId="0" fillId="0" borderId="0" xfId="0" applyNumberFormat="1" applyFont="1" applyFill="1" applyAlignment="1" applyProtection="1">
      <alignment horizontal="center" vertical="center" wrapText="1"/>
    </xf>
    <xf numFmtId="0" fontId="0" fillId="0" borderId="77"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horizontal="left" vertical="center" wrapText="1"/>
      <protection locked="0"/>
    </xf>
    <xf numFmtId="0" fontId="0" fillId="0" borderId="10" xfId="0" applyFill="1" applyBorder="1" applyAlignment="1">
      <alignment horizontal="left"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14" fontId="0" fillId="0" borderId="0" xfId="0" applyNumberFormat="1" applyFont="1" applyFill="1" applyAlignment="1" applyProtection="1">
      <alignment wrapText="1"/>
    </xf>
    <xf numFmtId="0" fontId="0" fillId="0" borderId="12" xfId="0" applyFill="1" applyBorder="1" applyAlignment="1">
      <alignment horizontal="center" vertical="center"/>
    </xf>
    <xf numFmtId="0" fontId="0" fillId="0" borderId="12" xfId="0" applyFill="1" applyBorder="1" applyAlignment="1">
      <alignment vertical="center" wrapText="1"/>
    </xf>
    <xf numFmtId="1" fontId="44" fillId="0" borderId="0" xfId="0" applyNumberFormat="1" applyFont="1"/>
    <xf numFmtId="0" fontId="195" fillId="0" borderId="0" xfId="0" applyFont="1"/>
    <xf numFmtId="0" fontId="0" fillId="86" borderId="0" xfId="0" applyFill="1" applyAlignment="1">
      <alignment wrapText="1"/>
    </xf>
    <xf numFmtId="39" fontId="0" fillId="0" borderId="0" xfId="0" applyNumberFormat="1"/>
    <xf numFmtId="43" fontId="0" fillId="0" borderId="0" xfId="0" applyNumberFormat="1"/>
    <xf numFmtId="3" fontId="0" fillId="24" borderId="0" xfId="0" applyNumberFormat="1" applyFill="1" applyAlignment="1" applyProtection="1">
      <alignment wrapText="1"/>
    </xf>
    <xf numFmtId="43" fontId="0" fillId="0" borderId="0" xfId="0" applyNumberFormat="1" applyFill="1"/>
    <xf numFmtId="0" fontId="45" fillId="0" borderId="13" xfId="0" applyFont="1" applyFill="1" applyBorder="1" applyAlignment="1" applyProtection="1">
      <alignment horizontal="center" vertical="center" wrapText="1"/>
    </xf>
    <xf numFmtId="0" fontId="40" fillId="78" borderId="57" xfId="0" applyFont="1" applyFill="1" applyBorder="1" applyAlignment="1" applyProtection="1">
      <alignment vertical="center" wrapText="1"/>
    </xf>
    <xf numFmtId="0" fontId="0" fillId="85" borderId="0" xfId="0" applyFill="1" applyAlignment="1">
      <alignment horizontal="center"/>
    </xf>
    <xf numFmtId="0" fontId="0" fillId="85" borderId="0" xfId="0" applyFill="1"/>
    <xf numFmtId="164" fontId="0" fillId="85" borderId="0" xfId="439" applyNumberFormat="1" applyFont="1" applyFill="1"/>
    <xf numFmtId="4" fontId="0" fillId="85" borderId="0" xfId="0" applyNumberFormat="1" applyFill="1"/>
    <xf numFmtId="39" fontId="0" fillId="36" borderId="0" xfId="0" applyNumberFormat="1" applyFill="1"/>
    <xf numFmtId="4" fontId="0" fillId="36" borderId="0" xfId="0" applyNumberFormat="1" applyFill="1"/>
    <xf numFmtId="0" fontId="44" fillId="0" borderId="105" xfId="0" applyFont="1" applyBorder="1" applyProtection="1"/>
    <xf numFmtId="0" fontId="44" fillId="29" borderId="57" xfId="0" applyFont="1" applyFill="1" applyBorder="1" applyProtection="1"/>
    <xf numFmtId="0" fontId="44" fillId="0" borderId="104" xfId="0" applyFont="1" applyBorder="1" applyProtection="1"/>
    <xf numFmtId="0" fontId="44" fillId="73" borderId="57" xfId="0" applyFont="1" applyFill="1" applyBorder="1" applyProtection="1"/>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3" fillId="34" borderId="13" xfId="0" applyFont="1" applyFill="1" applyBorder="1" applyAlignment="1">
      <alignment horizontal="center" vertical="center" wrapText="1"/>
    </xf>
    <xf numFmtId="0" fontId="193" fillId="34" borderId="16" xfId="0" applyFont="1" applyFill="1" applyBorder="1" applyAlignment="1">
      <alignment horizontal="center" vertical="center" wrapText="1"/>
    </xf>
    <xf numFmtId="0" fontId="193" fillId="34" borderId="11" xfId="0" applyFont="1" applyFill="1" applyBorder="1" applyAlignment="1">
      <alignment horizontal="center" vertical="center"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77" fillId="84" borderId="13" xfId="0" applyFont="1" applyFill="1" applyBorder="1" applyAlignment="1">
      <alignment horizontal="center" vertical="center"/>
    </xf>
    <xf numFmtId="0" fontId="177" fillId="84" borderId="16" xfId="0" applyFont="1" applyFill="1" applyBorder="1" applyAlignment="1">
      <alignment horizontal="center" vertical="center"/>
    </xf>
    <xf numFmtId="0" fontId="177" fillId="84"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3" fillId="34" borderId="13" xfId="0" applyFont="1" applyFill="1" applyBorder="1" applyAlignment="1">
      <alignment horizontal="center" wrapText="1"/>
    </xf>
    <xf numFmtId="0" fontId="193" fillId="34" borderId="16" xfId="0" applyFont="1" applyFill="1" applyBorder="1" applyAlignment="1">
      <alignment horizontal="center" wrapText="1"/>
    </xf>
    <xf numFmtId="0" fontId="193" fillId="34" borderId="11" xfId="0" applyFont="1" applyFill="1" applyBorder="1" applyAlignment="1">
      <alignment horizontal="center" wrapText="1"/>
    </xf>
    <xf numFmtId="0" fontId="57" fillId="34" borderId="16" xfId="0" applyFont="1" applyFill="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78" borderId="11" xfId="0" applyFont="1" applyFill="1" applyBorder="1" applyAlignment="1" applyProtection="1">
      <alignment horizontal="justify" vertical="center" wrapText="1"/>
    </xf>
    <xf numFmtId="0" fontId="39" fillId="78" borderId="57" xfId="0" applyFont="1" applyFill="1" applyBorder="1" applyAlignment="1" applyProtection="1">
      <alignment horizontal="justify"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39" fillId="78" borderId="16"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78" borderId="16" xfId="0" applyFont="1" applyFill="1" applyBorder="1" applyAlignment="1" applyProtection="1">
      <alignment horizontal="left" wrapText="1"/>
    </xf>
    <xf numFmtId="0" fontId="57" fillId="0" borderId="11" xfId="0" applyFont="1" applyFill="1" applyBorder="1" applyAlignment="1" applyProtection="1">
      <alignment horizontal="justify" vertical="center" wrapText="1"/>
    </xf>
    <xf numFmtId="0" fontId="57" fillId="0" borderId="57" xfId="0" applyFont="1" applyFill="1" applyBorder="1" applyAlignment="1" applyProtection="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34" borderId="57" xfId="0" applyFont="1" applyFill="1" applyBorder="1" applyAlignment="1" applyProtection="1">
      <alignment horizontal="left" vertic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59" fillId="0" borderId="40" xfId="0" applyFont="1" applyBorder="1" applyAlignment="1" applyProtection="1">
      <alignment horizontal="center" vertical="center"/>
    </xf>
    <xf numFmtId="0" fontId="159" fillId="0" borderId="41" xfId="0" applyFont="1" applyBorder="1" applyAlignment="1" applyProtection="1">
      <alignment horizontal="center" vertical="center"/>
    </xf>
    <xf numFmtId="0" fontId="159" fillId="0" borderId="16" xfId="0" applyFont="1" applyBorder="1" applyAlignment="1" applyProtection="1">
      <alignment horizontal="center" vertical="center"/>
    </xf>
    <xf numFmtId="0" fontId="159"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28" fillId="73" borderId="67" xfId="0" applyFont="1" applyFill="1" applyBorder="1" applyAlignment="1" applyProtection="1">
      <alignment horizontal="center" vertical="center" wrapText="1"/>
    </xf>
    <xf numFmtId="0" fontId="128" fillId="73" borderId="87" xfId="0" applyFont="1" applyFill="1" applyBorder="1" applyAlignment="1" applyProtection="1">
      <alignment horizontal="center" vertical="center" wrapText="1"/>
    </xf>
    <xf numFmtId="0" fontId="128"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57" fillId="78" borderId="16" xfId="0" applyFont="1" applyFill="1" applyBorder="1" applyAlignment="1" applyProtection="1">
      <alignment horizontal="justify" vertical="center" wrapText="1"/>
    </xf>
    <xf numFmtId="0" fontId="57" fillId="78" borderId="11"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78" borderId="13" xfId="0" applyFont="1" applyFill="1" applyBorder="1" applyAlignment="1" applyProtection="1">
      <alignment horizontal="left" vertical="center" wrapText="1"/>
    </xf>
    <xf numFmtId="0" fontId="57" fillId="78" borderId="16" xfId="0" applyFont="1" applyFill="1" applyBorder="1" applyAlignment="1" applyProtection="1">
      <alignment horizontal="left" vertical="center" wrapText="1"/>
    </xf>
    <xf numFmtId="0" fontId="57" fillId="78" borderId="11" xfId="0" applyFont="1" applyFill="1" applyBorder="1" applyAlignment="1" applyProtection="1">
      <alignment horizontal="left" vertical="center" wrapText="1"/>
    </xf>
    <xf numFmtId="0" fontId="57" fillId="78" borderId="90" xfId="0" applyFont="1" applyFill="1" applyBorder="1" applyAlignment="1" applyProtection="1">
      <alignment horizontal="left"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0" fillId="0" borderId="69" xfId="26000" applyFont="1" applyBorder="1" applyAlignment="1">
      <alignment horizontal="left" vertical="top" wrapText="1"/>
    </xf>
    <xf numFmtId="0" fontId="130" fillId="0" borderId="70" xfId="26000" applyFont="1" applyBorder="1" applyAlignment="1">
      <alignment horizontal="left" vertical="top" wrapText="1"/>
    </xf>
    <xf numFmtId="0" fontId="130" fillId="0" borderId="71" xfId="26000" applyFont="1" applyBorder="1" applyAlignment="1">
      <alignment horizontal="left" vertical="top" wrapText="1"/>
    </xf>
    <xf numFmtId="0" fontId="130" fillId="0" borderId="22" xfId="26000" applyFont="1" applyBorder="1" applyAlignment="1">
      <alignment horizontal="left" vertical="top" wrapText="1"/>
    </xf>
    <xf numFmtId="0" fontId="130" fillId="0" borderId="0" xfId="26000" applyFont="1" applyBorder="1" applyAlignment="1">
      <alignment horizontal="left" vertical="top" wrapText="1"/>
    </xf>
    <xf numFmtId="0" fontId="130" fillId="0" borderId="56" xfId="26000" applyFont="1" applyBorder="1" applyAlignment="1">
      <alignment horizontal="left" vertical="top" wrapText="1"/>
    </xf>
    <xf numFmtId="0" fontId="130" fillId="0" borderId="72" xfId="26000" applyFont="1" applyBorder="1" applyAlignment="1">
      <alignment horizontal="left" vertical="top" wrapText="1"/>
    </xf>
    <xf numFmtId="0" fontId="130" fillId="0" borderId="17" xfId="26000" applyFont="1" applyBorder="1" applyAlignment="1">
      <alignment horizontal="left" vertical="top" wrapText="1"/>
    </xf>
    <xf numFmtId="0" fontId="130" fillId="0" borderId="73" xfId="26000" applyFont="1" applyBorder="1" applyAlignment="1">
      <alignment horizontal="left" vertical="top" wrapText="1"/>
    </xf>
    <xf numFmtId="0" fontId="130"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1">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0"/>
      <tableStyleElement type="headerRow" dxfId="119"/>
      <tableStyleElement type="firstRowStripe" dxfId="118"/>
    </tableStyle>
  </tableStyles>
  <colors>
    <mruColors>
      <color rgb="FF99FF66"/>
      <color rgb="FFFFFFCC"/>
      <color rgb="FFFFFFFF"/>
      <color rgb="FFFFC7CE"/>
      <color rgb="FFFFC4FF"/>
      <color rgb="FF0315BD"/>
      <color rgb="FFCC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210638</xdr:colOff>
      <xdr:row>10</xdr:row>
      <xdr:rowOff>190500</xdr:rowOff>
    </xdr:from>
    <xdr:to>
      <xdr:col>4</xdr:col>
      <xdr:colOff>850991</xdr:colOff>
      <xdr:row>10</xdr:row>
      <xdr:rowOff>2908391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197847</xdr:colOff>
      <xdr:row>15</xdr:row>
      <xdr:rowOff>66131</xdr:rowOff>
    </xdr:from>
    <xdr:to>
      <xdr:col>4</xdr:col>
      <xdr:colOff>856162</xdr:colOff>
      <xdr:row>15</xdr:row>
      <xdr:rowOff>2410369</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251460</xdr:colOff>
          <xdr:row>7</xdr:row>
          <xdr:rowOff>83820</xdr:rowOff>
        </xdr:from>
        <xdr:to>
          <xdr:col>6</xdr:col>
          <xdr:colOff>1066800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0" t="s">
        <v>1965</v>
      </c>
      <c r="E2"/>
    </row>
    <row r="3" spans="2:14" ht="76.2" customHeight="1" thickBot="1" x14ac:dyDescent="0.35">
      <c r="B3" s="970" t="s">
        <v>1922</v>
      </c>
      <c r="C3" s="173"/>
      <c r="D3" s="173"/>
      <c r="E3"/>
      <c r="F3"/>
    </row>
    <row r="4" spans="2:14" ht="58.95" customHeight="1" thickBot="1" x14ac:dyDescent="0.35">
      <c r="B4" s="970" t="s">
        <v>1923</v>
      </c>
      <c r="C4" s="173"/>
      <c r="D4" s="173"/>
    </row>
    <row r="5" spans="2:14" ht="61.2" customHeight="1" x14ac:dyDescent="0.3">
      <c r="B5" s="173" t="s">
        <v>1887</v>
      </c>
    </row>
    <row r="6" spans="2:14" ht="83.4" customHeight="1" x14ac:dyDescent="0.4">
      <c r="B6" s="173" t="s">
        <v>860</v>
      </c>
      <c r="F6" s="531"/>
      <c r="G6" s="531"/>
      <c r="H6" s="531"/>
      <c r="I6" s="531"/>
      <c r="J6" s="531"/>
      <c r="K6" s="531"/>
      <c r="L6" s="531"/>
      <c r="M6" s="531"/>
      <c r="N6" s="531"/>
    </row>
    <row r="7" spans="2:14" ht="58.2" customHeight="1" x14ac:dyDescent="0.3">
      <c r="B7" s="173" t="s">
        <v>861</v>
      </c>
    </row>
    <row r="8" spans="2:14" ht="117.6" customHeight="1" x14ac:dyDescent="0.3">
      <c r="B8" s="163" t="s">
        <v>862</v>
      </c>
    </row>
    <row r="9" spans="2:14" ht="25.95" customHeight="1" x14ac:dyDescent="0.3">
      <c r="B9" s="175" t="s">
        <v>452</v>
      </c>
    </row>
    <row r="10" spans="2:14" ht="49.2" customHeight="1" x14ac:dyDescent="0.3">
      <c r="B10" s="532" t="s">
        <v>863</v>
      </c>
    </row>
    <row r="11" spans="2:14" ht="42.6" customHeight="1" x14ac:dyDescent="0.3">
      <c r="B11" s="532" t="s">
        <v>453</v>
      </c>
    </row>
    <row r="12" spans="2:14" s="534" customFormat="1" ht="34.200000000000003" customHeight="1" x14ac:dyDescent="0.3">
      <c r="B12" s="533" t="s">
        <v>1936</v>
      </c>
    </row>
    <row r="13" spans="2:14" s="534" customFormat="1" ht="55.95" customHeight="1" x14ac:dyDescent="0.3">
      <c r="B13" s="535" t="s">
        <v>864</v>
      </c>
    </row>
    <row r="14" spans="2:14" ht="36" customHeight="1" x14ac:dyDescent="0.3">
      <c r="B14" s="535" t="s">
        <v>865</v>
      </c>
    </row>
    <row r="15" spans="2:14" ht="39" customHeight="1" x14ac:dyDescent="0.3">
      <c r="B15" s="536" t="s">
        <v>866</v>
      </c>
    </row>
    <row r="16" spans="2:14" ht="25.95" customHeight="1" x14ac:dyDescent="0.3">
      <c r="B16" s="175" t="s">
        <v>454</v>
      </c>
    </row>
    <row r="17" spans="2:2" x14ac:dyDescent="0.3">
      <c r="B17" s="162"/>
    </row>
    <row r="18" spans="2:2" x14ac:dyDescent="0.3">
      <c r="B18" s="537" t="s">
        <v>36</v>
      </c>
    </row>
    <row r="19" spans="2:2" ht="15.6" customHeight="1" x14ac:dyDescent="0.3">
      <c r="B19" s="538" t="s">
        <v>867</v>
      </c>
    </row>
    <row r="20" spans="2:2" x14ac:dyDescent="0.3">
      <c r="B20" s="539"/>
    </row>
    <row r="21" spans="2:2" x14ac:dyDescent="0.3">
      <c r="B21" s="537" t="s">
        <v>37</v>
      </c>
    </row>
    <row r="22" spans="2:2" ht="15.6" customHeight="1" x14ac:dyDescent="0.3">
      <c r="B22" s="540" t="s">
        <v>335</v>
      </c>
    </row>
    <row r="23" spans="2:2" ht="13.2" customHeight="1" x14ac:dyDescent="0.3">
      <c r="B23" s="162"/>
    </row>
    <row r="24" spans="2:2" ht="25.95" customHeight="1" x14ac:dyDescent="0.3">
      <c r="B24" s="175" t="s">
        <v>455</v>
      </c>
    </row>
    <row r="25" spans="2:2" s="534" customFormat="1" ht="72.599999999999994" customHeight="1" x14ac:dyDescent="0.3">
      <c r="B25" s="532" t="s">
        <v>1486</v>
      </c>
    </row>
    <row r="26" spans="2:2" s="534" customFormat="1" ht="84.6" customHeight="1" x14ac:dyDescent="0.3">
      <c r="B26" s="532" t="s">
        <v>868</v>
      </c>
    </row>
    <row r="27" spans="2:2" s="534" customFormat="1" ht="78.599999999999994" customHeight="1" x14ac:dyDescent="0.3">
      <c r="B27" s="532" t="s">
        <v>456</v>
      </c>
    </row>
    <row r="28" spans="2:2" ht="15" x14ac:dyDescent="0.3">
      <c r="B28" s="165" t="s">
        <v>869</v>
      </c>
    </row>
    <row r="29" spans="2:2" ht="8.4" customHeight="1" x14ac:dyDescent="0.3">
      <c r="B29" s="164"/>
    </row>
    <row r="30" spans="2:2" ht="25.95" customHeight="1" x14ac:dyDescent="0.3">
      <c r="B30" s="175" t="s">
        <v>870</v>
      </c>
    </row>
    <row r="31" spans="2:2" ht="28.95" customHeight="1" x14ac:dyDescent="0.3">
      <c r="B31" s="176" t="s">
        <v>1966</v>
      </c>
    </row>
    <row r="32" spans="2:2" ht="31.95" customHeight="1" x14ac:dyDescent="0.3">
      <c r="B32" s="176" t="s">
        <v>1967</v>
      </c>
    </row>
    <row r="33" spans="2:7" ht="30.6" customHeight="1" x14ac:dyDescent="0.3">
      <c r="B33" s="541" t="s">
        <v>1968</v>
      </c>
    </row>
    <row r="34" spans="2:7" ht="25.2" customHeight="1" x14ac:dyDescent="0.3">
      <c r="B34" s="541" t="s">
        <v>1969</v>
      </c>
    </row>
    <row r="35" spans="2:7" ht="27.6" customHeight="1" x14ac:dyDescent="0.3">
      <c r="B35" s="541" t="s">
        <v>1970</v>
      </c>
    </row>
    <row r="36" spans="2:7" ht="31.95" customHeight="1" x14ac:dyDescent="0.3">
      <c r="B36" s="542" t="s">
        <v>871</v>
      </c>
    </row>
    <row r="37" spans="2:7" ht="60" customHeight="1" x14ac:dyDescent="0.3">
      <c r="B37" s="176" t="s">
        <v>1975</v>
      </c>
    </row>
    <row r="38" spans="2:7" ht="60" customHeight="1" x14ac:dyDescent="0.3">
      <c r="B38" s="659" t="s">
        <v>1971</v>
      </c>
    </row>
    <row r="39" spans="2:7" ht="25.95" customHeight="1" x14ac:dyDescent="0.3">
      <c r="B39" s="176" t="s">
        <v>872</v>
      </c>
    </row>
    <row r="40" spans="2:7" ht="12" customHeight="1" x14ac:dyDescent="0.3">
      <c r="B40" s="176"/>
    </row>
    <row r="41" spans="2:7" ht="25.95" customHeight="1" x14ac:dyDescent="0.3">
      <c r="B41" s="175" t="s">
        <v>1972</v>
      </c>
    </row>
    <row r="42" spans="2:7" x14ac:dyDescent="0.3">
      <c r="B42" s="174"/>
      <c r="G42" s="543"/>
    </row>
    <row r="43" spans="2:7" ht="43.2" customHeight="1" x14ac:dyDescent="0.3">
      <c r="B43" s="544" t="s">
        <v>873</v>
      </c>
    </row>
    <row r="44" spans="2:7" ht="19.95" customHeight="1" x14ac:dyDescent="0.3">
      <c r="B44" s="545" t="s">
        <v>866</v>
      </c>
    </row>
    <row r="45" spans="2:7" ht="11.4" customHeight="1" x14ac:dyDescent="0.3">
      <c r="B45" s="177"/>
    </row>
    <row r="46" spans="2:7" ht="15" x14ac:dyDescent="0.3">
      <c r="B46" s="178"/>
    </row>
    <row r="47" spans="2:7" ht="7.2" customHeight="1" x14ac:dyDescent="0.3">
      <c r="B47" s="176"/>
    </row>
    <row r="48" spans="2:7" ht="25.95" customHeight="1" x14ac:dyDescent="0.3">
      <c r="B48" s="175" t="s">
        <v>1973</v>
      </c>
    </row>
    <row r="49" spans="2:2" ht="35.4" customHeight="1" x14ac:dyDescent="0.3">
      <c r="B49" s="544" t="s">
        <v>1974</v>
      </c>
    </row>
    <row r="50" spans="2:2" ht="15" x14ac:dyDescent="0.3">
      <c r="B50" s="178"/>
    </row>
    <row r="61" spans="2:2" ht="44.25" customHeight="1" x14ac:dyDescent="0.3"/>
  </sheetData>
  <sheetProtection algorithmName="SHA-512" hashValue="oFl8VBlWpxNvd42jiw6ChBCIAMOcK7RSjUWZ+z2QJLjQjrGE+086kVMcoC/Zsq2shEY1an4+lgn9dsOHYlEHhA==" saltValue="bCwc68KtNTy8OxMOduQ9WA=="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6" customWidth="1"/>
    <col min="2" max="2" width="20.6640625" style="5" customWidth="1"/>
    <col min="3" max="3" width="17.44140625" style="5" customWidth="1"/>
    <col min="4" max="4" width="46.33203125" style="383" customWidth="1"/>
    <col min="5" max="5" width="17.109375" style="18" customWidth="1"/>
    <col min="6" max="6" width="21.5546875" style="383" customWidth="1"/>
    <col min="7" max="7" width="26.6640625" style="448" customWidth="1"/>
    <col min="8" max="8" width="24.33203125" style="308" customWidth="1"/>
    <col min="9" max="10" width="24" style="383" customWidth="1"/>
    <col min="11" max="11" width="17.33203125" style="18" customWidth="1"/>
    <col min="12" max="12" width="11.6640625" style="18" hidden="1" customWidth="1"/>
    <col min="13" max="13" width="4" hidden="1" customWidth="1"/>
    <col min="14" max="14" width="11" style="18" hidden="1" customWidth="1"/>
    <col min="15" max="15" width="3.33203125" style="185"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3"/>
  </cols>
  <sheetData>
    <row r="1" spans="1:123" ht="15" thickBot="1" x14ac:dyDescent="0.35">
      <c r="B1" s="450" t="s">
        <v>386</v>
      </c>
      <c r="C1" s="450"/>
      <c r="E1" s="384" t="s">
        <v>35</v>
      </c>
      <c r="F1" s="385">
        <v>2024</v>
      </c>
      <c r="G1" s="115" t="s">
        <v>118</v>
      </c>
      <c r="H1" s="386"/>
      <c r="I1" s="387"/>
      <c r="J1" s="387"/>
      <c r="K1" s="388"/>
      <c r="N1" s="18" t="s">
        <v>50</v>
      </c>
      <c r="P1" s="18">
        <v>1</v>
      </c>
      <c r="Q1" s="18" t="s">
        <v>1061</v>
      </c>
    </row>
    <row r="2" spans="1:123" ht="44.25" customHeight="1" thickBot="1" x14ac:dyDescent="0.35">
      <c r="B2" s="1066" t="s">
        <v>282</v>
      </c>
      <c r="C2" s="1067"/>
      <c r="D2" s="389" t="s">
        <v>798</v>
      </c>
      <c r="E2" s="1064" t="s">
        <v>294</v>
      </c>
      <c r="F2" s="1064"/>
      <c r="G2" s="1065"/>
      <c r="H2" s="1033" t="s">
        <v>2744</v>
      </c>
      <c r="N2" s="18" t="s">
        <v>51</v>
      </c>
      <c r="O2" s="185">
        <v>50</v>
      </c>
      <c r="P2" s="18">
        <v>2</v>
      </c>
      <c r="Q2" s="18">
        <v>9004</v>
      </c>
    </row>
    <row r="3" spans="1:123" ht="15" thickBot="1" x14ac:dyDescent="0.35">
      <c r="B3" s="451" t="s">
        <v>0</v>
      </c>
      <c r="C3" s="452"/>
      <c r="D3" s="391" t="e">
        <f>VLOOKUP(D2,'Unit Names(H)'!A2:B139,2,FALSE)</f>
        <v>#N/A</v>
      </c>
      <c r="E3" s="522"/>
      <c r="F3" s="392"/>
      <c r="G3" s="393"/>
      <c r="H3" s="390"/>
      <c r="O3" s="185">
        <v>51</v>
      </c>
      <c r="P3" s="18">
        <v>3</v>
      </c>
    </row>
    <row r="4" spans="1:123" ht="15" thickBot="1" x14ac:dyDescent="0.35">
      <c r="B4" s="453" t="s">
        <v>665</v>
      </c>
      <c r="C4" s="454"/>
      <c r="D4" s="394"/>
      <c r="E4" s="394"/>
      <c r="F4" s="395"/>
      <c r="G4" s="396"/>
      <c r="H4" s="390"/>
      <c r="I4" s="2"/>
      <c r="J4" s="2"/>
      <c r="N4" s="18" t="s">
        <v>322</v>
      </c>
      <c r="O4" s="185">
        <v>52</v>
      </c>
      <c r="P4" s="18">
        <v>4</v>
      </c>
    </row>
    <row r="5" spans="1:123" ht="37.5" customHeight="1" thickBot="1" x14ac:dyDescent="0.35">
      <c r="A5" s="372" t="s">
        <v>383</v>
      </c>
      <c r="B5" s="943" t="s">
        <v>103</v>
      </c>
      <c r="C5" s="943" t="s">
        <v>120</v>
      </c>
      <c r="D5" s="944" t="s">
        <v>1</v>
      </c>
      <c r="E5" s="944">
        <v>2023</v>
      </c>
      <c r="F5" s="397">
        <v>2024</v>
      </c>
      <c r="G5" s="945" t="s">
        <v>773</v>
      </c>
      <c r="H5" s="398" t="s">
        <v>298</v>
      </c>
      <c r="I5" s="385" t="s">
        <v>13</v>
      </c>
      <c r="J5" s="385"/>
      <c r="N5" s="18" t="s">
        <v>427</v>
      </c>
    </row>
    <row r="6" spans="1:123" ht="48" customHeight="1" thickBot="1" x14ac:dyDescent="0.4">
      <c r="A6" s="372"/>
      <c r="B6" s="1073" t="s">
        <v>1888</v>
      </c>
      <c r="C6" s="1074"/>
      <c r="D6" s="1074"/>
      <c r="E6" s="1074"/>
      <c r="F6" s="1074"/>
      <c r="G6" s="1075"/>
      <c r="H6" s="935"/>
      <c r="I6" s="385"/>
      <c r="J6" s="385"/>
      <c r="M6" s="180"/>
      <c r="N6" s="341" t="s">
        <v>461</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2"/>
      <c r="B7" s="1073" t="s">
        <v>1923</v>
      </c>
      <c r="C7" s="1074"/>
      <c r="D7" s="1074"/>
      <c r="E7" s="1074"/>
      <c r="F7" s="1074"/>
      <c r="G7" s="1075"/>
      <c r="H7" s="935"/>
      <c r="I7" s="385"/>
      <c r="J7" s="385"/>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77" t="s">
        <v>119</v>
      </c>
      <c r="C8" s="478"/>
      <c r="D8" s="479"/>
      <c r="E8" s="480"/>
      <c r="F8" s="481"/>
      <c r="G8" s="473"/>
      <c r="H8" s="17"/>
      <c r="K8" s="758"/>
      <c r="N8" s="18" t="s">
        <v>410</v>
      </c>
    </row>
    <row r="9" spans="1:123" s="18" customFormat="1" ht="72.599999999999994" customHeight="1" x14ac:dyDescent="0.3">
      <c r="A9" s="549">
        <v>333</v>
      </c>
      <c r="B9" s="372" t="s">
        <v>66</v>
      </c>
      <c r="C9" s="372" t="s">
        <v>121</v>
      </c>
      <c r="D9" s="382" t="s">
        <v>666</v>
      </c>
      <c r="E9" s="370" t="e">
        <f>INDEX('PY1 Data(H)'!$A$1:$CZ$265,MATCH('Unit Data from Audit Worksheet'!$A9,'PY1 Data(H)'!$A$1:$A$258,0),MATCH('Unit Data from Audit Worksheet'!$D$2,'PY1 Data(H)'!$A$1:$CZ$1,0))</f>
        <v>#N/A</v>
      </c>
      <c r="F9" s="791">
        <v>0</v>
      </c>
      <c r="G9" s="400">
        <f>IF(F9&lt;0,"Note: Number is normally positive.",)</f>
        <v>0</v>
      </c>
      <c r="H9" s="401"/>
      <c r="I9" s="401"/>
      <c r="J9" s="402"/>
      <c r="K9" s="291"/>
      <c r="L9" s="546"/>
      <c r="M9"/>
      <c r="N9" s="18" t="s">
        <v>428</v>
      </c>
      <c r="O9" s="18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2" t="s">
        <v>54</v>
      </c>
      <c r="C10" s="372" t="s">
        <v>121</v>
      </c>
      <c r="D10" s="382" t="s">
        <v>667</v>
      </c>
      <c r="E10" s="370" t="e">
        <f>INDEX('PY1 Data(H)'!$A$1:$CZ$265,MATCH('Unit Data from Audit Worksheet'!$A10,'PY1 Data(H)'!$A$1:$A$258,0),MATCH('Unit Data from Audit Worksheet'!$D$2,'PY1 Data(H)'!$A$1:$CZ$1,0))</f>
        <v>#N/A</v>
      </c>
      <c r="F10" s="791">
        <v>0</v>
      </c>
      <c r="G10" s="400">
        <f>IF(F10&lt;0,"Note: Number is normally positive.",)</f>
        <v>0</v>
      </c>
      <c r="H10" s="401"/>
      <c r="I10" s="401"/>
      <c r="J10" s="401"/>
      <c r="K10" s="291"/>
      <c r="L10" s="546"/>
      <c r="M10"/>
      <c r="N10" s="18" t="s">
        <v>429</v>
      </c>
      <c r="O10" s="18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59">
        <v>385</v>
      </c>
      <c r="B11" s="4" t="s">
        <v>59</v>
      </c>
      <c r="C11" s="372" t="s">
        <v>121</v>
      </c>
      <c r="D11" s="99" t="s">
        <v>122</v>
      </c>
      <c r="E11" s="370" t="e">
        <f>INDEX('PY1 Data(H)'!$A$1:$CZ$265,MATCH('Unit Data from Audit Worksheet'!$A11,'PY1 Data(H)'!$A$1:$A$258,0),MATCH('Unit Data from Audit Worksheet'!$D$2,'PY1 Data(H)'!$A$1:$CZ$1,0))-INDEX('PY1 Data(H)'!$A$1:$CZ$258,MATCH('Unit Data from Audit Worksheet'!$A13,'PY1 Data(H)'!$A$1:$A$258,0),MATCH('Unit Data from Audit Worksheet'!$D$2,'PY1 Data(H)'!$A$1:$CZ$1,0))</f>
        <v>#N/A</v>
      </c>
      <c r="F11" s="791">
        <v>0</v>
      </c>
      <c r="G11" s="400">
        <f>IF((F9+F10)&gt;F11,"Error: Please review Account numbers (333+500)&gt;385",)</f>
        <v>0</v>
      </c>
      <c r="H11" s="401"/>
      <c r="I11" s="401"/>
      <c r="J11" s="401"/>
      <c r="K11"/>
      <c r="L11" s="546"/>
    </row>
    <row r="12" spans="1:123" s="18" customFormat="1" ht="90" customHeight="1" x14ac:dyDescent="0.3">
      <c r="A12" s="100">
        <v>575</v>
      </c>
      <c r="B12" s="372" t="s">
        <v>69</v>
      </c>
      <c r="C12" s="372" t="s">
        <v>121</v>
      </c>
      <c r="D12" s="455" t="s">
        <v>668</v>
      </c>
      <c r="E12" s="370" t="e">
        <f>INDEX('PY1 Data(H)'!$A$1:$CZ$265,MATCH('Unit Data from Audit Worksheet'!$A12,'PY1 Data(H)'!$A$1:$A$258,0),MATCH('Unit Data from Audit Worksheet'!$D$2,'PY1 Data(H)'!$A$1:$CZ$1,0))</f>
        <v>#N/A</v>
      </c>
      <c r="F12" s="791">
        <v>0</v>
      </c>
      <c r="G12" s="400">
        <f>IF(F12&lt;0,"Note: Number is normally positive.",)</f>
        <v>0</v>
      </c>
      <c r="H12" s="403"/>
      <c r="I12" s="404"/>
      <c r="J12" s="404"/>
      <c r="K12"/>
      <c r="L12" s="546"/>
      <c r="M12"/>
      <c r="O12" s="18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2" t="s">
        <v>69</v>
      </c>
      <c r="C13" s="372" t="s">
        <v>121</v>
      </c>
      <c r="D13" s="455" t="s">
        <v>669</v>
      </c>
      <c r="E13" s="370" t="e">
        <f>INDEX('PY1 Data(H)'!$A$1:$CZ$265,MATCH('Unit Data from Audit Worksheet'!$A13,'PY1 Data(H)'!$A$1:$A$258,0),MATCH('Unit Data from Audit Worksheet'!$D$2,'PY1 Data(H)'!$A$1:$CZ$1,0))</f>
        <v>#N/A</v>
      </c>
      <c r="F13" s="791">
        <v>0</v>
      </c>
      <c r="G13" s="400">
        <f>IF(F13&lt;0,"Error: Enter as positive.",)</f>
        <v>0</v>
      </c>
      <c r="H13" s="403"/>
      <c r="I13" s="404"/>
      <c r="J13" s="404"/>
      <c r="K13"/>
      <c r="L13" s="546"/>
      <c r="M13"/>
      <c r="O13" s="18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0">
        <v>626</v>
      </c>
      <c r="B14" s="459" t="s">
        <v>442</v>
      </c>
      <c r="C14" s="459" t="s">
        <v>121</v>
      </c>
      <c r="D14" s="213" t="s">
        <v>670</v>
      </c>
      <c r="E14" s="370" t="e">
        <f>INDEX('PY1 Data(H)'!$A$1:$CZ$265,MATCH('Unit Data from Audit Worksheet'!$A14,'PY1 Data(H)'!$A$1:$A$258,0),MATCH('Unit Data from Audit Worksheet'!$D$2,'PY1 Data(H)'!$A$1:$CZ$1,0))-INDEX('PY1 Data(H)'!$A$1:$CZ$258,MATCH('Unit Data from Audit Worksheet'!$A13,'PY1 Data(H)'!$A$1:$A$258,0),MATCH('Unit Data from Audit Worksheet'!$D$2,'PY1 Data(H)'!$A$1:$CZ$1,0))</f>
        <v>#N/A</v>
      </c>
      <c r="F14" s="791">
        <v>0</v>
      </c>
      <c r="G14" s="400">
        <f>IF(F14&lt;0,"Error: Enter as positive.",)</f>
        <v>0</v>
      </c>
      <c r="H14" s="405"/>
      <c r="I14" s="405"/>
      <c r="J14" s="759"/>
      <c r="K14"/>
      <c r="L14" s="546"/>
    </row>
    <row r="15" spans="1:123" ht="89.25" customHeight="1" x14ac:dyDescent="0.3">
      <c r="A15" s="188">
        <v>627</v>
      </c>
      <c r="B15" s="460" t="s">
        <v>358</v>
      </c>
      <c r="C15" s="459" t="s">
        <v>121</v>
      </c>
      <c r="D15" s="213" t="s">
        <v>671</v>
      </c>
      <c r="E15" s="370" t="e">
        <f>INDEX('PY1 Data(H)'!$A$1:$CZ$265,MATCH('Unit Data from Audit Worksheet'!$A15,'PY1 Data(H)'!$A$1:$A$258,0),MATCH('Unit Data from Audit Worksheet'!$D$2,'PY1 Data(H)'!$A$1:$CZ$1,0))</f>
        <v>#N/A</v>
      </c>
      <c r="F15" s="791">
        <v>0</v>
      </c>
      <c r="G15" s="400">
        <f>IF(F15&gt;F14,"Please review account numbers 627 &gt;626",)</f>
        <v>0</v>
      </c>
      <c r="H15" s="405"/>
      <c r="I15" s="405"/>
      <c r="J15" s="759"/>
      <c r="K15"/>
      <c r="L15" s="546"/>
    </row>
    <row r="16" spans="1:123" ht="105" customHeight="1" x14ac:dyDescent="0.3">
      <c r="A16" s="188">
        <v>628</v>
      </c>
      <c r="B16" s="460" t="s">
        <v>358</v>
      </c>
      <c r="C16" s="459" t="s">
        <v>121</v>
      </c>
      <c r="D16" s="213" t="s">
        <v>672</v>
      </c>
      <c r="E16" s="370" t="e">
        <f>INDEX('PY1 Data(H)'!$A$1:$CZ$265,MATCH('Unit Data from Audit Worksheet'!$A16,'PY1 Data(H)'!$A$1:$A$258,0),MATCH('Unit Data from Audit Worksheet'!$D$2,'PY1 Data(H)'!$A$1:$CZ$1,0))</f>
        <v>#N/A</v>
      </c>
      <c r="F16" s="791">
        <v>0</v>
      </c>
      <c r="G16" s="400">
        <f>IF(F16&gt;F14,"Please review account numbers 628 &gt; 626",)</f>
        <v>0</v>
      </c>
      <c r="H16" s="405"/>
      <c r="I16" s="405"/>
      <c r="J16" s="759"/>
      <c r="K16"/>
      <c r="L16" s="546"/>
    </row>
    <row r="17" spans="1:12" ht="95.25" customHeight="1" x14ac:dyDescent="0.3">
      <c r="A17" s="188">
        <v>629</v>
      </c>
      <c r="B17" s="460" t="s">
        <v>358</v>
      </c>
      <c r="C17" s="459" t="s">
        <v>121</v>
      </c>
      <c r="D17" s="213" t="s">
        <v>673</v>
      </c>
      <c r="E17" s="370" t="e">
        <f>INDEX('PY1 Data(H)'!$A$1:$CZ$265,MATCH('Unit Data from Audit Worksheet'!$A17,'PY1 Data(H)'!$A$1:$A$258,0),MATCH('Unit Data from Audit Worksheet'!$D$2,'PY1 Data(H)'!$A$1:$CZ$1,0))</f>
        <v>#N/A</v>
      </c>
      <c r="F17" s="791">
        <v>0</v>
      </c>
      <c r="G17" s="400">
        <f>IF(F17&gt;F14,"Please review account numbers 629 &gt; 626",)</f>
        <v>0</v>
      </c>
      <c r="H17" s="405"/>
      <c r="I17" s="405"/>
      <c r="J17" s="759"/>
      <c r="K17"/>
      <c r="L17" s="546"/>
    </row>
    <row r="18" spans="1:12" ht="69" customHeight="1" x14ac:dyDescent="0.3">
      <c r="A18" s="188">
        <v>630</v>
      </c>
      <c r="B18" s="460" t="s">
        <v>358</v>
      </c>
      <c r="C18" s="459" t="s">
        <v>121</v>
      </c>
      <c r="D18" s="213" t="s">
        <v>423</v>
      </c>
      <c r="E18" s="370" t="e">
        <f>INDEX('PY1 Data(H)'!$A$1:$CZ$265,MATCH('Unit Data from Audit Worksheet'!$A18,'PY1 Data(H)'!$A$1:$A$258,0),MATCH('Unit Data from Audit Worksheet'!$D$2,'PY1 Data(H)'!$A$1:$CZ$1,0))</f>
        <v>#N/A</v>
      </c>
      <c r="F18" s="791">
        <v>0</v>
      </c>
      <c r="G18" s="400">
        <f>IF(F18&gt;F14,"Please review account numbers 630 &gt; 626",)</f>
        <v>0</v>
      </c>
      <c r="H18" s="405"/>
      <c r="I18" s="405"/>
      <c r="J18" s="759"/>
      <c r="K18"/>
      <c r="L18" s="546"/>
    </row>
    <row r="19" spans="1:12" ht="95.25" customHeight="1" x14ac:dyDescent="0.3">
      <c r="A19" s="188">
        <v>631</v>
      </c>
      <c r="B19" s="460" t="s">
        <v>358</v>
      </c>
      <c r="C19" s="459" t="s">
        <v>121</v>
      </c>
      <c r="D19" s="213" t="s">
        <v>674</v>
      </c>
      <c r="E19" s="370" t="e">
        <f>INDEX('PY1 Data(H)'!$A$1:$CZ$265,MATCH('Unit Data from Audit Worksheet'!$A19,'PY1 Data(H)'!$A$1:$A$258,0),MATCH('Unit Data from Audit Worksheet'!$D$2,'PY1 Data(H)'!$A$1:$CZ$1,0))</f>
        <v>#N/A</v>
      </c>
      <c r="F19" s="791">
        <v>0</v>
      </c>
      <c r="G19" s="400">
        <f>IF(F19&gt;F14,"Please review account numbers 631 &gt; 626",)</f>
        <v>0</v>
      </c>
      <c r="H19" s="405"/>
      <c r="I19" s="405"/>
      <c r="J19" s="759"/>
      <c r="K19"/>
      <c r="L19" s="546"/>
    </row>
    <row r="20" spans="1:12" ht="111.75" customHeight="1" x14ac:dyDescent="0.3">
      <c r="A20" s="188">
        <v>632</v>
      </c>
      <c r="B20" s="460" t="s">
        <v>358</v>
      </c>
      <c r="C20" s="459" t="s">
        <v>121</v>
      </c>
      <c r="D20" s="213" t="s">
        <v>675</v>
      </c>
      <c r="E20" s="370" t="e">
        <f>INDEX('PY1 Data(H)'!$A$1:$CZ$265,MATCH('Unit Data from Audit Worksheet'!$A20,'PY1 Data(H)'!$A$1:$A$258,0),MATCH('Unit Data from Audit Worksheet'!$D$2,'PY1 Data(H)'!$A$1:$CZ$1,0))</f>
        <v>#N/A</v>
      </c>
      <c r="F20" s="791">
        <v>0</v>
      </c>
      <c r="G20" s="400">
        <f>IF(F20&gt;F14,"Please review account numbers 632 &gt; 626",)</f>
        <v>0</v>
      </c>
      <c r="H20" s="405"/>
      <c r="I20" s="405"/>
      <c r="J20" s="759"/>
      <c r="K20"/>
      <c r="L20" s="546"/>
    </row>
    <row r="21" spans="1:12" ht="55.5" customHeight="1" x14ac:dyDescent="0.3">
      <c r="A21" s="559">
        <v>338</v>
      </c>
      <c r="B21" s="4" t="s">
        <v>55</v>
      </c>
      <c r="C21" s="372" t="s">
        <v>121</v>
      </c>
      <c r="D21" s="99" t="s">
        <v>123</v>
      </c>
      <c r="E21" s="370" t="e">
        <f>INDEX('PY1 Data(H)'!$A$1:$CZ$265,MATCH('Unit Data from Audit Worksheet'!$A21,'PY1 Data(H)'!$A$1:$A$258,0),MATCH('Unit Data from Audit Worksheet'!$D$2,'PY1 Data(H)'!$A$1:$CZ$1,0))-INDEX('PY1 Data(H)'!$A$1:$CZ$258,MATCH('Unit Data from Audit Worksheet'!$A13,'PY1 Data(H)'!$A$1:$A$258,0),MATCH('Unit Data from Audit Worksheet'!$D$2,'PY1 Data(H)'!$A$1:$CZ$1,0))</f>
        <v>#N/A</v>
      </c>
      <c r="F21" s="791">
        <v>0</v>
      </c>
      <c r="G21" s="400" t="str">
        <f>IF(F14&gt;F21,"Error: Please review accts 626 &gt; 338","")</f>
        <v/>
      </c>
      <c r="H21" s="401"/>
      <c r="I21" s="401"/>
      <c r="J21" s="401"/>
      <c r="K21"/>
      <c r="L21" s="546"/>
    </row>
    <row r="22" spans="1:12" ht="89.25" customHeight="1" x14ac:dyDescent="0.3">
      <c r="A22" s="100">
        <v>335</v>
      </c>
      <c r="B22" s="4" t="s">
        <v>55</v>
      </c>
      <c r="C22" s="372" t="s">
        <v>121</v>
      </c>
      <c r="D22" s="382" t="s">
        <v>676</v>
      </c>
      <c r="E22" s="370" t="e">
        <f>INDEX('PY1 Data(H)'!$A$1:$CZ$265,MATCH('Unit Data from Audit Worksheet'!$A22,'PY1 Data(H)'!$A$1:$A$258,0),MATCH('Unit Data from Audit Worksheet'!$D$2,'PY1 Data(H)'!$A$1:$CZ$1,0))</f>
        <v>#N/A</v>
      </c>
      <c r="F22" s="791">
        <v>0</v>
      </c>
      <c r="G22" s="400">
        <f>IF(F22&lt;0,"Error: Enter as positive.",)</f>
        <v>0</v>
      </c>
      <c r="H22" s="401"/>
      <c r="I22" s="241"/>
      <c r="J22" s="241"/>
      <c r="K22"/>
      <c r="L22" s="546"/>
    </row>
    <row r="23" spans="1:12" ht="48.75" customHeight="1" x14ac:dyDescent="0.3">
      <c r="A23" s="100">
        <v>252</v>
      </c>
      <c r="B23" s="4" t="s">
        <v>55</v>
      </c>
      <c r="C23" s="372" t="s">
        <v>121</v>
      </c>
      <c r="D23" s="99" t="s">
        <v>124</v>
      </c>
      <c r="E23" s="370" t="e">
        <f>INDEX('PY1 Data(H)'!$A$1:$CZ$265,MATCH('Unit Data from Audit Worksheet'!$A23,'PY1 Data(H)'!$A$1:$A$258,0),MATCH('Unit Data from Audit Worksheet'!$D$2,'PY1 Data(H)'!$A$1:$CZ$1,0))</f>
        <v>#N/A</v>
      </c>
      <c r="F23" s="791">
        <v>0</v>
      </c>
      <c r="G23" s="722"/>
      <c r="H23" s="401"/>
      <c r="I23" s="17"/>
      <c r="J23" s="72"/>
      <c r="K23"/>
      <c r="L23" s="546"/>
    </row>
    <row r="24" spans="1:12" ht="43.2" x14ac:dyDescent="0.3">
      <c r="A24" s="100">
        <v>253</v>
      </c>
      <c r="B24" s="4" t="s">
        <v>55</v>
      </c>
      <c r="C24" s="372" t="s">
        <v>121</v>
      </c>
      <c r="D24" s="99" t="s">
        <v>125</v>
      </c>
      <c r="E24" s="370" t="e">
        <f>INDEX('PY1 Data(H)'!$A$1:$CZ$265,MATCH('Unit Data from Audit Worksheet'!$A24,'PY1 Data(H)'!$A$1:$A$258,0),MATCH('Unit Data from Audit Worksheet'!$D$2,'PY1 Data(H)'!$A$1:$CZ$1,0))</f>
        <v>#N/A</v>
      </c>
      <c r="F24" s="791">
        <v>0</v>
      </c>
      <c r="G24" s="400"/>
      <c r="H24" s="401"/>
      <c r="I24" s="17"/>
      <c r="J24" s="72"/>
      <c r="K24"/>
      <c r="L24" s="546"/>
    </row>
    <row r="25" spans="1:12" ht="138" customHeight="1" x14ac:dyDescent="0.3">
      <c r="A25" s="100">
        <v>254</v>
      </c>
      <c r="B25" s="4" t="s">
        <v>55</v>
      </c>
      <c r="C25" s="372" t="s">
        <v>121</v>
      </c>
      <c r="D25" s="99" t="s">
        <v>677</v>
      </c>
      <c r="E25" s="370" t="e">
        <f>INDEX('PY1 Data(H)'!$A$1:$CZ$265,MATCH('Unit Data from Audit Worksheet'!$A25,'PY1 Data(H)'!$A$1:$A$258,0),MATCH('Unit Data from Audit Worksheet'!$D$2,'PY1 Data(H)'!$A$1:$CZ$1,0))</f>
        <v>#N/A</v>
      </c>
      <c r="F25" s="791">
        <v>0</v>
      </c>
      <c r="G25" s="400">
        <f>IF(H25=0,,"Error: Total assets and deferred outflows less total liabilities and deferred inflows do not equal total net position. Account numbers  385-338-252-253-254 = 0.  The amount the formula is off is located in the cell to the right")</f>
        <v>0</v>
      </c>
      <c r="H25" s="403">
        <f>F11-F21-F23-F24-F25</f>
        <v>0</v>
      </c>
      <c r="I25" s="17"/>
      <c r="J25" s="72"/>
      <c r="K25"/>
      <c r="L25" s="546"/>
    </row>
    <row r="26" spans="1:12" ht="21.75" customHeight="1" x14ac:dyDescent="0.3">
      <c r="A26" s="100"/>
      <c r="B26" s="488" t="s">
        <v>126</v>
      </c>
      <c r="C26" s="498"/>
      <c r="D26" s="471"/>
      <c r="E26" s="482"/>
      <c r="F26" s="482"/>
      <c r="G26" s="483"/>
      <c r="H26" s="17"/>
      <c r="I26" s="17"/>
      <c r="J26" s="72"/>
      <c r="K26"/>
      <c r="L26" s="546"/>
    </row>
    <row r="27" spans="1:12" ht="59.25" customHeight="1" x14ac:dyDescent="0.3">
      <c r="A27" s="100">
        <v>502</v>
      </c>
      <c r="B27" s="4" t="s">
        <v>54</v>
      </c>
      <c r="C27" s="372" t="s">
        <v>128</v>
      </c>
      <c r="D27" s="382" t="s">
        <v>678</v>
      </c>
      <c r="E27" s="370" t="e">
        <f>INDEX('PY1 Data(H)'!$A$1:$CZ$265,MATCH('Unit Data from Audit Worksheet'!$A27,'PY1 Data(H)'!$A$1:$A$258,0),MATCH('Unit Data from Audit Worksheet'!$D$2,'PY1 Data(H)'!$A$1:$CZ$1,0))</f>
        <v>#N/A</v>
      </c>
      <c r="F27" s="791">
        <v>0</v>
      </c>
      <c r="G27" s="400">
        <f>IF(F27&lt;0,"Note: Number is normally positive.",)</f>
        <v>0</v>
      </c>
      <c r="H27" s="17"/>
      <c r="I27" s="17"/>
      <c r="J27" s="72"/>
      <c r="K27"/>
      <c r="L27" s="546"/>
    </row>
    <row r="28" spans="1:12" ht="59.25" customHeight="1" x14ac:dyDescent="0.3">
      <c r="A28" s="100">
        <v>503</v>
      </c>
      <c r="B28" s="4" t="s">
        <v>54</v>
      </c>
      <c r="C28" s="372" t="s">
        <v>128</v>
      </c>
      <c r="D28" s="99" t="s">
        <v>127</v>
      </c>
      <c r="E28" s="370" t="e">
        <f>INDEX('PY1 Data(H)'!$A$1:$CZ$265,MATCH('Unit Data from Audit Worksheet'!$A28,'PY1 Data(H)'!$A$1:$A$258,0),MATCH('Unit Data from Audit Worksheet'!$D$2,'PY1 Data(H)'!$A$1:$CZ$1,0))</f>
        <v>#N/A</v>
      </c>
      <c r="F28" s="791">
        <v>0</v>
      </c>
      <c r="G28" s="400">
        <f>IF(F28&lt;0,"Note: Number is normally positive.",)</f>
        <v>0</v>
      </c>
      <c r="H28" s="17"/>
      <c r="I28" s="17"/>
      <c r="J28" s="72"/>
      <c r="K28"/>
      <c r="L28" s="546"/>
    </row>
    <row r="29" spans="1:12" ht="27" customHeight="1" x14ac:dyDescent="0.3">
      <c r="A29" s="100"/>
      <c r="B29" s="488" t="s">
        <v>129</v>
      </c>
      <c r="C29" s="498"/>
      <c r="D29" s="471"/>
      <c r="E29" s="472"/>
      <c r="F29" s="472"/>
      <c r="G29" s="473"/>
      <c r="H29" s="17"/>
      <c r="I29" s="17"/>
      <c r="J29" s="72"/>
      <c r="K29"/>
      <c r="L29" s="546"/>
    </row>
    <row r="30" spans="1:12" ht="49.5" customHeight="1" x14ac:dyDescent="0.3">
      <c r="A30" s="100">
        <v>344</v>
      </c>
      <c r="B30" s="4" t="s">
        <v>55</v>
      </c>
      <c r="C30" s="4" t="s">
        <v>136</v>
      </c>
      <c r="D30" s="99" t="s">
        <v>130</v>
      </c>
      <c r="E30" s="370" t="e">
        <f>INDEX('PY1 Data(H)'!$A$1:$CZ$265,MATCH('Unit Data from Audit Worksheet'!$A30,'PY1 Data(H)'!$A$1:$A$258,0),MATCH('Unit Data from Audit Worksheet'!$D$2,'PY1 Data(H)'!$A$1:$CZ$1,0))</f>
        <v>#N/A</v>
      </c>
      <c r="F30" s="791">
        <v>0</v>
      </c>
      <c r="G30" s="400">
        <f t="shared" ref="G30:G37" si="0">IF(F30&lt;0,"Error: Enter as positive.",)</f>
        <v>0</v>
      </c>
      <c r="H30" s="17"/>
      <c r="I30" s="17"/>
      <c r="J30" s="72"/>
      <c r="K30"/>
      <c r="L30" s="546"/>
    </row>
    <row r="31" spans="1:12" ht="49.5" customHeight="1" x14ac:dyDescent="0.3">
      <c r="A31" s="100">
        <v>388</v>
      </c>
      <c r="B31" s="4" t="s">
        <v>59</v>
      </c>
      <c r="C31" s="4" t="s">
        <v>136</v>
      </c>
      <c r="D31" s="99" t="s">
        <v>131</v>
      </c>
      <c r="E31" s="370" t="e">
        <f>INDEX('PY1 Data(H)'!$A$1:$CZ$265,MATCH('Unit Data from Audit Worksheet'!$A31,'PY1 Data(H)'!$A$1:$A$258,0),MATCH('Unit Data from Audit Worksheet'!$D$2,'PY1 Data(H)'!$A$1:$CZ$1,0))</f>
        <v>#N/A</v>
      </c>
      <c r="F31" s="791">
        <v>0</v>
      </c>
      <c r="G31" s="400">
        <f t="shared" si="0"/>
        <v>0</v>
      </c>
      <c r="H31" s="17"/>
      <c r="I31" s="17"/>
      <c r="J31" s="72"/>
      <c r="K31"/>
      <c r="L31" s="546"/>
    </row>
    <row r="32" spans="1:12" ht="51.75" customHeight="1" x14ac:dyDescent="0.3">
      <c r="A32" s="100">
        <v>339</v>
      </c>
      <c r="B32" s="4" t="s">
        <v>55</v>
      </c>
      <c r="C32" s="4" t="s">
        <v>136</v>
      </c>
      <c r="D32" s="99" t="s">
        <v>132</v>
      </c>
      <c r="E32" s="370" t="e">
        <f>INDEX('PY1 Data(H)'!$A$1:$CZ$265,MATCH('Unit Data from Audit Worksheet'!$A32,'PY1 Data(H)'!$A$1:$A$258,0),MATCH('Unit Data from Audit Worksheet'!$D$2,'PY1 Data(H)'!$A$1:$CZ$1,0))</f>
        <v>#N/A</v>
      </c>
      <c r="F32" s="791">
        <v>0</v>
      </c>
      <c r="G32" s="400">
        <f t="shared" si="0"/>
        <v>0</v>
      </c>
      <c r="H32" s="17"/>
      <c r="I32" s="17"/>
      <c r="J32" s="72"/>
      <c r="K32"/>
      <c r="L32" s="546"/>
    </row>
    <row r="33" spans="1:123" ht="50.25" customHeight="1" x14ac:dyDescent="0.3">
      <c r="A33" s="100">
        <v>504</v>
      </c>
      <c r="B33" s="4" t="s">
        <v>55</v>
      </c>
      <c r="C33" s="4" t="s">
        <v>136</v>
      </c>
      <c r="D33" s="99" t="s">
        <v>133</v>
      </c>
      <c r="E33" s="370" t="e">
        <f>INDEX('PY1 Data(H)'!$A$1:$CZ$265,MATCH('Unit Data from Audit Worksheet'!$A33,'PY1 Data(H)'!$A$1:$A$258,0),MATCH('Unit Data from Audit Worksheet'!$D$2,'PY1 Data(H)'!$A$1:$CZ$1,0))</f>
        <v>#N/A</v>
      </c>
      <c r="F33" s="791">
        <v>0</v>
      </c>
      <c r="G33" s="400">
        <f t="shared" si="0"/>
        <v>0</v>
      </c>
      <c r="H33" s="17"/>
      <c r="I33" s="17"/>
      <c r="J33" s="72"/>
      <c r="K33"/>
      <c r="L33" s="546"/>
    </row>
    <row r="34" spans="1:123" ht="60" customHeight="1" x14ac:dyDescent="0.3">
      <c r="A34" s="100">
        <v>505</v>
      </c>
      <c r="B34" s="4" t="s">
        <v>55</v>
      </c>
      <c r="C34" s="4" t="s">
        <v>136</v>
      </c>
      <c r="D34" s="376" t="s">
        <v>134</v>
      </c>
      <c r="E34" s="370" t="e">
        <f>INDEX('PY1 Data(H)'!$A$1:$CZ$265,MATCH('Unit Data from Audit Worksheet'!$A34,'PY1 Data(H)'!$A$1:$A$258,0),MATCH('Unit Data from Audit Worksheet'!$D$2,'PY1 Data(H)'!$A$1:$CZ$1,0))</f>
        <v>#N/A</v>
      </c>
      <c r="F34" s="791">
        <v>0</v>
      </c>
      <c r="G34" s="400">
        <f t="shared" si="0"/>
        <v>0</v>
      </c>
      <c r="H34" s="17"/>
      <c r="I34" s="17"/>
      <c r="J34" s="72"/>
      <c r="K34"/>
      <c r="L34" s="546"/>
    </row>
    <row r="35" spans="1:123" ht="67.95" customHeight="1" x14ac:dyDescent="0.3">
      <c r="A35" s="100">
        <v>341</v>
      </c>
      <c r="B35" s="4" t="s">
        <v>55</v>
      </c>
      <c r="C35" s="4" t="s">
        <v>136</v>
      </c>
      <c r="D35" s="382" t="s">
        <v>679</v>
      </c>
      <c r="E35" s="370" t="e">
        <f>INDEX('PY1 Data(H)'!$A$1:$CZ$265,MATCH('Unit Data from Audit Worksheet'!$A35,'PY1 Data(H)'!$A$1:$A$258,0),MATCH('Unit Data from Audit Worksheet'!$D$2,'PY1 Data(H)'!$A$1:$CZ$1,0))</f>
        <v>#N/A</v>
      </c>
      <c r="F35" s="791">
        <v>0</v>
      </c>
      <c r="G35" s="400">
        <f t="shared" si="0"/>
        <v>0</v>
      </c>
      <c r="H35" s="17"/>
      <c r="I35" s="17"/>
      <c r="J35" s="72"/>
      <c r="K35"/>
      <c r="L35" s="546"/>
    </row>
    <row r="36" spans="1:123" ht="44.25" customHeight="1" x14ac:dyDescent="0.3">
      <c r="A36" s="100">
        <v>386</v>
      </c>
      <c r="B36" s="4" t="s">
        <v>55</v>
      </c>
      <c r="C36" s="4" t="s">
        <v>136</v>
      </c>
      <c r="D36" s="99" t="s">
        <v>680</v>
      </c>
      <c r="E36" s="370" t="e">
        <f>INDEX('PY1 Data(H)'!$A$1:$CZ$265,MATCH('Unit Data from Audit Worksheet'!$A36,'PY1 Data(H)'!$A$1:$A$258,0),MATCH('Unit Data from Audit Worksheet'!$D$2,'PY1 Data(H)'!$A$1:$CZ$1,0))</f>
        <v>#N/A</v>
      </c>
      <c r="F36" s="791">
        <v>0</v>
      </c>
      <c r="G36" s="400">
        <f t="shared" si="0"/>
        <v>0</v>
      </c>
      <c r="H36" s="17"/>
      <c r="I36" s="17"/>
      <c r="J36" s="72"/>
      <c r="K36"/>
      <c r="L36" s="546"/>
    </row>
    <row r="37" spans="1:123" ht="48.75" customHeight="1" x14ac:dyDescent="0.3">
      <c r="A37" s="100">
        <v>387</v>
      </c>
      <c r="B37" s="4" t="s">
        <v>59</v>
      </c>
      <c r="C37" s="4" t="s">
        <v>136</v>
      </c>
      <c r="D37" s="99" t="s">
        <v>681</v>
      </c>
      <c r="E37" s="370" t="e">
        <f>INDEX('PY1 Data(H)'!$A$1:$CZ$265,MATCH('Unit Data from Audit Worksheet'!$A37,'PY1 Data(H)'!$A$1:$A$258,0),MATCH('Unit Data from Audit Worksheet'!$D$2,'PY1 Data(H)'!$A$1:$CZ$1,0))</f>
        <v>#N/A</v>
      </c>
      <c r="F37" s="791">
        <v>0</v>
      </c>
      <c r="G37" s="400">
        <f t="shared" si="0"/>
        <v>0</v>
      </c>
      <c r="H37" s="17"/>
      <c r="I37" s="17"/>
      <c r="J37" s="72"/>
      <c r="K37"/>
      <c r="L37" s="546"/>
    </row>
    <row r="38" spans="1:123" ht="92.25" customHeight="1" x14ac:dyDescent="0.3">
      <c r="A38" s="100">
        <v>389</v>
      </c>
      <c r="B38" s="4" t="s">
        <v>59</v>
      </c>
      <c r="C38" s="4" t="s">
        <v>136</v>
      </c>
      <c r="D38" s="382" t="s">
        <v>682</v>
      </c>
      <c r="E38" s="370" t="e">
        <f>INDEX('PY1 Data(H)'!$A$1:$CZ$265,MATCH('Unit Data from Audit Worksheet'!$A38,'PY1 Data(H)'!$A$1:$A$258,0),MATCH('Unit Data from Audit Worksheet'!$D$2,'PY1 Data(H)'!$A$1:$CZ$1,0))</f>
        <v>#N/A</v>
      </c>
      <c r="F38" s="791">
        <v>0</v>
      </c>
      <c r="G38" s="400"/>
      <c r="H38" s="17"/>
      <c r="I38" s="17"/>
      <c r="J38" s="72"/>
      <c r="K38"/>
      <c r="L38" s="546"/>
    </row>
    <row r="39" spans="1:123" ht="138" customHeight="1" x14ac:dyDescent="0.3">
      <c r="A39" s="100">
        <v>255</v>
      </c>
      <c r="B39" s="4" t="s">
        <v>55</v>
      </c>
      <c r="C39" s="4" t="s">
        <v>136</v>
      </c>
      <c r="D39" s="382" t="s">
        <v>683</v>
      </c>
      <c r="E39" s="370" t="e">
        <f>INDEX('PY1 Data(H)'!$A$1:$CZ$265,MATCH('Unit Data from Audit Worksheet'!$A39,'PY1 Data(H)'!$A$1:$A$258,0),MATCH('Unit Data from Audit Worksheet'!$D$2,'PY1 Data(H)'!$A$1:$CZ$1,0))</f>
        <v>#N/A</v>
      </c>
      <c r="F39" s="791">
        <v>0</v>
      </c>
      <c r="G39" s="400">
        <f>IF(H39=0,,"Error: Total revenues less total expenses do not equal total change in net position. Account numbers 339+504+505+341+386-387+389-388-255 = 0  The amount the formula is off is located in the cell to the right")</f>
        <v>0</v>
      </c>
      <c r="H39" s="403">
        <f>F32+F33+F34+F35+F36-F37+F38-F31-F39</f>
        <v>0</v>
      </c>
      <c r="I39" s="17"/>
      <c r="J39" s="72"/>
      <c r="K39"/>
      <c r="L39" s="546"/>
    </row>
    <row r="40" spans="1:123" ht="138" customHeight="1" x14ac:dyDescent="0.3">
      <c r="A40" s="100">
        <v>376</v>
      </c>
      <c r="B40" s="4" t="s">
        <v>55</v>
      </c>
      <c r="C40" s="4" t="s">
        <v>136</v>
      </c>
      <c r="D40" s="382" t="s">
        <v>684</v>
      </c>
      <c r="E40" s="370" t="e">
        <f>INDEX('PY1 Data(H)'!$A$1:$CZ$265,MATCH('Unit Data from Audit Worksheet'!$A40,'PY1 Data(H)'!$A$1:$A$258,0),MATCH('Unit Data from Audit Worksheet'!$D$2,'PY1 Data(H)'!$A$1:$CZ$1,0))</f>
        <v>#N/A</v>
      </c>
      <c r="F40" s="791">
        <v>0</v>
      </c>
      <c r="G40" s="750" t="e">
        <f>IF(H40=0,,"Error: Beginning Balance does not agree with our records.  Account numbers  252+253+254-255-376-(Prior Year 252+253+254)=0  The amount the formula is off is located in the cell to the right")</f>
        <v>#N/A</v>
      </c>
      <c r="H40" s="751" t="e">
        <f>F23+F24+F25-F39-F40-(E23+E24+E25)</f>
        <v>#N/A</v>
      </c>
      <c r="I40" s="773" t="e">
        <f>IF(H40=0," ","If the out of balance is because prior years data is not populated in cells E23,E24,E25, disregard the error message.  Do not include prior year's ending balances in cell F40")</f>
        <v>#N/A</v>
      </c>
      <c r="J40" s="761"/>
      <c r="K40" s="523"/>
      <c r="L40" s="546"/>
    </row>
    <row r="41" spans="1:123" s="18" customFormat="1" ht="141.75" customHeight="1" x14ac:dyDescent="0.3">
      <c r="A41" s="100">
        <v>597</v>
      </c>
      <c r="B41" s="372" t="s">
        <v>324</v>
      </c>
      <c r="C41" s="372" t="s">
        <v>334</v>
      </c>
      <c r="D41" s="456" t="s">
        <v>685</v>
      </c>
      <c r="E41" s="370" t="e">
        <f>INDEX('PY1 Data(H)'!$A$1:$CZ$265,MATCH('Unit Data from Audit Worksheet'!$A41,'PY1 Data(H)'!$A$1:$A$258,0),MATCH('Unit Data from Audit Worksheet'!$D$2,'PY1 Data(H)'!$A$1:$CZ$1,0))</f>
        <v>#N/A</v>
      </c>
      <c r="F41" s="791">
        <v>0</v>
      </c>
      <c r="G41" s="400">
        <f>IF(F41&lt;0,"Note: Number is normally positive.",)</f>
        <v>0</v>
      </c>
      <c r="H41" s="401"/>
      <c r="I41" s="341"/>
      <c r="J41" s="402"/>
      <c r="K41"/>
      <c r="L41" s="546"/>
      <c r="M41"/>
      <c r="O41" s="185"/>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88" t="s">
        <v>323</v>
      </c>
      <c r="C42" s="498"/>
      <c r="D42" s="471"/>
      <c r="E42" s="472"/>
      <c r="F42" s="472"/>
      <c r="G42" s="473"/>
      <c r="H42" s="17"/>
      <c r="I42" s="17"/>
      <c r="J42" s="72"/>
      <c r="K42"/>
      <c r="L42" s="546"/>
    </row>
    <row r="43" spans="1:123" s="18" customFormat="1" ht="86.25" customHeight="1" x14ac:dyDescent="0.3">
      <c r="A43" s="100">
        <v>592</v>
      </c>
      <c r="B43" s="372" t="s">
        <v>58</v>
      </c>
      <c r="C43" s="372" t="s">
        <v>325</v>
      </c>
      <c r="D43" s="382" t="s">
        <v>686</v>
      </c>
      <c r="E43" s="370" t="e">
        <f>INDEX('PY1 Data(H)'!$A$1:$CZ$265,MATCH('Unit Data from Audit Worksheet'!$A43,'PY1 Data(H)'!$A$1:$A$258,0),MATCH('Unit Data from Audit Worksheet'!$D$2,'PY1 Data(H)'!$A$1:$CZ$1,0))</f>
        <v>#N/A</v>
      </c>
      <c r="F43" s="791">
        <v>0</v>
      </c>
      <c r="G43" s="400"/>
      <c r="H43" s="401"/>
      <c r="I43" s="341"/>
      <c r="K43"/>
      <c r="L43" s="546"/>
      <c r="M43"/>
      <c r="O43" s="185"/>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2" t="s">
        <v>58</v>
      </c>
      <c r="C44" s="372" t="s">
        <v>325</v>
      </c>
      <c r="D44" s="99" t="s">
        <v>326</v>
      </c>
      <c r="E44" s="370" t="e">
        <f>INDEX('PY1 Data(H)'!$A$1:$CZ$265,MATCH('Unit Data from Audit Worksheet'!$A44,'PY1 Data(H)'!$A$1:$A$258,0),MATCH('Unit Data from Audit Worksheet'!$D$2,'PY1 Data(H)'!$A$1:$CZ$1,0))</f>
        <v>#N/A</v>
      </c>
      <c r="F44" s="791">
        <v>0</v>
      </c>
      <c r="G44" s="400">
        <f>IF(F44&lt;0,"Error: Enter as positive.",)</f>
        <v>0</v>
      </c>
      <c r="H44" s="401"/>
      <c r="I44" s="341"/>
      <c r="K44"/>
      <c r="L44" s="546"/>
      <c r="M44"/>
      <c r="O44" s="185"/>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88" t="s">
        <v>137</v>
      </c>
      <c r="C45" s="498"/>
      <c r="D45" s="474"/>
      <c r="E45" s="475"/>
      <c r="F45" s="475"/>
      <c r="G45" s="476"/>
      <c r="H45" s="17"/>
      <c r="I45" s="17"/>
      <c r="J45" s="72"/>
      <c r="K45"/>
      <c r="L45" s="546"/>
    </row>
    <row r="46" spans="1:123" s="18" customFormat="1" ht="55.5" customHeight="1" x14ac:dyDescent="0.3">
      <c r="A46" s="100">
        <v>506</v>
      </c>
      <c r="B46" s="947" t="s">
        <v>1900</v>
      </c>
      <c r="C46" s="457" t="s">
        <v>141</v>
      </c>
      <c r="D46" s="99" t="s">
        <v>687</v>
      </c>
      <c r="E46" s="370" t="e">
        <f>INDEX('PY1 Data(H)'!$A$1:$CZ$265,MATCH('Unit Data from Audit Worksheet'!$A46,'PY1 Data(H)'!$A$1:$A$258,0),MATCH('Unit Data from Audit Worksheet'!$D$2,'PY1 Data(H)'!$A$1:$CZ$1,0))</f>
        <v>#N/A</v>
      </c>
      <c r="F46" s="791">
        <v>0</v>
      </c>
      <c r="G46" s="400">
        <f>IF(F46&lt;0,"Note: Number is normally positive.",)</f>
        <v>0</v>
      </c>
      <c r="H46" s="401"/>
      <c r="I46" s="17"/>
      <c r="J46" s="72"/>
      <c r="K46"/>
      <c r="L46" s="546"/>
      <c r="M46"/>
      <c r="O46" s="185"/>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47" t="s">
        <v>1900</v>
      </c>
      <c r="C47" s="457" t="s">
        <v>141</v>
      </c>
      <c r="D47" s="99" t="s">
        <v>138</v>
      </c>
      <c r="E47" s="370" t="e">
        <f>INDEX('PY1 Data(H)'!$A$1:$CZ$265,MATCH('Unit Data from Audit Worksheet'!$A47,'PY1 Data(H)'!$A$1:$A$258,0),MATCH('Unit Data from Audit Worksheet'!$D$2,'PY1 Data(H)'!$A$1:$CZ$1,0))</f>
        <v>#N/A</v>
      </c>
      <c r="F47" s="791">
        <v>0</v>
      </c>
      <c r="G47" s="400">
        <f>IF(F47&lt;0,"Note: Number is normally positive.",)</f>
        <v>0</v>
      </c>
      <c r="H47" s="401"/>
      <c r="I47" s="401"/>
      <c r="J47" s="402"/>
      <c r="K47"/>
      <c r="L47" s="546"/>
      <c r="M47"/>
      <c r="O47" s="185"/>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57" t="s">
        <v>58</v>
      </c>
      <c r="C48" s="457" t="s">
        <v>141</v>
      </c>
      <c r="D48" s="375" t="s">
        <v>312</v>
      </c>
      <c r="E48" s="370" t="e">
        <f>INDEX('PY1 Data(H)'!$A$1:$CZ$265,MATCH('Unit Data from Audit Worksheet'!$A48,'PY1 Data(H)'!$A$1:$A$258,0),MATCH('Unit Data from Audit Worksheet'!$D$2,'PY1 Data(H)'!$A$1:$CZ$1,0))</f>
        <v>#N/A</v>
      </c>
      <c r="F48" s="791">
        <v>0</v>
      </c>
      <c r="G48" s="400">
        <f>IF(F48&lt;0,"Note: Number is normally positive.",)</f>
        <v>0</v>
      </c>
      <c r="H48" s="401"/>
      <c r="I48" s="401"/>
      <c r="J48" s="402"/>
      <c r="K48"/>
      <c r="L48" s="546"/>
      <c r="M48"/>
      <c r="O48" s="185"/>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57" t="s">
        <v>59</v>
      </c>
      <c r="C49" s="457" t="s">
        <v>141</v>
      </c>
      <c r="D49" s="99" t="s">
        <v>122</v>
      </c>
      <c r="E49" s="370" t="e">
        <f>INDEX('PY1 Data(H)'!$A$1:$CZ$265,MATCH('Unit Data from Audit Worksheet'!$A49,'PY1 Data(H)'!$A$1:$A$258,0),MATCH('Unit Data from Audit Worksheet'!$D$2,'PY1 Data(H)'!$A$1:$CZ$1,0))</f>
        <v>#N/A</v>
      </c>
      <c r="F49" s="791">
        <v>0</v>
      </c>
      <c r="G49" s="400">
        <f>IF((F46+F47)&gt;F49,"Error: Please review account numbers (506+536)&gt;379",)</f>
        <v>0</v>
      </c>
      <c r="H49" s="401"/>
      <c r="I49" s="17"/>
      <c r="J49" s="72"/>
      <c r="K49"/>
      <c r="L49" s="546"/>
    </row>
    <row r="50" spans="1:123" ht="93" customHeight="1" x14ac:dyDescent="0.3">
      <c r="A50" s="100">
        <v>368</v>
      </c>
      <c r="B50" s="457" t="s">
        <v>1447</v>
      </c>
      <c r="C50" s="457" t="s">
        <v>141</v>
      </c>
      <c r="D50" s="382" t="s">
        <v>688</v>
      </c>
      <c r="E50" s="370" t="e">
        <f>INDEX('PY1 Data(H)'!$A$1:$CZ$265,MATCH('Unit Data from Audit Worksheet'!$A50,'PY1 Data(H)'!$A$1:$A$258,0),MATCH('Unit Data from Audit Worksheet'!$D$2,'PY1 Data(H)'!$A$1:$CZ$1,0))</f>
        <v>#N/A</v>
      </c>
      <c r="F50" s="791">
        <v>0</v>
      </c>
      <c r="G50" s="400">
        <f t="shared" ref="G50:G56" si="1">IF(F50&lt;0,"Error: Enter as positive.",)</f>
        <v>0</v>
      </c>
      <c r="H50" s="401"/>
      <c r="I50" s="401"/>
      <c r="J50" s="401"/>
      <c r="K50"/>
      <c r="L50" s="546"/>
    </row>
    <row r="51" spans="1:123" ht="87" customHeight="1" x14ac:dyDescent="0.3">
      <c r="A51" s="100">
        <v>4</v>
      </c>
      <c r="B51" s="947" t="s">
        <v>1900</v>
      </c>
      <c r="C51" s="457" t="s">
        <v>141</v>
      </c>
      <c r="D51" s="187" t="s">
        <v>689</v>
      </c>
      <c r="E51" s="370" t="e">
        <f>INDEX('PY1 Data(H)'!$A$1:$CZ$265,MATCH('Unit Data from Audit Worksheet'!$A51,'PY1 Data(H)'!$A$1:$A$258,0),MATCH('Unit Data from Audit Worksheet'!$D$2,'PY1 Data(H)'!$A$1:$CZ$1,0))</f>
        <v>#N/A</v>
      </c>
      <c r="F51" s="791">
        <v>0</v>
      </c>
      <c r="G51" s="400">
        <f t="shared" si="1"/>
        <v>0</v>
      </c>
      <c r="H51" s="401"/>
      <c r="I51" s="17"/>
      <c r="J51" s="72"/>
      <c r="K51"/>
      <c r="L51" s="546"/>
    </row>
    <row r="52" spans="1:123" ht="132" customHeight="1" x14ac:dyDescent="0.3">
      <c r="A52" s="100">
        <v>5</v>
      </c>
      <c r="B52" s="947" t="s">
        <v>1900</v>
      </c>
      <c r="C52" s="457" t="s">
        <v>141</v>
      </c>
      <c r="D52" s="210" t="s">
        <v>690</v>
      </c>
      <c r="E52" s="370" t="e">
        <f>INDEX('PY1 Data(H)'!$A$1:$CZ$265,MATCH('Unit Data from Audit Worksheet'!$A52,'PY1 Data(H)'!$A$1:$A$258,0),MATCH('Unit Data from Audit Worksheet'!$D$2,'PY1 Data(H)'!$A$1:$CZ$1,0))</f>
        <v>#N/A</v>
      </c>
      <c r="F52" s="791">
        <v>0</v>
      </c>
      <c r="G52" s="400">
        <f t="shared" si="1"/>
        <v>0</v>
      </c>
      <c r="H52" s="401"/>
      <c r="I52" s="17"/>
      <c r="J52" s="72"/>
      <c r="K52"/>
      <c r="L52" s="546"/>
    </row>
    <row r="53" spans="1:123" ht="93.75" customHeight="1" x14ac:dyDescent="0.3">
      <c r="A53" s="100">
        <v>380</v>
      </c>
      <c r="B53" s="457" t="s">
        <v>59</v>
      </c>
      <c r="C53" s="457" t="s">
        <v>141</v>
      </c>
      <c r="D53" s="210" t="s">
        <v>691</v>
      </c>
      <c r="E53" s="370" t="e">
        <f>INDEX('PY1 Data(H)'!$A$1:$CZ$265,MATCH('Unit Data from Audit Worksheet'!$A53,'PY1 Data(H)'!$A$1:$A$258,0),MATCH('Unit Data from Audit Worksheet'!$D$2,'PY1 Data(H)'!$A$1:$CZ$1,0))</f>
        <v>#N/A</v>
      </c>
      <c r="F53" s="791">
        <v>0</v>
      </c>
      <c r="G53" s="400">
        <f t="shared" si="1"/>
        <v>0</v>
      </c>
      <c r="H53" s="401"/>
      <c r="I53" s="17"/>
      <c r="J53" s="72"/>
      <c r="K53"/>
      <c r="L53" s="546"/>
    </row>
    <row r="54" spans="1:123" ht="48.75" customHeight="1" x14ac:dyDescent="0.3">
      <c r="A54" s="100">
        <v>391</v>
      </c>
      <c r="B54" s="457" t="s">
        <v>68</v>
      </c>
      <c r="C54" s="457" t="s">
        <v>141</v>
      </c>
      <c r="D54" s="99" t="s">
        <v>139</v>
      </c>
      <c r="E54" s="370" t="e">
        <f>INDEX('PY1 Data(H)'!$A$1:$CZ$265,MATCH('Unit Data from Audit Worksheet'!$A54,'PY1 Data(H)'!$A$1:$A$258,0),MATCH('Unit Data from Audit Worksheet'!$D$2,'PY1 Data(H)'!$A$1:$CZ$1,0))</f>
        <v>#N/A</v>
      </c>
      <c r="F54" s="791">
        <v>0</v>
      </c>
      <c r="G54" s="400">
        <f t="shared" si="1"/>
        <v>0</v>
      </c>
      <c r="H54" s="401"/>
      <c r="I54" s="17"/>
      <c r="J54" s="72"/>
      <c r="K54"/>
      <c r="L54" s="546"/>
    </row>
    <row r="55" spans="1:123" ht="51.75" customHeight="1" x14ac:dyDescent="0.3">
      <c r="A55" s="100">
        <v>7</v>
      </c>
      <c r="B55" s="457" t="s">
        <v>68</v>
      </c>
      <c r="C55" s="457" t="s">
        <v>141</v>
      </c>
      <c r="D55" s="99" t="s">
        <v>140</v>
      </c>
      <c r="E55" s="370" t="e">
        <f>INDEX('PY1 Data(H)'!$A$1:$CZ$265,MATCH('Unit Data from Audit Worksheet'!$A55,'PY1 Data(H)'!$A$1:$A$258,0),MATCH('Unit Data from Audit Worksheet'!$D$2,'PY1 Data(H)'!$A$1:$CZ$1,0))</f>
        <v>#N/A</v>
      </c>
      <c r="F55" s="791">
        <v>0</v>
      </c>
      <c r="G55" s="400">
        <f t="shared" si="1"/>
        <v>0</v>
      </c>
      <c r="H55" s="401"/>
      <c r="I55" s="17"/>
      <c r="J55" s="72"/>
      <c r="K55"/>
      <c r="L55" s="546"/>
    </row>
    <row r="56" spans="1:123" ht="83.4" customHeight="1" x14ac:dyDescent="0.3">
      <c r="A56" s="100">
        <v>11</v>
      </c>
      <c r="B56" s="947" t="s">
        <v>1901</v>
      </c>
      <c r="C56" s="457" t="s">
        <v>141</v>
      </c>
      <c r="D56" s="382" t="s">
        <v>692</v>
      </c>
      <c r="E56" s="370" t="e">
        <f>INDEX('PY1 Data(H)'!$A$1:$CZ$265,MATCH('Unit Data from Audit Worksheet'!$A56,'PY1 Data(H)'!$A$1:$A$258,0),MATCH('Unit Data from Audit Worksheet'!$D$2,'PY1 Data(H)'!$A$1:$CZ$1,0))</f>
        <v>#N/A</v>
      </c>
      <c r="F56" s="791">
        <v>0</v>
      </c>
      <c r="G56" s="400">
        <f t="shared" si="1"/>
        <v>0</v>
      </c>
      <c r="H56" s="401"/>
      <c r="I56" s="17"/>
      <c r="J56" s="72"/>
      <c r="K56"/>
      <c r="L56" s="546"/>
    </row>
    <row r="57" spans="1:123" ht="78.75" customHeight="1" x14ac:dyDescent="0.3">
      <c r="A57" s="188">
        <v>645</v>
      </c>
      <c r="B57" s="460" t="s">
        <v>358</v>
      </c>
      <c r="C57" s="460" t="s">
        <v>141</v>
      </c>
      <c r="D57" s="634" t="s">
        <v>384</v>
      </c>
      <c r="E57" s="370" t="e">
        <f>INDEX('PY1 Data(H)'!$A$1:$CZ$265,MATCH('Unit Data from Audit Worksheet'!$A57,'PY1 Data(H)'!$A$1:$A$258,0),MATCH('Unit Data from Audit Worksheet'!$D$2,'PY1 Data(H)'!$A$1:$CZ$1,0))</f>
        <v>#N/A</v>
      </c>
      <c r="F57" s="791">
        <v>0</v>
      </c>
      <c r="G57" s="400">
        <f>IF(F57&lt;0,"Note: Number is normally positive.",)</f>
        <v>0</v>
      </c>
      <c r="H57" s="401"/>
      <c r="I57" s="401"/>
      <c r="J57" s="402"/>
      <c r="K57"/>
      <c r="L57" s="546"/>
    </row>
    <row r="58" spans="1:123" ht="78.75" customHeight="1" x14ac:dyDescent="0.3">
      <c r="A58" s="188">
        <v>646</v>
      </c>
      <c r="B58" s="460" t="s">
        <v>358</v>
      </c>
      <c r="C58" s="460" t="s">
        <v>141</v>
      </c>
      <c r="D58" s="187" t="s">
        <v>359</v>
      </c>
      <c r="E58" s="370" t="e">
        <f>INDEX('PY1 Data(H)'!$A$1:$CZ$265,MATCH('Unit Data from Audit Worksheet'!$A58,'PY1 Data(H)'!$A$1:$A$258,0),MATCH('Unit Data from Audit Worksheet'!$D$2,'PY1 Data(H)'!$A$1:$CZ$1,0))</f>
        <v>#N/A</v>
      </c>
      <c r="F58" s="791">
        <v>0</v>
      </c>
      <c r="G58" s="400">
        <f>IF(F58&lt;0,"Note: Number is normally positive.",)</f>
        <v>0</v>
      </c>
      <c r="H58" s="401"/>
      <c r="I58" s="401"/>
      <c r="J58" s="402"/>
      <c r="K58"/>
      <c r="L58" s="546"/>
    </row>
    <row r="59" spans="1:123" ht="138" customHeight="1" x14ac:dyDescent="0.3">
      <c r="A59" s="100">
        <v>9</v>
      </c>
      <c r="B59" s="947" t="s">
        <v>1904</v>
      </c>
      <c r="C59" s="457" t="s">
        <v>141</v>
      </c>
      <c r="D59" s="382" t="s">
        <v>693</v>
      </c>
      <c r="E59" s="370" t="e">
        <f>INDEX('PY1 Data(H)'!$A$1:$CZ$265,MATCH('Unit Data from Audit Worksheet'!$A59,'PY1 Data(H)'!$A$1:$A$258,0),MATCH('Unit Data from Audit Worksheet'!$D$2,'PY1 Data(H)'!$A$1:$CZ$1,0))</f>
        <v>#N/A</v>
      </c>
      <c r="F59" s="791">
        <v>0</v>
      </c>
      <c r="G59" s="400">
        <f>IF(F49-F51-F52-F53-F59=0,,"Error: Total assets less total liabilities do not equal total fund balance. Account numbers 379-4-5-380-9= 0  The amount of the formula is in the cell to the right")</f>
        <v>0</v>
      </c>
      <c r="H59" s="403">
        <f>F49-F51-F52-F53-F59</f>
        <v>0</v>
      </c>
      <c r="I59" s="17"/>
      <c r="J59" s="72"/>
      <c r="K59"/>
      <c r="L59" s="546"/>
    </row>
    <row r="60" spans="1:123" s="18" customFormat="1" ht="63.75" customHeight="1" x14ac:dyDescent="0.3">
      <c r="A60" s="100">
        <v>540</v>
      </c>
      <c r="B60" s="372" t="s">
        <v>58</v>
      </c>
      <c r="C60" s="372" t="s">
        <v>694</v>
      </c>
      <c r="D60" s="99" t="s">
        <v>385</v>
      </c>
      <c r="E60" s="370" t="e">
        <f>INDEX('PY1 Data(H)'!$A$1:$CZ$265,MATCH('Unit Data from Audit Worksheet'!$A60,'PY1 Data(H)'!$A$1:$A$258,0),MATCH('Unit Data from Audit Worksheet'!$D$2,'PY1 Data(H)'!$A$1:$CZ$1,0))</f>
        <v>#N/A</v>
      </c>
      <c r="F60" s="791">
        <v>0</v>
      </c>
      <c r="G60" s="400"/>
      <c r="H60" s="401"/>
      <c r="I60" s="401"/>
      <c r="J60" s="402"/>
      <c r="K60"/>
      <c r="L60" s="546"/>
      <c r="M60"/>
      <c r="O60" s="185"/>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2" t="s">
        <v>58</v>
      </c>
      <c r="C61" s="776" t="s">
        <v>144</v>
      </c>
      <c r="D61" s="772" t="s">
        <v>1484</v>
      </c>
      <c r="E61" s="370" t="e">
        <f>INDEX('PY1 Data(H)'!$A$1:$CZ$265,MATCH('Unit Data from Audit Worksheet'!$A61,'PY1 Data(H)'!$A$1:$A$258,0),MATCH('Unit Data from Audit Worksheet'!$D$2,'PY1 Data(H)'!$A$1:$CZ$1,0))</f>
        <v>#N/A</v>
      </c>
      <c r="F61" s="791">
        <v>0</v>
      </c>
      <c r="G61" s="400"/>
      <c r="H61" s="401"/>
      <c r="I61" s="401"/>
      <c r="J61" s="402"/>
      <c r="K61" s="180"/>
      <c r="L61" s="546"/>
      <c r="M61" s="180"/>
      <c r="O61" s="185"/>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88" t="s">
        <v>143</v>
      </c>
      <c r="C62" s="498"/>
      <c r="D62" s="471"/>
      <c r="E62" s="472"/>
      <c r="F62" s="472"/>
      <c r="G62" s="473"/>
      <c r="H62" s="17"/>
      <c r="I62" s="17"/>
      <c r="J62" s="72"/>
      <c r="K62"/>
      <c r="L62" s="546"/>
    </row>
    <row r="63" spans="1:123" ht="82.5" customHeight="1" x14ac:dyDescent="0.3">
      <c r="A63" s="100">
        <v>984</v>
      </c>
      <c r="B63" s="946" t="s">
        <v>1914</v>
      </c>
      <c r="C63" s="372" t="s">
        <v>694</v>
      </c>
      <c r="D63" s="382" t="s">
        <v>774</v>
      </c>
      <c r="E63" s="370" t="e">
        <f>INDEX('PY1 Data(H)'!$A$1:$CZ$265,MATCH('Unit Data from Audit Worksheet'!$A63,'PY1 Data(H)'!$A$1:$A$258,0),MATCH('Unit Data from Audit Worksheet'!$D$2,'PY1 Data(H)'!$A$1:$CZ$1,0))</f>
        <v>#N/A</v>
      </c>
      <c r="F63" s="791">
        <v>0</v>
      </c>
      <c r="G63" s="400"/>
      <c r="H63" s="17"/>
      <c r="I63" s="17"/>
      <c r="J63" s="72"/>
      <c r="K63"/>
      <c r="L63" s="546"/>
    </row>
    <row r="64" spans="1:123" ht="69" customHeight="1" x14ac:dyDescent="0.3">
      <c r="A64" s="100">
        <v>985</v>
      </c>
      <c r="B64" s="946" t="s">
        <v>1914</v>
      </c>
      <c r="C64" s="372" t="s">
        <v>694</v>
      </c>
      <c r="D64" s="382" t="s">
        <v>775</v>
      </c>
      <c r="E64" s="370" t="e">
        <f>INDEX('PY1 Data(H)'!$A$1:$CZ$265,MATCH('Unit Data from Audit Worksheet'!$A64,'PY1 Data(H)'!$A$1:$A$258,0),MATCH('Unit Data from Audit Worksheet'!$D$2,'PY1 Data(H)'!$A$1:$CZ$1,0))</f>
        <v>#N/A</v>
      </c>
      <c r="F64" s="791">
        <v>0</v>
      </c>
      <c r="G64" s="400"/>
      <c r="H64" s="17"/>
      <c r="I64" s="17"/>
      <c r="J64" s="72"/>
      <c r="K64"/>
      <c r="L64" s="546"/>
    </row>
    <row r="65" spans="1:123" ht="52.5" customHeight="1" x14ac:dyDescent="0.3">
      <c r="A65" s="100">
        <v>369</v>
      </c>
      <c r="B65" s="4" t="s">
        <v>55</v>
      </c>
      <c r="C65" s="4" t="s">
        <v>144</v>
      </c>
      <c r="D65" s="382" t="s">
        <v>695</v>
      </c>
      <c r="E65" s="370" t="e">
        <f>INDEX('PY1 Data(H)'!$A$1:$CZ$265,MATCH('Unit Data from Audit Worksheet'!$A65,'PY1 Data(H)'!$A$1:$A$258,0),MATCH('Unit Data from Audit Worksheet'!$D$2,'PY1 Data(H)'!$A$1:$CZ$1,0))</f>
        <v>#N/A</v>
      </c>
      <c r="F65" s="791">
        <v>0</v>
      </c>
      <c r="G65" s="400"/>
      <c r="H65" s="17"/>
      <c r="I65" s="17"/>
      <c r="J65" s="72"/>
      <c r="K65"/>
      <c r="L65" s="546"/>
    </row>
    <row r="66" spans="1:123" ht="57.75" customHeight="1" x14ac:dyDescent="0.3">
      <c r="A66" s="100">
        <v>16</v>
      </c>
      <c r="B66" s="4" t="s">
        <v>65</v>
      </c>
      <c r="C66" s="4" t="s">
        <v>144</v>
      </c>
      <c r="D66" s="99" t="s">
        <v>142</v>
      </c>
      <c r="E66" s="370" t="e">
        <f>INDEX('PY1 Data(H)'!$A$1:$CZ$265,MATCH('Unit Data from Audit Worksheet'!$A66,'PY1 Data(H)'!$A$1:$A$258,0),MATCH('Unit Data from Audit Worksheet'!$D$2,'PY1 Data(H)'!$A$1:$CZ$1,0))</f>
        <v>#N/A</v>
      </c>
      <c r="F66" s="791">
        <v>0</v>
      </c>
      <c r="G66" s="400"/>
      <c r="H66" s="17"/>
      <c r="I66" s="17"/>
      <c r="J66" s="72"/>
      <c r="K66"/>
      <c r="L66" s="546"/>
    </row>
    <row r="67" spans="1:123" ht="65.25" customHeight="1" x14ac:dyDescent="0.3">
      <c r="A67" s="100">
        <v>370</v>
      </c>
      <c r="B67" s="4" t="s">
        <v>55</v>
      </c>
      <c r="C67" s="4" t="s">
        <v>144</v>
      </c>
      <c r="D67" s="382" t="s">
        <v>696</v>
      </c>
      <c r="E67" s="370" t="e">
        <f>INDEX('PY1 Data(H)'!$A$1:$CZ$265,MATCH('Unit Data from Audit Worksheet'!$A67,'PY1 Data(H)'!$A$1:$A$258,0),MATCH('Unit Data from Audit Worksheet'!$D$2,'PY1 Data(H)'!$A$1:$CZ$1,0))</f>
        <v>#N/A</v>
      </c>
      <c r="F67" s="791">
        <v>0</v>
      </c>
      <c r="G67" s="400">
        <f>IF(F67&lt;0,"Error: Enter as positive.",)</f>
        <v>0</v>
      </c>
      <c r="H67" s="17"/>
      <c r="I67" s="17"/>
      <c r="J67" s="72"/>
      <c r="K67"/>
      <c r="L67" s="546"/>
    </row>
    <row r="68" spans="1:123" ht="69.75" customHeight="1" x14ac:dyDescent="0.3">
      <c r="A68" s="100">
        <v>532</v>
      </c>
      <c r="B68" s="946" t="s">
        <v>1900</v>
      </c>
      <c r="C68" s="4" t="s">
        <v>144</v>
      </c>
      <c r="D68" s="378" t="s">
        <v>697</v>
      </c>
      <c r="E68" s="370" t="e">
        <f>INDEX('PY1 Data(H)'!$A$1:$CZ$265,MATCH('Unit Data from Audit Worksheet'!$A68,'PY1 Data(H)'!$A$1:$A$258,0),MATCH('Unit Data from Audit Worksheet'!$D$2,'PY1 Data(H)'!$A$1:$CZ$1,0))</f>
        <v>#N/A</v>
      </c>
      <c r="F68" s="791">
        <v>0</v>
      </c>
      <c r="G68" s="400">
        <f>IF(F68&lt;0,"Error: Enter as positive.",)</f>
        <v>0</v>
      </c>
      <c r="H68" s="17"/>
      <c r="I68" s="17"/>
      <c r="J68" s="72"/>
      <c r="K68"/>
      <c r="L68" s="546"/>
    </row>
    <row r="69" spans="1:123" ht="69.75" customHeight="1" x14ac:dyDescent="0.3">
      <c r="A69" s="100">
        <v>1050</v>
      </c>
      <c r="B69" s="949" t="s">
        <v>1903</v>
      </c>
      <c r="C69" s="776" t="s">
        <v>144</v>
      </c>
      <c r="D69" s="777" t="s">
        <v>1435</v>
      </c>
      <c r="E69" s="370" t="e">
        <f>INDEX('PY1 Data(H)'!$A$1:$CZ$265,MATCH('Unit Data from Audit Worksheet'!$A69,'PY1 Data(H)'!$A$1:$A$258,0),MATCH('Unit Data from Audit Worksheet'!$D$2,'PY1 Data(H)'!$A$1:$CZ$1,0))</f>
        <v>#N/A</v>
      </c>
      <c r="F69" s="791">
        <v>0</v>
      </c>
      <c r="G69" s="400">
        <f>IF(F69&lt;0,"Error: Enter as positive.",)</f>
        <v>0</v>
      </c>
      <c r="H69" s="17"/>
      <c r="I69" s="17"/>
      <c r="J69" s="72"/>
      <c r="K69" s="180"/>
      <c r="L69" s="546"/>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698</v>
      </c>
      <c r="E70" s="370" t="e">
        <f>INDEX('PY1 Data(H)'!$A$1:$CZ$265,MATCH('Unit Data from Audit Worksheet'!$A70,'PY1 Data(H)'!$A$1:$A$258,0),MATCH('Unit Data from Audit Worksheet'!$D$2,'PY1 Data(H)'!$A$1:$CZ$1,0))</f>
        <v>#N/A</v>
      </c>
      <c r="F70" s="791">
        <v>0</v>
      </c>
      <c r="G70" s="400"/>
      <c r="H70" s="17"/>
      <c r="I70" s="17"/>
      <c r="J70" s="72"/>
      <c r="K70"/>
      <c r="L70" s="546"/>
    </row>
    <row r="71" spans="1:123" ht="66" customHeight="1" x14ac:dyDescent="0.3">
      <c r="A71" s="100">
        <v>20</v>
      </c>
      <c r="B71" s="946" t="s">
        <v>1900</v>
      </c>
      <c r="C71" s="4" t="s">
        <v>144</v>
      </c>
      <c r="D71" s="99" t="s">
        <v>699</v>
      </c>
      <c r="E71" s="370" t="e">
        <f>INDEX('PY1 Data(H)'!$A$1:$CZ$265,MATCH('Unit Data from Audit Worksheet'!$A71,'PY1 Data(H)'!$A$1:$A$258,0),MATCH('Unit Data from Audit Worksheet'!$D$2,'PY1 Data(H)'!$A$1:$CZ$1,0))</f>
        <v>#N/A</v>
      </c>
      <c r="F71" s="791">
        <v>0</v>
      </c>
      <c r="G71" s="400">
        <f>IF(F71&lt;0,"Error: Enter as positive.",)</f>
        <v>0</v>
      </c>
      <c r="H71" s="17"/>
      <c r="I71" s="17"/>
      <c r="J71" s="72"/>
      <c r="K71"/>
      <c r="L71" s="546"/>
    </row>
    <row r="72" spans="1:123" ht="62.4" customHeight="1" x14ac:dyDescent="0.3">
      <c r="A72" s="100">
        <v>533</v>
      </c>
      <c r="B72" s="946" t="s">
        <v>1900</v>
      </c>
      <c r="C72" s="4" t="s">
        <v>144</v>
      </c>
      <c r="D72" s="378" t="s">
        <v>700</v>
      </c>
      <c r="E72" s="370" t="e">
        <f>INDEX('PY1 Data(H)'!$A$1:$CZ$265,MATCH('Unit Data from Audit Worksheet'!$A72,'PY1 Data(H)'!$A$1:$A$258,0),MATCH('Unit Data from Audit Worksheet'!$D$2,'PY1 Data(H)'!$A$1:$CZ$1,0))</f>
        <v>#N/A</v>
      </c>
      <c r="F72" s="791">
        <v>0</v>
      </c>
      <c r="G72" s="406"/>
      <c r="H72" s="17"/>
      <c r="I72" s="17"/>
      <c r="J72" s="72"/>
      <c r="K72"/>
      <c r="L72" s="546"/>
    </row>
    <row r="73" spans="1:123" s="18" customFormat="1" ht="72.599999999999994" customHeight="1" x14ac:dyDescent="0.3">
      <c r="A73" s="100">
        <v>508</v>
      </c>
      <c r="B73" s="946" t="s">
        <v>1900</v>
      </c>
      <c r="C73" s="4" t="s">
        <v>144</v>
      </c>
      <c r="D73" s="99" t="s">
        <v>290</v>
      </c>
      <c r="E73" s="370" t="e">
        <f>INDEX('PY1 Data(H)'!$A$1:$CZ$265,MATCH('Unit Data from Audit Worksheet'!$A73,'PY1 Data(H)'!$A$1:$A$258,0),MATCH('Unit Data from Audit Worksheet'!$D$2,'PY1 Data(H)'!$A$1:$CZ$1,0))</f>
        <v>#N/A</v>
      </c>
      <c r="F73" s="791">
        <v>0</v>
      </c>
      <c r="G73" s="400"/>
      <c r="H73" s="401"/>
      <c r="I73" s="401"/>
      <c r="J73" s="402"/>
      <c r="K73"/>
      <c r="L73" s="546"/>
      <c r="M73"/>
      <c r="O73" s="185"/>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46" t="s">
        <v>1900</v>
      </c>
      <c r="C74" s="4" t="s">
        <v>144</v>
      </c>
      <c r="D74" s="99" t="s">
        <v>288</v>
      </c>
      <c r="E74" s="370" t="e">
        <f>INDEX('PY1 Data(H)'!$A$1:$CZ$265,MATCH('Unit Data from Audit Worksheet'!$A74,'PY1 Data(H)'!$A$1:$A$258,0),MATCH('Unit Data from Audit Worksheet'!$D$2,'PY1 Data(H)'!$A$1:$CZ$1,0))</f>
        <v>#N/A</v>
      </c>
      <c r="F74" s="791">
        <v>0</v>
      </c>
      <c r="G74" s="400">
        <f>IF(F74&lt;0,"Error: Enter as positive.",)</f>
        <v>0</v>
      </c>
      <c r="H74" s="401"/>
      <c r="I74" s="401"/>
      <c r="J74" s="402"/>
      <c r="K74"/>
      <c r="L74" s="546"/>
      <c r="M74"/>
      <c r="O74" s="185"/>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289</v>
      </c>
      <c r="E75" s="370" t="e">
        <f>INDEX('PY1 Data(H)'!$A$1:$CZ$265,MATCH('Unit Data from Audit Worksheet'!$A75,'PY1 Data(H)'!$A$1:$A$258,0),MATCH('Unit Data from Audit Worksheet'!$D$2,'PY1 Data(H)'!$A$1:$CZ$1,0))</f>
        <v>#N/A</v>
      </c>
      <c r="F75" s="791">
        <v>0</v>
      </c>
      <c r="G75" s="406"/>
      <c r="H75" s="17"/>
      <c r="I75" s="17"/>
      <c r="J75" s="72"/>
      <c r="K75"/>
      <c r="L75" s="546"/>
    </row>
    <row r="76" spans="1:123" ht="138" customHeight="1" x14ac:dyDescent="0.3">
      <c r="A76" s="100">
        <v>23</v>
      </c>
      <c r="B76" s="4" t="s">
        <v>59</v>
      </c>
      <c r="C76" s="4" t="s">
        <v>144</v>
      </c>
      <c r="D76" s="382" t="s">
        <v>701</v>
      </c>
      <c r="E76" s="370" t="e">
        <f>INDEX('PY1 Data(H)'!$A$1:$CZ$265,MATCH('Unit Data from Audit Worksheet'!$A76,'PY1 Data(H)'!$A$1:$A$258,0),MATCH('Unit Data from Audit Worksheet'!$D$2,'PY1 Data(H)'!$A$1:$CZ$1,0))</f>
        <v>#N/A</v>
      </c>
      <c r="F76" s="791"/>
      <c r="G76" s="400">
        <f>IF(H76=0,,"Error: Total revenues less total expenditures do not equal total change in fund balance.  Account numbers 16-532+17-20+533+22+508-509-23=0  The amount of the formula is located in the cell to the right")</f>
        <v>0</v>
      </c>
      <c r="H76" s="403">
        <f>+F66-F68+F70-F71+F72+F75+F73-F74-F76</f>
        <v>0</v>
      </c>
      <c r="I76" s="17"/>
      <c r="J76" s="72"/>
      <c r="K76"/>
      <c r="L76" s="546"/>
    </row>
    <row r="77" spans="1:123" ht="194.25" customHeight="1" x14ac:dyDescent="0.3">
      <c r="A77" s="100">
        <v>590</v>
      </c>
      <c r="B77" s="946" t="s">
        <v>1957</v>
      </c>
      <c r="C77" s="4"/>
      <c r="D77" s="774" t="s">
        <v>1976</v>
      </c>
      <c r="E77" s="521"/>
      <c r="F77" s="792"/>
      <c r="G77" s="649"/>
      <c r="H77" s="753" t="str">
        <f>IF(F77&lt;&gt;""," ","Please do not leave cell F77 blank.")</f>
        <v>Please do not leave cell F77 blank.</v>
      </c>
      <c r="I77" s="401"/>
      <c r="J77" s="402"/>
      <c r="K77"/>
      <c r="L77" s="546"/>
    </row>
    <row r="78" spans="1:123" ht="138" customHeight="1" x14ac:dyDescent="0.3">
      <c r="A78" s="100">
        <v>507</v>
      </c>
      <c r="B78" s="372" t="s">
        <v>59</v>
      </c>
      <c r="C78" s="372" t="s">
        <v>144</v>
      </c>
      <c r="D78" s="382" t="s">
        <v>702</v>
      </c>
      <c r="E78" s="370" t="e">
        <f>INDEX('PY1 Data(H)'!$A$1:$CZ$265,MATCH('Unit Data from Audit Worksheet'!$A78,'PY1 Data(H)'!$A$1:$A$258,0),MATCH('Unit Data from Audit Worksheet'!$D$2,'PY1 Data(H)'!$A$1:$CZ$1,0))</f>
        <v>#N/A</v>
      </c>
      <c r="F78" s="791">
        <v>0</v>
      </c>
      <c r="G78" s="752" t="e">
        <f>IF(F59-F76-F78=E59,,"Error: Beginning Balance does not agree with our records.  (Acct# 9-23-507)= Prior Years Acct # 9 The amount of the formula is in the cell to the right")</f>
        <v>#N/A</v>
      </c>
      <c r="H78" s="753" t="e">
        <f>+F59-F76-F78-E59</f>
        <v>#N/A</v>
      </c>
      <c r="I78" s="773" t="e">
        <f>IF(H78=0," ","If the out of balance is because prior years data is not populated in cell E59, disregard the error message. Do not include prior year's ending balance in cell F78.")</f>
        <v>#N/A</v>
      </c>
      <c r="J78" s="761"/>
      <c r="K78"/>
      <c r="L78" s="546"/>
    </row>
    <row r="79" spans="1:123" ht="82.5" customHeight="1" x14ac:dyDescent="0.3">
      <c r="A79" s="188">
        <v>647</v>
      </c>
      <c r="B79" s="948" t="s">
        <v>1902</v>
      </c>
      <c r="C79" s="459" t="s">
        <v>360</v>
      </c>
      <c r="D79" s="187" t="s">
        <v>1529</v>
      </c>
      <c r="E79" s="370" t="e">
        <f>INDEX('PY1 Data(H)'!$A$1:$CZ$265,MATCH('Unit Data from Audit Worksheet'!$A79,'PY1 Data(H)'!$A$1:$A$258,0),MATCH('Unit Data from Audit Worksheet'!$D$2,'PY1 Data(H)'!$A$1:$CZ$1,0))</f>
        <v>#N/A</v>
      </c>
      <c r="F79" s="791">
        <v>0</v>
      </c>
      <c r="G79" s="400">
        <f>IF(F79&lt;0,"Error: Enter as positive.",)</f>
        <v>0</v>
      </c>
      <c r="H79" s="407"/>
      <c r="I79" s="17"/>
      <c r="J79" s="72"/>
      <c r="K79"/>
      <c r="L79" s="546"/>
    </row>
    <row r="80" spans="1:123" ht="25.5" customHeight="1" x14ac:dyDescent="0.3">
      <c r="A80" s="100"/>
      <c r="B80" s="488" t="s">
        <v>11</v>
      </c>
      <c r="C80" s="498"/>
      <c r="D80" s="468"/>
      <c r="E80" s="469"/>
      <c r="F80" s="469"/>
      <c r="G80" s="470"/>
      <c r="H80" s="17"/>
      <c r="I80" s="17"/>
      <c r="J80" s="72"/>
      <c r="K80"/>
      <c r="L80" s="546"/>
    </row>
    <row r="81" spans="1:12" ht="78" customHeight="1" x14ac:dyDescent="0.3">
      <c r="A81" s="100">
        <v>171</v>
      </c>
      <c r="B81" s="4" t="s">
        <v>293</v>
      </c>
      <c r="C81" s="4" t="s">
        <v>292</v>
      </c>
      <c r="D81" s="779" t="s">
        <v>703</v>
      </c>
      <c r="E81" s="370" t="e">
        <f>INDEX('PY1 Data(H)'!$A$1:$CZ$265,MATCH('Unit Data from Audit Worksheet'!$A81,'PY1 Data(H)'!$A$1:$A$258,0),MATCH('Unit Data from Audit Worksheet'!$D$2,'PY1 Data(H)'!$A$1:$CZ$1,0))</f>
        <v>#N/A</v>
      </c>
      <c r="F81" s="800">
        <v>0</v>
      </c>
      <c r="G81" s="400">
        <f>IF(F81&lt;0,"Error: Enter as positive.",)</f>
        <v>0</v>
      </c>
      <c r="H81" s="17"/>
      <c r="I81" s="17"/>
      <c r="J81" s="72"/>
      <c r="K81"/>
      <c r="L81" s="546"/>
    </row>
    <row r="82" spans="1:12" ht="18" customHeight="1" x14ac:dyDescent="0.3">
      <c r="A82" s="100"/>
      <c r="B82" s="489" t="s">
        <v>704</v>
      </c>
      <c r="C82" s="498"/>
      <c r="D82" s="466"/>
      <c r="E82" s="485"/>
      <c r="F82" s="484"/>
      <c r="G82" s="485"/>
      <c r="H82" s="17"/>
      <c r="I82" s="17"/>
      <c r="J82" s="72"/>
      <c r="K82"/>
      <c r="L82" s="546"/>
    </row>
    <row r="83" spans="1:12" ht="14.4" customHeight="1" x14ac:dyDescent="0.3">
      <c r="A83" s="100"/>
      <c r="B83" s="489" t="s">
        <v>24</v>
      </c>
      <c r="C83" s="498"/>
      <c r="D83" s="480"/>
      <c r="E83" s="487"/>
      <c r="F83" s="486"/>
      <c r="G83" s="487"/>
      <c r="H83" s="17"/>
      <c r="I83" s="17"/>
      <c r="J83" s="72"/>
      <c r="K83"/>
      <c r="L83" s="546"/>
    </row>
    <row r="84" spans="1:12" ht="14.4" customHeight="1" x14ac:dyDescent="0.3">
      <c r="A84" s="100"/>
      <c r="B84" s="489" t="s">
        <v>22</v>
      </c>
      <c r="C84" s="498"/>
      <c r="D84" s="480"/>
      <c r="E84" s="487"/>
      <c r="F84" s="486"/>
      <c r="G84" s="487"/>
      <c r="H84" s="408"/>
      <c r="I84" s="17"/>
      <c r="J84" s="72"/>
      <c r="K84"/>
      <c r="L84" s="546"/>
    </row>
    <row r="85" spans="1:12" ht="88.95" customHeight="1" x14ac:dyDescent="0.3">
      <c r="A85" s="100">
        <v>596</v>
      </c>
      <c r="B85" s="372" t="s">
        <v>56</v>
      </c>
      <c r="C85" s="276"/>
      <c r="D85" s="737" t="s">
        <v>1542</v>
      </c>
      <c r="E85" s="370" t="e">
        <f>INDEX('PY1 Data(H)'!$A$1:$CZ$265,MATCH('Unit Data from Audit Worksheet'!$A85,'PY1 Data(H)'!$A$1:$A$258,0),MATCH('Unit Data from Audit Worksheet'!$D$2,'PY1 Data(H)'!$A$1:$CZ$1,0))</f>
        <v>#N/A</v>
      </c>
      <c r="F85" s="181"/>
      <c r="G85" s="987" t="s">
        <v>1943</v>
      </c>
      <c r="H85" s="408"/>
      <c r="I85" s="17"/>
      <c r="J85" s="72"/>
      <c r="K85"/>
      <c r="L85" s="546"/>
    </row>
    <row r="86" spans="1:12" ht="85.95" customHeight="1" x14ac:dyDescent="0.3">
      <c r="A86" s="100">
        <v>80</v>
      </c>
      <c r="B86" s="946" t="s">
        <v>1905</v>
      </c>
      <c r="C86" s="4" t="s">
        <v>705</v>
      </c>
      <c r="D86" s="21" t="s">
        <v>706</v>
      </c>
      <c r="E86" s="370" t="e">
        <f>INDEX('PY1 Data(H)'!$A$1:$CZ$265,MATCH('Unit Data from Audit Worksheet'!$A86,'PY1 Data(H)'!$A$1:$A$258,0),MATCH('Unit Data from Audit Worksheet'!$D$2,'PY1 Data(H)'!$A$1:$CZ$1,0))</f>
        <v>#N/A</v>
      </c>
      <c r="F86" s="800">
        <v>0</v>
      </c>
      <c r="G86" s="778" t="e">
        <f>INDEX('PY1 Data(H)'!$A$1:$CZ$277,MATCH('PY1 Data(H)'!$A263,'PY1 Data(H)'!$A$1:$A$277,0),MATCH('Unit Data from Audit Worksheet'!$D$2,'PY1 Data(H)'!$A$1:$CZ$1,0))</f>
        <v>#N/A</v>
      </c>
      <c r="H86" s="409"/>
      <c r="I86" s="17"/>
      <c r="J86" s="72"/>
      <c r="K86"/>
      <c r="L86" s="546"/>
    </row>
    <row r="87" spans="1:12" ht="69" customHeight="1" x14ac:dyDescent="0.3">
      <c r="A87" s="100">
        <v>81</v>
      </c>
      <c r="B87" s="4" t="s">
        <v>61</v>
      </c>
      <c r="C87" s="4" t="s">
        <v>705</v>
      </c>
      <c r="D87" s="21" t="s">
        <v>707</v>
      </c>
      <c r="E87" s="370" t="e">
        <f>INDEX('PY1 Data(H)'!$A$1:$CZ$265,MATCH('Unit Data from Audit Worksheet'!$A87,'PY1 Data(H)'!$A$1:$A$258,0),MATCH('Unit Data from Audit Worksheet'!$D$2,'PY1 Data(H)'!$A$1:$CZ$1,0))</f>
        <v>#N/A</v>
      </c>
      <c r="F87" s="791">
        <v>0</v>
      </c>
      <c r="G87" s="406"/>
      <c r="H87" s="17"/>
      <c r="I87" s="17"/>
      <c r="J87" s="72"/>
      <c r="K87"/>
      <c r="L87" s="546"/>
    </row>
    <row r="88" spans="1:12" ht="84" customHeight="1" x14ac:dyDescent="0.3">
      <c r="A88" s="100">
        <v>579</v>
      </c>
      <c r="B88" s="947" t="s">
        <v>1917</v>
      </c>
      <c r="C88" s="372" t="s">
        <v>705</v>
      </c>
      <c r="D88" s="458" t="s">
        <v>708</v>
      </c>
      <c r="E88" s="370" t="e">
        <f>INDEX('PY1 Data(H)'!$A$1:$CZ$265,MATCH('Unit Data from Audit Worksheet'!$A88,'PY1 Data(H)'!$A$1:$A$258,0),MATCH('Unit Data from Audit Worksheet'!$D$2,'PY1 Data(H)'!$A$1:$CZ$1,0))</f>
        <v>#N/A</v>
      </c>
      <c r="F88" s="791">
        <v>0</v>
      </c>
      <c r="G88" s="400"/>
      <c r="H88" s="17"/>
      <c r="I88" s="401"/>
      <c r="J88" s="401"/>
      <c r="K88"/>
      <c r="L88" s="546"/>
    </row>
    <row r="89" spans="1:12" ht="78.599999999999994" customHeight="1" x14ac:dyDescent="0.3">
      <c r="A89" s="100">
        <v>510</v>
      </c>
      <c r="B89" s="946" t="s">
        <v>1905</v>
      </c>
      <c r="C89" s="4" t="s">
        <v>705</v>
      </c>
      <c r="D89" s="26" t="s">
        <v>287</v>
      </c>
      <c r="E89" s="370" t="e">
        <f>INDEX('PY1 Data(H)'!$A$1:$CZ$265,MATCH('Unit Data from Audit Worksheet'!$A89,'PY1 Data(H)'!$A$1:$A$258,0),MATCH('Unit Data from Audit Worksheet'!$D$2,'PY1 Data(H)'!$A$1:$CZ$1,0))</f>
        <v>#N/A</v>
      </c>
      <c r="F89" s="791">
        <v>0</v>
      </c>
      <c r="G89" s="406"/>
      <c r="H89" s="17"/>
      <c r="I89" s="523"/>
      <c r="J89" s="72"/>
      <c r="K89"/>
      <c r="L89" s="546"/>
    </row>
    <row r="90" spans="1:12" ht="68.25" customHeight="1" x14ac:dyDescent="0.3">
      <c r="A90" s="188">
        <v>654</v>
      </c>
      <c r="B90" s="950" t="s">
        <v>1916</v>
      </c>
      <c r="C90" s="459" t="s">
        <v>705</v>
      </c>
      <c r="D90" s="213" t="s">
        <v>709</v>
      </c>
      <c r="E90" s="370" t="e">
        <f>INDEX('PY1 Data(H)'!$A$1:$CZ$265,MATCH('Unit Data from Audit Worksheet'!$A90,'PY1 Data(H)'!$A$1:$A$258,0),MATCH('Unit Data from Audit Worksheet'!$D$2,'PY1 Data(H)'!$A$1:$CZ$1,0))</f>
        <v>#N/A</v>
      </c>
      <c r="F90" s="791">
        <v>0</v>
      </c>
      <c r="G90" s="400">
        <f>IF((F86+F87+F89)&gt;F90,"Error: Please review components of current assets above.  Account numbers (80+81+510)&gt;654",)</f>
        <v>0</v>
      </c>
      <c r="H90" s="17"/>
      <c r="I90" s="17"/>
      <c r="J90" s="72"/>
      <c r="K90"/>
      <c r="L90" s="546"/>
    </row>
    <row r="91" spans="1:12" ht="75.75" customHeight="1" x14ac:dyDescent="0.3">
      <c r="A91" s="188">
        <v>655</v>
      </c>
      <c r="B91" s="950" t="s">
        <v>1916</v>
      </c>
      <c r="C91" s="459" t="s">
        <v>705</v>
      </c>
      <c r="D91" s="190" t="s">
        <v>443</v>
      </c>
      <c r="E91" s="370" t="e">
        <f>INDEX('PY1 Data(H)'!$A$1:$CZ$265,MATCH('Unit Data from Audit Worksheet'!$A91,'PY1 Data(H)'!$A$1:$A$258,0),MATCH('Unit Data from Audit Worksheet'!$D$2,'PY1 Data(H)'!$A$1:$CZ$1,0))</f>
        <v>#N/A</v>
      </c>
      <c r="F91" s="791">
        <v>0</v>
      </c>
      <c r="G91" s="406"/>
      <c r="H91" s="17"/>
      <c r="I91" s="17"/>
      <c r="J91" s="72"/>
      <c r="K91"/>
      <c r="L91" s="546"/>
    </row>
    <row r="92" spans="1:12" ht="106.2" customHeight="1" x14ac:dyDescent="0.3">
      <c r="A92" s="100">
        <v>381</v>
      </c>
      <c r="B92" s="4" t="s">
        <v>36</v>
      </c>
      <c r="C92" s="4" t="s">
        <v>705</v>
      </c>
      <c r="D92" s="98" t="s">
        <v>122</v>
      </c>
      <c r="E92" s="370" t="e">
        <f>INDEX('PY1 Data(H)'!$A$1:$CZ$265,MATCH('Unit Data from Audit Worksheet'!$A92,'PY1 Data(H)'!$A$1:$A$258,0),MATCH('Unit Data from Audit Worksheet'!$D$2,'PY1 Data(H)'!$A$1:$CZ$1,0))</f>
        <v>#N/A</v>
      </c>
      <c r="F92" s="791">
        <v>0</v>
      </c>
      <c r="G92" s="400">
        <f>IF(F90&gt;F92,"Error: Please review components of current assets above. Account numbers 654&gt;381",)</f>
        <v>0</v>
      </c>
      <c r="H92" s="17"/>
      <c r="I92" s="17"/>
      <c r="J92" s="72"/>
      <c r="K92"/>
      <c r="L92" s="546"/>
    </row>
    <row r="93" spans="1:12" ht="63" customHeight="1" x14ac:dyDescent="0.3">
      <c r="A93" s="100">
        <v>578</v>
      </c>
      <c r="B93" s="946" t="s">
        <v>1917</v>
      </c>
      <c r="C93" s="372" t="s">
        <v>705</v>
      </c>
      <c r="D93" s="458" t="s">
        <v>710</v>
      </c>
      <c r="E93" s="370" t="e">
        <f>INDEX('PY1 Data(H)'!$A$1:$CZ$265,MATCH('Unit Data from Audit Worksheet'!$A93,'PY1 Data(H)'!$A$1:$A$258,0),MATCH('Unit Data from Audit Worksheet'!$D$2,'PY1 Data(H)'!$A$1:$CZ$1,0))</f>
        <v>#N/A</v>
      </c>
      <c r="F93" s="791">
        <v>0</v>
      </c>
      <c r="G93" s="400"/>
      <c r="H93" s="401"/>
      <c r="I93" s="401"/>
      <c r="J93" s="402"/>
      <c r="K93"/>
      <c r="L93" s="546"/>
    </row>
    <row r="94" spans="1:12" ht="113.4" customHeight="1" x14ac:dyDescent="0.3">
      <c r="A94" s="189">
        <v>633</v>
      </c>
      <c r="B94" s="950" t="s">
        <v>1908</v>
      </c>
      <c r="C94" s="459" t="s">
        <v>361</v>
      </c>
      <c r="D94" s="213" t="s">
        <v>776</v>
      </c>
      <c r="E94" s="370" t="e">
        <f>INDEX('PY1 Data(H)'!$A$1:$CZ$265,MATCH('Unit Data from Audit Worksheet'!$A94,'PY1 Data(H)'!$A$1:$A$258,0),MATCH('Unit Data from Audit Worksheet'!$D$2,'PY1 Data(H)'!$A$1:$CZ$1,0))</f>
        <v>#N/A</v>
      </c>
      <c r="F94" s="791">
        <v>0</v>
      </c>
      <c r="G94" s="723" t="str">
        <f>IF(F94&gt;=(F95+F96+F97+F98+F99+F100),"","Account 633 is less than the total sum of accounts 634 through 638 + 383")</f>
        <v/>
      </c>
      <c r="H94" s="411"/>
      <c r="I94" s="405"/>
      <c r="J94" s="759"/>
      <c r="K94"/>
      <c r="L94" s="546"/>
    </row>
    <row r="95" spans="1:12" ht="101.4" customHeight="1" x14ac:dyDescent="0.3">
      <c r="A95" s="188">
        <v>634</v>
      </c>
      <c r="B95" s="948" t="s">
        <v>1909</v>
      </c>
      <c r="C95" s="459" t="s">
        <v>361</v>
      </c>
      <c r="D95" s="213" t="s">
        <v>778</v>
      </c>
      <c r="E95" s="370" t="e">
        <f>INDEX('PY1 Data(H)'!$A$1:$CZ$265,MATCH('Unit Data from Audit Worksheet'!$A95,'PY1 Data(H)'!$A$1:$A$258,0),MATCH('Unit Data from Audit Worksheet'!$D$2,'PY1 Data(H)'!$A$1:$CZ$1,0))</f>
        <v>#N/A</v>
      </c>
      <c r="F95" s="791">
        <v>0</v>
      </c>
      <c r="G95" s="724">
        <f>IF(F95&gt;F94,"Please review account numbers 634&gt;633",)</f>
        <v>0</v>
      </c>
      <c r="H95" s="405"/>
      <c r="I95" s="405"/>
      <c r="J95" s="759"/>
      <c r="K95"/>
      <c r="L95" s="546"/>
    </row>
    <row r="96" spans="1:12" ht="107.4" customHeight="1" x14ac:dyDescent="0.3">
      <c r="A96" s="188">
        <v>635</v>
      </c>
      <c r="B96" s="948" t="s">
        <v>1909</v>
      </c>
      <c r="C96" s="459" t="s">
        <v>361</v>
      </c>
      <c r="D96" s="213" t="s">
        <v>777</v>
      </c>
      <c r="E96" s="370" t="e">
        <f>INDEX('PY1 Data(H)'!$A$1:$CZ$265,MATCH('Unit Data from Audit Worksheet'!$A96,'PY1 Data(H)'!$A$1:$A$258,0),MATCH('Unit Data from Audit Worksheet'!$D$2,'PY1 Data(H)'!$A$1:$CZ$1,0))</f>
        <v>#N/A</v>
      </c>
      <c r="F96" s="791">
        <v>0</v>
      </c>
      <c r="G96" s="724">
        <f>IF(F96&gt;F94,"Please review account numbers 635&gt;633",)</f>
        <v>0</v>
      </c>
      <c r="H96" s="405"/>
      <c r="I96" s="405"/>
      <c r="J96" s="759"/>
      <c r="K96"/>
      <c r="L96" s="546"/>
    </row>
    <row r="97" spans="1:12" ht="106.5" customHeight="1" x14ac:dyDescent="0.3">
      <c r="A97" s="188">
        <v>636</v>
      </c>
      <c r="B97" s="948" t="s">
        <v>1909</v>
      </c>
      <c r="C97" s="459" t="s">
        <v>361</v>
      </c>
      <c r="D97" s="213" t="s">
        <v>782</v>
      </c>
      <c r="E97" s="370" t="e">
        <f>INDEX('PY1 Data(H)'!$A$1:$CZ$265,MATCH('Unit Data from Audit Worksheet'!$A97,'PY1 Data(H)'!$A$1:$A$258,0),MATCH('Unit Data from Audit Worksheet'!$D$2,'PY1 Data(H)'!$A$1:$CZ$1,0))</f>
        <v>#N/A</v>
      </c>
      <c r="F97" s="791">
        <v>0</v>
      </c>
      <c r="G97" s="724">
        <f>IF(F97&gt;F94,"Please review account numbers 636&gt;633",)</f>
        <v>0</v>
      </c>
      <c r="H97" s="405"/>
      <c r="I97" s="405"/>
      <c r="J97" s="759"/>
      <c r="K97"/>
      <c r="L97" s="546"/>
    </row>
    <row r="98" spans="1:12" ht="80.25" customHeight="1" x14ac:dyDescent="0.3">
      <c r="A98" s="188">
        <v>637</v>
      </c>
      <c r="B98" s="948" t="s">
        <v>1909</v>
      </c>
      <c r="C98" s="459" t="s">
        <v>361</v>
      </c>
      <c r="D98" s="213" t="s">
        <v>781</v>
      </c>
      <c r="E98" s="370" t="e">
        <f>INDEX('PY1 Data(H)'!$A$1:$CZ$265,MATCH('Unit Data from Audit Worksheet'!$A98,'PY1 Data(H)'!$A$1:$A$258,0),MATCH('Unit Data from Audit Worksheet'!$D$2,'PY1 Data(H)'!$A$1:$CZ$1,0))</f>
        <v>#N/A</v>
      </c>
      <c r="F98" s="791">
        <v>0</v>
      </c>
      <c r="G98" s="724">
        <f>IF(F98&gt;F94,"Please review account numbers 637&gt;633",)</f>
        <v>0</v>
      </c>
      <c r="H98" s="405"/>
      <c r="I98" s="405"/>
      <c r="J98" s="759"/>
      <c r="K98"/>
      <c r="L98" s="546"/>
    </row>
    <row r="99" spans="1:12" ht="106.2" customHeight="1" x14ac:dyDescent="0.3">
      <c r="A99" s="188">
        <v>638</v>
      </c>
      <c r="B99" s="948" t="s">
        <v>1909</v>
      </c>
      <c r="C99" s="459" t="s">
        <v>361</v>
      </c>
      <c r="D99" s="213" t="s">
        <v>780</v>
      </c>
      <c r="E99" s="370" t="e">
        <f>INDEX('PY1 Data(H)'!$A$1:$CZ$265,MATCH('Unit Data from Audit Worksheet'!$A99,'PY1 Data(H)'!$A$1:$A$258,0),MATCH('Unit Data from Audit Worksheet'!$D$2,'PY1 Data(H)'!$A$1:$CZ$1,0))</f>
        <v>#N/A</v>
      </c>
      <c r="F99" s="791">
        <v>0</v>
      </c>
      <c r="G99" s="724">
        <f>IF(F99&gt;F94,"Please review account numbers 638&gt;633",)</f>
        <v>0</v>
      </c>
      <c r="H99" s="405"/>
      <c r="I99" s="405"/>
      <c r="J99" s="759"/>
      <c r="K99"/>
      <c r="L99" s="546"/>
    </row>
    <row r="100" spans="1:12" ht="93.75" customHeight="1" x14ac:dyDescent="0.3">
      <c r="A100" s="100">
        <v>383</v>
      </c>
      <c r="B100" s="4" t="s">
        <v>61</v>
      </c>
      <c r="C100" s="4" t="s">
        <v>705</v>
      </c>
      <c r="D100" s="26" t="s">
        <v>779</v>
      </c>
      <c r="E100" s="370" t="e">
        <f>INDEX('PY1 Data(H)'!$A$1:$CZ$265,MATCH('Unit Data from Audit Worksheet'!$A100,'PY1 Data(H)'!$A$1:$A$258,0),MATCH('Unit Data from Audit Worksheet'!$D$2,'PY1 Data(H)'!$A$1:$CZ$1,0))</f>
        <v>#N/A</v>
      </c>
      <c r="F100" s="791">
        <v>0</v>
      </c>
      <c r="G100" s="725">
        <f>IF(F100&gt;F94,"Error: Please review account numbers 383&gt;633",)</f>
        <v>0</v>
      </c>
      <c r="H100" s="410"/>
      <c r="I100" s="17"/>
      <c r="J100" s="72"/>
      <c r="K100"/>
      <c r="L100" s="546"/>
    </row>
    <row r="101" spans="1:12" ht="61.5" customHeight="1" x14ac:dyDescent="0.3">
      <c r="A101" s="100">
        <v>349</v>
      </c>
      <c r="B101" s="4" t="s">
        <v>61</v>
      </c>
      <c r="C101" s="4" t="s">
        <v>705</v>
      </c>
      <c r="D101" s="99" t="s">
        <v>145</v>
      </c>
      <c r="E101" s="370" t="e">
        <f>INDEX('PY1 Data(H)'!$A$1:$CZ$265,MATCH('Unit Data from Audit Worksheet'!$A101,'PY1 Data(H)'!$A$1:$A$258,0),MATCH('Unit Data from Audit Worksheet'!$D$2,'PY1 Data(H)'!$A$1:$CZ$1,0))</f>
        <v>#N/A</v>
      </c>
      <c r="F101" s="791">
        <v>0</v>
      </c>
      <c r="G101" s="400" t="str">
        <f>IF(F94&gt;F101,"Error: Please review accts 633&gt;349","")</f>
        <v/>
      </c>
      <c r="H101" s="17"/>
      <c r="I101" s="17"/>
      <c r="J101" s="72"/>
      <c r="K101"/>
      <c r="L101" s="546"/>
    </row>
    <row r="102" spans="1:12" ht="72" customHeight="1" x14ac:dyDescent="0.3">
      <c r="A102" s="100">
        <v>375</v>
      </c>
      <c r="B102" s="4" t="s">
        <v>61</v>
      </c>
      <c r="C102" s="4" t="s">
        <v>705</v>
      </c>
      <c r="D102" s="382" t="s">
        <v>711</v>
      </c>
      <c r="E102" s="370" t="e">
        <f>INDEX('PY1 Data(H)'!$A$1:$CZ$265,MATCH('Unit Data from Audit Worksheet'!$A102,'PY1 Data(H)'!$A$1:$A$258,0),MATCH('Unit Data from Audit Worksheet'!$D$2,'PY1 Data(H)'!$A$1:$CZ$1,0))</f>
        <v>#N/A</v>
      </c>
      <c r="F102" s="791">
        <v>0</v>
      </c>
      <c r="G102" s="406"/>
      <c r="H102" s="17"/>
      <c r="I102" s="17"/>
      <c r="J102" s="72"/>
      <c r="K102"/>
      <c r="L102" s="546"/>
    </row>
    <row r="103" spans="1:12" ht="138" customHeight="1" x14ac:dyDescent="0.3">
      <c r="A103" s="100">
        <v>83</v>
      </c>
      <c r="B103" s="4" t="s">
        <v>60</v>
      </c>
      <c r="C103" s="4" t="s">
        <v>705</v>
      </c>
      <c r="D103" s="99" t="s">
        <v>146</v>
      </c>
      <c r="E103" s="370" t="e">
        <f>INDEX('PY1 Data(H)'!$A$1:$CZ$265,MATCH('Unit Data from Audit Worksheet'!$A103,'PY1 Data(H)'!$A$1:$A$258,0),MATCH('Unit Data from Audit Worksheet'!$D$2,'PY1 Data(H)'!$A$1:$CZ$1,0))</f>
        <v>#N/A</v>
      </c>
      <c r="F103" s="791">
        <v>0</v>
      </c>
      <c r="G103" s="400">
        <f>IF(F92-F101-F103=0,,"Error: Total assets less total liabilities do not equal total net assets.  Account numbers 381-349-83=0  The amount of the formula is in the cell to the right")</f>
        <v>0</v>
      </c>
      <c r="H103" s="403">
        <f>F92-F101-F103</f>
        <v>0</v>
      </c>
      <c r="I103" s="17"/>
      <c r="J103" s="72"/>
      <c r="K103"/>
      <c r="L103" s="546"/>
    </row>
    <row r="104" spans="1:12" ht="40.5" customHeight="1" x14ac:dyDescent="0.3">
      <c r="A104" s="100"/>
      <c r="B104" s="488" t="s">
        <v>147</v>
      </c>
      <c r="C104" s="498"/>
      <c r="D104" s="466"/>
      <c r="E104" s="484"/>
      <c r="F104" s="484"/>
      <c r="G104" s="485"/>
      <c r="H104" s="408"/>
      <c r="I104" s="17"/>
      <c r="J104" s="72"/>
      <c r="K104"/>
      <c r="L104" s="546"/>
    </row>
    <row r="105" spans="1:12" ht="59.25" customHeight="1" x14ac:dyDescent="0.3">
      <c r="A105" s="100">
        <v>90</v>
      </c>
      <c r="B105" s="946" t="s">
        <v>1912</v>
      </c>
      <c r="C105" s="4" t="s">
        <v>712</v>
      </c>
      <c r="D105" s="21" t="s">
        <v>713</v>
      </c>
      <c r="E105" s="370" t="e">
        <f>INDEX('PY1 Data(H)'!$A$1:$CZ$265,MATCH('Unit Data from Audit Worksheet'!$A105,'PY1 Data(H)'!$A$1:$A$258,0),MATCH('Unit Data from Audit Worksheet'!$D$2,'PY1 Data(H)'!$A$1:$CZ$1,0))</f>
        <v>#N/A</v>
      </c>
      <c r="F105" s="791">
        <v>0</v>
      </c>
      <c r="G105" s="400">
        <f>IF(F105&lt;0,"Note: Number is normally positive.",)</f>
        <v>0</v>
      </c>
      <c r="H105" s="403"/>
      <c r="I105" s="17"/>
      <c r="J105" s="72"/>
      <c r="K105"/>
      <c r="L105" s="546"/>
    </row>
    <row r="106" spans="1:12" ht="75" customHeight="1" x14ac:dyDescent="0.3">
      <c r="A106" s="100">
        <v>91</v>
      </c>
      <c r="B106" s="4" t="s">
        <v>57</v>
      </c>
      <c r="C106" s="4" t="s">
        <v>712</v>
      </c>
      <c r="D106" s="21" t="s">
        <v>714</v>
      </c>
      <c r="E106" s="370" t="e">
        <f>INDEX('PY1 Data(H)'!$A$1:$CZ$265,MATCH('Unit Data from Audit Worksheet'!$A106,'PY1 Data(H)'!$A$1:$A$258,0),MATCH('Unit Data from Audit Worksheet'!$D$2,'PY1 Data(H)'!$A$1:$CZ$1,0))</f>
        <v>#N/A</v>
      </c>
      <c r="F106" s="791">
        <v>0</v>
      </c>
      <c r="G106" s="400">
        <f>IF(F106&lt;0,"Note: Number is normally positive.",)</f>
        <v>0</v>
      </c>
      <c r="H106" s="401"/>
      <c r="I106" s="17"/>
      <c r="J106" s="72"/>
      <c r="K106"/>
      <c r="L106" s="546"/>
    </row>
    <row r="107" spans="1:12" ht="66.75" customHeight="1" x14ac:dyDescent="0.3">
      <c r="A107" s="100">
        <v>581</v>
      </c>
      <c r="B107" s="946" t="s">
        <v>1907</v>
      </c>
      <c r="C107" s="372" t="s">
        <v>712</v>
      </c>
      <c r="D107" s="458" t="s">
        <v>715</v>
      </c>
      <c r="E107" s="370" t="e">
        <f>INDEX('PY1 Data(H)'!$A$1:$CZ$265,MATCH('Unit Data from Audit Worksheet'!$A107,'PY1 Data(H)'!$A$1:$A$258,0),MATCH('Unit Data from Audit Worksheet'!$D$2,'PY1 Data(H)'!$A$1:$CZ$1,0))</f>
        <v>#N/A</v>
      </c>
      <c r="F107" s="791">
        <v>0</v>
      </c>
      <c r="G107" s="400"/>
      <c r="H107" s="401"/>
      <c r="I107" s="17"/>
      <c r="J107" s="72"/>
      <c r="K107"/>
      <c r="L107" s="546"/>
    </row>
    <row r="108" spans="1:12" ht="67.5" customHeight="1" x14ac:dyDescent="0.3">
      <c r="A108" s="100">
        <v>511</v>
      </c>
      <c r="B108" s="946" t="s">
        <v>1907</v>
      </c>
      <c r="C108" s="4" t="s">
        <v>712</v>
      </c>
      <c r="D108" s="22" t="s">
        <v>148</v>
      </c>
      <c r="E108" s="370" t="e">
        <f>INDEX('PY1 Data(H)'!$A$1:$CZ$265,MATCH('Unit Data from Audit Worksheet'!$A108,'PY1 Data(H)'!$A$1:$A$258,0),MATCH('Unit Data from Audit Worksheet'!$D$2,'PY1 Data(H)'!$A$1:$CZ$1,0))</f>
        <v>#N/A</v>
      </c>
      <c r="F108" s="791">
        <v>0</v>
      </c>
      <c r="G108" s="400">
        <f>IF(F108&lt;0,"Note: Number is normally positive.",)</f>
        <v>0</v>
      </c>
      <c r="H108" s="401"/>
      <c r="I108" s="17"/>
      <c r="J108" s="72"/>
      <c r="K108"/>
      <c r="L108" s="546"/>
    </row>
    <row r="109" spans="1:12" ht="72" customHeight="1" x14ac:dyDescent="0.3">
      <c r="A109" s="188">
        <v>657</v>
      </c>
      <c r="B109" s="946" t="s">
        <v>1907</v>
      </c>
      <c r="C109" s="459" t="s">
        <v>712</v>
      </c>
      <c r="D109" s="213" t="s">
        <v>716</v>
      </c>
      <c r="E109" s="370" t="e">
        <f>INDEX('PY1 Data(H)'!$A$1:$CZ$265,MATCH('Unit Data from Audit Worksheet'!$A109,'PY1 Data(H)'!$A$1:$A$258,0),MATCH('Unit Data from Audit Worksheet'!$D$2,'PY1 Data(H)'!$A$1:$CZ$1,0))</f>
        <v>#N/A</v>
      </c>
      <c r="F109" s="791">
        <v>0</v>
      </c>
      <c r="G109" s="725">
        <f>IF((F105+F106+F108)&gt;F109,"Error: Please review components of current assets above.  Account numbers (90+91+511)&gt;657",)</f>
        <v>0</v>
      </c>
      <c r="H109" s="401"/>
      <c r="I109" s="17"/>
      <c r="J109" s="72"/>
      <c r="K109"/>
      <c r="L109" s="546"/>
    </row>
    <row r="110" spans="1:12" ht="70.5" customHeight="1" x14ac:dyDescent="0.3">
      <c r="A110" s="188">
        <v>658</v>
      </c>
      <c r="B110" s="946" t="s">
        <v>1907</v>
      </c>
      <c r="C110" s="459" t="s">
        <v>712</v>
      </c>
      <c r="D110" s="190" t="s">
        <v>444</v>
      </c>
      <c r="E110" s="370" t="e">
        <f>INDEX('PY1 Data(H)'!$A$1:$CZ$265,MATCH('Unit Data from Audit Worksheet'!$A110,'PY1 Data(H)'!$A$1:$A$258,0),MATCH('Unit Data from Audit Worksheet'!$D$2,'PY1 Data(H)'!$A$1:$CZ$1,0))</f>
        <v>#N/A</v>
      </c>
      <c r="F110" s="791">
        <v>0</v>
      </c>
      <c r="G110" s="400"/>
      <c r="H110" s="401"/>
      <c r="I110" s="17"/>
      <c r="J110" s="72"/>
      <c r="K110"/>
      <c r="L110" s="546"/>
    </row>
    <row r="111" spans="1:12" ht="73.8" customHeight="1" x14ac:dyDescent="0.3">
      <c r="A111" s="100">
        <v>382</v>
      </c>
      <c r="B111" s="4" t="s">
        <v>59</v>
      </c>
      <c r="C111" s="4" t="s">
        <v>712</v>
      </c>
      <c r="D111" s="98" t="s">
        <v>122</v>
      </c>
      <c r="E111" s="370" t="e">
        <f>INDEX('PY1 Data(H)'!$A$1:$CZ$265,MATCH('Unit Data from Audit Worksheet'!$A111,'PY1 Data(H)'!$A$1:$A$258,0),MATCH('Unit Data from Audit Worksheet'!$D$2,'PY1 Data(H)'!$A$1:$CZ$1,0))</f>
        <v>#N/A</v>
      </c>
      <c r="F111" s="791">
        <v>0</v>
      </c>
      <c r="G111" s="725">
        <f>IF(F109&gt;F111,"Error: Please review components of current assets above. Account numbers 657&gt;382",)</f>
        <v>0</v>
      </c>
      <c r="H111" s="401"/>
      <c r="I111" s="17"/>
      <c r="J111" s="72"/>
      <c r="K111"/>
      <c r="L111" s="546"/>
    </row>
    <row r="112" spans="1:12" ht="57.75" customHeight="1" x14ac:dyDescent="0.3">
      <c r="A112" s="100">
        <v>360</v>
      </c>
      <c r="B112" s="4" t="s">
        <v>55</v>
      </c>
      <c r="C112" s="4" t="s">
        <v>712</v>
      </c>
      <c r="D112" s="99" t="s">
        <v>149</v>
      </c>
      <c r="E112" s="370" t="e">
        <f>INDEX('PY1 Data(H)'!$A$1:$CZ$265,MATCH('Unit Data from Audit Worksheet'!$A112,'PY1 Data(H)'!$A$1:$A$258,0),MATCH('Unit Data from Audit Worksheet'!$D$2,'PY1 Data(H)'!$A$1:$CZ$1,0))</f>
        <v>#N/A</v>
      </c>
      <c r="F112" s="791">
        <v>0</v>
      </c>
      <c r="G112" s="723"/>
      <c r="H112" s="401"/>
      <c r="I112" s="17"/>
      <c r="J112" s="72"/>
      <c r="K112"/>
      <c r="L112" s="546"/>
    </row>
    <row r="113" spans="1:123" ht="62.25" customHeight="1" x14ac:dyDescent="0.3">
      <c r="A113" s="100">
        <v>580</v>
      </c>
      <c r="B113" s="946" t="s">
        <v>1907</v>
      </c>
      <c r="C113" s="372" t="s">
        <v>712</v>
      </c>
      <c r="D113" s="458" t="s">
        <v>717</v>
      </c>
      <c r="E113" s="370" t="e">
        <f>INDEX('PY1 Data(H)'!$A$1:$CZ$265,MATCH('Unit Data from Audit Worksheet'!$A113,'PY1 Data(H)'!$A$1:$A$258,0),MATCH('Unit Data from Audit Worksheet'!$D$2,'PY1 Data(H)'!$A$1:$CZ$1,0))</f>
        <v>#N/A</v>
      </c>
      <c r="F113" s="791">
        <v>0</v>
      </c>
      <c r="G113" s="723"/>
      <c r="H113" s="401"/>
      <c r="I113" s="17"/>
      <c r="J113" s="72"/>
      <c r="K113"/>
      <c r="L113" s="546"/>
    </row>
    <row r="114" spans="1:123" ht="114" customHeight="1" x14ac:dyDescent="0.3">
      <c r="A114" s="189">
        <v>639</v>
      </c>
      <c r="B114" s="950" t="s">
        <v>1908</v>
      </c>
      <c r="C114" s="459" t="s">
        <v>712</v>
      </c>
      <c r="D114" s="213" t="s">
        <v>783</v>
      </c>
      <c r="E114" s="370" t="e">
        <f>INDEX('PY1 Data(H)'!$A$1:$CZ$265,MATCH('Unit Data from Audit Worksheet'!$A114,'PY1 Data(H)'!$A$1:$A$258,0),MATCH('Unit Data from Audit Worksheet'!$D$2,'PY1 Data(H)'!$A$1:$CZ$1,0))</f>
        <v>#N/A</v>
      </c>
      <c r="F114" s="791">
        <v>0</v>
      </c>
      <c r="G114" s="723" t="str">
        <f>IF(F114&gt;=(F115+F116+F117+F118+F119+F120),"","Account 639 is less than the total sum of accounts 640 through 644 + 384")</f>
        <v/>
      </c>
      <c r="H114" s="411"/>
      <c r="I114" s="405"/>
      <c r="J114" s="759"/>
      <c r="K114"/>
      <c r="L114" s="546"/>
    </row>
    <row r="115" spans="1:123" ht="111.6" customHeight="1" x14ac:dyDescent="0.3">
      <c r="A115" s="188">
        <v>640</v>
      </c>
      <c r="B115" s="948" t="s">
        <v>1909</v>
      </c>
      <c r="C115" s="459" t="s">
        <v>712</v>
      </c>
      <c r="D115" s="213" t="s">
        <v>784</v>
      </c>
      <c r="E115" s="370" t="e">
        <f>INDEX('PY1 Data(H)'!$A$1:$CZ$265,MATCH('Unit Data from Audit Worksheet'!$A115,'PY1 Data(H)'!$A$1:$A$258,0),MATCH('Unit Data from Audit Worksheet'!$D$2,'PY1 Data(H)'!$A$1:$CZ$1,0))</f>
        <v>#N/A</v>
      </c>
      <c r="F115" s="791">
        <v>0</v>
      </c>
      <c r="G115" s="725">
        <f>IF(F115&gt;F114,"Error: Please review components of current liabilities above. Account numbers 640&gt;639",)</f>
        <v>0</v>
      </c>
      <c r="H115" s="405"/>
      <c r="I115" s="411"/>
      <c r="J115" s="760"/>
      <c r="K115"/>
      <c r="L115" s="546"/>
    </row>
    <row r="116" spans="1:123" ht="121.2" customHeight="1" x14ac:dyDescent="0.3">
      <c r="A116" s="188">
        <v>641</v>
      </c>
      <c r="B116" s="948" t="s">
        <v>1909</v>
      </c>
      <c r="C116" s="459" t="s">
        <v>712</v>
      </c>
      <c r="D116" s="213" t="s">
        <v>785</v>
      </c>
      <c r="E116" s="370" t="e">
        <f>INDEX('PY1 Data(H)'!$A$1:$CZ$265,MATCH('Unit Data from Audit Worksheet'!$A116,'PY1 Data(H)'!$A$1:$A$258,0),MATCH('Unit Data from Audit Worksheet'!$D$2,'PY1 Data(H)'!$A$1:$CZ$1,0))</f>
        <v>#N/A</v>
      </c>
      <c r="F116" s="791">
        <v>0</v>
      </c>
      <c r="G116" s="725">
        <f>IF(F116&gt;F114,"Error: Please review components of current liabilities above. Account numbers 641&gt;639",)</f>
        <v>0</v>
      </c>
      <c r="H116" s="405"/>
      <c r="I116" s="405"/>
      <c r="J116" s="759"/>
      <c r="K116"/>
      <c r="L116" s="546"/>
    </row>
    <row r="117" spans="1:123" ht="110.4" customHeight="1" x14ac:dyDescent="0.3">
      <c r="A117" s="188">
        <v>642</v>
      </c>
      <c r="B117" s="948" t="s">
        <v>1909</v>
      </c>
      <c r="C117" s="459" t="s">
        <v>712</v>
      </c>
      <c r="D117" s="213" t="s">
        <v>786</v>
      </c>
      <c r="E117" s="370" t="e">
        <f>INDEX('PY1 Data(H)'!$A$1:$CZ$265,MATCH('Unit Data from Audit Worksheet'!$A117,'PY1 Data(H)'!$A$1:$A$258,0),MATCH('Unit Data from Audit Worksheet'!$D$2,'PY1 Data(H)'!$A$1:$CZ$1,0))</f>
        <v>#N/A</v>
      </c>
      <c r="F117" s="791">
        <v>0</v>
      </c>
      <c r="G117" s="725">
        <f>IF(F117&gt;F114,"Error: Please review components of current liabilities above. Account numbers  642&gt;639",)</f>
        <v>0</v>
      </c>
      <c r="H117" s="405"/>
      <c r="I117" s="405"/>
      <c r="J117" s="759"/>
      <c r="K117"/>
      <c r="L117" s="546"/>
    </row>
    <row r="118" spans="1:123" ht="79.95" customHeight="1" x14ac:dyDescent="0.3">
      <c r="A118" s="188">
        <v>643</v>
      </c>
      <c r="B118" s="948" t="s">
        <v>1909</v>
      </c>
      <c r="C118" s="459" t="s">
        <v>712</v>
      </c>
      <c r="D118" s="213" t="s">
        <v>787</v>
      </c>
      <c r="E118" s="370" t="e">
        <f>INDEX('PY1 Data(H)'!$A$1:$CZ$265,MATCH('Unit Data from Audit Worksheet'!$A118,'PY1 Data(H)'!$A$1:$A$258,0),MATCH('Unit Data from Audit Worksheet'!$D$2,'PY1 Data(H)'!$A$1:$CZ$1,0))</f>
        <v>#N/A</v>
      </c>
      <c r="F118" s="791">
        <v>0</v>
      </c>
      <c r="G118" s="725">
        <f>IF(F118&gt;F114,"Error: Please review components of current liabilities above. Account numbers 643&gt;639",)</f>
        <v>0</v>
      </c>
      <c r="H118" s="405"/>
      <c r="I118" s="405"/>
      <c r="J118" s="759"/>
      <c r="K118"/>
      <c r="L118" s="546"/>
    </row>
    <row r="119" spans="1:123" ht="105" customHeight="1" x14ac:dyDescent="0.3">
      <c r="A119" s="188">
        <v>644</v>
      </c>
      <c r="B119" s="948" t="s">
        <v>1909</v>
      </c>
      <c r="C119" s="459" t="s">
        <v>712</v>
      </c>
      <c r="D119" s="213" t="s">
        <v>788</v>
      </c>
      <c r="E119" s="370" t="e">
        <f>INDEX('PY1 Data(H)'!$A$1:$CZ$265,MATCH('Unit Data from Audit Worksheet'!$A119,'PY1 Data(H)'!$A$1:$A$258,0),MATCH('Unit Data from Audit Worksheet'!$D$2,'PY1 Data(H)'!$A$1:$CZ$1,0))</f>
        <v>#N/A</v>
      </c>
      <c r="F119" s="791">
        <v>0</v>
      </c>
      <c r="G119" s="725">
        <f>IF(F119&gt;F114,"Error: Please review components of current liabilities above. Account number 644&gt;639",)</f>
        <v>0</v>
      </c>
      <c r="H119" s="405"/>
      <c r="I119" s="405"/>
      <c r="J119" s="759"/>
      <c r="K119"/>
      <c r="L119" s="546"/>
    </row>
    <row r="120" spans="1:123" ht="88.95" customHeight="1" x14ac:dyDescent="0.3">
      <c r="A120" s="100">
        <v>384</v>
      </c>
      <c r="B120" s="4" t="s">
        <v>62</v>
      </c>
      <c r="C120" s="4" t="s">
        <v>712</v>
      </c>
      <c r="D120" s="26" t="s">
        <v>789</v>
      </c>
      <c r="E120" s="370" t="e">
        <f>INDEX('PY1 Data(H)'!$A$1:$CZ$265,MATCH('Unit Data from Audit Worksheet'!$A120,'PY1 Data(H)'!$A$1:$A$258,0),MATCH('Unit Data from Audit Worksheet'!$D$2,'PY1 Data(H)'!$A$1:$CZ$1,0))</f>
        <v>#N/A</v>
      </c>
      <c r="F120" s="791">
        <v>0</v>
      </c>
      <c r="G120" s="725">
        <f>IF(F120&gt;F114,"Error: Please review components of current liabilities above. Account number 384&gt;639",)</f>
        <v>0</v>
      </c>
      <c r="H120" s="341"/>
      <c r="I120" s="17"/>
      <c r="J120" s="72"/>
      <c r="K120"/>
      <c r="L120" s="546"/>
    </row>
    <row r="121" spans="1:123" ht="92.4" customHeight="1" x14ac:dyDescent="0.3">
      <c r="A121" s="100">
        <v>361</v>
      </c>
      <c r="B121" s="4" t="s">
        <v>55</v>
      </c>
      <c r="C121" s="4" t="s">
        <v>712</v>
      </c>
      <c r="D121" s="382" t="s">
        <v>718</v>
      </c>
      <c r="E121" s="370" t="e">
        <f>INDEX('PY1 Data(H)'!$A$1:$CZ$265,MATCH('Unit Data from Audit Worksheet'!$A121,'PY1 Data(H)'!$A$1:$A$258,0),MATCH('Unit Data from Audit Worksheet'!$D$2,'PY1 Data(H)'!$A$1:$CZ$1,0))</f>
        <v>#N/A</v>
      </c>
      <c r="F121" s="791">
        <v>0</v>
      </c>
      <c r="G121" s="406"/>
      <c r="H121" s="401"/>
      <c r="I121" s="17"/>
      <c r="J121" s="72"/>
      <c r="K121"/>
      <c r="L121" s="546"/>
    </row>
    <row r="122" spans="1:123" ht="54" customHeight="1" x14ac:dyDescent="0.3">
      <c r="A122" s="100">
        <v>362</v>
      </c>
      <c r="B122" s="4" t="s">
        <v>55</v>
      </c>
      <c r="C122" s="4" t="s">
        <v>712</v>
      </c>
      <c r="D122" s="99" t="s">
        <v>150</v>
      </c>
      <c r="E122" s="370" t="e">
        <f>INDEX('PY1 Data(H)'!$A$1:$CZ$265,MATCH('Unit Data from Audit Worksheet'!$A122,'PY1 Data(H)'!$A$1:$A$258,0),MATCH('Unit Data from Audit Worksheet'!$D$2,'PY1 Data(H)'!$A$1:$CZ$1,0))</f>
        <v>#N/A</v>
      </c>
      <c r="F122" s="791">
        <v>0</v>
      </c>
      <c r="G122" s="400">
        <f>IF(H122=0,,"Error: Total assets less total liabilities do not equal total net position. Account numbers 382-360-362=0  The amount of the formula is in the cell to the right")</f>
        <v>0</v>
      </c>
      <c r="H122" s="403">
        <f>F111-F112-F122</f>
        <v>0</v>
      </c>
      <c r="I122" s="17"/>
      <c r="J122" s="72"/>
      <c r="K122"/>
      <c r="L122" s="546"/>
    </row>
    <row r="123" spans="1:123" ht="26.25" customHeight="1" x14ac:dyDescent="0.3">
      <c r="A123" s="100"/>
      <c r="B123" s="477" t="s">
        <v>174</v>
      </c>
      <c r="C123" s="478"/>
      <c r="D123" s="490"/>
      <c r="E123" s="476"/>
      <c r="F123" s="476"/>
      <c r="G123" s="476"/>
      <c r="H123" s="17"/>
      <c r="I123" s="17"/>
      <c r="J123" s="72"/>
      <c r="K123"/>
      <c r="L123" s="546"/>
    </row>
    <row r="124" spans="1:123" s="18" customFormat="1" ht="84.6" customHeight="1" x14ac:dyDescent="0.3">
      <c r="A124" s="100"/>
      <c r="B124" s="1068" t="s">
        <v>797</v>
      </c>
      <c r="C124" s="1068"/>
      <c r="D124" s="1068"/>
      <c r="E124" s="485"/>
      <c r="F124" s="485"/>
      <c r="G124" s="485"/>
      <c r="H124" s="17"/>
      <c r="I124" s="17"/>
      <c r="J124" s="72"/>
      <c r="K124"/>
      <c r="L124" s="546"/>
      <c r="M124"/>
      <c r="O124" s="185"/>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719</v>
      </c>
      <c r="D125" s="21" t="s">
        <v>720</v>
      </c>
      <c r="E125" s="370" t="e">
        <f>INDEX('PY1 Data(H)'!$A$1:$CZ$265,MATCH('Unit Data from Audit Worksheet'!$A125,'PY1 Data(H)'!$A$1:$A$258,0),MATCH('Unit Data from Audit Worksheet'!$D$2,'PY1 Data(H)'!$A$1:$CZ$1,0))</f>
        <v>#N/A</v>
      </c>
      <c r="F125" s="791">
        <v>0</v>
      </c>
      <c r="G125" s="406"/>
      <c r="H125" s="17"/>
      <c r="I125" s="17"/>
      <c r="J125" s="72"/>
      <c r="K125"/>
      <c r="L125" s="546"/>
    </row>
    <row r="126" spans="1:123" ht="81" customHeight="1" x14ac:dyDescent="0.3">
      <c r="A126" s="100">
        <v>84</v>
      </c>
      <c r="B126" s="946" t="s">
        <v>1905</v>
      </c>
      <c r="C126" s="4" t="s">
        <v>719</v>
      </c>
      <c r="D126" s="26" t="s">
        <v>151</v>
      </c>
      <c r="E126" s="370" t="e">
        <f>INDEX('PY1 Data(H)'!$A$1:$CZ$265,MATCH('Unit Data from Audit Worksheet'!$A126,'PY1 Data(H)'!$A$1:$A$258,0),MATCH('Unit Data from Audit Worksheet'!$D$2,'PY1 Data(H)'!$A$1:$CZ$1,0))</f>
        <v>#N/A</v>
      </c>
      <c r="F126" s="791">
        <v>0</v>
      </c>
      <c r="G126" s="400">
        <f>IF(F126&gt;=F125,,"Error: Charges for services exceed total operating revenues. Account numbers 88&gt;84")</f>
        <v>0</v>
      </c>
      <c r="H126" s="17"/>
      <c r="I126" s="17"/>
      <c r="J126" s="72"/>
      <c r="K126"/>
      <c r="L126" s="546"/>
    </row>
    <row r="127" spans="1:123" ht="78" customHeight="1" x14ac:dyDescent="0.3">
      <c r="A127" s="100">
        <v>49</v>
      </c>
      <c r="B127" s="946" t="s">
        <v>1905</v>
      </c>
      <c r="C127" s="4" t="s">
        <v>719</v>
      </c>
      <c r="D127" s="26" t="s">
        <v>152</v>
      </c>
      <c r="E127" s="370" t="e">
        <f>INDEX('PY1 Data(H)'!$A$1:$CZ$265,MATCH('Unit Data from Audit Worksheet'!$A127,'PY1 Data(H)'!$A$1:$A$258,0),MATCH('Unit Data from Audit Worksheet'!$D$2,'PY1 Data(H)'!$A$1:$CZ$1,0))</f>
        <v>#N/A</v>
      </c>
      <c r="F127" s="791">
        <v>0</v>
      </c>
      <c r="G127" s="400">
        <f>IF(F127&lt;0,"Error: Enter as positive.",)</f>
        <v>0</v>
      </c>
      <c r="H127" s="17"/>
      <c r="I127" s="17"/>
      <c r="J127" s="72"/>
      <c r="K127"/>
      <c r="L127" s="546"/>
    </row>
    <row r="128" spans="1:123" ht="87.6" customHeight="1" x14ac:dyDescent="0.3">
      <c r="A128" s="100">
        <v>85</v>
      </c>
      <c r="B128" s="946" t="s">
        <v>1905</v>
      </c>
      <c r="C128" s="4" t="s">
        <v>719</v>
      </c>
      <c r="D128" s="26" t="s">
        <v>153</v>
      </c>
      <c r="E128" s="370" t="e">
        <f>INDEX('PY1 Data(H)'!$A$1:$CZ$265,MATCH('Unit Data from Audit Worksheet'!$A128,'PY1 Data(H)'!$A$1:$A$258,0),MATCH('Unit Data from Audit Worksheet'!$D$2,'PY1 Data(H)'!$A$1:$CZ$1,0))</f>
        <v>#N/A</v>
      </c>
      <c r="F128" s="791">
        <v>0</v>
      </c>
      <c r="G128" s="400">
        <f>IF(F128&lt;0,"Error: Enter as positive.",)</f>
        <v>0</v>
      </c>
      <c r="H128" s="17"/>
      <c r="I128" s="17"/>
      <c r="J128" s="72"/>
      <c r="K128"/>
      <c r="L128" s="546"/>
    </row>
    <row r="129" spans="1:123" ht="75.599999999999994" customHeight="1" x14ac:dyDescent="0.3">
      <c r="A129" s="100">
        <v>89</v>
      </c>
      <c r="B129" s="946" t="s">
        <v>1905</v>
      </c>
      <c r="C129" s="4" t="s">
        <v>719</v>
      </c>
      <c r="D129" s="26" t="s">
        <v>154</v>
      </c>
      <c r="E129" s="370" t="e">
        <f>INDEX('PY1 Data(H)'!$A$1:$CZ$265,MATCH('Unit Data from Audit Worksheet'!$A129,'PY1 Data(H)'!$A$1:$A$258,0),MATCH('Unit Data from Audit Worksheet'!$D$2,'PY1 Data(H)'!$A$1:$CZ$1,0))</f>
        <v>#N/A</v>
      </c>
      <c r="F129" s="791">
        <v>0</v>
      </c>
      <c r="G129" s="400">
        <f>IF(F129&lt;0,"Error: Enter as positive.",)</f>
        <v>0</v>
      </c>
      <c r="H129" s="401"/>
      <c r="I129" s="17"/>
      <c r="J129" s="72"/>
      <c r="K129"/>
      <c r="L129" s="546"/>
    </row>
    <row r="130" spans="1:123" ht="79.2" customHeight="1" x14ac:dyDescent="0.3">
      <c r="A130" s="100">
        <v>350</v>
      </c>
      <c r="B130" s="4" t="s">
        <v>55</v>
      </c>
      <c r="C130" s="4" t="s">
        <v>719</v>
      </c>
      <c r="D130" s="21" t="s">
        <v>721</v>
      </c>
      <c r="E130" s="370" t="e">
        <f>INDEX('PY1 Data(H)'!$A$1:$CZ$265,MATCH('Unit Data from Audit Worksheet'!$A130,'PY1 Data(H)'!$A$1:$A$258,0),MATCH('Unit Data from Audit Worksheet'!$D$2,'PY1 Data(H)'!$A$1:$CZ$1,0))</f>
        <v>#N/A</v>
      </c>
      <c r="F130" s="791">
        <v>0</v>
      </c>
      <c r="G130" s="406"/>
      <c r="H130" s="401"/>
      <c r="I130" s="17"/>
      <c r="J130" s="72"/>
      <c r="K130"/>
      <c r="L130" s="546"/>
    </row>
    <row r="131" spans="1:123" ht="66" customHeight="1" x14ac:dyDescent="0.3">
      <c r="A131" s="100">
        <v>351</v>
      </c>
      <c r="B131" s="946" t="s">
        <v>1905</v>
      </c>
      <c r="C131" s="4" t="s">
        <v>719</v>
      </c>
      <c r="D131" s="21" t="s">
        <v>722</v>
      </c>
      <c r="E131" s="370" t="e">
        <f>INDEX('PY1 Data(H)'!$A$1:$CZ$265,MATCH('Unit Data from Audit Worksheet'!$A131,'PY1 Data(H)'!$A$1:$A$258,0),MATCH('Unit Data from Audit Worksheet'!$D$2,'PY1 Data(H)'!$A$1:$CZ$1,0))</f>
        <v>#N/A</v>
      </c>
      <c r="F131" s="791">
        <v>0</v>
      </c>
      <c r="G131" s="400">
        <f t="shared" ref="G131:G136" si="2">IF(F131&lt;0,"Error: Enter as positive.",)</f>
        <v>0</v>
      </c>
      <c r="H131" s="401"/>
      <c r="I131" s="17"/>
      <c r="J131" s="72"/>
      <c r="K131"/>
      <c r="L131" s="546"/>
    </row>
    <row r="132" spans="1:123" ht="93.75" customHeight="1" x14ac:dyDescent="0.3">
      <c r="A132" s="100">
        <v>191</v>
      </c>
      <c r="B132" s="4" t="s">
        <v>56</v>
      </c>
      <c r="C132" s="4" t="s">
        <v>719</v>
      </c>
      <c r="D132" s="21" t="s">
        <v>723</v>
      </c>
      <c r="E132" s="370" t="e">
        <f>INDEX('PY1 Data(H)'!$A$1:$CZ$265,MATCH('Unit Data from Audit Worksheet'!$A132,'PY1 Data(H)'!$A$1:$A$258,0),MATCH('Unit Data from Audit Worksheet'!$D$2,'PY1 Data(H)'!$A$1:$CZ$1,0))</f>
        <v>#N/A</v>
      </c>
      <c r="F132" s="791">
        <v>0</v>
      </c>
      <c r="G132" s="400">
        <f t="shared" si="2"/>
        <v>0</v>
      </c>
      <c r="H132" s="401"/>
      <c r="I132" s="17"/>
      <c r="J132" s="72"/>
      <c r="K132"/>
      <c r="L132" s="546"/>
    </row>
    <row r="133" spans="1:123" ht="81.599999999999994" customHeight="1" x14ac:dyDescent="0.3">
      <c r="A133" s="100">
        <v>1053</v>
      </c>
      <c r="B133" s="776" t="s">
        <v>578</v>
      </c>
      <c r="C133" s="776" t="s">
        <v>1438</v>
      </c>
      <c r="D133" s="777" t="s">
        <v>1476</v>
      </c>
      <c r="E133" s="370" t="e">
        <f>INDEX('PY1 Data(H)'!$A$1:$CZ$265,MATCH('Unit Data from Audit Worksheet'!$A133,'PY1 Data(H)'!$A$1:$A$258,0),MATCH('Unit Data from Audit Worksheet'!$D$2,'PY1 Data(H)'!$A$1:$CZ$1,0))</f>
        <v>#N/A</v>
      </c>
      <c r="F133" s="791">
        <v>0</v>
      </c>
      <c r="G133" s="400"/>
      <c r="H133" s="401"/>
      <c r="I133" s="17"/>
      <c r="J133" s="72"/>
      <c r="K133" s="180"/>
      <c r="L133" s="546"/>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719</v>
      </c>
      <c r="D134" s="26" t="s">
        <v>647</v>
      </c>
      <c r="E134" s="370" t="e">
        <f>INDEX('PY1 Data(H)'!$A$1:$CZ$265,MATCH('Unit Data from Audit Worksheet'!$A134,'PY1 Data(H)'!$A$1:$A$258,0),MATCH('Unit Data from Audit Worksheet'!$D$2,'PY1 Data(H)'!$A$1:$CZ$1,0))</f>
        <v>#N/A</v>
      </c>
      <c r="F134" s="791">
        <v>0</v>
      </c>
      <c r="G134" s="400">
        <f t="shared" si="2"/>
        <v>0</v>
      </c>
      <c r="H134" s="18"/>
      <c r="I134" s="17"/>
      <c r="J134" s="17"/>
      <c r="K134"/>
      <c r="L134" s="546"/>
    </row>
    <row r="135" spans="1:123" ht="79.95" customHeight="1" x14ac:dyDescent="0.3">
      <c r="A135" s="100">
        <v>986</v>
      </c>
      <c r="B135" s="946" t="s">
        <v>1906</v>
      </c>
      <c r="C135" s="372" t="s">
        <v>719</v>
      </c>
      <c r="D135" s="26" t="s">
        <v>584</v>
      </c>
      <c r="E135" s="370" t="e">
        <f>INDEX('PY1 Data(H)'!$A$1:$CZ$265,MATCH('Unit Data from Audit Worksheet'!$A135,'PY1 Data(H)'!$A$1:$A$258,0),MATCH('Unit Data from Audit Worksheet'!$D$2,'PY1 Data(H)'!$A$1:$CZ$1,0))</f>
        <v>#N/A</v>
      </c>
      <c r="F135" s="791">
        <v>0</v>
      </c>
      <c r="G135" s="400">
        <f t="shared" si="2"/>
        <v>0</v>
      </c>
      <c r="H135" s="401"/>
      <c r="I135" s="17"/>
      <c r="J135" s="72"/>
      <c r="K135"/>
      <c r="L135" s="546"/>
    </row>
    <row r="136" spans="1:123" ht="79.2" customHeight="1" x14ac:dyDescent="0.3">
      <c r="A136" s="100">
        <v>353</v>
      </c>
      <c r="B136" s="4" t="s">
        <v>67</v>
      </c>
      <c r="C136" s="4" t="s">
        <v>719</v>
      </c>
      <c r="D136" s="26" t="s">
        <v>135</v>
      </c>
      <c r="E136" s="370" t="e">
        <f>INDEX('PY1 Data(H)'!$A$1:$CZ$265,MATCH('Unit Data from Audit Worksheet'!$A136,'PY1 Data(H)'!$A$1:$A$258,0),MATCH('Unit Data from Audit Worksheet'!$D$2,'PY1 Data(H)'!$A$1:$CZ$1,0))</f>
        <v>#N/A</v>
      </c>
      <c r="F136" s="791">
        <v>0</v>
      </c>
      <c r="G136" s="400">
        <f t="shared" si="2"/>
        <v>0</v>
      </c>
      <c r="H136" s="401"/>
      <c r="I136" s="17"/>
      <c r="J136" s="72"/>
      <c r="K136"/>
      <c r="L136" s="546"/>
    </row>
    <row r="137" spans="1:123" ht="138" customHeight="1" x14ac:dyDescent="0.3">
      <c r="A137" s="100">
        <v>50</v>
      </c>
      <c r="B137" s="4" t="s">
        <v>63</v>
      </c>
      <c r="C137" s="4" t="s">
        <v>719</v>
      </c>
      <c r="D137" s="382" t="s">
        <v>724</v>
      </c>
      <c r="E137" s="370" t="e">
        <f>INDEX('PY1 Data(H)'!$A$1:$CZ$265,MATCH('Unit Data from Audit Worksheet'!$A137,'PY1 Data(H)'!$A$1:$A$258,0),MATCH('Unit Data from Audit Worksheet'!$D$2,'PY1 Data(H)'!$A$1:$CZ$1,0))</f>
        <v>#N/A</v>
      </c>
      <c r="F137" s="791">
        <v>0</v>
      </c>
      <c r="G137" s="400">
        <f>IF(H137=0,,"Error: Total revenues less total expenses do not equal total change in net position. Account number 84-85+350-351+191+352-353-50=0  The amount of the formula is in the cell to the right")</f>
        <v>0</v>
      </c>
      <c r="H137" s="403">
        <f>F126-F128+F130-F131+F132+F134-F136-F137</f>
        <v>0</v>
      </c>
      <c r="I137" s="17"/>
      <c r="J137" s="72"/>
      <c r="K137"/>
      <c r="L137" s="546"/>
    </row>
    <row r="138" spans="1:123" ht="138" customHeight="1" x14ac:dyDescent="0.3">
      <c r="A138" s="100">
        <v>377</v>
      </c>
      <c r="B138" s="4" t="s">
        <v>67</v>
      </c>
      <c r="C138" s="4" t="s">
        <v>719</v>
      </c>
      <c r="D138" s="382" t="s">
        <v>725</v>
      </c>
      <c r="E138" s="370" t="e">
        <f>INDEX('PY1 Data(H)'!$A$1:$CZ$265,MATCH('Unit Data from Audit Worksheet'!$A138,'PY1 Data(H)'!$A$1:$A$258,0),MATCH('Unit Data from Audit Worksheet'!$D$2,'PY1 Data(H)'!$A$1:$CZ$1,0))</f>
        <v>#N/A</v>
      </c>
      <c r="F138" s="791">
        <v>0</v>
      </c>
      <c r="G138" s="752" t="e">
        <f>IF(F103-F137-F138=E103,,"Error: Beginning Balance does not agree with our records.  Acct #s (83-50-377)=prior year 83 The amount of the formula is in the cell to the right")</f>
        <v>#N/A</v>
      </c>
      <c r="H138" s="753" t="e">
        <f>+F103-F137-F138-E103</f>
        <v>#N/A</v>
      </c>
      <c r="I138" s="1008" t="e">
        <f>IF(H138=0," ","If the out of balance is because prior years data is not populated in cell E103, disregard the error message. Do not include prior year's ending balance in cell F138.")</f>
        <v>#N/A</v>
      </c>
      <c r="J138" s="761"/>
      <c r="K138"/>
      <c r="L138" s="546"/>
    </row>
    <row r="139" spans="1:123" ht="78.599999999999994" customHeight="1" x14ac:dyDescent="0.3">
      <c r="A139" s="100">
        <v>537</v>
      </c>
      <c r="B139" s="372" t="s">
        <v>58</v>
      </c>
      <c r="C139" s="372" t="s">
        <v>719</v>
      </c>
      <c r="D139" s="369" t="s">
        <v>1456</v>
      </c>
      <c r="E139" s="790" t="e">
        <f>INDEX('PY1 Data(H)'!$A$1:$CZ$265,MATCH('Unit Data from Audit Worksheet'!$A139,'PY1 Data(H)'!$A$1:$A$258,0),MATCH('Unit Data from Audit Worksheet'!$D$2,'PY1 Data(H)'!$A$1:$CZ$1,0))</f>
        <v>#N/A</v>
      </c>
      <c r="F139" s="183"/>
      <c r="G139" s="400"/>
      <c r="H139" s="401"/>
      <c r="I139" s="401"/>
      <c r="J139" s="402"/>
      <c r="K139"/>
      <c r="L139" s="546"/>
    </row>
    <row r="140" spans="1:123" ht="96.75" customHeight="1" x14ac:dyDescent="0.3">
      <c r="A140" s="100">
        <v>538</v>
      </c>
      <c r="B140" s="372" t="s">
        <v>58</v>
      </c>
      <c r="C140" s="372" t="s">
        <v>719</v>
      </c>
      <c r="D140" s="369" t="s">
        <v>1457</v>
      </c>
      <c r="E140" s="790" t="e">
        <f>INDEX('PY1 Data(H)'!$A$1:$CZ$265,MATCH('Unit Data from Audit Worksheet'!$A140,'PY1 Data(H)'!$A$1:$A$258,0),MATCH('Unit Data from Audit Worksheet'!$D$2,'PY1 Data(H)'!$A$1:$CZ$1,0))</f>
        <v>#N/A</v>
      </c>
      <c r="F140" s="183"/>
      <c r="G140" s="400"/>
      <c r="H140" s="401"/>
      <c r="I140" s="401"/>
      <c r="J140" s="402"/>
      <c r="K140"/>
      <c r="L140" s="546"/>
    </row>
    <row r="141" spans="1:123" ht="26.25" customHeight="1" x14ac:dyDescent="0.3">
      <c r="A141" s="100"/>
      <c r="B141" s="702" t="s">
        <v>6</v>
      </c>
      <c r="C141" s="498"/>
      <c r="D141" s="466"/>
      <c r="E141" s="484"/>
      <c r="F141" s="484"/>
      <c r="G141" s="485"/>
      <c r="H141" s="17"/>
      <c r="I141" s="17"/>
      <c r="J141" s="72"/>
      <c r="K141"/>
      <c r="L141" s="546"/>
    </row>
    <row r="142" spans="1:123" ht="91.95" customHeight="1" x14ac:dyDescent="0.3">
      <c r="A142" s="100">
        <v>97</v>
      </c>
      <c r="B142" s="4" t="s">
        <v>67</v>
      </c>
      <c r="C142" s="4" t="s">
        <v>726</v>
      </c>
      <c r="D142" s="26" t="s">
        <v>155</v>
      </c>
      <c r="E142" s="370" t="e">
        <f>INDEX('PY1 Data(H)'!$A$1:$CZ$265,MATCH('Unit Data from Audit Worksheet'!$A142,'PY1 Data(H)'!$A$1:$A$258,0),MATCH('Unit Data from Audit Worksheet'!$D$2,'PY1 Data(H)'!$A$1:$CZ$1,0))</f>
        <v>#N/A</v>
      </c>
      <c r="F142" s="791">
        <v>0</v>
      </c>
      <c r="G142" s="406"/>
      <c r="H142" s="17"/>
      <c r="I142" s="17"/>
      <c r="J142" s="72"/>
      <c r="K142"/>
      <c r="L142" s="546"/>
    </row>
    <row r="143" spans="1:123" ht="72.599999999999994" customHeight="1" x14ac:dyDescent="0.3">
      <c r="A143" s="100">
        <v>93</v>
      </c>
      <c r="B143" s="946" t="s">
        <v>1910</v>
      </c>
      <c r="C143" s="4" t="s">
        <v>726</v>
      </c>
      <c r="D143" s="26" t="s">
        <v>151</v>
      </c>
      <c r="E143" s="370" t="e">
        <f>INDEX('PY1 Data(H)'!$A$1:$CZ$265,MATCH('Unit Data from Audit Worksheet'!$A143,'PY1 Data(H)'!$A$1:$A$258,0),MATCH('Unit Data from Audit Worksheet'!$D$2,'PY1 Data(H)'!$A$1:$CZ$1,0))</f>
        <v>#N/A</v>
      </c>
      <c r="F143" s="791">
        <v>0</v>
      </c>
      <c r="G143" s="400">
        <f>IF(F142&gt;F143,"Error: Charges for services exceed total operating revenues. Account number 97&gt;93",)</f>
        <v>0</v>
      </c>
      <c r="H143" s="401"/>
      <c r="I143" s="17"/>
      <c r="J143" s="72"/>
      <c r="K143"/>
      <c r="L143" s="546"/>
    </row>
    <row r="144" spans="1:123" ht="76.2" customHeight="1" x14ac:dyDescent="0.3">
      <c r="A144" s="100">
        <v>99</v>
      </c>
      <c r="B144" s="4" t="s">
        <v>57</v>
      </c>
      <c r="C144" s="4" t="s">
        <v>726</v>
      </c>
      <c r="D144" s="26" t="s">
        <v>156</v>
      </c>
      <c r="E144" s="370" t="e">
        <f>INDEX('PY1 Data(H)'!$A$1:$CZ$265,MATCH('Unit Data from Audit Worksheet'!$A144,'PY1 Data(H)'!$A$1:$A$258,0),MATCH('Unit Data from Audit Worksheet'!$D$2,'PY1 Data(H)'!$A$1:$CZ$1,0))</f>
        <v>#N/A</v>
      </c>
      <c r="F144" s="791">
        <v>0</v>
      </c>
      <c r="G144" s="400">
        <f t="shared" ref="G144:G153" si="3">IF(F144&lt;0,"Error: Enter as positive.",)</f>
        <v>0</v>
      </c>
      <c r="H144" s="401"/>
      <c r="I144" s="17"/>
      <c r="J144" s="72"/>
      <c r="K144"/>
      <c r="L144" s="546"/>
    </row>
    <row r="145" spans="1:123" ht="73.2" customHeight="1" x14ac:dyDescent="0.3">
      <c r="A145" s="100">
        <v>52</v>
      </c>
      <c r="B145" s="946" t="s">
        <v>1911</v>
      </c>
      <c r="C145" s="4" t="s">
        <v>726</v>
      </c>
      <c r="D145" s="26" t="s">
        <v>152</v>
      </c>
      <c r="E145" s="370" t="e">
        <f>INDEX('PY1 Data(H)'!$A$1:$CZ$265,MATCH('Unit Data from Audit Worksheet'!$A145,'PY1 Data(H)'!$A$1:$A$258,0),MATCH('Unit Data from Audit Worksheet'!$D$2,'PY1 Data(H)'!$A$1:$CZ$1,0))</f>
        <v>#N/A</v>
      </c>
      <c r="F145" s="791">
        <v>0</v>
      </c>
      <c r="G145" s="400">
        <f t="shared" si="3"/>
        <v>0</v>
      </c>
      <c r="H145" s="401"/>
      <c r="I145" s="17"/>
      <c r="J145" s="72"/>
      <c r="K145"/>
      <c r="L145" s="546"/>
    </row>
    <row r="146" spans="1:123" ht="81" customHeight="1" x14ac:dyDescent="0.3">
      <c r="A146" s="100">
        <v>94</v>
      </c>
      <c r="B146" s="946" t="s">
        <v>1910</v>
      </c>
      <c r="C146" s="4" t="s">
        <v>726</v>
      </c>
      <c r="D146" s="26" t="s">
        <v>153</v>
      </c>
      <c r="E146" s="370" t="e">
        <f>INDEX('PY1 Data(H)'!$A$1:$CZ$265,MATCH('Unit Data from Audit Worksheet'!$A146,'PY1 Data(H)'!$A$1:$A$258,0),MATCH('Unit Data from Audit Worksheet'!$D$2,'PY1 Data(H)'!$A$1:$CZ$1,0))</f>
        <v>#N/A</v>
      </c>
      <c r="F146" s="791">
        <v>0</v>
      </c>
      <c r="G146" s="400">
        <f t="shared" si="3"/>
        <v>0</v>
      </c>
      <c r="H146" s="401"/>
      <c r="I146" s="17"/>
      <c r="J146" s="72"/>
      <c r="K146"/>
      <c r="L146" s="546"/>
    </row>
    <row r="147" spans="1:123" ht="85.95" customHeight="1" x14ac:dyDescent="0.3">
      <c r="A147" s="100">
        <v>98</v>
      </c>
      <c r="B147" s="946" t="s">
        <v>1910</v>
      </c>
      <c r="C147" s="4" t="s">
        <v>726</v>
      </c>
      <c r="D147" s="26" t="s">
        <v>154</v>
      </c>
      <c r="E147" s="370" t="e">
        <f>INDEX('PY1 Data(H)'!$A$1:$CZ$265,MATCH('Unit Data from Audit Worksheet'!$A147,'PY1 Data(H)'!$A$1:$A$258,0),MATCH('Unit Data from Audit Worksheet'!$D$2,'PY1 Data(H)'!$A$1:$CZ$1,0))</f>
        <v>#N/A</v>
      </c>
      <c r="F147" s="791">
        <v>0</v>
      </c>
      <c r="G147" s="400">
        <f t="shared" si="3"/>
        <v>0</v>
      </c>
      <c r="H147" s="401"/>
      <c r="I147" s="17"/>
      <c r="J147" s="72"/>
      <c r="K147"/>
      <c r="L147" s="546"/>
    </row>
    <row r="148" spans="1:123" ht="84" customHeight="1" x14ac:dyDescent="0.3">
      <c r="A148" s="100">
        <v>363</v>
      </c>
      <c r="B148" s="4" t="s">
        <v>55</v>
      </c>
      <c r="C148" s="4" t="s">
        <v>726</v>
      </c>
      <c r="D148" s="21" t="s">
        <v>727</v>
      </c>
      <c r="E148" s="370" t="e">
        <f>INDEX('PY1 Data(H)'!$A$1:$CZ$265,MATCH('Unit Data from Audit Worksheet'!$A148,'PY1 Data(H)'!$A$1:$A$258,0),MATCH('Unit Data from Audit Worksheet'!$D$2,'PY1 Data(H)'!$A$1:$CZ$1,0))</f>
        <v>#N/A</v>
      </c>
      <c r="F148" s="791">
        <v>0</v>
      </c>
      <c r="G148" s="400">
        <f t="shared" si="3"/>
        <v>0</v>
      </c>
      <c r="H148" s="401"/>
      <c r="I148" s="17"/>
      <c r="J148" s="72"/>
      <c r="K148"/>
      <c r="L148" s="546"/>
    </row>
    <row r="149" spans="1:123" ht="76.95" customHeight="1" x14ac:dyDescent="0.3">
      <c r="A149" s="100">
        <v>364</v>
      </c>
      <c r="B149" s="946" t="s">
        <v>1913</v>
      </c>
      <c r="C149" s="4" t="s">
        <v>726</v>
      </c>
      <c r="D149" s="21" t="s">
        <v>728</v>
      </c>
      <c r="E149" s="370" t="e">
        <f>INDEX('PY1 Data(H)'!$A$1:$CZ$265,MATCH('Unit Data from Audit Worksheet'!$A149,'PY1 Data(H)'!$A$1:$A$258,0),MATCH('Unit Data from Audit Worksheet'!$D$2,'PY1 Data(H)'!$A$1:$CZ$1,0))</f>
        <v>#N/A</v>
      </c>
      <c r="F149" s="791">
        <v>0</v>
      </c>
      <c r="G149" s="400">
        <f t="shared" si="3"/>
        <v>0</v>
      </c>
      <c r="H149" s="401"/>
      <c r="I149" s="17"/>
      <c r="J149" s="72"/>
      <c r="K149"/>
      <c r="L149" s="546"/>
    </row>
    <row r="150" spans="1:123" ht="86.4" customHeight="1" x14ac:dyDescent="0.3">
      <c r="A150" s="100">
        <v>192</v>
      </c>
      <c r="B150" s="4" t="s">
        <v>57</v>
      </c>
      <c r="C150" s="4" t="s">
        <v>726</v>
      </c>
      <c r="D150" s="21" t="s">
        <v>729</v>
      </c>
      <c r="E150" s="370" t="e">
        <f>INDEX('PY1 Data(H)'!$A$1:$CZ$265,MATCH('Unit Data from Audit Worksheet'!$A150,'PY1 Data(H)'!$A$1:$A$258,0),MATCH('Unit Data from Audit Worksheet'!$D$2,'PY1 Data(H)'!$A$1:$CZ$1,0))</f>
        <v>#N/A</v>
      </c>
      <c r="F150" s="791">
        <v>0</v>
      </c>
      <c r="G150" s="400">
        <f t="shared" si="3"/>
        <v>0</v>
      </c>
      <c r="H150" s="401"/>
      <c r="I150" s="17"/>
      <c r="J150" s="72"/>
      <c r="K150"/>
      <c r="L150" s="546"/>
    </row>
    <row r="151" spans="1:123" ht="80.400000000000006" customHeight="1" x14ac:dyDescent="0.3">
      <c r="A151" s="100">
        <v>1054</v>
      </c>
      <c r="B151" s="372" t="s">
        <v>578</v>
      </c>
      <c r="C151" s="372" t="s">
        <v>1436</v>
      </c>
      <c r="D151" s="777" t="s">
        <v>1477</v>
      </c>
      <c r="E151" s="370" t="e">
        <f>INDEX('PY1 Data(H)'!$A$1:$CZ$265,MATCH('Unit Data from Audit Worksheet'!$A151,'PY1 Data(H)'!$A$1:$A$258,0),MATCH('Unit Data from Audit Worksheet'!$D$2,'PY1 Data(H)'!$A$1:$CZ$1,0))</f>
        <v>#N/A</v>
      </c>
      <c r="F151" s="791">
        <v>0</v>
      </c>
      <c r="G151" s="400"/>
      <c r="H151" s="401"/>
      <c r="I151" s="17"/>
      <c r="J151" s="72"/>
      <c r="K151" s="180"/>
      <c r="L151" s="546"/>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726</v>
      </c>
      <c r="D152" s="21" t="s">
        <v>730</v>
      </c>
      <c r="E152" s="370" t="e">
        <f>INDEX('PY1 Data(H)'!$A$1:$CZ$265,MATCH('Unit Data from Audit Worksheet'!$A152,'PY1 Data(H)'!$A$1:$A$258,0),MATCH('Unit Data from Audit Worksheet'!$D$2,'PY1 Data(H)'!$A$1:$CZ$1,0))</f>
        <v>#N/A</v>
      </c>
      <c r="F152" s="791">
        <v>0</v>
      </c>
      <c r="G152" s="400">
        <f t="shared" si="3"/>
        <v>0</v>
      </c>
      <c r="H152" s="401"/>
      <c r="I152" s="17"/>
      <c r="J152" s="72"/>
      <c r="K152"/>
      <c r="L152" s="546"/>
    </row>
    <row r="153" spans="1:123" ht="84.75" customHeight="1" x14ac:dyDescent="0.3">
      <c r="A153" s="100">
        <v>366</v>
      </c>
      <c r="B153" s="946" t="s">
        <v>1910</v>
      </c>
      <c r="C153" s="4" t="s">
        <v>726</v>
      </c>
      <c r="D153" s="21" t="s">
        <v>731</v>
      </c>
      <c r="E153" s="370" t="e">
        <f>INDEX('PY1 Data(H)'!$A$1:$CZ$265,MATCH('Unit Data from Audit Worksheet'!$A153,'PY1 Data(H)'!$A$1:$A$258,0),MATCH('Unit Data from Audit Worksheet'!$D$2,'PY1 Data(H)'!$A$1:$CZ$1,0))</f>
        <v>#N/A</v>
      </c>
      <c r="F153" s="791">
        <v>0</v>
      </c>
      <c r="G153" s="400">
        <f t="shared" si="3"/>
        <v>0</v>
      </c>
      <c r="H153" s="401"/>
      <c r="I153" s="17"/>
      <c r="J153" s="72"/>
      <c r="K153"/>
      <c r="L153" s="546"/>
    </row>
    <row r="154" spans="1:123" s="18" customFormat="1" ht="138" customHeight="1" x14ac:dyDescent="0.3">
      <c r="A154" s="100">
        <v>53</v>
      </c>
      <c r="B154" s="372" t="s">
        <v>65</v>
      </c>
      <c r="C154" s="372" t="s">
        <v>726</v>
      </c>
      <c r="D154" s="382" t="s">
        <v>732</v>
      </c>
      <c r="E154" s="370" t="e">
        <f>INDEX('PY1 Data(H)'!$A$1:$CZ$265,MATCH('Unit Data from Audit Worksheet'!$A154,'PY1 Data(H)'!$A$1:$A$258,0),MATCH('Unit Data from Audit Worksheet'!$D$2,'PY1 Data(H)'!$A$1:$CZ$1,0))</f>
        <v>#N/A</v>
      </c>
      <c r="F154" s="791">
        <v>0</v>
      </c>
      <c r="G154" s="400">
        <f>IF(H154=0,,"Error: Total revenues less total expenses do not equal total change in net position. Account number 93-94+363-364+192+365-366-53=0  The amount of the formula is in the cell to the right")</f>
        <v>0</v>
      </c>
      <c r="H154" s="403">
        <f>+F143-F146+F148-F149+F150+F152-F153-F154</f>
        <v>0</v>
      </c>
      <c r="I154" s="17"/>
      <c r="J154" s="72"/>
      <c r="K154"/>
      <c r="L154" s="546"/>
      <c r="M154"/>
      <c r="O154" s="185"/>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6" t="s">
        <v>55</v>
      </c>
      <c r="C155" s="372" t="s">
        <v>726</v>
      </c>
      <c r="D155" s="382" t="s">
        <v>733</v>
      </c>
      <c r="E155" s="370" t="e">
        <f>INDEX('PY1 Data(H)'!$A$1:$CZ$265,MATCH('Unit Data from Audit Worksheet'!$A155,'PY1 Data(H)'!$A$1:$A$258,0),MATCH('Unit Data from Audit Worksheet'!$D$2,'PY1 Data(H)'!$A$1:$CZ$1,0))</f>
        <v>#N/A</v>
      </c>
      <c r="F155" s="791">
        <v>0</v>
      </c>
      <c r="G155" s="750" t="e">
        <f>IF(F122-F154-F155=E122,,"Error: Beginning Balance does not agree with our records.  Acct #s (362-53-378)=prior year 362  The amount of the formula is in the cell to the right")</f>
        <v>#N/A</v>
      </c>
      <c r="H155" s="753" t="e">
        <f>+F122-F154-F155-E122</f>
        <v>#N/A</v>
      </c>
      <c r="I155" s="802" t="e">
        <f>IF(H155=0," ","If the out of balance is because prior years data is not populated in cell E122, disregard the error message. Do not include prior year's ending balance in cell F155.")</f>
        <v>#N/A</v>
      </c>
      <c r="J155" s="761"/>
      <c r="K155"/>
      <c r="L155" s="546"/>
      <c r="M155"/>
      <c r="O155" s="18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88" t="s">
        <v>424</v>
      </c>
      <c r="C156" s="702"/>
      <c r="D156" s="491"/>
      <c r="E156" s="492"/>
      <c r="F156" s="492"/>
      <c r="G156" s="473"/>
      <c r="H156" s="17"/>
      <c r="I156" s="17"/>
      <c r="J156" s="72"/>
      <c r="K156"/>
      <c r="L156" s="546"/>
    </row>
    <row r="157" spans="1:123" ht="13.5" customHeight="1" x14ac:dyDescent="0.3">
      <c r="A157" s="100"/>
      <c r="B157" s="734" t="s">
        <v>734</v>
      </c>
      <c r="C157" s="498"/>
      <c r="D157" s="466"/>
      <c r="E157" s="493"/>
      <c r="F157" s="493"/>
      <c r="G157" s="485"/>
      <c r="H157" s="17"/>
      <c r="I157" s="17"/>
      <c r="J157" s="72"/>
      <c r="K157"/>
      <c r="L157" s="546"/>
    </row>
    <row r="158" spans="1:123" ht="17.25" customHeight="1" x14ac:dyDescent="0.3">
      <c r="A158" s="100"/>
      <c r="B158" s="489" t="s">
        <v>735</v>
      </c>
      <c r="C158" s="498"/>
      <c r="D158" s="480"/>
      <c r="E158" s="494"/>
      <c r="F158" s="494"/>
      <c r="G158" s="487"/>
      <c r="H158" s="17"/>
      <c r="I158" s="17"/>
      <c r="J158" s="72"/>
      <c r="K158"/>
      <c r="L158" s="546"/>
    </row>
    <row r="159" spans="1:123" ht="13.5" customHeight="1" x14ac:dyDescent="0.3">
      <c r="A159" s="100"/>
      <c r="B159" s="489" t="s">
        <v>23</v>
      </c>
      <c r="C159" s="498"/>
      <c r="D159" s="480"/>
      <c r="E159" s="494"/>
      <c r="F159" s="494"/>
      <c r="G159" s="487"/>
      <c r="H159" s="17"/>
      <c r="I159" s="17"/>
      <c r="J159" s="72"/>
      <c r="K159"/>
      <c r="L159" s="546"/>
    </row>
    <row r="160" spans="1:123" ht="59.25" customHeight="1" x14ac:dyDescent="0.3">
      <c r="A160" s="100">
        <v>51</v>
      </c>
      <c r="B160" s="4" t="s">
        <v>283</v>
      </c>
      <c r="C160" s="461" t="s">
        <v>736</v>
      </c>
      <c r="D160" s="21" t="s">
        <v>737</v>
      </c>
      <c r="E160" s="370" t="e">
        <f>INDEX('PY1 Data(H)'!$A$1:$CZ$265,MATCH('Unit Data from Audit Worksheet'!$A160,'PY1 Data(H)'!$A$1:$A$258,0),MATCH('Unit Data from Audit Worksheet'!$D$2,'PY1 Data(H)'!$A$1:$CZ$1,0))</f>
        <v>#N/A</v>
      </c>
      <c r="F160" s="791">
        <v>0</v>
      </c>
      <c r="G160" s="406"/>
      <c r="H160" s="17"/>
      <c r="I160" s="17"/>
      <c r="J160" s="72"/>
      <c r="K160"/>
      <c r="L160" s="546"/>
    </row>
    <row r="161" spans="1:123" ht="45" customHeight="1" x14ac:dyDescent="0.3">
      <c r="A161" s="100">
        <v>332</v>
      </c>
      <c r="B161" s="4" t="s">
        <v>36</v>
      </c>
      <c r="C161" s="461" t="s">
        <v>736</v>
      </c>
      <c r="D161" s="21" t="s">
        <v>738</v>
      </c>
      <c r="E161" s="370" t="e">
        <f>INDEX('PY1 Data(H)'!$A$1:$CZ$265,MATCH('Unit Data from Audit Worksheet'!$A161,'PY1 Data(H)'!$A$1:$A$258,0),MATCH('Unit Data from Audit Worksheet'!$D$2,'PY1 Data(H)'!$A$1:$CZ$1,0))</f>
        <v>#N/A</v>
      </c>
      <c r="F161" s="791">
        <v>0</v>
      </c>
      <c r="G161" s="400">
        <f>IF(F161&lt;0,"Error: Enter as positive.",)</f>
        <v>0</v>
      </c>
      <c r="H161" s="17"/>
      <c r="I161" s="17"/>
      <c r="J161" s="72"/>
      <c r="K161"/>
      <c r="L161" s="546"/>
    </row>
    <row r="162" spans="1:123" ht="75" customHeight="1" x14ac:dyDescent="0.3">
      <c r="A162" s="100">
        <v>331</v>
      </c>
      <c r="B162" s="946" t="s">
        <v>1905</v>
      </c>
      <c r="C162" s="461" t="s">
        <v>736</v>
      </c>
      <c r="D162" s="21" t="s">
        <v>739</v>
      </c>
      <c r="E162" s="370" t="e">
        <f>INDEX('PY1 Data(H)'!$A$1:$CZ$265,MATCH('Unit Data from Audit Worksheet'!$A162,'PY1 Data(H)'!$A$1:$A$258,0),MATCH('Unit Data from Audit Worksheet'!$D$2,'PY1 Data(H)'!$A$1:$CZ$1,0))</f>
        <v>#N/A</v>
      </c>
      <c r="F162" s="791">
        <v>0</v>
      </c>
      <c r="G162" s="400">
        <f>IF(F162&lt;0,"Error: Enter as positive.",)</f>
        <v>0</v>
      </c>
      <c r="H162" s="17"/>
      <c r="I162" s="17"/>
      <c r="J162" s="72"/>
      <c r="K162"/>
      <c r="L162" s="546"/>
    </row>
    <row r="163" spans="1:123" ht="17.399999999999999" customHeight="1" x14ac:dyDescent="0.3">
      <c r="A163" s="100"/>
      <c r="B163" s="702" t="s">
        <v>6</v>
      </c>
      <c r="C163" s="498"/>
      <c r="D163" s="489"/>
      <c r="E163" s="493"/>
      <c r="F163" s="493"/>
      <c r="G163" s="495"/>
      <c r="H163" s="17"/>
      <c r="I163" s="17"/>
      <c r="J163" s="72"/>
      <c r="K163"/>
      <c r="L163" s="546"/>
    </row>
    <row r="164" spans="1:123" ht="48" customHeight="1" x14ac:dyDescent="0.3">
      <c r="A164" s="100">
        <v>55</v>
      </c>
      <c r="B164" s="4" t="s">
        <v>58</v>
      </c>
      <c r="C164" s="461" t="s">
        <v>740</v>
      </c>
      <c r="D164" s="21" t="s">
        <v>741</v>
      </c>
      <c r="E164" s="370" t="e">
        <f>INDEX('PY1 Data(H)'!$A$1:$CZ$265,MATCH('Unit Data from Audit Worksheet'!$A164,'PY1 Data(H)'!$A$1:$A$258,0),MATCH('Unit Data from Audit Worksheet'!$D$2,'PY1 Data(H)'!$A$1:$CZ$1,0))</f>
        <v>#N/A</v>
      </c>
      <c r="F164" s="791">
        <v>0</v>
      </c>
      <c r="G164" s="406"/>
      <c r="H164" s="17"/>
      <c r="I164" s="17"/>
      <c r="J164" s="72"/>
      <c r="K164"/>
      <c r="L164" s="546"/>
    </row>
    <row r="165" spans="1:123" ht="60" customHeight="1" x14ac:dyDescent="0.3">
      <c r="A165" s="100">
        <v>101</v>
      </c>
      <c r="B165" s="4" t="s">
        <v>64</v>
      </c>
      <c r="C165" s="461" t="s">
        <v>740</v>
      </c>
      <c r="D165" s="21" t="s">
        <v>742</v>
      </c>
      <c r="E165" s="370" t="e">
        <f>INDEX('PY1 Data(H)'!$A$1:$CZ$265,MATCH('Unit Data from Audit Worksheet'!$A165,'PY1 Data(H)'!$A$1:$A$258,0),MATCH('Unit Data from Audit Worksheet'!$D$2,'PY1 Data(H)'!$A$1:$CZ$1,0))</f>
        <v>#N/A</v>
      </c>
      <c r="F165" s="791">
        <v>0</v>
      </c>
      <c r="G165" s="400">
        <f>IF(F165&lt;0,"Error: Enter as positive.",)</f>
        <v>0</v>
      </c>
      <c r="H165" s="17"/>
      <c r="I165" s="17"/>
      <c r="J165" s="72"/>
      <c r="K165"/>
      <c r="L165" s="546"/>
    </row>
    <row r="166" spans="1:123" ht="71.25" customHeight="1" x14ac:dyDescent="0.3">
      <c r="A166" s="100">
        <v>100</v>
      </c>
      <c r="B166" s="946" t="s">
        <v>1910</v>
      </c>
      <c r="C166" s="461" t="s">
        <v>740</v>
      </c>
      <c r="D166" s="21" t="s">
        <v>739</v>
      </c>
      <c r="E166" s="370" t="e">
        <f>INDEX('PY1 Data(H)'!$A$1:$CZ$265,MATCH('Unit Data from Audit Worksheet'!$A166,'PY1 Data(H)'!$A$1:$A$258,0),MATCH('Unit Data from Audit Worksheet'!$D$2,'PY1 Data(H)'!$A$1:$CZ$1,0))</f>
        <v>#N/A</v>
      </c>
      <c r="F166" s="791">
        <v>0</v>
      </c>
      <c r="G166" s="400">
        <f>IF(F166&lt;0,"Error: Enter as positive.",)</f>
        <v>0</v>
      </c>
      <c r="H166" s="17"/>
      <c r="I166" s="17"/>
      <c r="J166" s="72"/>
      <c r="K166"/>
      <c r="L166" s="546"/>
    </row>
    <row r="167" spans="1:123" ht="31.2" customHeight="1" x14ac:dyDescent="0.3">
      <c r="A167" s="100"/>
      <c r="B167" s="488" t="s">
        <v>1574</v>
      </c>
      <c r="C167" s="702"/>
      <c r="D167" s="488"/>
      <c r="E167" s="488"/>
      <c r="F167" s="488"/>
      <c r="G167" s="488"/>
      <c r="H167" s="17"/>
      <c r="I167" s="17"/>
      <c r="J167" s="72"/>
      <c r="K167" s="180"/>
      <c r="L167" s="546"/>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71">
        <v>1060</v>
      </c>
      <c r="B168" s="372" t="s">
        <v>1447</v>
      </c>
      <c r="C168" s="408"/>
      <c r="D168" s="772" t="s">
        <v>1468</v>
      </c>
      <c r="E168" s="370" t="e">
        <f>INDEX('PY1 Data(H)'!$A$1:$CZ$265,MATCH('Unit Data from Audit Worksheet'!$A168,'PY1 Data(H)'!$A$1:$A$258,0),MATCH('Unit Data from Audit Worksheet'!$D$2,'PY1 Data(H)'!$A$1:$CZ$1,0))</f>
        <v>#N/A</v>
      </c>
      <c r="F168" s="791">
        <v>0</v>
      </c>
      <c r="G168" s="400"/>
      <c r="H168" s="17"/>
      <c r="I168" s="17"/>
      <c r="J168" s="72"/>
      <c r="K168" s="180"/>
      <c r="L168" s="546"/>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71">
        <v>1061</v>
      </c>
      <c r="B169" s="372" t="s">
        <v>1447</v>
      </c>
      <c r="C169" s="408"/>
      <c r="D169" s="772" t="s">
        <v>1469</v>
      </c>
      <c r="E169" s="370" t="e">
        <f>INDEX('PY1 Data(H)'!$A$1:$CZ$265,MATCH('Unit Data from Audit Worksheet'!$A169,'PY1 Data(H)'!$A$1:$A$258,0),MATCH('Unit Data from Audit Worksheet'!$D$2,'PY1 Data(H)'!$A$1:$CZ$1,0))</f>
        <v>#N/A</v>
      </c>
      <c r="F169" s="791">
        <v>0</v>
      </c>
      <c r="G169" s="400"/>
      <c r="H169" s="17"/>
      <c r="I169" s="17"/>
      <c r="J169" s="72"/>
      <c r="K169" s="180"/>
      <c r="L169" s="546"/>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71">
        <v>1062</v>
      </c>
      <c r="B170" s="372" t="s">
        <v>1447</v>
      </c>
      <c r="C170" s="408"/>
      <c r="D170" s="772" t="s">
        <v>1893</v>
      </c>
      <c r="E170" s="370" t="e">
        <f>INDEX('PY1 Data(H)'!$A$1:$CZ$265,MATCH('Unit Data from Audit Worksheet'!$A170,'PY1 Data(H)'!$A$1:$A$258,0),MATCH('Unit Data from Audit Worksheet'!$D$2,'PY1 Data(H)'!$A$1:$CZ$1,0))</f>
        <v>#N/A</v>
      </c>
      <c r="F170" s="183"/>
      <c r="G170" s="400"/>
      <c r="H170" s="17"/>
      <c r="I170" s="17"/>
      <c r="J170" s="72"/>
      <c r="K170" s="180"/>
      <c r="L170" s="546"/>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71">
        <v>1063</v>
      </c>
      <c r="B171" s="372" t="s">
        <v>1447</v>
      </c>
      <c r="C171" s="408"/>
      <c r="D171" s="772" t="s">
        <v>1894</v>
      </c>
      <c r="E171" s="370" t="e">
        <f>INDEX('PY1 Data(H)'!$A$1:$CZ$265,MATCH('Unit Data from Audit Worksheet'!$A171,'PY1 Data(H)'!$A$1:$A$258,0),MATCH('Unit Data from Audit Worksheet'!$D$2,'PY1 Data(H)'!$A$1:$CZ$1,0))</f>
        <v>#N/A</v>
      </c>
      <c r="F171" s="183"/>
      <c r="G171" s="400"/>
      <c r="H171" s="17"/>
      <c r="I171" s="17"/>
      <c r="J171" s="72"/>
      <c r="K171" s="180"/>
      <c r="L171" s="546"/>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02" t="s">
        <v>70</v>
      </c>
      <c r="C172" s="498"/>
      <c r="D172" s="466"/>
      <c r="E172" s="496"/>
      <c r="F172" s="496"/>
      <c r="G172" s="483"/>
      <c r="H172" s="17"/>
      <c r="I172" s="17"/>
      <c r="J172" s="72"/>
      <c r="K172"/>
      <c r="L172" s="546"/>
    </row>
    <row r="173" spans="1:123" ht="90.6" customHeight="1" x14ac:dyDescent="0.3">
      <c r="A173" s="100">
        <v>512</v>
      </c>
      <c r="B173" s="276"/>
      <c r="C173" s="461" t="s">
        <v>157</v>
      </c>
      <c r="D173" s="21" t="s">
        <v>743</v>
      </c>
      <c r="E173" s="370" t="e">
        <f>INDEX('PY1 Data(H)'!$A$1:$CZ$265,MATCH('Unit Data from Audit Worksheet'!$A173,'PY1 Data(H)'!$A$1:$A$258,0),MATCH('Unit Data from Audit Worksheet'!$D$2,'PY1 Data(H)'!$A$1:$CZ$1,0))</f>
        <v>#N/A</v>
      </c>
      <c r="F173" s="791">
        <v>0</v>
      </c>
      <c r="G173" s="400">
        <f>IF(F173&lt;0,"Error: Enter as positive.",)</f>
        <v>0</v>
      </c>
      <c r="H173" s="17"/>
      <c r="I173" s="17"/>
      <c r="J173" s="72"/>
      <c r="K173"/>
      <c r="L173" s="546"/>
    </row>
    <row r="174" spans="1:123" x14ac:dyDescent="0.3">
      <c r="A174" s="100"/>
      <c r="B174" s="488" t="s">
        <v>414</v>
      </c>
      <c r="C174" s="498"/>
      <c r="D174" s="491"/>
      <c r="E174" s="496"/>
      <c r="F174" s="496"/>
      <c r="G174" s="483"/>
      <c r="H174" s="401"/>
      <c r="I174" s="401"/>
      <c r="J174" s="402"/>
      <c r="K174"/>
      <c r="L174" s="546"/>
    </row>
    <row r="175" spans="1:123" ht="59.25" customHeight="1" x14ac:dyDescent="0.3">
      <c r="A175" s="188">
        <v>656</v>
      </c>
      <c r="B175" s="188"/>
      <c r="C175" s="188"/>
      <c r="D175" s="738" t="s">
        <v>1543</v>
      </c>
      <c r="E175" s="370" t="e">
        <f>INDEX('PY1 Data(H)'!$A$1:$CZ$265,MATCH('Unit Data from Audit Worksheet'!$A175,'PY1 Data(H)'!$A$1:$A$258,0),MATCH('Unit Data from Audit Worksheet'!$D$2,'PY1 Data(H)'!$A$1:$CZ$1,0))</f>
        <v>#N/A</v>
      </c>
      <c r="F175" s="791"/>
      <c r="G175" s="400"/>
      <c r="H175" s="17"/>
      <c r="I175" s="17"/>
      <c r="J175" s="72"/>
      <c r="K175"/>
      <c r="L175" s="546"/>
    </row>
    <row r="176" spans="1:123" x14ac:dyDescent="0.3">
      <c r="A176" s="100"/>
      <c r="B176" s="488" t="s">
        <v>286</v>
      </c>
      <c r="C176" s="498"/>
      <c r="D176" s="491"/>
      <c r="E176" s="496"/>
      <c r="F176" s="496"/>
      <c r="G176" s="483"/>
      <c r="H176" s="401"/>
      <c r="I176" s="401"/>
      <c r="J176" s="402"/>
      <c r="K176"/>
      <c r="L176" s="546"/>
    </row>
    <row r="177" spans="1:12" ht="106.95" customHeight="1" x14ac:dyDescent="0.3">
      <c r="A177" s="100">
        <v>535</v>
      </c>
      <c r="B177" s="372" t="s">
        <v>54</v>
      </c>
      <c r="C177" s="372" t="s">
        <v>158</v>
      </c>
      <c r="D177" s="21" t="s">
        <v>744</v>
      </c>
      <c r="E177" s="370" t="e">
        <f>INDEX('PY1 Data(H)'!$A$1:$CZ$265,MATCH('Unit Data from Audit Worksheet'!$A177,'PY1 Data(H)'!$A$1:$A$258,0),MATCH('Unit Data from Audit Worksheet'!$D$2,'PY1 Data(H)'!$A$1:$CZ$1,0))</f>
        <v>#N/A</v>
      </c>
      <c r="F177" s="791">
        <v>0</v>
      </c>
      <c r="G177" s="750" t="str">
        <f>IF(F177&lt;1,"Reminder: Please make sure you have entered all cash and investments from bond/Debt proceeds, if applicable.",)</f>
        <v>Reminder: Please make sure you have entered all cash and investments from bond/Debt proceeds, if applicable.</v>
      </c>
      <c r="H177" s="401"/>
      <c r="I177" s="401"/>
      <c r="J177" s="402"/>
      <c r="K177"/>
      <c r="L177" s="546"/>
    </row>
    <row r="178" spans="1:12" x14ac:dyDescent="0.3">
      <c r="A178" s="100"/>
      <c r="B178" s="488" t="s">
        <v>29</v>
      </c>
      <c r="C178" s="498"/>
      <c r="D178" s="467"/>
      <c r="E178" s="493"/>
      <c r="F178" s="493"/>
      <c r="G178" s="485"/>
      <c r="H178" s="17"/>
      <c r="I178" s="17"/>
      <c r="J178" s="72"/>
      <c r="K178"/>
      <c r="L178" s="546"/>
    </row>
    <row r="179" spans="1:12" x14ac:dyDescent="0.3">
      <c r="A179" s="100"/>
      <c r="B179" s="276"/>
      <c r="C179" s="276"/>
      <c r="D179" s="414" t="s">
        <v>2</v>
      </c>
      <c r="E179" s="370"/>
      <c r="F179" s="154"/>
      <c r="G179" s="406"/>
      <c r="H179" s="17"/>
      <c r="I179" s="17"/>
      <c r="J179" s="72"/>
      <c r="K179"/>
      <c r="L179" s="546"/>
    </row>
    <row r="180" spans="1:12" ht="36" customHeight="1" x14ac:dyDescent="0.3">
      <c r="A180" s="100"/>
      <c r="B180" s="276"/>
      <c r="C180" s="276"/>
      <c r="D180" s="371" t="s">
        <v>745</v>
      </c>
      <c r="E180" s="370"/>
      <c r="F180" s="154"/>
      <c r="G180" s="406"/>
      <c r="H180" s="17"/>
      <c r="I180" s="17"/>
      <c r="J180" s="72"/>
      <c r="K180"/>
      <c r="L180" s="546"/>
    </row>
    <row r="181" spans="1:12" ht="51" customHeight="1" x14ac:dyDescent="0.3">
      <c r="A181" s="100">
        <v>334</v>
      </c>
      <c r="B181" s="4" t="s">
        <v>55</v>
      </c>
      <c r="C181" s="4" t="s">
        <v>165</v>
      </c>
      <c r="D181" s="21" t="s">
        <v>746</v>
      </c>
      <c r="E181" s="370" t="e">
        <f>INDEX('PY1 Data(H)'!$A$1:$CZ$265,MATCH('Unit Data from Audit Worksheet'!$A181,'PY1 Data(H)'!$A$1:$A$258,0),MATCH('Unit Data from Audit Worksheet'!$D$2,'PY1 Data(H)'!$A$1:$CZ$1,0))</f>
        <v>#N/A</v>
      </c>
      <c r="F181" s="791">
        <v>0</v>
      </c>
      <c r="G181" s="406"/>
      <c r="H181" s="17"/>
      <c r="I181" s="17"/>
      <c r="J181" s="72"/>
      <c r="K181"/>
      <c r="L181" s="546"/>
    </row>
    <row r="182" spans="1:12" ht="45.6" customHeight="1" x14ac:dyDescent="0.3">
      <c r="A182" s="100">
        <v>373</v>
      </c>
      <c r="B182" s="4" t="s">
        <v>55</v>
      </c>
      <c r="C182" s="4" t="s">
        <v>165</v>
      </c>
      <c r="D182" s="26" t="s">
        <v>164</v>
      </c>
      <c r="E182" s="370" t="e">
        <f>INDEX('PY1 Data(H)'!$A$1:$CZ$265,MATCH('Unit Data from Audit Worksheet'!$A182,'PY1 Data(H)'!$A$1:$A$258,0),MATCH('Unit Data from Audit Worksheet'!$D$2,'PY1 Data(H)'!$A$1:$CZ$1,0))</f>
        <v>#N/A</v>
      </c>
      <c r="F182" s="791">
        <v>0</v>
      </c>
      <c r="G182" s="400">
        <f>IF(F182&lt;0,"Error: Enter as positive.",)</f>
        <v>0</v>
      </c>
      <c r="H182" s="17"/>
      <c r="I182" s="17"/>
      <c r="J182" s="72"/>
      <c r="K182"/>
      <c r="L182" s="546"/>
    </row>
    <row r="183" spans="1:12" ht="92.25" customHeight="1" x14ac:dyDescent="0.3">
      <c r="A183" s="100">
        <v>987</v>
      </c>
      <c r="B183" s="372" t="s">
        <v>1953</v>
      </c>
      <c r="C183" s="372"/>
      <c r="D183" s="21" t="s">
        <v>634</v>
      </c>
      <c r="E183" s="370" t="e">
        <f>INDEX('PY1 Data(H)'!$A$1:$CZ$265,MATCH('Unit Data from Audit Worksheet'!$A183,'PY1 Data(H)'!$A$1:$A$258,0),MATCH('Unit Data from Audit Worksheet'!$D$2,'PY1 Data(H)'!$A$1:$CZ$1,0))</f>
        <v>#N/A</v>
      </c>
      <c r="F183" s="791">
        <v>0</v>
      </c>
      <c r="G183" s="415" t="str">
        <f>IF(F183="","If this question is not applicable please place a zero in the cell to the left","")</f>
        <v/>
      </c>
      <c r="H183" s="383"/>
      <c r="I183" s="17"/>
      <c r="J183" s="72"/>
      <c r="K183"/>
      <c r="L183" s="546"/>
    </row>
    <row r="184" spans="1:12" ht="66.75" customHeight="1" x14ac:dyDescent="0.3">
      <c r="A184" s="100">
        <v>988</v>
      </c>
      <c r="B184" s="372" t="s">
        <v>1953</v>
      </c>
      <c r="C184" s="372"/>
      <c r="D184" s="21" t="s">
        <v>633</v>
      </c>
      <c r="E184" s="370" t="e">
        <f>INDEX('PY1 Data(H)'!$A$1:$CZ$265,MATCH('Unit Data from Audit Worksheet'!$A184,'PY1 Data(H)'!$A$1:$A$258,0),MATCH('Unit Data from Audit Worksheet'!$D$2,'PY1 Data(H)'!$A$1:$CZ$1,0))</f>
        <v>#N/A</v>
      </c>
      <c r="F184" s="184"/>
      <c r="G184" s="400"/>
      <c r="H184" s="17"/>
      <c r="I184" s="17"/>
      <c r="J184" s="72"/>
      <c r="K184"/>
      <c r="L184" s="546"/>
    </row>
    <row r="185" spans="1:12" ht="90" customHeight="1" x14ac:dyDescent="0.3">
      <c r="A185" s="100">
        <v>989</v>
      </c>
      <c r="B185" s="372" t="s">
        <v>1953</v>
      </c>
      <c r="C185" s="372"/>
      <c r="D185" s="21" t="s">
        <v>790</v>
      </c>
      <c r="E185" s="370" t="e">
        <f>INDEX('PY1 Data(H)'!$A$1:$CZ$265,MATCH('Unit Data from Audit Worksheet'!$A185,'PY1 Data(H)'!$A$1:$A$258,0),MATCH('Unit Data from Audit Worksheet'!$D$2,'PY1 Data(H)'!$A$1:$CZ$1,0))</f>
        <v>#N/A</v>
      </c>
      <c r="F185" s="184"/>
      <c r="G185" s="400"/>
      <c r="H185" s="17"/>
      <c r="I185" s="17"/>
      <c r="J185" s="72"/>
      <c r="K185"/>
      <c r="L185" s="546"/>
    </row>
    <row r="186" spans="1:12" ht="72" x14ac:dyDescent="0.3">
      <c r="A186" s="100"/>
      <c r="B186" s="498"/>
      <c r="C186" s="498"/>
      <c r="D186" s="499" t="s">
        <v>1567</v>
      </c>
      <c r="E186" s="501"/>
      <c r="F186" s="501"/>
      <c r="G186" s="502"/>
      <c r="H186" s="17"/>
      <c r="I186" s="17"/>
      <c r="J186" s="72"/>
      <c r="K186"/>
      <c r="L186" s="546"/>
    </row>
    <row r="187" spans="1:12" ht="23.4" customHeight="1" x14ac:dyDescent="0.3">
      <c r="A187" s="100"/>
      <c r="B187" s="276"/>
      <c r="C187" s="276"/>
      <c r="D187" s="416" t="s">
        <v>1961</v>
      </c>
      <c r="E187" s="370"/>
      <c r="F187" s="242"/>
      <c r="G187" s="406"/>
      <c r="H187" s="17"/>
      <c r="I187" s="17"/>
      <c r="J187" s="72"/>
      <c r="K187"/>
      <c r="L187" s="546"/>
    </row>
    <row r="188" spans="1:12" ht="48.75" customHeight="1" x14ac:dyDescent="0.3">
      <c r="A188" s="100"/>
      <c r="B188" s="276"/>
      <c r="C188" s="276"/>
      <c r="D188" s="21" t="s">
        <v>747</v>
      </c>
      <c r="E188" s="370"/>
      <c r="F188" s="242"/>
      <c r="G188" s="406"/>
      <c r="H188" s="17"/>
      <c r="I188" s="17"/>
      <c r="J188" s="72"/>
      <c r="K188"/>
      <c r="L188" s="546"/>
    </row>
    <row r="189" spans="1:12" ht="51.75" customHeight="1" x14ac:dyDescent="0.3">
      <c r="A189" s="100">
        <v>327</v>
      </c>
      <c r="B189" s="372" t="s">
        <v>36</v>
      </c>
      <c r="C189" s="372" t="s">
        <v>166</v>
      </c>
      <c r="D189" s="417" t="s">
        <v>748</v>
      </c>
      <c r="E189" s="370" t="e">
        <f>INDEX('PY1 Data(H)'!$A$1:$CZ$265,MATCH('Unit Data from Audit Worksheet'!$A189,'PY1 Data(H)'!$A$1:$A$258,0),MATCH('Unit Data from Audit Worksheet'!$D$2,'PY1 Data(H)'!$A$1:$CZ$1,0))</f>
        <v>#N/A</v>
      </c>
      <c r="F189" s="791">
        <v>0</v>
      </c>
      <c r="G189" s="406"/>
      <c r="H189" s="17"/>
      <c r="I189" s="401"/>
      <c r="J189" s="402"/>
      <c r="K189"/>
      <c r="L189" s="546"/>
    </row>
    <row r="190" spans="1:12" ht="51.75" customHeight="1" x14ac:dyDescent="0.3">
      <c r="A190" s="100">
        <v>328</v>
      </c>
      <c r="B190" s="372" t="s">
        <v>36</v>
      </c>
      <c r="C190" s="372" t="s">
        <v>166</v>
      </c>
      <c r="D190" s="27" t="s">
        <v>7</v>
      </c>
      <c r="E190" s="370" t="e">
        <f>INDEX('PY1 Data(H)'!$A$1:$CZ$265,MATCH('Unit Data from Audit Worksheet'!$A190,'PY1 Data(H)'!$A$1:$A$258,0),MATCH('Unit Data from Audit Worksheet'!$D$2,'PY1 Data(H)'!$A$1:$CZ$1,0))</f>
        <v>#N/A</v>
      </c>
      <c r="F190" s="791">
        <v>0</v>
      </c>
      <c r="G190" s="406"/>
      <c r="H190" s="17"/>
      <c r="I190" s="401"/>
      <c r="J190" s="402"/>
      <c r="K190"/>
      <c r="L190" s="546"/>
    </row>
    <row r="191" spans="1:12" ht="42" customHeight="1" x14ac:dyDescent="0.3">
      <c r="A191" s="100"/>
      <c r="B191" s="276"/>
      <c r="C191" s="276"/>
      <c r="D191" s="28" t="s">
        <v>749</v>
      </c>
      <c r="E191" s="93" t="e">
        <f>E189+E190</f>
        <v>#N/A</v>
      </c>
      <c r="F191" s="93">
        <f>SUM(F189:F190)</f>
        <v>0</v>
      </c>
      <c r="G191" s="406"/>
      <c r="H191" s="17"/>
      <c r="I191" s="17"/>
      <c r="J191" s="72"/>
      <c r="K191"/>
      <c r="L191" s="546"/>
    </row>
    <row r="192" spans="1:12" ht="28.8" x14ac:dyDescent="0.3">
      <c r="A192" s="100"/>
      <c r="B192" s="276"/>
      <c r="C192" s="276"/>
      <c r="D192" s="21" t="s">
        <v>750</v>
      </c>
      <c r="E192" s="1"/>
      <c r="F192" s="242"/>
      <c r="G192" s="406"/>
      <c r="H192" s="17"/>
      <c r="I192" s="17"/>
      <c r="J192" s="72"/>
      <c r="K192"/>
      <c r="L192" s="546"/>
    </row>
    <row r="193" spans="1:20" ht="24" customHeight="1" x14ac:dyDescent="0.3">
      <c r="A193" s="100"/>
      <c r="B193" s="276"/>
      <c r="C193" s="276"/>
      <c r="D193" s="25" t="s">
        <v>9</v>
      </c>
      <c r="F193" s="418"/>
      <c r="G193" s="406"/>
      <c r="H193" s="17"/>
      <c r="I193" s="17"/>
      <c r="J193" s="72"/>
      <c r="K193"/>
      <c r="L193" s="546"/>
    </row>
    <row r="194" spans="1:20" ht="72" customHeight="1" x14ac:dyDescent="0.3">
      <c r="A194" s="100">
        <v>515</v>
      </c>
      <c r="B194" s="946" t="s">
        <v>1905</v>
      </c>
      <c r="C194" s="372" t="s">
        <v>167</v>
      </c>
      <c r="D194" s="29" t="s">
        <v>3</v>
      </c>
      <c r="E194" s="370" t="e">
        <f>INDEX('PY1 Data(H)'!$A$1:$CZ$265,MATCH('Unit Data from Audit Worksheet'!$A194,'PY1 Data(H)'!$A$1:$A$258,0),MATCH('Unit Data from Audit Worksheet'!$D$2,'PY1 Data(H)'!$A$1:$CZ$1,0))</f>
        <v>#N/A</v>
      </c>
      <c r="F194" s="791">
        <v>0</v>
      </c>
      <c r="G194" s="400"/>
      <c r="H194" s="17"/>
      <c r="I194" s="17"/>
      <c r="J194" s="72"/>
      <c r="K194"/>
      <c r="L194" s="546"/>
    </row>
    <row r="195" spans="1:20" ht="75.599999999999994" customHeight="1" x14ac:dyDescent="0.3">
      <c r="A195" s="100">
        <v>516</v>
      </c>
      <c r="B195" s="946" t="s">
        <v>1905</v>
      </c>
      <c r="C195" s="372" t="s">
        <v>167</v>
      </c>
      <c r="D195" s="29" t="s">
        <v>4</v>
      </c>
      <c r="E195" s="370" t="e">
        <f>INDEX('PY1 Data(H)'!$A$1:$CZ$265,MATCH('Unit Data from Audit Worksheet'!$A195,'PY1 Data(H)'!$A$1:$A$258,0),MATCH('Unit Data from Audit Worksheet'!$D$2,'PY1 Data(H)'!$A$1:$CZ$1,0))</f>
        <v>#N/A</v>
      </c>
      <c r="F195" s="791">
        <v>0</v>
      </c>
      <c r="G195" s="400"/>
      <c r="H195" s="17"/>
      <c r="I195" s="17"/>
      <c r="J195" s="72"/>
      <c r="K195"/>
      <c r="L195" s="546"/>
    </row>
    <row r="196" spans="1:20" ht="73.2" customHeight="1" x14ac:dyDescent="0.3">
      <c r="A196" s="100">
        <v>517</v>
      </c>
      <c r="B196" s="946" t="s">
        <v>1905</v>
      </c>
      <c r="C196" s="372" t="s">
        <v>167</v>
      </c>
      <c r="D196" s="29" t="s">
        <v>5</v>
      </c>
      <c r="E196" s="370" t="e">
        <f>INDEX('PY1 Data(H)'!$A$1:$CZ$265,MATCH('Unit Data from Audit Worksheet'!$A196,'PY1 Data(H)'!$A$1:$A$258,0),MATCH('Unit Data from Audit Worksheet'!$D$2,'PY1 Data(H)'!$A$1:$CZ$1,0))</f>
        <v>#N/A</v>
      </c>
      <c r="F196" s="791">
        <v>0</v>
      </c>
      <c r="G196" s="400"/>
      <c r="H196" s="17"/>
      <c r="I196" s="17"/>
      <c r="J196" s="72"/>
      <c r="K196"/>
      <c r="L196" s="546"/>
    </row>
    <row r="197" spans="1:20" ht="78" customHeight="1" x14ac:dyDescent="0.3">
      <c r="A197" s="100">
        <v>518</v>
      </c>
      <c r="B197" s="946" t="s">
        <v>1905</v>
      </c>
      <c r="C197" s="372" t="s">
        <v>167</v>
      </c>
      <c r="D197" s="29" t="s">
        <v>38</v>
      </c>
      <c r="E197" s="370" t="e">
        <f>INDEX('PY1 Data(H)'!$A$1:$CZ$265,MATCH('Unit Data from Audit Worksheet'!$A197,'PY1 Data(H)'!$A$1:$A$258,0),MATCH('Unit Data from Audit Worksheet'!$D$2,'PY1 Data(H)'!$A$1:$CZ$1,0))</f>
        <v>#N/A</v>
      </c>
      <c r="F197" s="791">
        <v>0</v>
      </c>
      <c r="G197" s="400"/>
      <c r="H197" s="17"/>
      <c r="I197" s="17"/>
      <c r="J197" s="72"/>
      <c r="K197"/>
      <c r="L197" s="546"/>
    </row>
    <row r="198" spans="1:20" ht="51" customHeight="1" x14ac:dyDescent="0.3">
      <c r="A198" s="705"/>
      <c r="B198" s="276"/>
      <c r="C198" s="276"/>
      <c r="D198" s="419" t="s">
        <v>751</v>
      </c>
      <c r="E198" s="93" t="e">
        <f>E194+E195+E196+E197</f>
        <v>#N/A</v>
      </c>
      <c r="F198" s="93">
        <f>SUM(F194:F197)</f>
        <v>0</v>
      </c>
      <c r="G198" s="406"/>
      <c r="H198" s="17"/>
      <c r="I198" s="17"/>
      <c r="J198" s="72"/>
      <c r="K198"/>
      <c r="L198" s="546"/>
    </row>
    <row r="199" spans="1:20" ht="30.75" customHeight="1" x14ac:dyDescent="0.3">
      <c r="A199" s="100"/>
      <c r="B199" s="276"/>
      <c r="C199" s="276"/>
      <c r="D199" s="25" t="s">
        <v>47</v>
      </c>
      <c r="E199" s="1"/>
      <c r="F199" s="242"/>
      <c r="G199" s="406"/>
      <c r="H199" s="17"/>
      <c r="I199" s="17"/>
      <c r="J199" s="72"/>
      <c r="K199"/>
      <c r="L199" s="546"/>
    </row>
    <row r="200" spans="1:20" ht="63" customHeight="1" x14ac:dyDescent="0.3">
      <c r="A200" s="100">
        <v>519</v>
      </c>
      <c r="B200" s="372" t="s">
        <v>36</v>
      </c>
      <c r="C200" s="372" t="s">
        <v>168</v>
      </c>
      <c r="D200" s="29" t="s">
        <v>14</v>
      </c>
      <c r="E200" s="370" t="e">
        <f>INDEX('PY1 Data(H)'!$A$1:$CZ$265,MATCH('Unit Data from Audit Worksheet'!$A200,'PY1 Data(H)'!$A$1:$A$258,0),MATCH('Unit Data from Audit Worksheet'!$D$2,'PY1 Data(H)'!$A$1:$CZ$1,0))</f>
        <v>#N/A</v>
      </c>
      <c r="F200" s="791">
        <v>0</v>
      </c>
      <c r="G200" s="400">
        <f>IF(F200&lt;0,"Error: Enter as positive.",)</f>
        <v>0</v>
      </c>
      <c r="H200" s="17"/>
      <c r="I200" s="17"/>
      <c r="J200" s="72"/>
      <c r="K200"/>
      <c r="L200" s="546"/>
    </row>
    <row r="201" spans="1:20" ht="69.75" customHeight="1" x14ac:dyDescent="0.3">
      <c r="A201" s="100">
        <v>520</v>
      </c>
      <c r="B201" s="372" t="s">
        <v>36</v>
      </c>
      <c r="C201" s="372" t="s">
        <v>168</v>
      </c>
      <c r="D201" s="29" t="s">
        <v>16</v>
      </c>
      <c r="E201" s="370" t="e">
        <f>INDEX('PY1 Data(H)'!$A$1:$CZ$265,MATCH('Unit Data from Audit Worksheet'!$A201,'PY1 Data(H)'!$A$1:$A$258,0),MATCH('Unit Data from Audit Worksheet'!$D$2,'PY1 Data(H)'!$A$1:$CZ$1,0))</f>
        <v>#N/A</v>
      </c>
      <c r="F201" s="791">
        <v>0</v>
      </c>
      <c r="G201" s="400">
        <f>IF(F201&lt;0,"Error: Enter as positive.",)</f>
        <v>0</v>
      </c>
      <c r="H201" s="17"/>
      <c r="I201" s="17"/>
      <c r="J201" s="72"/>
      <c r="K201"/>
      <c r="L201" s="546"/>
    </row>
    <row r="202" spans="1:20" ht="72" customHeight="1" x14ac:dyDescent="0.3">
      <c r="A202" s="100">
        <v>521</v>
      </c>
      <c r="B202" s="372" t="s">
        <v>36</v>
      </c>
      <c r="C202" s="372" t="s">
        <v>168</v>
      </c>
      <c r="D202" s="29" t="s">
        <v>18</v>
      </c>
      <c r="E202" s="370" t="e">
        <f>INDEX('PY1 Data(H)'!$A$1:$CZ$265,MATCH('Unit Data from Audit Worksheet'!$A202,'PY1 Data(H)'!$A$1:$A$258,0),MATCH('Unit Data from Audit Worksheet'!$D$2,'PY1 Data(H)'!$A$1:$CZ$1,0))</f>
        <v>#N/A</v>
      </c>
      <c r="F202" s="791">
        <v>0</v>
      </c>
      <c r="G202" s="400">
        <f>IF(F202&lt;0,"Error: Enter as positive.",)</f>
        <v>0</v>
      </c>
      <c r="H202" s="17"/>
      <c r="I202" s="17"/>
      <c r="J202" s="72"/>
      <c r="K202"/>
      <c r="L202" s="546"/>
    </row>
    <row r="203" spans="1:20" ht="74.25" customHeight="1" x14ac:dyDescent="0.3">
      <c r="A203" s="100">
        <v>522</v>
      </c>
      <c r="B203" s="372" t="s">
        <v>36</v>
      </c>
      <c r="C203" s="372" t="s">
        <v>168</v>
      </c>
      <c r="D203" s="29" t="s">
        <v>39</v>
      </c>
      <c r="E203" s="370" t="e">
        <f>INDEX('PY1 Data(H)'!$A$1:$CZ$265,MATCH('Unit Data from Audit Worksheet'!$A203,'PY1 Data(H)'!$A$1:$A$258,0),MATCH('Unit Data from Audit Worksheet'!$D$2,'PY1 Data(H)'!$A$1:$CZ$1,0))</f>
        <v>#N/A</v>
      </c>
      <c r="F203" s="791">
        <v>0</v>
      </c>
      <c r="G203" s="400">
        <f>IF(F203&lt;0,"Error: Enter as positive.",)</f>
        <v>0</v>
      </c>
      <c r="H203" s="17"/>
      <c r="I203" s="17"/>
      <c r="J203" s="72"/>
      <c r="K203"/>
      <c r="L203" s="546"/>
    </row>
    <row r="204" spans="1:20" ht="31.5" customHeight="1" x14ac:dyDescent="0.3">
      <c r="A204" s="703"/>
      <c r="B204" s="276"/>
      <c r="C204" s="276"/>
      <c r="D204" s="420" t="s">
        <v>33</v>
      </c>
      <c r="E204" s="93" t="e">
        <f>E200+E201+E202+E203</f>
        <v>#N/A</v>
      </c>
      <c r="F204" s="93">
        <f>SUM(F200:F203)</f>
        <v>0</v>
      </c>
      <c r="G204" s="123"/>
      <c r="H204" s="17"/>
      <c r="I204" s="17"/>
      <c r="J204" s="72"/>
      <c r="K204"/>
      <c r="L204" s="546"/>
    </row>
    <row r="205" spans="1:20" ht="26.25" customHeight="1" x14ac:dyDescent="0.3">
      <c r="A205" s="703"/>
      <c r="B205" s="276"/>
      <c r="C205" s="276"/>
      <c r="D205" s="25" t="s">
        <v>31</v>
      </c>
      <c r="E205" s="6"/>
      <c r="F205" s="421"/>
      <c r="G205" s="123"/>
      <c r="H205" s="17"/>
      <c r="I205" s="523"/>
      <c r="J205"/>
      <c r="K205"/>
      <c r="L205"/>
      <c r="N205"/>
      <c r="O205"/>
      <c r="P205"/>
      <c r="Q205"/>
      <c r="R205"/>
      <c r="S205"/>
      <c r="T205"/>
    </row>
    <row r="206" spans="1:20" ht="89.25" customHeight="1" x14ac:dyDescent="0.3">
      <c r="A206" s="100">
        <v>523</v>
      </c>
      <c r="B206" s="946" t="s">
        <v>1905</v>
      </c>
      <c r="C206" s="372" t="s">
        <v>169</v>
      </c>
      <c r="D206" s="29" t="s">
        <v>15</v>
      </c>
      <c r="E206" s="370" t="e">
        <f>INDEX('PY1 Data(H)'!$A$1:$CZ$265,MATCH('Unit Data from Audit Worksheet'!$A206,'PY1 Data(H)'!$A$1:$A$258,0),MATCH('Unit Data from Audit Worksheet'!$D$2,'PY1 Data(H)'!$A$1:$CZ$1,0))</f>
        <v>#N/A</v>
      </c>
      <c r="F206" s="791">
        <v>0</v>
      </c>
      <c r="G206" s="400">
        <f>IF(F206&lt;0,"Error: Enter as positive.",)</f>
        <v>0</v>
      </c>
      <c r="H206" s="17"/>
      <c r="I206" s="523"/>
      <c r="J206"/>
      <c r="K206"/>
      <c r="L206"/>
      <c r="N206"/>
      <c r="O206"/>
      <c r="P206"/>
      <c r="Q206"/>
      <c r="R206"/>
      <c r="S206"/>
      <c r="T206"/>
    </row>
    <row r="207" spans="1:20" ht="75" customHeight="1" x14ac:dyDescent="0.3">
      <c r="A207" s="100">
        <v>524</v>
      </c>
      <c r="B207" s="946" t="s">
        <v>1905</v>
      </c>
      <c r="C207" s="372" t="s">
        <v>169</v>
      </c>
      <c r="D207" s="29" t="s">
        <v>17</v>
      </c>
      <c r="E207" s="370" t="e">
        <f>INDEX('PY1 Data(H)'!$A$1:$CZ$265,MATCH('Unit Data from Audit Worksheet'!$A207,'PY1 Data(H)'!$A$1:$A$258,0),MATCH('Unit Data from Audit Worksheet'!$D$2,'PY1 Data(H)'!$A$1:$CZ$1,0))</f>
        <v>#N/A</v>
      </c>
      <c r="F207" s="791">
        <v>0</v>
      </c>
      <c r="G207" s="400">
        <f>IF(F207&lt;0,"Error: Enter as positive.",)</f>
        <v>0</v>
      </c>
      <c r="H207" s="17"/>
      <c r="I207" s="523"/>
      <c r="J207"/>
      <c r="K207"/>
      <c r="L207"/>
      <c r="N207"/>
      <c r="O207"/>
      <c r="P207"/>
      <c r="Q207"/>
      <c r="R207"/>
      <c r="S207"/>
      <c r="T207"/>
    </row>
    <row r="208" spans="1:20" ht="75" customHeight="1" x14ac:dyDescent="0.3">
      <c r="A208" s="100">
        <v>525</v>
      </c>
      <c r="B208" s="946" t="s">
        <v>1905</v>
      </c>
      <c r="C208" s="372" t="s">
        <v>169</v>
      </c>
      <c r="D208" s="29" t="s">
        <v>19</v>
      </c>
      <c r="E208" s="370" t="e">
        <f>INDEX('PY1 Data(H)'!$A$1:$CZ$265,MATCH('Unit Data from Audit Worksheet'!$A208,'PY1 Data(H)'!$A$1:$A$258,0),MATCH('Unit Data from Audit Worksheet'!$D$2,'PY1 Data(H)'!$A$1:$CZ$1,0))</f>
        <v>#N/A</v>
      </c>
      <c r="F208" s="791">
        <v>0</v>
      </c>
      <c r="G208" s="400">
        <f>IF(F208&lt;0,"Error: Enter as positive.",)</f>
        <v>0</v>
      </c>
      <c r="H208" s="17"/>
      <c r="I208" s="523"/>
      <c r="J208"/>
      <c r="K208"/>
      <c r="L208"/>
      <c r="N208"/>
      <c r="O208"/>
      <c r="P208"/>
      <c r="Q208"/>
      <c r="R208"/>
      <c r="S208"/>
      <c r="T208"/>
    </row>
    <row r="209" spans="1:1881" ht="76.5" customHeight="1" x14ac:dyDescent="0.3">
      <c r="A209" s="100">
        <v>526</v>
      </c>
      <c r="B209" s="946" t="s">
        <v>1905</v>
      </c>
      <c r="C209" s="372" t="s">
        <v>169</v>
      </c>
      <c r="D209" s="29" t="s">
        <v>40</v>
      </c>
      <c r="E209" s="370" t="e">
        <f>INDEX('PY1 Data(H)'!$A$1:$CZ$265,MATCH('Unit Data from Audit Worksheet'!$A209,'PY1 Data(H)'!$A$1:$A$258,0),MATCH('Unit Data from Audit Worksheet'!$D$2,'PY1 Data(H)'!$A$1:$CZ$1,0))</f>
        <v>#N/A</v>
      </c>
      <c r="F209" s="791">
        <v>0</v>
      </c>
      <c r="G209" s="400">
        <f>IF(F209&lt;0,"Error: Enter as positive.",)</f>
        <v>0</v>
      </c>
      <c r="H209" s="17"/>
      <c r="I209" s="523"/>
      <c r="J209"/>
      <c r="K209"/>
      <c r="L209"/>
      <c r="N209"/>
      <c r="O209"/>
      <c r="P209"/>
      <c r="Q209"/>
      <c r="R209"/>
      <c r="S209"/>
      <c r="T209"/>
    </row>
    <row r="210" spans="1:1881" ht="24.75" customHeight="1" x14ac:dyDescent="0.3">
      <c r="A210" s="100"/>
      <c r="B210" s="462"/>
      <c r="C210" s="462"/>
      <c r="D210" s="420" t="s">
        <v>32</v>
      </c>
      <c r="E210" s="93" t="e">
        <f>E206+E207+E208+E209</f>
        <v>#N/A</v>
      </c>
      <c r="F210" s="93">
        <f>SUM(F206:F209)</f>
        <v>0</v>
      </c>
      <c r="G210" s="406"/>
      <c r="H210" s="17"/>
      <c r="I210" s="17"/>
      <c r="J210" s="72"/>
      <c r="K210"/>
      <c r="L210" s="546"/>
    </row>
    <row r="211" spans="1:1881" ht="61.5" customHeight="1" x14ac:dyDescent="0.3">
      <c r="A211" s="100"/>
      <c r="B211" s="462"/>
      <c r="C211" s="462"/>
      <c r="D211" s="422" t="s">
        <v>34</v>
      </c>
      <c r="E211" s="93" t="e">
        <f>E191+E198-E210</f>
        <v>#N/A</v>
      </c>
      <c r="F211" s="93">
        <f>F191+F198-F210</f>
        <v>0</v>
      </c>
      <c r="G211" s="406"/>
      <c r="H211" s="17"/>
      <c r="I211" s="17"/>
      <c r="J211" s="72"/>
      <c r="K211"/>
      <c r="L211" s="546"/>
    </row>
    <row r="212" spans="1:1881" ht="21.6" customHeight="1" x14ac:dyDescent="0.3">
      <c r="A212" s="100"/>
      <c r="B212" s="276"/>
      <c r="C212" s="276"/>
      <c r="D212" s="414"/>
      <c r="E212" s="1"/>
      <c r="F212" s="242"/>
      <c r="G212" s="406"/>
      <c r="H212" s="17"/>
      <c r="I212" s="17"/>
      <c r="J212" s="72"/>
      <c r="K212"/>
      <c r="L212" s="546"/>
    </row>
    <row r="213" spans="1:1881" ht="34.5" customHeight="1" x14ac:dyDescent="0.3">
      <c r="A213" s="100"/>
      <c r="B213" s="498"/>
      <c r="C213" s="498"/>
      <c r="D213" s="490" t="s">
        <v>8</v>
      </c>
      <c r="E213" s="500"/>
      <c r="F213" s="501"/>
      <c r="G213" s="502"/>
      <c r="H213" s="17"/>
      <c r="I213" s="17"/>
      <c r="J213" s="72"/>
      <c r="K213"/>
      <c r="L213" s="546"/>
    </row>
    <row r="214" spans="1:1881" ht="55.5" customHeight="1" x14ac:dyDescent="0.3">
      <c r="A214" s="100">
        <v>527</v>
      </c>
      <c r="B214" s="946" t="s">
        <v>1911</v>
      </c>
      <c r="C214" s="372" t="s">
        <v>170</v>
      </c>
      <c r="D214" s="26" t="s">
        <v>752</v>
      </c>
      <c r="E214" s="370" t="e">
        <f>INDEX('PY1 Data(H)'!$A$1:$CZ$265,MATCH('Unit Data from Audit Worksheet'!$A214,'PY1 Data(H)'!$A$1:$A$258,0),MATCH('Unit Data from Audit Worksheet'!$D$2,'PY1 Data(H)'!$A$1:$CZ$1,0))</f>
        <v>#N/A</v>
      </c>
      <c r="F214" s="791">
        <v>0</v>
      </c>
      <c r="G214" s="406"/>
      <c r="H214" s="17"/>
      <c r="I214" s="401"/>
      <c r="J214" s="402"/>
      <c r="K214"/>
      <c r="L214" s="546"/>
    </row>
    <row r="215" spans="1:1881" ht="55.5" customHeight="1" x14ac:dyDescent="0.3">
      <c r="A215" s="100">
        <v>356</v>
      </c>
      <c r="B215" s="946" t="s">
        <v>1910</v>
      </c>
      <c r="C215" s="372" t="s">
        <v>170</v>
      </c>
      <c r="D215" s="99" t="s">
        <v>20</v>
      </c>
      <c r="E215" s="370" t="e">
        <f>INDEX('PY1 Data(H)'!$A$1:$CZ$265,MATCH('Unit Data from Audit Worksheet'!$A215,'PY1 Data(H)'!$A$1:$A$258,0),MATCH('Unit Data from Audit Worksheet'!$D$2,'PY1 Data(H)'!$A$1:$CZ$1,0))</f>
        <v>#N/A</v>
      </c>
      <c r="F215" s="791">
        <v>0</v>
      </c>
      <c r="G215" s="406"/>
      <c r="H215" s="17"/>
      <c r="I215" s="401"/>
      <c r="J215" s="402"/>
      <c r="K215"/>
      <c r="L215" s="546"/>
    </row>
    <row r="216" spans="1:1881" ht="55.5" customHeight="1" x14ac:dyDescent="0.3">
      <c r="A216" s="100">
        <v>357</v>
      </c>
      <c r="B216" s="372" t="s">
        <v>55</v>
      </c>
      <c r="C216" s="372" t="s">
        <v>171</v>
      </c>
      <c r="D216" s="99" t="s">
        <v>21</v>
      </c>
      <c r="E216" s="370" t="e">
        <f>INDEX('PY1 Data(H)'!$A$1:$CZ$265,MATCH('Unit Data from Audit Worksheet'!$A216,'PY1 Data(H)'!$A$1:$A$258,0),MATCH('Unit Data from Audit Worksheet'!$D$2,'PY1 Data(H)'!$A$1:$CZ$1,0))</f>
        <v>#N/A</v>
      </c>
      <c r="F216" s="791">
        <v>0</v>
      </c>
      <c r="G216" s="400">
        <f>IF(F216&lt;0,"Error: Enter as positive.",)</f>
        <v>0</v>
      </c>
      <c r="H216" s="17"/>
      <c r="I216" s="401"/>
      <c r="J216" s="402"/>
      <c r="K216"/>
      <c r="L216" s="546"/>
    </row>
    <row r="217" spans="1:1881" s="18" customFormat="1" ht="35.25" customHeight="1" x14ac:dyDescent="0.3">
      <c r="A217" s="100"/>
      <c r="B217" s="488" t="s">
        <v>10</v>
      </c>
      <c r="C217" s="498"/>
      <c r="D217" s="466"/>
      <c r="E217" s="503"/>
      <c r="F217" s="503"/>
      <c r="G217" s="485"/>
      <c r="H217" s="17"/>
      <c r="I217" s="17"/>
      <c r="J217" s="72"/>
      <c r="K217"/>
      <c r="L217" s="546"/>
      <c r="M217"/>
      <c r="O217" s="185"/>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753</v>
      </c>
      <c r="D218" s="21" t="s">
        <v>635</v>
      </c>
      <c r="E218" s="370" t="e">
        <f>INDEX('PY1 Data(H)'!$A$1:$CZ$265,MATCH('Unit Data from Audit Worksheet'!$A218,'PY1 Data(H)'!$A$1:$A$258,0),MATCH('Unit Data from Audit Worksheet'!$D$2,'PY1 Data(H)'!$A$1:$CZ$1,0))</f>
        <v>#N/A</v>
      </c>
      <c r="F218" s="791">
        <v>0</v>
      </c>
      <c r="G218" s="400">
        <f>IF(F218&lt;0,"Error: Enter as positive.",)</f>
        <v>0</v>
      </c>
      <c r="H218" s="17"/>
      <c r="I218" s="17"/>
      <c r="J218" s="72"/>
      <c r="K218"/>
      <c r="L218" s="546"/>
      <c r="M218"/>
      <c r="O218" s="185"/>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337</v>
      </c>
      <c r="D219" s="26" t="s">
        <v>754</v>
      </c>
      <c r="E219" s="370" t="e">
        <f>INDEX('PY1 Data(H)'!$A$1:$CZ$265,MATCH('Unit Data from Audit Worksheet'!$A219,'PY1 Data(H)'!$A$1:$A$258,0),MATCH('Unit Data from Audit Worksheet'!$D$2,'PY1 Data(H)'!$A$1:$CZ$1,0))</f>
        <v>#N/A</v>
      </c>
      <c r="F219" s="791">
        <v>0</v>
      </c>
      <c r="G219" s="400">
        <f>IF(F219&lt;0,"Error: Enter as positive.",)</f>
        <v>0</v>
      </c>
      <c r="H219" s="17"/>
      <c r="I219" s="17"/>
      <c r="J219" s="72"/>
      <c r="K219"/>
      <c r="L219" s="546"/>
      <c r="M219"/>
      <c r="N219" s="91"/>
      <c r="O219" s="185"/>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755</v>
      </c>
      <c r="D220" s="21" t="s">
        <v>451</v>
      </c>
      <c r="E220" s="370" t="e">
        <f>INDEX('PY1 Data(H)'!$A$1:$CZ$265,MATCH('Unit Data from Audit Worksheet'!$A220,'PY1 Data(H)'!$A$1:$A$258,0),MATCH('Unit Data from Audit Worksheet'!$D$2,'PY1 Data(H)'!$A$1:$CZ$1,0))</f>
        <v>#N/A</v>
      </c>
      <c r="F220" s="800">
        <v>0</v>
      </c>
      <c r="G220" s="400">
        <f>IF(F220&lt;0,"Error: Enter as positive.",)</f>
        <v>0</v>
      </c>
      <c r="H220" s="17"/>
      <c r="I220" s="17"/>
      <c r="J220" s="423"/>
      <c r="K220"/>
      <c r="L220" s="546"/>
    </row>
    <row r="221" spans="1:1881" ht="270.75" customHeight="1" x14ac:dyDescent="0.3">
      <c r="A221" s="100">
        <v>359</v>
      </c>
      <c r="B221" s="4" t="s">
        <v>55</v>
      </c>
      <c r="C221" s="4" t="s">
        <v>756</v>
      </c>
      <c r="D221" s="21" t="s">
        <v>451</v>
      </c>
      <c r="E221" s="370" t="e">
        <f>INDEX('PY1 Data(H)'!$A$1:$CZ$265,MATCH('Unit Data from Audit Worksheet'!$A221,'PY1 Data(H)'!$A$1:$A$258,0),MATCH('Unit Data from Audit Worksheet'!$D$2,'PY1 Data(H)'!$A$1:$CZ$1,0))</f>
        <v>#N/A</v>
      </c>
      <c r="F221" s="791">
        <v>0</v>
      </c>
      <c r="G221" s="400">
        <f>IF(F221&lt;0,"Error: Enter as positive.",)</f>
        <v>0</v>
      </c>
      <c r="H221" s="17"/>
      <c r="I221" s="17"/>
      <c r="J221" s="423"/>
      <c r="K221"/>
      <c r="L221" s="546"/>
    </row>
    <row r="222" spans="1:1881" s="425" customFormat="1" ht="33" customHeight="1" x14ac:dyDescent="0.3">
      <c r="A222" s="100"/>
      <c r="B222" s="735" t="s">
        <v>353</v>
      </c>
      <c r="C222" s="708"/>
      <c r="D222" s="89"/>
      <c r="E222" s="424"/>
      <c r="F222" s="412"/>
      <c r="G222" s="399"/>
      <c r="H222" s="17"/>
      <c r="I222" s="17"/>
      <c r="J222" s="423"/>
      <c r="K222"/>
      <c r="L222" s="546"/>
      <c r="M222"/>
      <c r="N222" s="18"/>
      <c r="O222" s="185"/>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5" customFormat="1" ht="110.25" customHeight="1" x14ac:dyDescent="0.3">
      <c r="A223" s="100">
        <v>622</v>
      </c>
      <c r="B223" s="426" t="s">
        <v>324</v>
      </c>
      <c r="C223" s="117" t="s">
        <v>352</v>
      </c>
      <c r="D223" s="116" t="s">
        <v>658</v>
      </c>
      <c r="E223" s="370" t="e">
        <f>INDEX('PY1 Data(H)'!$A$1:$CZ$265,MATCH('Unit Data from Audit Worksheet'!$A223,'PY1 Data(H)'!$A$1:$A$258,0),MATCH('Unit Data from Audit Worksheet'!$D$2,'PY1 Data(H)'!$A$1:$CZ$1,0))</f>
        <v>#N/A</v>
      </c>
      <c r="F223" s="800">
        <v>0</v>
      </c>
      <c r="G223" s="400"/>
      <c r="H223" s="17"/>
      <c r="I223" s="17"/>
      <c r="J223" s="423"/>
      <c r="K223"/>
      <c r="L223" s="546"/>
      <c r="M223"/>
      <c r="N223" s="18"/>
      <c r="O223" s="185"/>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5" customFormat="1" ht="191.4" customHeight="1" x14ac:dyDescent="0.3">
      <c r="A224" s="100">
        <v>577</v>
      </c>
      <c r="B224" s="426" t="s">
        <v>324</v>
      </c>
      <c r="C224" s="372" t="s">
        <v>296</v>
      </c>
      <c r="D224" s="225" t="s">
        <v>1458</v>
      </c>
      <c r="E224" s="527"/>
      <c r="F224" s="791"/>
      <c r="G224" s="529" t="str">
        <f>IF(F224="Yes","In this cell - Please include the name of the plan, a brief description of the benefit and the population group that received the benefits."," ")</f>
        <v xml:space="preserve"> </v>
      </c>
      <c r="H224" s="17"/>
      <c r="I224" s="17"/>
      <c r="J224" s="423"/>
      <c r="K224"/>
      <c r="L224" s="546"/>
      <c r="M224"/>
      <c r="N224" s="18"/>
      <c r="O224" s="185"/>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5" customFormat="1" ht="30.75" customHeight="1" x14ac:dyDescent="0.3">
      <c r="A225" s="100"/>
      <c r="B225" s="735" t="s">
        <v>284</v>
      </c>
      <c r="C225" s="708"/>
      <c r="D225" s="89"/>
      <c r="E225" s="424"/>
      <c r="F225" s="427"/>
      <c r="G225" s="399"/>
      <c r="H225" s="17"/>
      <c r="I225" s="17"/>
      <c r="J225" s="72"/>
      <c r="K225"/>
      <c r="L225" s="546"/>
      <c r="M225"/>
      <c r="N225" s="18"/>
      <c r="O225" s="185"/>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5" customFormat="1" ht="81.75" customHeight="1" x14ac:dyDescent="0.3">
      <c r="A226" s="100">
        <v>598</v>
      </c>
      <c r="B226" s="372" t="s">
        <v>58</v>
      </c>
      <c r="C226" s="372" t="s">
        <v>285</v>
      </c>
      <c r="D226" s="382" t="s">
        <v>338</v>
      </c>
      <c r="E226" s="370" t="e">
        <f>INDEX('PY1 Data(H)'!$A$1:$CZ$265,MATCH('Unit Data from Audit Worksheet'!$A226,'PY1 Data(H)'!$A$1:$A$258,0),MATCH('Unit Data from Audit Worksheet'!$D$2,'PY1 Data(H)'!$A$1:$CZ$1,0))</f>
        <v>#N/A</v>
      </c>
      <c r="F226" s="791">
        <v>0</v>
      </c>
      <c r="G226" s="400">
        <f>IF(F226&lt;0,"Error: Enter as positive.",)</f>
        <v>0</v>
      </c>
      <c r="H226" s="400"/>
      <c r="I226" s="17"/>
      <c r="J226" s="423"/>
      <c r="K226"/>
      <c r="L226" s="546"/>
      <c r="M226"/>
      <c r="N226" s="18"/>
      <c r="O226" s="185"/>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5" customFormat="1" ht="53.25" customHeight="1" x14ac:dyDescent="0.3">
      <c r="A227" s="100">
        <v>599</v>
      </c>
      <c r="B227" s="372" t="s">
        <v>58</v>
      </c>
      <c r="C227" s="372" t="s">
        <v>285</v>
      </c>
      <c r="D227" s="26" t="s">
        <v>339</v>
      </c>
      <c r="E227" s="370" t="e">
        <f>INDEX('PY1 Data(H)'!$A$1:$CZ$265,MATCH('Unit Data from Audit Worksheet'!$A227,'PY1 Data(H)'!$A$1:$A$258,0),MATCH('Unit Data from Audit Worksheet'!$D$2,'PY1 Data(H)'!$A$1:$CZ$1,0))</f>
        <v>#N/A</v>
      </c>
      <c r="F227" s="791">
        <v>0</v>
      </c>
      <c r="G227" s="429" t="str">
        <f>IF(ISBLANK(F227),"Please do not leave blank","")</f>
        <v/>
      </c>
      <c r="H227" s="400">
        <f>IF(F227&lt;0,"Error: Enter as positive.",)</f>
        <v>0</v>
      </c>
      <c r="I227" s="17"/>
      <c r="J227" s="72"/>
      <c r="K227"/>
      <c r="L227" s="546"/>
      <c r="M227"/>
      <c r="N227" s="18"/>
      <c r="O227" s="185"/>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5" customFormat="1" ht="78.75" customHeight="1" x14ac:dyDescent="0.3">
      <c r="A228" s="100">
        <v>602</v>
      </c>
      <c r="B228" s="372" t="s">
        <v>58</v>
      </c>
      <c r="C228" s="372" t="s">
        <v>285</v>
      </c>
      <c r="D228" s="99" t="s">
        <v>343</v>
      </c>
      <c r="E228" s="370" t="e">
        <f>INDEX('PY1 Data(H)'!$A$1:$CZ$265,MATCH('Unit Data from Audit Worksheet'!$A228,'PY1 Data(H)'!$A$1:$A$258,0),MATCH('Unit Data from Audit Worksheet'!$D$2,'PY1 Data(H)'!$A$1:$CZ$1,0))</f>
        <v>#N/A</v>
      </c>
      <c r="F228" s="791">
        <v>0</v>
      </c>
      <c r="G228" s="429" t="str">
        <f>IF(ISBLANK(F228),"Please do not leave blank","")</f>
        <v/>
      </c>
      <c r="H228" s="400">
        <f>IF(F228&lt;0,"Note: Number is normally positive.",)</f>
        <v>0</v>
      </c>
      <c r="I228" s="17"/>
      <c r="J228" s="72"/>
      <c r="K228"/>
      <c r="L228" s="546"/>
      <c r="M228"/>
      <c r="N228" s="18"/>
      <c r="O228" s="185"/>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5" customFormat="1" ht="90" customHeight="1" x14ac:dyDescent="0.3">
      <c r="A229" s="100">
        <v>619</v>
      </c>
      <c r="B229" s="372" t="s">
        <v>58</v>
      </c>
      <c r="C229" s="372" t="s">
        <v>347</v>
      </c>
      <c r="D229" s="87" t="s">
        <v>350</v>
      </c>
      <c r="E229" s="370" t="e">
        <f>INDEX('PY1 Data(H)'!$A$1:$CZ$265,MATCH('Unit Data from Audit Worksheet'!$A229,'PY1 Data(H)'!$A$1:$A$258,0),MATCH('Unit Data from Audit Worksheet'!$D$2,'PY1 Data(H)'!$A$1:$CZ$1,0))</f>
        <v>#N/A</v>
      </c>
      <c r="F229" s="793">
        <v>0</v>
      </c>
      <c r="G229" s="429" t="str">
        <f>IF(ISBLANK(F229),"Please do not leave blank ",IF(F229=H229,"","Please review percentage"))</f>
        <v/>
      </c>
      <c r="H229" s="983">
        <f>ROUND(IFERROR((F228/F227)*100,0),1)</f>
        <v>0</v>
      </c>
      <c r="I229" s="323"/>
      <c r="J229" s="185"/>
      <c r="K229"/>
      <c r="L229" s="546"/>
      <c r="M229"/>
      <c r="N229" s="18"/>
      <c r="O229" s="185"/>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88" t="s">
        <v>25</v>
      </c>
      <c r="C230" s="498"/>
      <c r="D230" s="491"/>
      <c r="E230" s="505"/>
      <c r="F230" s="505"/>
      <c r="G230" s="473"/>
      <c r="H230" s="17"/>
      <c r="I230" s="17"/>
      <c r="J230" s="72"/>
      <c r="K230"/>
      <c r="L230" s="546"/>
    </row>
    <row r="231" spans="1:1881" ht="151.19999999999999" customHeight="1" x14ac:dyDescent="0.3">
      <c r="A231" s="117">
        <v>621</v>
      </c>
      <c r="B231" s="117" t="s">
        <v>324</v>
      </c>
      <c r="C231" s="117" t="s">
        <v>354</v>
      </c>
      <c r="D231" s="116" t="s">
        <v>659</v>
      </c>
      <c r="E231" s="370" t="e">
        <f>INDEX('PY1 Data(H)'!$A$1:$CZ$265,MATCH('Unit Data from Audit Worksheet'!$A231,'PY1 Data(H)'!$A$1:$A$258,0),MATCH('Unit Data from Audit Worksheet'!$D$2,'PY1 Data(H)'!$A$1:$CZ$1,0))</f>
        <v>#N/A</v>
      </c>
      <c r="F231" s="791">
        <v>0</v>
      </c>
      <c r="G231" s="429" t="s">
        <v>660</v>
      </c>
      <c r="I231" s="308"/>
      <c r="K231"/>
      <c r="L231" s="546"/>
    </row>
    <row r="232" spans="1:1881" ht="178.2" customHeight="1" x14ac:dyDescent="0.3">
      <c r="A232" s="100">
        <v>547</v>
      </c>
      <c r="B232" s="372"/>
      <c r="C232" s="372" t="s">
        <v>159</v>
      </c>
      <c r="D232" s="737" t="s">
        <v>1544</v>
      </c>
      <c r="E232" s="370" t="e">
        <f>INDEX('PY1 Data(H)'!$A$1:$CZ$265,MATCH('Unit Data from Audit Worksheet'!$A232,'PY1 Data(H)'!$A$1:$A$258,0),MATCH('Unit Data from Audit Worksheet'!$D$2,'PY1 Data(H)'!$A$1:$CZ$1,0))</f>
        <v>#N/A</v>
      </c>
      <c r="F232" s="183"/>
      <c r="G232" s="428" t="str">
        <f>IF(F232&lt;1,"Please answer this question","")</f>
        <v>Please answer this question</v>
      </c>
      <c r="H232" s="401"/>
      <c r="I232" s="401"/>
      <c r="J232" s="402"/>
      <c r="K232"/>
      <c r="L232" s="546"/>
    </row>
    <row r="233" spans="1:1881" s="18" customFormat="1" ht="120" customHeight="1" x14ac:dyDescent="0.3">
      <c r="A233" s="188">
        <v>659</v>
      </c>
      <c r="B233" s="459" t="s">
        <v>58</v>
      </c>
      <c r="C233" s="459" t="s">
        <v>344</v>
      </c>
      <c r="D233" s="191" t="s">
        <v>661</v>
      </c>
      <c r="E233" s="370" t="e">
        <f>INDEX('PY1 Data(H)'!$A$1:$CZ$265,MATCH('Unit Data from Audit Worksheet'!$A233,'PY1 Data(H)'!$A$1:$A$258,0),MATCH('Unit Data from Audit Worksheet'!$D$2,'PY1 Data(H)'!$A$1:$CZ$1,0))</f>
        <v>#N/A</v>
      </c>
      <c r="F233" s="791">
        <v>0</v>
      </c>
      <c r="G233" s="429" t="s">
        <v>662</v>
      </c>
      <c r="H233" s="400">
        <f>IF(F230&lt;0,"Error: Enter as positive.",)</f>
        <v>0</v>
      </c>
      <c r="I233" s="241"/>
      <c r="J233" s="241"/>
      <c r="K233"/>
      <c r="L233" s="546"/>
      <c r="M233"/>
      <c r="O233" s="185"/>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88">
        <v>660</v>
      </c>
      <c r="B234" s="459" t="s">
        <v>58</v>
      </c>
      <c r="C234" s="459" t="s">
        <v>344</v>
      </c>
      <c r="D234" s="191" t="s">
        <v>663</v>
      </c>
      <c r="E234" s="370" t="e">
        <f>INDEX('PY1 Data(H)'!$A$1:$CZ$265,MATCH('Unit Data from Audit Worksheet'!$A234,'PY1 Data(H)'!$A$1:$A$258,0),MATCH('Unit Data from Audit Worksheet'!$D$2,'PY1 Data(H)'!$A$1:$CZ$1,0))</f>
        <v>#N/A</v>
      </c>
      <c r="F234" s="791">
        <v>0</v>
      </c>
      <c r="G234" s="429" t="str">
        <f>IF(ISBLANK(F234),"Please do not leave blank","")</f>
        <v/>
      </c>
      <c r="H234" s="400">
        <f>IF(F231&lt;0,"Note: Number is normally positive.",)</f>
        <v>0</v>
      </c>
      <c r="I234" s="17"/>
      <c r="J234" s="17"/>
      <c r="K234"/>
      <c r="L234" s="546"/>
    </row>
    <row r="235" spans="1:1881" ht="94.5" customHeight="1" x14ac:dyDescent="0.3">
      <c r="A235" s="188">
        <v>661</v>
      </c>
      <c r="B235" s="459" t="s">
        <v>58</v>
      </c>
      <c r="C235" s="459" t="s">
        <v>346</v>
      </c>
      <c r="D235" s="342" t="s">
        <v>664</v>
      </c>
      <c r="E235" s="370" t="e">
        <f>INDEX('PY1 Data(H)'!$A$1:$CZ$265,MATCH('Unit Data from Audit Worksheet'!$A235,'PY1 Data(H)'!$A$1:$A$258,0),MATCH('Unit Data from Audit Worksheet'!$D$2,'PY1 Data(H)'!$A$1:$CZ$1,0))</f>
        <v>#N/A</v>
      </c>
      <c r="F235" s="793">
        <v>0</v>
      </c>
      <c r="G235" s="429" t="str">
        <f>IF(ISBLANK(F235),"Please do not leave blank ",IF(F235=H235,"","Please review percentage"))</f>
        <v/>
      </c>
      <c r="H235" s="794">
        <f>ROUND(IFERROR((F234/F233)*100,0),1)</f>
        <v>0</v>
      </c>
      <c r="I235" s="430"/>
      <c r="J235" s="430"/>
      <c r="K235"/>
      <c r="L235" s="546"/>
    </row>
    <row r="236" spans="1:1881" ht="111.75" customHeight="1" x14ac:dyDescent="0.3">
      <c r="A236" s="100"/>
      <c r="B236" s="372"/>
      <c r="C236" s="372"/>
      <c r="D236" s="24" t="s">
        <v>26</v>
      </c>
      <c r="E236" s="370"/>
      <c r="F236" s="374"/>
      <c r="G236" s="429"/>
      <c r="H236" s="430"/>
      <c r="I236" s="1021"/>
      <c r="J236" s="431"/>
      <c r="K236"/>
      <c r="L236" s="546"/>
    </row>
    <row r="237" spans="1:1881" ht="32.25" customHeight="1" x14ac:dyDescent="0.3">
      <c r="A237" s="100"/>
      <c r="B237" s="488" t="s">
        <v>27</v>
      </c>
      <c r="C237" s="498"/>
      <c r="D237" s="491"/>
      <c r="E237" s="504"/>
      <c r="F237" s="504"/>
      <c r="G237" s="473"/>
      <c r="H237" s="17"/>
      <c r="I237" s="17"/>
      <c r="J237" s="72"/>
      <c r="K237"/>
      <c r="L237" s="546"/>
    </row>
    <row r="238" spans="1:1881" ht="63.75" customHeight="1" x14ac:dyDescent="0.3">
      <c r="A238" s="30">
        <v>371</v>
      </c>
      <c r="B238" s="4" t="s">
        <v>55</v>
      </c>
      <c r="C238" s="4" t="s">
        <v>160</v>
      </c>
      <c r="D238" s="21" t="s">
        <v>757</v>
      </c>
      <c r="E238" s="370" t="e">
        <f>INDEX('PY1 Data(H)'!$A$1:$CZ$265,MATCH('Unit Data from Audit Worksheet'!$A238,'PY1 Data(H)'!$A$1:$A$258,0),MATCH('Unit Data from Audit Worksheet'!$D$2,'PY1 Data(H)'!$A$1:$CZ$1,0))</f>
        <v>#N/A</v>
      </c>
      <c r="F238" s="791">
        <v>0</v>
      </c>
      <c r="G238" s="400">
        <f>IF(F238&lt;0,"Error: Enter as positive.",)</f>
        <v>0</v>
      </c>
      <c r="H238" s="17"/>
      <c r="I238" s="17"/>
      <c r="J238" s="72"/>
      <c r="K238"/>
      <c r="L238" s="546"/>
    </row>
    <row r="239" spans="1:1881" ht="63.75" customHeight="1" x14ac:dyDescent="0.3">
      <c r="A239" s="100">
        <v>1075</v>
      </c>
      <c r="B239" s="457" t="s">
        <v>58</v>
      </c>
      <c r="C239" s="372" t="s">
        <v>160</v>
      </c>
      <c r="D239" s="779" t="s">
        <v>1872</v>
      </c>
      <c r="E239" s="370" t="e">
        <f>INDEX('PY1 Data(H)'!$A$1:$CZ$265,MATCH('Unit Data from Audit Worksheet'!$A239,'PY1 Data(H)'!$A$1:$A$258,0),MATCH('Unit Data from Audit Worksheet'!$D$2,'PY1 Data(H)'!$A$1:$CZ$1,0))</f>
        <v>#N/A</v>
      </c>
      <c r="F239" s="791">
        <v>0</v>
      </c>
      <c r="G239" s="400"/>
      <c r="H239" s="17"/>
      <c r="I239" s="17"/>
      <c r="J239" s="72"/>
      <c r="K239" s="180"/>
      <c r="L239" s="546"/>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100">
        <v>1076</v>
      </c>
      <c r="B240" s="457" t="s">
        <v>58</v>
      </c>
      <c r="C240" s="372" t="s">
        <v>160</v>
      </c>
      <c r="D240" s="779" t="s">
        <v>1873</v>
      </c>
      <c r="E240" s="370" t="e">
        <f>INDEX('PY1 Data(H)'!$A$1:$CZ$265,MATCH('Unit Data from Audit Worksheet'!$A240,'PY1 Data(H)'!$A$1:$A$258,0),MATCH('Unit Data from Audit Worksheet'!$D$2,'PY1 Data(H)'!$A$1:$CZ$1,0))</f>
        <v>#N/A</v>
      </c>
      <c r="F240" s="791">
        <v>0</v>
      </c>
      <c r="G240" s="400"/>
      <c r="H240" s="17"/>
      <c r="I240" s="17"/>
      <c r="J240" s="72"/>
      <c r="K240" s="180"/>
      <c r="L240" s="546"/>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100">
        <v>1077</v>
      </c>
      <c r="B241" s="457" t="s">
        <v>58</v>
      </c>
      <c r="C241" s="703" t="s">
        <v>1876</v>
      </c>
      <c r="D241" s="779" t="s">
        <v>1956</v>
      </c>
      <c r="E241" s="370" t="e">
        <f>INDEX('PY1 Data(H)'!$A$1:$CZ$265,MATCH('Unit Data from Audit Worksheet'!$A241,'PY1 Data(H)'!$A$1:$A$258,0),MATCH('Unit Data from Audit Worksheet'!$D$2,'PY1 Data(H)'!$A$1:$CZ$1,0))</f>
        <v>#N/A</v>
      </c>
      <c r="F241" s="791">
        <v>0</v>
      </c>
      <c r="G241" s="400"/>
      <c r="H241" s="17"/>
      <c r="I241" s="17"/>
      <c r="J241" s="72"/>
      <c r="K241" s="180"/>
      <c r="L241" s="546"/>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57" t="s">
        <v>57</v>
      </c>
      <c r="C242" s="4" t="s">
        <v>160</v>
      </c>
      <c r="D242" s="21" t="s">
        <v>758</v>
      </c>
      <c r="E242" s="790" t="e">
        <f>INDEX('PY1 Data(H)'!$A$1:$CZ$265,MATCH('Unit Data from Audit Worksheet'!$A242,'PY1 Data(H)'!$A$1:$A$258,0),MATCH('Unit Data from Audit Worksheet'!$D$2,'PY1 Data(H)'!$A$1:$CZ$1,0))</f>
        <v>#N/A</v>
      </c>
      <c r="F242" s="183">
        <v>0</v>
      </c>
      <c r="G242" s="400">
        <f>IF(F242&lt;0,"Error: Enter as positive.",)</f>
        <v>0</v>
      </c>
      <c r="H242" s="401"/>
      <c r="I242" s="401"/>
      <c r="J242" s="402"/>
      <c r="K242"/>
      <c r="L242" s="546"/>
    </row>
    <row r="243" spans="1:123" ht="80.25" customHeight="1" x14ac:dyDescent="0.3">
      <c r="A243" s="100">
        <v>514</v>
      </c>
      <c r="B243" s="457" t="s">
        <v>57</v>
      </c>
      <c r="C243" s="4" t="s">
        <v>160</v>
      </c>
      <c r="D243" s="21" t="s">
        <v>759</v>
      </c>
      <c r="E243" s="790" t="e">
        <f>INDEX('PY1 Data(H)'!$A$1:$CZ$265,MATCH('Unit Data from Audit Worksheet'!$A243,'PY1 Data(H)'!$A$1:$A$258,0),MATCH('Unit Data from Audit Worksheet'!$D$2,'PY1 Data(H)'!$A$1:$CZ$1,0))</f>
        <v>#N/A</v>
      </c>
      <c r="F243" s="183">
        <v>0</v>
      </c>
      <c r="G243" s="400">
        <f>IF(F243&lt;0,"Error: Enter as positive.",)</f>
        <v>0</v>
      </c>
      <c r="H243" s="17"/>
      <c r="I243" s="401"/>
      <c r="J243" s="402"/>
      <c r="K243"/>
      <c r="L243" s="546"/>
    </row>
    <row r="244" spans="1:123" ht="80.25" customHeight="1" x14ac:dyDescent="0.3">
      <c r="A244" s="100">
        <v>990</v>
      </c>
      <c r="B244" s="947" t="s">
        <v>1919</v>
      </c>
      <c r="C244" s="372" t="s">
        <v>160</v>
      </c>
      <c r="D244" s="21" t="s">
        <v>1432</v>
      </c>
      <c r="E244" s="790" t="e">
        <f>INDEX('PY1 Data(H)'!$A$1:$CZ$265,MATCH('Unit Data from Audit Worksheet'!$A244,'PY1 Data(H)'!$A$1:$A$258,0),MATCH('Unit Data from Audit Worksheet'!$D$2,'PY1 Data(H)'!$A$1:$CZ$1,0))</f>
        <v>#N/A</v>
      </c>
      <c r="F244" s="183">
        <v>0</v>
      </c>
      <c r="G244" s="400">
        <f>IF(F244&lt;0,"Error: Enter as positive.",)</f>
        <v>0</v>
      </c>
      <c r="H244" s="17"/>
      <c r="I244" s="401"/>
      <c r="J244" s="402"/>
      <c r="K244"/>
      <c r="L244" s="546"/>
    </row>
    <row r="245" spans="1:123" ht="96" customHeight="1" x14ac:dyDescent="0.3">
      <c r="A245" s="372">
        <v>1051</v>
      </c>
      <c r="B245" s="949" t="s">
        <v>1915</v>
      </c>
      <c r="C245" s="703" t="s">
        <v>1437</v>
      </c>
      <c r="D245" s="779" t="s">
        <v>1428</v>
      </c>
      <c r="E245" s="790" t="e">
        <f>INDEX('PY1 Data(H)'!$A$1:$CZ$265,MATCH('Unit Data from Audit Worksheet'!$A245,'PY1 Data(H)'!$A$1:$A$258,0),MATCH('Unit Data from Audit Worksheet'!$D$2,'PY1 Data(H)'!$A$1:$CZ$1,0))</f>
        <v>#N/A</v>
      </c>
      <c r="F245" s="183">
        <v>0</v>
      </c>
      <c r="G245" s="400">
        <f>IF(F245&lt;0,"Error: Enter as positive.",)</f>
        <v>0</v>
      </c>
      <c r="H245" s="17"/>
      <c r="I245" s="401"/>
      <c r="J245" s="402"/>
      <c r="K245" s="180"/>
      <c r="L245" s="546"/>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88" t="s">
        <v>28</v>
      </c>
      <c r="C246" s="498"/>
      <c r="D246" s="491"/>
      <c r="E246" s="473"/>
      <c r="F246" s="473"/>
      <c r="G246" s="473"/>
      <c r="H246" s="17"/>
      <c r="I246" s="17"/>
      <c r="J246" s="72"/>
      <c r="K246"/>
      <c r="L246" s="546"/>
    </row>
    <row r="247" spans="1:123" ht="68.25" customHeight="1" x14ac:dyDescent="0.3">
      <c r="A247" s="100">
        <v>6</v>
      </c>
      <c r="B247" s="946" t="s">
        <v>1900</v>
      </c>
      <c r="C247" s="4" t="s">
        <v>161</v>
      </c>
      <c r="D247" s="21" t="s">
        <v>760</v>
      </c>
      <c r="E247" s="370" t="e">
        <f>INDEX('PY1 Data(H)'!$A$1:$CZ$265,MATCH('Unit Data from Audit Worksheet'!$A247,'PY1 Data(H)'!$A$1:$A$258,0),MATCH('Unit Data from Audit Worksheet'!$D$2,'PY1 Data(H)'!$A$1:$CZ$1,0))</f>
        <v>#N/A</v>
      </c>
      <c r="F247" s="791">
        <v>0</v>
      </c>
      <c r="G247" s="400">
        <f>IF(F247&lt;0,"Error: Enter as positive.",)</f>
        <v>0</v>
      </c>
      <c r="H247" s="17"/>
      <c r="I247" s="17"/>
      <c r="J247" s="72"/>
      <c r="K247"/>
      <c r="L247" s="546"/>
    </row>
    <row r="248" spans="1:123" ht="33" customHeight="1" x14ac:dyDescent="0.3">
      <c r="A248" s="100"/>
      <c r="B248" s="488" t="s">
        <v>172</v>
      </c>
      <c r="C248" s="498"/>
      <c r="D248" s="491"/>
      <c r="E248" s="483"/>
      <c r="F248" s="483"/>
      <c r="G248" s="483"/>
      <c r="H248" s="401"/>
      <c r="I248" s="401"/>
      <c r="J248" s="402"/>
      <c r="K248"/>
      <c r="L248" s="546"/>
    </row>
    <row r="249" spans="1:123" ht="141" customHeight="1" x14ac:dyDescent="0.3">
      <c r="A249" s="100">
        <v>541</v>
      </c>
      <c r="B249" s="372" t="s">
        <v>58</v>
      </c>
      <c r="C249" s="372" t="s">
        <v>761</v>
      </c>
      <c r="D249" s="369" t="s">
        <v>762</v>
      </c>
      <c r="E249" s="370" t="e">
        <f>INDEX('PY1 Data(H)'!$A$1:$CZ$265,MATCH('Unit Data from Audit Worksheet'!$A249,'PY1 Data(H)'!$A$1:$A$258,0),MATCH('Unit Data from Audit Worksheet'!$D$2,'PY1 Data(H)'!$A$1:$CZ$1,0))</f>
        <v>#N/A</v>
      </c>
      <c r="F249" s="791">
        <v>0</v>
      </c>
      <c r="G249" s="400"/>
      <c r="H249" s="401"/>
      <c r="I249" s="401"/>
      <c r="J249" s="402"/>
      <c r="K249"/>
      <c r="L249" s="546"/>
    </row>
    <row r="250" spans="1:123" ht="28.5" customHeight="1" x14ac:dyDescent="0.3">
      <c r="A250" s="100"/>
      <c r="B250" s="488" t="s">
        <v>49</v>
      </c>
      <c r="C250" s="498"/>
      <c r="D250" s="491"/>
      <c r="E250" s="502"/>
      <c r="F250" s="502"/>
      <c r="G250" s="502"/>
      <c r="H250" s="401"/>
      <c r="I250" s="401"/>
      <c r="J250" s="402"/>
      <c r="K250"/>
      <c r="L250" s="546"/>
    </row>
    <row r="251" spans="1:123" ht="91.95" customHeight="1" x14ac:dyDescent="0.3">
      <c r="A251" s="100">
        <v>542</v>
      </c>
      <c r="B251" s="372" t="s">
        <v>58</v>
      </c>
      <c r="C251" s="463" t="s">
        <v>763</v>
      </c>
      <c r="D251" s="26" t="s">
        <v>162</v>
      </c>
      <c r="E251" s="370" t="e">
        <f>INDEX('PY1 Data(H)'!$A$1:$CZ$265,MATCH('Unit Data from Audit Worksheet'!$A251,'PY1 Data(H)'!$A$1:$A$258,0),MATCH('Unit Data from Audit Worksheet'!$D$2,'PY1 Data(H)'!$A$1:$CZ$1,0))</f>
        <v>#N/A</v>
      </c>
      <c r="F251" s="791">
        <v>0</v>
      </c>
      <c r="G251" s="400"/>
      <c r="H251" s="401"/>
      <c r="I251" s="432"/>
      <c r="J251" s="432"/>
      <c r="K251"/>
      <c r="L251" s="546"/>
    </row>
    <row r="252" spans="1:123" ht="21.6" customHeight="1" x14ac:dyDescent="0.3">
      <c r="A252" s="100"/>
      <c r="B252" s="488" t="s">
        <v>764</v>
      </c>
      <c r="C252" s="702"/>
      <c r="D252" s="466"/>
      <c r="E252" s="485"/>
      <c r="F252" s="485"/>
      <c r="G252" s="485"/>
      <c r="H252" s="17"/>
      <c r="I252" s="17"/>
      <c r="J252" s="72"/>
      <c r="K252"/>
      <c r="L252" s="546"/>
    </row>
    <row r="253" spans="1:123" ht="12.6" customHeight="1" x14ac:dyDescent="0.3">
      <c r="A253" s="100"/>
      <c r="B253" s="736" t="s">
        <v>12</v>
      </c>
      <c r="C253" s="709"/>
      <c r="D253" s="466"/>
      <c r="E253" s="506"/>
      <c r="F253" s="506"/>
      <c r="G253" s="485"/>
      <c r="H253" s="17"/>
      <c r="I253" s="17"/>
      <c r="J253" s="72"/>
      <c r="K253"/>
      <c r="L253" s="546"/>
    </row>
    <row r="254" spans="1:123" ht="77.25" customHeight="1" x14ac:dyDescent="0.3">
      <c r="A254" s="100">
        <v>528</v>
      </c>
      <c r="B254" s="372" t="s">
        <v>54</v>
      </c>
      <c r="C254" s="4" t="s">
        <v>163</v>
      </c>
      <c r="D254" s="321" t="s">
        <v>1883</v>
      </c>
      <c r="E254" s="370" t="e">
        <f>INDEX('PY1 Data(H)'!$A$1:$CZ$265,MATCH('Unit Data from Audit Worksheet'!$A254,'PY1 Data(H)'!$A$1:$A$258,0),MATCH('Unit Data from Audit Worksheet'!$D$2,'PY1 Data(H)'!$A$1:$CZ$1,0))</f>
        <v>#N/A</v>
      </c>
      <c r="F254" s="791">
        <v>0</v>
      </c>
      <c r="G254" s="400">
        <f>IF(F254="","Error: Unit must enter this information if they levy taxes.",)</f>
        <v>0</v>
      </c>
      <c r="H254" s="433"/>
      <c r="I254" s="17"/>
      <c r="J254" s="72"/>
      <c r="K254"/>
      <c r="L254" s="546"/>
    </row>
    <row r="255" spans="1:123" ht="69" customHeight="1" x14ac:dyDescent="0.3">
      <c r="A255" s="100">
        <v>529</v>
      </c>
      <c r="B255" s="372" t="s">
        <v>54</v>
      </c>
      <c r="C255" s="4" t="s">
        <v>163</v>
      </c>
      <c r="D255" s="321" t="s">
        <v>765</v>
      </c>
      <c r="E255" s="370" t="e">
        <f>INDEX('PY1 Data(H)'!$A$1:$CZ$265,MATCH('Unit Data from Audit Worksheet'!$A255,'PY1 Data(H)'!$A$1:$A$258,0),MATCH('Unit Data from Audit Worksheet'!$D$2,'PY1 Data(H)'!$A$1:$CZ$1,0))</f>
        <v>#N/A</v>
      </c>
      <c r="F255" s="791">
        <v>0</v>
      </c>
      <c r="G255" s="400">
        <f>IF(F255="","Error: Unit must enter this information if they levy taxes.",)</f>
        <v>0</v>
      </c>
      <c r="H255" s="17"/>
      <c r="I255" s="17"/>
      <c r="J255" s="72"/>
      <c r="K255"/>
      <c r="L255" s="546"/>
    </row>
    <row r="256" spans="1:123" ht="69" customHeight="1" x14ac:dyDescent="0.3">
      <c r="A256" s="100">
        <v>530</v>
      </c>
      <c r="B256" s="372" t="s">
        <v>54</v>
      </c>
      <c r="C256" s="4" t="s">
        <v>163</v>
      </c>
      <c r="D256" s="464" t="s">
        <v>766</v>
      </c>
      <c r="E256" s="370" t="e">
        <f>INDEX('PY1 Data(H)'!$A$1:$CZ$265,MATCH('Unit Data from Audit Worksheet'!$A256,'PY1 Data(H)'!$A$1:$A$258,0),MATCH('Unit Data from Audit Worksheet'!$D$2,'PY1 Data(H)'!$A$1:$CZ$1,0))</f>
        <v>#N/A</v>
      </c>
      <c r="F256" s="791">
        <v>0</v>
      </c>
      <c r="G256" s="400">
        <f>IF(F256="","Error: Unit must enter this information if they levy taxes.",)</f>
        <v>0</v>
      </c>
      <c r="H256" s="17"/>
      <c r="I256" s="17"/>
      <c r="J256" s="72"/>
      <c r="K256"/>
      <c r="L256" s="546"/>
    </row>
    <row r="257" spans="1:33" ht="55.5" customHeight="1" x14ac:dyDescent="0.3">
      <c r="A257" s="100">
        <v>531</v>
      </c>
      <c r="B257" s="372" t="s">
        <v>54</v>
      </c>
      <c r="C257" s="4" t="s">
        <v>163</v>
      </c>
      <c r="D257" s="464" t="s">
        <v>767</v>
      </c>
      <c r="E257" s="370" t="e">
        <f>INDEX('PY1 Data(H)'!$A$1:$CZ$265,MATCH('Unit Data from Audit Worksheet'!$A257,'PY1 Data(H)'!$A$1:$A$258,0),MATCH('Unit Data from Audit Worksheet'!$D$2,'PY1 Data(H)'!$A$1:$CZ$1,0))</f>
        <v>#N/A</v>
      </c>
      <c r="F257" s="791">
        <v>0</v>
      </c>
      <c r="G257" s="400">
        <f>IF(F257="","Error: Unit must enter this information if they levy taxes.",)</f>
        <v>0</v>
      </c>
      <c r="H257" s="17"/>
      <c r="I257" s="17"/>
      <c r="J257" s="72"/>
      <c r="K257"/>
      <c r="L257" s="546"/>
    </row>
    <row r="258" spans="1:33" ht="69" customHeight="1" x14ac:dyDescent="0.3">
      <c r="A258" s="100">
        <v>61</v>
      </c>
      <c r="B258" s="4" t="s">
        <v>58</v>
      </c>
      <c r="C258" s="4" t="s">
        <v>163</v>
      </c>
      <c r="D258" s="26" t="s">
        <v>768</v>
      </c>
      <c r="E258" s="798" t="e">
        <f>INDEX('PY1 Data(H)'!$A$1:$CZ$265,MATCH('Unit Data from Audit Worksheet'!$A258,'PY1 Data(H)'!$A$1:$A$258,0),MATCH('Unit Data from Audit Worksheet'!$D$2,'PY1 Data(H)'!$A$1:$CZ$1,0))</f>
        <v>#N/A</v>
      </c>
      <c r="F258" s="799">
        <v>0</v>
      </c>
      <c r="G258" s="400" t="e">
        <f>IF(F258=H258," ","Please check values in account 528, 529, 530 and  531.")</f>
        <v>#DIV/0!</v>
      </c>
      <c r="H258" s="434" t="e">
        <f>ROUND((F254+F255-F256-F257)/(F254+F255)*100,2)</f>
        <v>#DIV/0!</v>
      </c>
      <c r="I258" s="17"/>
      <c r="J258" s="72"/>
      <c r="K258"/>
      <c r="L258" s="546"/>
    </row>
    <row r="259" spans="1:33" ht="69" customHeight="1" x14ac:dyDescent="0.3">
      <c r="A259" s="100">
        <v>102</v>
      </c>
      <c r="B259" s="4" t="s">
        <v>58</v>
      </c>
      <c r="C259" s="4" t="s">
        <v>163</v>
      </c>
      <c r="D259" s="53" t="s">
        <v>769</v>
      </c>
      <c r="E259" s="798" t="e">
        <f>INDEX('PY1 Data(H)'!$A$1:$CZ$265,MATCH('Unit Data from Audit Worksheet'!$A259,'PY1 Data(H)'!$A$1:$A$258,0),MATCH('Unit Data from Audit Worksheet'!$D$2,'PY1 Data(H)'!$A$1:$CZ$1,0))</f>
        <v>#N/A</v>
      </c>
      <c r="F259" s="799">
        <v>0</v>
      </c>
      <c r="G259" s="400" t="e">
        <f>IF(F259=H259," ","Please check values in account 528 and 530.")</f>
        <v>#DIV/0!</v>
      </c>
      <c r="H259" s="434" t="e">
        <f>ROUND((F254-F256)/(F254)*100,2)</f>
        <v>#DIV/0!</v>
      </c>
      <c r="I259" s="17"/>
      <c r="J259" s="72"/>
      <c r="K259"/>
      <c r="L259" s="546"/>
    </row>
    <row r="260" spans="1:33" ht="63.75" customHeight="1" x14ac:dyDescent="0.3">
      <c r="A260" s="100">
        <v>103</v>
      </c>
      <c r="B260" s="4" t="s">
        <v>58</v>
      </c>
      <c r="C260" s="4" t="s">
        <v>163</v>
      </c>
      <c r="D260" s="26" t="s">
        <v>770</v>
      </c>
      <c r="E260" s="798" t="e">
        <f>INDEX('PY1 Data(H)'!$A$1:$CZ$265,MATCH('Unit Data from Audit Worksheet'!$A260,'PY1 Data(H)'!$A$1:$A$258,0),MATCH('Unit Data from Audit Worksheet'!$D$2,'PY1 Data(H)'!$A$1:$CZ$1,0))</f>
        <v>#N/A</v>
      </c>
      <c r="F260" s="799">
        <v>0</v>
      </c>
      <c r="G260" s="400" t="e">
        <f>IF(F260=H260," ","Please check values in account 529 and 531.")</f>
        <v>#DIV/0!</v>
      </c>
      <c r="H260" s="434" t="e">
        <f>ROUND((F255-F257)/F255*100,2)</f>
        <v>#DIV/0!</v>
      </c>
      <c r="I260" s="17"/>
      <c r="J260" s="72"/>
      <c r="K260"/>
      <c r="L260" s="546"/>
      <c r="N260" s="18" t="s">
        <v>555</v>
      </c>
    </row>
    <row r="261" spans="1:33" ht="72" customHeight="1" x14ac:dyDescent="0.3">
      <c r="A261" s="100">
        <v>544</v>
      </c>
      <c r="B261" s="372" t="s">
        <v>58</v>
      </c>
      <c r="C261" s="372" t="s">
        <v>163</v>
      </c>
      <c r="D261" s="21" t="s">
        <v>771</v>
      </c>
      <c r="E261" s="650" t="e">
        <f>INDEX('PY1 Data(H)'!$A$1:$CZ$265,MATCH('Unit Data from Audit Worksheet'!$A261,'PY1 Data(H)'!$A$1:$A$258,0),MATCH('Unit Data from Audit Worksheet'!$D$2,'PY1 Data(H)'!$A$1:$CZ$1,0))</f>
        <v>#N/A</v>
      </c>
      <c r="F261" s="795">
        <v>0</v>
      </c>
      <c r="G261" s="400"/>
      <c r="H261" s="17"/>
      <c r="I261" s="703"/>
      <c r="J261" s="100"/>
      <c r="K261"/>
      <c r="L261" s="546"/>
      <c r="N261" s="18" t="s">
        <v>50</v>
      </c>
    </row>
    <row r="262" spans="1:33" ht="73.5" customHeight="1" x14ac:dyDescent="0.3">
      <c r="A262" s="100">
        <v>545</v>
      </c>
      <c r="B262" s="372" t="s">
        <v>58</v>
      </c>
      <c r="C262" s="372" t="s">
        <v>163</v>
      </c>
      <c r="D262" s="21" t="s">
        <v>772</v>
      </c>
      <c r="E262" s="528"/>
      <c r="F262" s="795">
        <v>0</v>
      </c>
      <c r="G262" s="400"/>
      <c r="H262" s="17"/>
      <c r="I262" s="1022"/>
      <c r="J262" s="127"/>
      <c r="K262"/>
      <c r="L262" s="546"/>
      <c r="N262" s="18" t="s">
        <v>51</v>
      </c>
    </row>
    <row r="263" spans="1:33" ht="66" customHeight="1" x14ac:dyDescent="0.3">
      <c r="A263" s="117">
        <v>624</v>
      </c>
      <c r="B263" s="117" t="s">
        <v>58</v>
      </c>
      <c r="C263" s="117"/>
      <c r="D263" s="116" t="s">
        <v>355</v>
      </c>
      <c r="E263" s="528"/>
      <c r="F263" s="701"/>
      <c r="G263" s="428" t="str">
        <f>IF(+F263&lt;1,"Please answer this question","")</f>
        <v>Please answer this question</v>
      </c>
      <c r="H263" s="17"/>
      <c r="I263" s="703"/>
      <c r="J263" s="100"/>
      <c r="K263"/>
      <c r="L263" s="546"/>
      <c r="N263" s="18" t="s">
        <v>556</v>
      </c>
    </row>
    <row r="264" spans="1:33" ht="70.5" customHeight="1" x14ac:dyDescent="0.3">
      <c r="A264" s="117">
        <v>648</v>
      </c>
      <c r="B264" s="951" t="s">
        <v>1918</v>
      </c>
      <c r="C264" s="117" t="s">
        <v>163</v>
      </c>
      <c r="D264" s="116" t="s">
        <v>657</v>
      </c>
      <c r="E264" s="650" t="e">
        <f>INDEX('PY1 Data(H)'!$A$1:$CZ$265,MATCH('Unit Data from Audit Worksheet'!$A264,'PY1 Data(H)'!$A$1:$A$258,0),MATCH('Unit Data from Audit Worksheet'!$D$2,'PY1 Data(H)'!$A$1:$CZ$1,0))</f>
        <v>#N/A</v>
      </c>
      <c r="F264" s="795">
        <v>0</v>
      </c>
      <c r="G264" s="428"/>
      <c r="H264" s="17"/>
      <c r="I264" s="703"/>
      <c r="J264" s="100"/>
      <c r="K264"/>
      <c r="L264" s="546"/>
    </row>
    <row r="265" spans="1:33" ht="180" customHeight="1" x14ac:dyDescent="0.3">
      <c r="A265" s="117">
        <v>991</v>
      </c>
      <c r="B265" s="951" t="s">
        <v>1915</v>
      </c>
      <c r="C265" s="117"/>
      <c r="D265" s="739" t="s">
        <v>1963</v>
      </c>
      <c r="E265" s="521"/>
      <c r="F265" s="701"/>
      <c r="G265" s="428"/>
      <c r="H265" s="1038" t="s">
        <v>1983</v>
      </c>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1:33" ht="27.75" customHeight="1" x14ac:dyDescent="0.3">
      <c r="A266" s="100"/>
      <c r="B266" s="488" t="s">
        <v>348</v>
      </c>
      <c r="C266" s="488"/>
      <c r="D266" s="488"/>
      <c r="E266" s="507"/>
      <c r="F266" s="507"/>
      <c r="G266" s="508"/>
      <c r="H266" s="17"/>
      <c r="I266" s="703"/>
      <c r="J266" s="100"/>
      <c r="K266"/>
      <c r="L266" s="546"/>
      <c r="N266" s="18" t="s">
        <v>576</v>
      </c>
    </row>
    <row r="267" spans="1:33" ht="84.6" customHeight="1" x14ac:dyDescent="0.3">
      <c r="A267" s="100">
        <v>620</v>
      </c>
      <c r="B267" s="372" t="s">
        <v>58</v>
      </c>
      <c r="C267" s="372"/>
      <c r="D267" s="737" t="s">
        <v>1545</v>
      </c>
      <c r="E267" s="521"/>
      <c r="F267" s="701"/>
      <c r="G267" s="428" t="str">
        <f>IF(F267&lt;1,"Please answer this question","")</f>
        <v>Please answer this question</v>
      </c>
      <c r="H267" s="17"/>
      <c r="I267" s="703"/>
      <c r="J267" s="100"/>
      <c r="K267"/>
      <c r="L267" s="546"/>
      <c r="N267" s="18" t="s">
        <v>577</v>
      </c>
    </row>
    <row r="268" spans="1:33" ht="123.75" customHeight="1" x14ac:dyDescent="0.3">
      <c r="A268" s="704"/>
      <c r="B268" s="1072" t="s">
        <v>458</v>
      </c>
      <c r="C268" s="1072"/>
      <c r="D268" s="1072"/>
      <c r="E268" s="518"/>
      <c r="F268" s="518"/>
      <c r="G268" s="518"/>
      <c r="H268" s="17"/>
      <c r="I268" s="703"/>
      <c r="J268" s="100"/>
      <c r="K268"/>
      <c r="N268" s="18" t="s">
        <v>461</v>
      </c>
    </row>
    <row r="269" spans="1:33" ht="63" customHeight="1" x14ac:dyDescent="0.3">
      <c r="A269" s="188">
        <v>947</v>
      </c>
      <c r="B269" s="459"/>
      <c r="C269" s="459"/>
      <c r="D269" s="342" t="s">
        <v>420</v>
      </c>
      <c r="E269" s="565"/>
      <c r="F269" s="796"/>
      <c r="G269" s="428" t="str">
        <f>IF(ISBLANK(F269),"Please do not leave blank","")</f>
        <v>Please do not leave blank</v>
      </c>
      <c r="H269" s="17"/>
      <c r="I269" s="323"/>
      <c r="J269" s="185"/>
      <c r="K269"/>
      <c r="L269" s="185"/>
      <c r="N269" s="185"/>
      <c r="P269" s="185"/>
    </row>
    <row r="270" spans="1:33" ht="65.25" customHeight="1" x14ac:dyDescent="0.3">
      <c r="A270" s="188">
        <v>948</v>
      </c>
      <c r="B270" s="459"/>
      <c r="C270" s="459"/>
      <c r="D270" s="342" t="s">
        <v>421</v>
      </c>
      <c r="E270" s="565"/>
      <c r="F270" s="796"/>
      <c r="G270" s="428" t="str">
        <f t="shared" ref="G270:G272" si="4">IF(ISBLANK(F270),"Please do not leave blank","")</f>
        <v>Please do not leave blank</v>
      </c>
      <c r="H270" s="17"/>
      <c r="I270" s="323"/>
      <c r="J270" s="185"/>
      <c r="K270"/>
      <c r="L270" s="185"/>
      <c r="N270" s="185"/>
      <c r="P270" s="185"/>
    </row>
    <row r="271" spans="1:33" ht="76.5" customHeight="1" x14ac:dyDescent="0.3">
      <c r="A271" s="188">
        <v>949</v>
      </c>
      <c r="B271" s="459"/>
      <c r="C271" s="459"/>
      <c r="D271" s="342" t="s">
        <v>422</v>
      </c>
      <c r="E271" s="565"/>
      <c r="F271" s="796"/>
      <c r="G271" s="428" t="str">
        <f t="shared" si="4"/>
        <v>Please do not leave blank</v>
      </c>
      <c r="H271" s="17"/>
      <c r="I271" s="323"/>
      <c r="J271" s="185"/>
      <c r="K271"/>
      <c r="L271" s="185"/>
      <c r="N271" s="185"/>
      <c r="P271" s="185"/>
    </row>
    <row r="272" spans="1:33" ht="60" customHeight="1" x14ac:dyDescent="0.3">
      <c r="A272" s="188">
        <v>950</v>
      </c>
      <c r="B272" s="459"/>
      <c r="C272" s="459"/>
      <c r="D272" s="342" t="s">
        <v>1569</v>
      </c>
      <c r="E272" s="565"/>
      <c r="F272" s="796"/>
      <c r="G272" s="428" t="str">
        <f t="shared" si="4"/>
        <v>Please do not leave blank</v>
      </c>
      <c r="H272" s="17"/>
      <c r="I272" s="323"/>
      <c r="J272" s="185"/>
      <c r="K272"/>
      <c r="L272" s="185"/>
      <c r="N272" s="185"/>
      <c r="P272" s="185"/>
    </row>
    <row r="273" spans="1:16" ht="80.400000000000006" customHeight="1" x14ac:dyDescent="0.3">
      <c r="A273" s="188">
        <v>952</v>
      </c>
      <c r="B273" s="459"/>
      <c r="C273" s="459"/>
      <c r="D273" s="413" t="s">
        <v>1541</v>
      </c>
      <c r="E273" s="565"/>
      <c r="F273" s="797"/>
      <c r="G273" s="428" t="s">
        <v>791</v>
      </c>
      <c r="H273" s="17"/>
      <c r="I273" s="1023"/>
      <c r="J273" s="435"/>
      <c r="K273"/>
      <c r="L273" s="185"/>
      <c r="N273" s="185"/>
      <c r="P273" s="185"/>
    </row>
    <row r="274" spans="1:16" ht="33" customHeight="1" thickBot="1" x14ac:dyDescent="0.35">
      <c r="A274" s="100"/>
      <c r="B274" s="509"/>
      <c r="C274" s="510"/>
      <c r="D274" s="511" t="s">
        <v>411</v>
      </c>
      <c r="E274" s="497"/>
      <c r="F274" s="512"/>
      <c r="G274" s="513"/>
      <c r="H274" s="514"/>
      <c r="I274" s="323"/>
      <c r="J274" s="185"/>
      <c r="K274"/>
      <c r="L274" s="185"/>
      <c r="N274" s="185"/>
      <c r="P274" s="185"/>
    </row>
    <row r="275" spans="1:16" ht="15" thickBot="1" x14ac:dyDescent="0.35">
      <c r="B275" s="1069" t="s">
        <v>459</v>
      </c>
      <c r="C275" s="1070"/>
      <c r="D275" s="1070"/>
      <c r="E275" s="1071"/>
      <c r="F275" s="72"/>
      <c r="G275" s="428"/>
      <c r="H275" s="17"/>
      <c r="I275" s="703"/>
      <c r="J275" s="100"/>
      <c r="K275"/>
    </row>
    <row r="276" spans="1:16" ht="75.75" customHeight="1" x14ac:dyDescent="0.3">
      <c r="B276" s="1055" t="s">
        <v>460</v>
      </c>
      <c r="C276" s="1055"/>
      <c r="D276" s="1055"/>
      <c r="E276" s="1055"/>
      <c r="F276" s="72"/>
      <c r="G276" s="428"/>
      <c r="H276" s="17"/>
      <c r="I276" s="703"/>
      <c r="J276" s="100"/>
      <c r="K276"/>
    </row>
    <row r="277" spans="1:16" ht="15" thickBot="1" x14ac:dyDescent="0.35">
      <c r="A277" s="706"/>
      <c r="B277" s="436"/>
      <c r="C277" s="436"/>
      <c r="D277" s="437"/>
      <c r="E277" s="370"/>
      <c r="F277" s="72"/>
      <c r="G277" s="428"/>
      <c r="H277" s="17"/>
      <c r="I277" s="703"/>
      <c r="J277" s="100"/>
      <c r="K277"/>
    </row>
    <row r="278" spans="1:16" ht="15" thickBot="1" x14ac:dyDescent="0.35">
      <c r="B278" s="149" t="s">
        <v>400</v>
      </c>
      <c r="C278" s="150" t="s">
        <v>401</v>
      </c>
      <c r="D278" s="438"/>
      <c r="E278" s="439"/>
      <c r="F278" s="92"/>
      <c r="G278" s="428"/>
      <c r="H278" s="17"/>
      <c r="I278" s="703"/>
      <c r="J278" s="100"/>
      <c r="K278"/>
    </row>
    <row r="279" spans="1:16" ht="44.25" customHeight="1" thickBot="1" x14ac:dyDescent="0.35">
      <c r="B279" s="153" t="s">
        <v>425</v>
      </c>
      <c r="C279" s="152"/>
      <c r="D279" s="151"/>
      <c r="E279" s="373"/>
      <c r="F279" s="440"/>
      <c r="G279" s="428"/>
      <c r="H279" s="17"/>
      <c r="I279" s="703"/>
      <c r="J279" s="100"/>
      <c r="K279"/>
    </row>
    <row r="280" spans="1:16" ht="44.25" customHeight="1" thickBot="1" x14ac:dyDescent="0.35">
      <c r="B280" s="153"/>
      <c r="C280" s="159"/>
      <c r="D280" s="441" t="s">
        <v>449</v>
      </c>
      <c r="E280" s="442"/>
      <c r="F280" s="443"/>
      <c r="G280" s="443"/>
      <c r="H280" s="17"/>
      <c r="I280" s="703"/>
      <c r="J280" s="100"/>
    </row>
    <row r="281" spans="1:16" ht="32.4" customHeight="1" thickBot="1" x14ac:dyDescent="0.35">
      <c r="A281" s="276">
        <v>960</v>
      </c>
      <c r="B281" s="1062" t="s">
        <v>426</v>
      </c>
      <c r="C281" s="1063"/>
      <c r="D281" s="1029"/>
      <c r="E281" s="640" t="str">
        <f>IF(ISBLANK($D281),"&lt;&lt;&lt;&lt;&lt;&lt;&lt;&lt;&lt;&lt;&lt;&lt;&lt;&lt;&lt;","")</f>
        <v>&lt;&lt;&lt;&lt;&lt;&lt;&lt;&lt;&lt;&lt;&lt;&lt;&lt;&lt;&lt;</v>
      </c>
      <c r="F281" s="641" t="str">
        <f>IF(ISBLANK($D281),"Required","")</f>
        <v>Required</v>
      </c>
      <c r="G281" s="519"/>
      <c r="H281" s="401"/>
      <c r="I281" s="703"/>
      <c r="J281" s="100"/>
    </row>
    <row r="282" spans="1:16" ht="32.4" customHeight="1" thickBot="1" x14ac:dyDescent="0.35">
      <c r="A282" s="276">
        <v>962</v>
      </c>
      <c r="B282" s="1060" t="s">
        <v>402</v>
      </c>
      <c r="C282" s="1061"/>
      <c r="D282" s="1029"/>
      <c r="E282" s="640" t="str">
        <f>IF(ISBLANK($D282),"&lt;&lt;&lt;&lt;&lt;&lt;&lt;&lt;&lt;&lt;&lt;&lt;&lt;&lt;&lt;","")</f>
        <v>&lt;&lt;&lt;&lt;&lt;&lt;&lt;&lt;&lt;&lt;&lt;&lt;&lt;&lt;&lt;</v>
      </c>
      <c r="F282" s="641" t="str">
        <f>IF(ISBLANK($D282),"Required","")</f>
        <v>Required</v>
      </c>
      <c r="H282" s="17"/>
      <c r="I282" s="703"/>
      <c r="J282" s="100"/>
    </row>
    <row r="283" spans="1:16" ht="32.4" customHeight="1" thickBot="1" x14ac:dyDescent="0.35">
      <c r="A283" s="276">
        <v>964</v>
      </c>
      <c r="B283" s="1060" t="s">
        <v>403</v>
      </c>
      <c r="C283" s="1061"/>
      <c r="D283" s="1030"/>
      <c r="E283" s="640" t="str">
        <f>IF(ISBLANK($D283),"&lt;&lt;&lt;&lt;&lt;&lt;&lt;&lt;&lt;&lt;&lt;&lt;&lt;&lt;&lt;","")</f>
        <v>&lt;&lt;&lt;&lt;&lt;&lt;&lt;&lt;&lt;&lt;&lt;&lt;&lt;&lt;&lt;</v>
      </c>
      <c r="F283" s="641" t="str">
        <f>IF(ISBLANK($D283),"Required","")</f>
        <v>Required</v>
      </c>
      <c r="H283" s="17"/>
      <c r="I283" s="1024"/>
      <c r="J283" s="233"/>
    </row>
    <row r="284" spans="1:16" ht="32.4" customHeight="1" thickBot="1" x14ac:dyDescent="0.35">
      <c r="A284" s="639">
        <v>966</v>
      </c>
      <c r="B284" s="1056" t="s">
        <v>1539</v>
      </c>
      <c r="C284" s="1057"/>
      <c r="D284" s="1031"/>
      <c r="E284" s="640" t="str">
        <f>IF(ISBLANK($D284),"&lt;&lt;&lt;&lt;&lt;&lt;&lt;&lt;&lt;&lt;&lt;&lt;&lt;&lt;&lt;","")</f>
        <v>&lt;&lt;&lt;&lt;&lt;&lt;&lt;&lt;&lt;&lt;&lt;&lt;&lt;&lt;&lt;</v>
      </c>
      <c r="F284" s="641" t="str">
        <f>IF(ISBLANK($D284),"Required","")</f>
        <v>Required</v>
      </c>
      <c r="G284"/>
      <c r="H284" s="17"/>
      <c r="I284" s="703"/>
      <c r="J284" s="100"/>
    </row>
    <row r="285" spans="1:16" ht="32.4" customHeight="1" thickBot="1" x14ac:dyDescent="0.35">
      <c r="A285" s="639"/>
      <c r="B285" s="1056" t="s">
        <v>1540</v>
      </c>
      <c r="C285" s="1057"/>
      <c r="D285" s="1029"/>
      <c r="E285" s="642"/>
      <c r="F285" s="641"/>
      <c r="G285"/>
      <c r="H285" s="17"/>
      <c r="I285" s="703"/>
      <c r="J285" s="100"/>
    </row>
    <row r="286" spans="1:16" ht="32.4" customHeight="1" thickBot="1" x14ac:dyDescent="0.35">
      <c r="A286" s="276">
        <v>968</v>
      </c>
      <c r="B286" s="1058" t="s">
        <v>405</v>
      </c>
      <c r="C286" s="1059"/>
      <c r="D286" s="1032"/>
      <c r="E286" s="643" t="str">
        <f>IF(ISBLANK($D286),"&lt;&lt;&lt;&lt;&lt;&lt;&lt;&lt;&lt;&lt;&lt;&lt;&lt;&lt;&lt;","")</f>
        <v>&lt;&lt;&lt;&lt;&lt;&lt;&lt;&lt;&lt;&lt;&lt;&lt;&lt;&lt;&lt;</v>
      </c>
      <c r="F286" s="641" t="str">
        <f>IF(ISBLANK($D286),"Required","")</f>
        <v>Required</v>
      </c>
      <c r="H286" s="17"/>
      <c r="I286" s="703"/>
      <c r="J286" s="100"/>
    </row>
    <row r="287" spans="1:16" ht="17.399999999999999" customHeight="1" x14ac:dyDescent="0.3">
      <c r="A287" s="100"/>
      <c r="B287" s="515"/>
      <c r="C287" s="515"/>
      <c r="D287" s="520" t="s">
        <v>45</v>
      </c>
      <c r="E287" s="516"/>
      <c r="F287" s="516"/>
      <c r="G287" s="516"/>
      <c r="H287" s="517"/>
      <c r="I287" s="100"/>
      <c r="J287" s="100"/>
    </row>
    <row r="288" spans="1:16" x14ac:dyDescent="0.3">
      <c r="A288" s="100"/>
      <c r="B288" s="372"/>
      <c r="C288" s="372"/>
      <c r="D288" s="157"/>
      <c r="E288" s="186"/>
      <c r="F288" s="444"/>
      <c r="G288" s="444"/>
      <c r="H288" s="17"/>
      <c r="I288" s="100"/>
      <c r="J288" s="100"/>
    </row>
    <row r="289" spans="1:10" x14ac:dyDescent="0.3">
      <c r="A289" s="100"/>
      <c r="B289" s="372"/>
      <c r="C289" s="372"/>
      <c r="D289" s="21"/>
      <c r="E289" s="370"/>
      <c r="F289" s="444"/>
      <c r="G289" s="444"/>
      <c r="H289" s="17"/>
      <c r="I289" s="100"/>
      <c r="J289" s="100"/>
    </row>
    <row r="290" spans="1:10" x14ac:dyDescent="0.3">
      <c r="A290" s="707">
        <f>SUBTOTAL(109,A9:A286)</f>
        <v>106600</v>
      </c>
      <c r="E290" s="546"/>
    </row>
    <row r="291" spans="1:10" x14ac:dyDescent="0.3">
      <c r="A291" s="100"/>
      <c r="B291" s="465"/>
      <c r="C291" s="465"/>
      <c r="D291" s="445"/>
      <c r="E291" s="249"/>
      <c r="F291" s="18"/>
      <c r="G291" s="446"/>
      <c r="H291" s="17"/>
      <c r="I291" s="100"/>
      <c r="J291" s="100"/>
    </row>
    <row r="292" spans="1:10" x14ac:dyDescent="0.3">
      <c r="B292" s="276"/>
      <c r="C292" s="276"/>
      <c r="D292" s="445" t="s">
        <v>1677</v>
      </c>
      <c r="E292" s="249" t="e">
        <f>SUM(E9:E267)</f>
        <v>#N/A</v>
      </c>
      <c r="F292" s="185"/>
      <c r="G292" s="446"/>
      <c r="H292" s="17"/>
      <c r="I292" s="100"/>
      <c r="J292" s="100"/>
    </row>
    <row r="293" spans="1:10" x14ac:dyDescent="0.3">
      <c r="B293" s="276"/>
      <c r="C293" s="276"/>
      <c r="D293" s="447"/>
      <c r="E293" s="249" t="e">
        <f>E191</f>
        <v>#N/A</v>
      </c>
      <c r="F293" s="185"/>
      <c r="G293" s="446"/>
      <c r="H293" s="17"/>
      <c r="I293" s="100"/>
      <c r="J293" s="100"/>
    </row>
    <row r="294" spans="1:10" x14ac:dyDescent="0.3">
      <c r="B294" s="276"/>
      <c r="C294" s="276"/>
      <c r="D294" s="447"/>
      <c r="E294" s="249" t="e">
        <f>E198</f>
        <v>#N/A</v>
      </c>
      <c r="F294" s="185"/>
      <c r="G294" s="446"/>
      <c r="H294" s="17"/>
      <c r="I294" s="100"/>
      <c r="J294" s="100"/>
    </row>
    <row r="295" spans="1:10" x14ac:dyDescent="0.3">
      <c r="B295" s="276"/>
      <c r="C295" s="276"/>
      <c r="D295" s="447"/>
      <c r="E295" s="249" t="e">
        <f>E204</f>
        <v>#N/A</v>
      </c>
      <c r="F295" s="185"/>
      <c r="G295" s="446"/>
      <c r="H295" s="17"/>
      <c r="I295" s="100"/>
      <c r="J295" s="100"/>
    </row>
    <row r="296" spans="1:10" x14ac:dyDescent="0.3">
      <c r="B296" s="276"/>
      <c r="C296" s="276"/>
      <c r="D296" s="447"/>
      <c r="E296" s="249" t="e">
        <f>E210</f>
        <v>#N/A</v>
      </c>
      <c r="F296" s="185"/>
      <c r="G296" s="446"/>
      <c r="H296" s="17"/>
      <c r="I296" s="100"/>
      <c r="J296" s="100"/>
    </row>
    <row r="297" spans="1:10" x14ac:dyDescent="0.3">
      <c r="D297" s="313"/>
      <c r="E297" s="249" t="e">
        <f>E211</f>
        <v>#N/A</v>
      </c>
      <c r="F297" s="185"/>
      <c r="H297" s="17"/>
      <c r="I297" s="100"/>
      <c r="J297" s="100"/>
    </row>
    <row r="298" spans="1:10" x14ac:dyDescent="0.3">
      <c r="D298" s="313"/>
      <c r="E298" s="250"/>
      <c r="F298" s="185"/>
      <c r="H298" s="17"/>
      <c r="I298" s="100"/>
      <c r="J298" s="100"/>
    </row>
    <row r="299" spans="1:10" x14ac:dyDescent="0.3">
      <c r="D299" s="313"/>
      <c r="E299" s="249" t="e">
        <f>E292-E293-E294-E295-E296-E297</f>
        <v>#N/A</v>
      </c>
      <c r="F299" s="185"/>
      <c r="H299" s="17"/>
      <c r="I299" s="100"/>
      <c r="J299" s="100"/>
    </row>
    <row r="300" spans="1:10" x14ac:dyDescent="0.3">
      <c r="D300" s="313"/>
      <c r="E300" s="186"/>
      <c r="F300" s="185"/>
      <c r="I300" s="100"/>
      <c r="J300" s="100"/>
    </row>
    <row r="301" spans="1:10" x14ac:dyDescent="0.3">
      <c r="E301" s="248"/>
      <c r="F301" s="185"/>
      <c r="G301" s="449"/>
      <c r="I301" s="100"/>
      <c r="J301" s="100"/>
    </row>
    <row r="302" spans="1:10" x14ac:dyDescent="0.3">
      <c r="E302" s="186"/>
      <c r="F302" s="185"/>
      <c r="I302" s="100"/>
      <c r="J302" s="100"/>
    </row>
    <row r="303" spans="1:10" x14ac:dyDescent="0.3">
      <c r="E303" s="186"/>
      <c r="F303" s="185"/>
      <c r="I303" s="100"/>
      <c r="J303" s="100"/>
    </row>
    <row r="304" spans="1:10" x14ac:dyDescent="0.3">
      <c r="E304" s="186"/>
      <c r="F304" s="185"/>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5"/>
      <c r="J312" s="185"/>
    </row>
    <row r="313" spans="9:12" x14ac:dyDescent="0.3">
      <c r="I313" s="185"/>
      <c r="J313" s="185"/>
      <c r="L313" s="186"/>
    </row>
    <row r="314" spans="9:12" x14ac:dyDescent="0.3">
      <c r="I314" s="185"/>
      <c r="J314" s="185"/>
      <c r="L314" s="186"/>
    </row>
    <row r="315" spans="9:12" x14ac:dyDescent="0.3">
      <c r="I315" s="185"/>
      <c r="J315" s="185"/>
      <c r="L315" s="186"/>
    </row>
    <row r="316" spans="9:12" x14ac:dyDescent="0.3">
      <c r="I316" s="185"/>
      <c r="J316" s="185"/>
      <c r="L316" s="186"/>
    </row>
    <row r="317" spans="9:12" x14ac:dyDescent="0.3">
      <c r="I317" s="185"/>
      <c r="J317" s="185"/>
      <c r="L317" s="186"/>
    </row>
    <row r="318" spans="9:12" x14ac:dyDescent="0.3">
      <c r="I318" s="185"/>
      <c r="J318" s="185"/>
      <c r="L318" s="186"/>
    </row>
    <row r="319" spans="9:12" x14ac:dyDescent="0.3">
      <c r="I319" s="100"/>
      <c r="J319" s="100"/>
      <c r="L319" s="186"/>
    </row>
    <row r="320" spans="9:12" x14ac:dyDescent="0.3">
      <c r="I320" s="100"/>
      <c r="J320" s="100"/>
      <c r="K320" s="186"/>
      <c r="L320" s="186"/>
    </row>
    <row r="321" spans="9:12" x14ac:dyDescent="0.3">
      <c r="I321" s="100"/>
      <c r="J321" s="100"/>
      <c r="K321" s="186"/>
      <c r="L321" s="186"/>
    </row>
    <row r="322" spans="9:12" x14ac:dyDescent="0.3">
      <c r="I322" s="100"/>
      <c r="J322" s="100"/>
      <c r="K322" s="186"/>
      <c r="L322" s="186"/>
    </row>
    <row r="323" spans="9:12" x14ac:dyDescent="0.3">
      <c r="I323" s="100"/>
      <c r="J323" s="100"/>
      <c r="K323" s="186"/>
      <c r="L323" s="186"/>
    </row>
    <row r="324" spans="9:12" x14ac:dyDescent="0.3">
      <c r="I324" s="100"/>
      <c r="J324" s="100"/>
      <c r="K324" s="186"/>
      <c r="L324" s="186"/>
    </row>
    <row r="325" spans="9:12" x14ac:dyDescent="0.3">
      <c r="I325" s="100"/>
      <c r="J325" s="100"/>
      <c r="K325" s="186"/>
      <c r="L325" s="186"/>
    </row>
    <row r="326" spans="9:12" x14ac:dyDescent="0.3">
      <c r="I326" s="100"/>
      <c r="J326" s="100"/>
      <c r="K326" s="186"/>
      <c r="L326" s="186"/>
    </row>
    <row r="327" spans="9:12" x14ac:dyDescent="0.3">
      <c r="I327" s="100"/>
      <c r="J327" s="100"/>
      <c r="K327" s="186"/>
      <c r="L327" s="186"/>
    </row>
    <row r="328" spans="9:12" x14ac:dyDescent="0.3">
      <c r="I328" s="185"/>
      <c r="J328" s="185"/>
      <c r="K328" s="186"/>
      <c r="L328" s="186"/>
    </row>
    <row r="329" spans="9:12" x14ac:dyDescent="0.3">
      <c r="I329" s="185"/>
      <c r="J329" s="185"/>
      <c r="K329" s="186"/>
      <c r="L329" s="186"/>
    </row>
    <row r="330" spans="9:12" x14ac:dyDescent="0.3">
      <c r="I330" s="185"/>
      <c r="J330" s="185"/>
      <c r="K330" s="186"/>
      <c r="L330" s="186"/>
    </row>
    <row r="331" spans="9:12" x14ac:dyDescent="0.3">
      <c r="I331" s="185"/>
      <c r="J331" s="185"/>
      <c r="K331" s="186"/>
      <c r="L331" s="186"/>
    </row>
    <row r="332" spans="9:12" x14ac:dyDescent="0.3">
      <c r="I332" s="185"/>
      <c r="J332" s="185"/>
      <c r="K332" s="186"/>
      <c r="L332" s="186"/>
    </row>
    <row r="333" spans="9:12" x14ac:dyDescent="0.3">
      <c r="I333" s="185"/>
      <c r="J333" s="185"/>
      <c r="K333" s="186"/>
      <c r="L333" s="186"/>
    </row>
    <row r="334" spans="9:12" x14ac:dyDescent="0.3">
      <c r="I334" s="185"/>
      <c r="J334" s="185"/>
      <c r="K334" s="186"/>
      <c r="L334" s="186"/>
    </row>
    <row r="335" spans="9:12" x14ac:dyDescent="0.3">
      <c r="I335" s="185"/>
      <c r="J335" s="185"/>
      <c r="K335" s="186"/>
      <c r="L335" s="186"/>
    </row>
    <row r="336" spans="9:12" x14ac:dyDescent="0.3">
      <c r="I336" s="185"/>
      <c r="J336" s="185"/>
      <c r="K336" s="186"/>
      <c r="L336" s="186"/>
    </row>
    <row r="337" spans="8:12" x14ac:dyDescent="0.3">
      <c r="I337" s="185"/>
      <c r="J337" s="185"/>
      <c r="K337" s="186"/>
      <c r="L337" s="186"/>
    </row>
    <row r="338" spans="8:12" x14ac:dyDescent="0.3">
      <c r="I338" s="185"/>
      <c r="J338" s="185"/>
      <c r="K338" s="186"/>
      <c r="L338" s="186"/>
    </row>
    <row r="339" spans="8:12" x14ac:dyDescent="0.3">
      <c r="I339" s="185"/>
      <c r="J339" s="185"/>
      <c r="K339" s="186"/>
      <c r="L339" s="186"/>
    </row>
    <row r="340" spans="8:12" x14ac:dyDescent="0.3">
      <c r="I340" s="185"/>
      <c r="J340" s="185"/>
      <c r="K340" s="186"/>
      <c r="L340" s="186"/>
    </row>
    <row r="341" spans="8:12" x14ac:dyDescent="0.3">
      <c r="I341" s="185"/>
      <c r="J341" s="185"/>
      <c r="K341" s="186"/>
      <c r="L341" s="186"/>
    </row>
    <row r="342" spans="8:12" x14ac:dyDescent="0.3">
      <c r="I342" s="185"/>
      <c r="J342" s="185"/>
      <c r="K342" s="186"/>
      <c r="L342" s="186"/>
    </row>
    <row r="343" spans="8:12" x14ac:dyDescent="0.3">
      <c r="I343" s="185"/>
      <c r="J343" s="185"/>
      <c r="K343" s="186"/>
      <c r="L343" s="186"/>
    </row>
    <row r="344" spans="8:12" x14ac:dyDescent="0.3">
      <c r="I344" s="185"/>
      <c r="J344" s="185"/>
      <c r="K344" s="186"/>
      <c r="L344" s="186"/>
    </row>
    <row r="345" spans="8:12" x14ac:dyDescent="0.3">
      <c r="I345" s="185"/>
      <c r="J345" s="185"/>
      <c r="K345" s="186"/>
      <c r="L345" s="186"/>
    </row>
    <row r="346" spans="8:12" x14ac:dyDescent="0.3">
      <c r="H346" s="308" t="s">
        <v>1871</v>
      </c>
      <c r="I346" s="185"/>
      <c r="J346" s="185"/>
      <c r="K346" s="186"/>
      <c r="L346" s="186"/>
    </row>
    <row r="347" spans="8:12" x14ac:dyDescent="0.3">
      <c r="I347" s="185"/>
      <c r="J347" s="185"/>
      <c r="K347" s="186"/>
      <c r="L347" s="186"/>
    </row>
    <row r="348" spans="8:12" x14ac:dyDescent="0.3">
      <c r="I348" s="185"/>
      <c r="J348" s="185"/>
      <c r="K348" s="186"/>
      <c r="L348" s="186"/>
    </row>
    <row r="349" spans="8:12" x14ac:dyDescent="0.3">
      <c r="I349" s="185"/>
      <c r="J349" s="185"/>
      <c r="K349" s="186"/>
      <c r="L349" s="186"/>
    </row>
    <row r="350" spans="8:12" x14ac:dyDescent="0.3">
      <c r="I350" s="185"/>
      <c r="J350" s="185"/>
      <c r="K350" s="186"/>
      <c r="L350" s="186"/>
    </row>
    <row r="351" spans="8:12" x14ac:dyDescent="0.3">
      <c r="I351" s="185"/>
      <c r="J351" s="185"/>
      <c r="K351" s="186"/>
      <c r="L351" s="186"/>
    </row>
    <row r="352" spans="8:12" x14ac:dyDescent="0.3">
      <c r="I352" s="185"/>
      <c r="J352" s="185"/>
      <c r="K352" s="186"/>
      <c r="L352" s="186"/>
    </row>
    <row r="353" spans="9:12" x14ac:dyDescent="0.3">
      <c r="I353" s="185"/>
      <c r="J353" s="185"/>
      <c r="K353" s="186"/>
      <c r="L353" s="186"/>
    </row>
    <row r="354" spans="9:12" x14ac:dyDescent="0.3">
      <c r="I354" s="185"/>
      <c r="J354" s="185"/>
      <c r="K354" s="186"/>
      <c r="L354" s="186"/>
    </row>
    <row r="355" spans="9:12" x14ac:dyDescent="0.3">
      <c r="I355" s="185"/>
      <c r="J355" s="185"/>
      <c r="K355" s="186"/>
      <c r="L355" s="186"/>
    </row>
    <row r="356" spans="9:12" x14ac:dyDescent="0.3">
      <c r="I356" s="185"/>
      <c r="J356" s="185"/>
      <c r="K356" s="186"/>
      <c r="L356" s="186"/>
    </row>
    <row r="357" spans="9:12" x14ac:dyDescent="0.3">
      <c r="I357" s="185"/>
      <c r="J357" s="185"/>
      <c r="K357" s="186"/>
      <c r="L357" s="186"/>
    </row>
    <row r="358" spans="9:12" x14ac:dyDescent="0.3">
      <c r="I358" s="185"/>
      <c r="J358" s="185"/>
      <c r="K358" s="186"/>
      <c r="L358" s="186"/>
    </row>
    <row r="359" spans="9:12" x14ac:dyDescent="0.3">
      <c r="I359" s="185"/>
      <c r="J359" s="185"/>
      <c r="K359" s="186"/>
      <c r="L359" s="186"/>
    </row>
    <row r="360" spans="9:12" x14ac:dyDescent="0.3">
      <c r="I360" s="185"/>
      <c r="J360" s="185"/>
      <c r="K360" s="186"/>
      <c r="L360" s="186"/>
    </row>
    <row r="361" spans="9:12" x14ac:dyDescent="0.3">
      <c r="I361" s="185"/>
      <c r="J361" s="185"/>
      <c r="K361" s="186"/>
      <c r="L361" s="186"/>
    </row>
    <row r="362" spans="9:12" x14ac:dyDescent="0.3">
      <c r="I362" s="185"/>
      <c r="J362" s="185"/>
      <c r="K362" s="186"/>
      <c r="L362" s="186"/>
    </row>
    <row r="363" spans="9:12" x14ac:dyDescent="0.3">
      <c r="I363" s="185"/>
      <c r="J363" s="185"/>
      <c r="K363" s="186"/>
      <c r="L363" s="186"/>
    </row>
    <row r="364" spans="9:12" x14ac:dyDescent="0.3">
      <c r="I364" s="185"/>
      <c r="J364" s="185"/>
      <c r="K364" s="186"/>
      <c r="L364" s="186"/>
    </row>
    <row r="365" spans="9:12" x14ac:dyDescent="0.3">
      <c r="I365" s="185"/>
      <c r="J365" s="185"/>
      <c r="K365" s="186"/>
      <c r="L365" s="186"/>
    </row>
    <row r="366" spans="9:12" x14ac:dyDescent="0.3">
      <c r="I366" s="185"/>
      <c r="J366" s="185"/>
      <c r="K366" s="186"/>
      <c r="L366" s="186"/>
    </row>
    <row r="367" spans="9:12" x14ac:dyDescent="0.3">
      <c r="I367" s="185"/>
      <c r="J367" s="185"/>
      <c r="K367" s="186"/>
      <c r="L367" s="186"/>
    </row>
    <row r="368" spans="9:12" x14ac:dyDescent="0.3">
      <c r="I368" s="185"/>
      <c r="J368" s="185"/>
      <c r="K368" s="186"/>
      <c r="L368" s="186"/>
    </row>
    <row r="369" spans="9:12" x14ac:dyDescent="0.3">
      <c r="I369" s="185"/>
      <c r="J369" s="185"/>
      <c r="K369" s="186"/>
      <c r="L369" s="186"/>
    </row>
    <row r="370" spans="9:12" x14ac:dyDescent="0.3">
      <c r="I370" s="185"/>
      <c r="J370" s="185"/>
      <c r="K370" s="186"/>
      <c r="L370" s="186"/>
    </row>
    <row r="371" spans="9:12" x14ac:dyDescent="0.3">
      <c r="I371" s="185"/>
      <c r="J371" s="185"/>
      <c r="K371" s="186"/>
      <c r="L371" s="186"/>
    </row>
    <row r="372" spans="9:12" x14ac:dyDescent="0.3">
      <c r="I372" s="185"/>
      <c r="J372" s="185"/>
      <c r="K372" s="186"/>
      <c r="L372" s="186"/>
    </row>
    <row r="373" spans="9:12" x14ac:dyDescent="0.3">
      <c r="I373" s="185"/>
      <c r="J373" s="185"/>
      <c r="K373" s="186"/>
      <c r="L373" s="186"/>
    </row>
    <row r="374" spans="9:12" x14ac:dyDescent="0.3">
      <c r="I374" s="185"/>
      <c r="J374" s="185"/>
      <c r="K374" s="186"/>
      <c r="L374" s="186"/>
    </row>
    <row r="375" spans="9:12" x14ac:dyDescent="0.3">
      <c r="I375" s="185"/>
      <c r="J375" s="185"/>
      <c r="K375" s="186"/>
      <c r="L375" s="186"/>
    </row>
    <row r="376" spans="9:12" x14ac:dyDescent="0.3">
      <c r="I376" s="185"/>
      <c r="J376" s="185"/>
      <c r="K376" s="186"/>
      <c r="L376" s="186"/>
    </row>
    <row r="377" spans="9:12" x14ac:dyDescent="0.3">
      <c r="I377" s="185"/>
      <c r="J377" s="185"/>
      <c r="K377" s="186"/>
      <c r="L377" s="186"/>
    </row>
    <row r="378" spans="9:12" x14ac:dyDescent="0.3">
      <c r="I378" s="185"/>
      <c r="J378" s="185"/>
      <c r="K378" s="186"/>
      <c r="L378" s="186"/>
    </row>
    <row r="379" spans="9:12" x14ac:dyDescent="0.3">
      <c r="I379" s="185"/>
      <c r="J379" s="185"/>
      <c r="K379" s="186"/>
      <c r="L379" s="186"/>
    </row>
    <row r="380" spans="9:12" x14ac:dyDescent="0.3">
      <c r="I380" s="185"/>
      <c r="J380" s="185"/>
      <c r="K380" s="186"/>
      <c r="L380" s="186"/>
    </row>
    <row r="381" spans="9:12" x14ac:dyDescent="0.3">
      <c r="I381" s="185"/>
      <c r="J381" s="185"/>
      <c r="K381" s="186"/>
      <c r="L381" s="186"/>
    </row>
    <row r="382" spans="9:12" x14ac:dyDescent="0.3">
      <c r="I382" s="185"/>
      <c r="J382" s="185"/>
      <c r="K382" s="186"/>
    </row>
    <row r="383" spans="9:12" x14ac:dyDescent="0.3">
      <c r="I383" s="185"/>
      <c r="J383" s="185"/>
      <c r="K383" s="186"/>
    </row>
    <row r="384" spans="9:12" x14ac:dyDescent="0.3">
      <c r="I384" s="185"/>
      <c r="J384" s="185"/>
      <c r="K384" s="186"/>
    </row>
    <row r="385" spans="9:11" x14ac:dyDescent="0.3">
      <c r="I385" s="185"/>
      <c r="J385" s="185"/>
      <c r="K385" s="186"/>
    </row>
    <row r="386" spans="9:11" x14ac:dyDescent="0.3">
      <c r="I386" s="185"/>
      <c r="J386" s="185"/>
      <c r="K386" s="186"/>
    </row>
    <row r="387" spans="9:11" x14ac:dyDescent="0.3">
      <c r="I387" s="185"/>
      <c r="J387" s="185"/>
      <c r="K387" s="186"/>
    </row>
    <row r="388" spans="9:11" x14ac:dyDescent="0.3">
      <c r="I388" s="185"/>
      <c r="J388" s="185"/>
      <c r="K388" s="186"/>
    </row>
    <row r="389" spans="9:11" x14ac:dyDescent="0.3">
      <c r="I389" s="185"/>
      <c r="J389" s="185"/>
    </row>
    <row r="390" spans="9:11" x14ac:dyDescent="0.3">
      <c r="I390" s="185"/>
      <c r="J390" s="185"/>
    </row>
    <row r="391" spans="9:11" x14ac:dyDescent="0.3">
      <c r="I391" s="185"/>
      <c r="J391" s="185"/>
    </row>
    <row r="392" spans="9:11" x14ac:dyDescent="0.3">
      <c r="I392" s="185"/>
      <c r="J392" s="185"/>
    </row>
    <row r="393" spans="9:11" x14ac:dyDescent="0.3">
      <c r="I393" s="185"/>
      <c r="J393" s="185"/>
    </row>
    <row r="394" spans="9:11" x14ac:dyDescent="0.3">
      <c r="I394" s="185"/>
      <c r="J394" s="185"/>
    </row>
    <row r="395" spans="9:11" x14ac:dyDescent="0.3">
      <c r="I395" s="185"/>
      <c r="J395" s="185"/>
    </row>
    <row r="396" spans="9:11" x14ac:dyDescent="0.3">
      <c r="I396" s="185"/>
      <c r="J396" s="185"/>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9DJ7izPAq8XORu4Wa0MHO0BbmZtWnb2T/g8qAtH7lUmqfOwoDHPpRqxlwXg39SFt/myYxsmTD4Y/V6YRxGUa3Q==" saltValue="iwYab8DsirsAbda7SI6bMA==" spinCount="100000" sheet="1" formatCells="0"/>
  <dataConsolidate link="1"/>
  <mergeCells count="14">
    <mergeCell ref="E2:G2"/>
    <mergeCell ref="B2:C2"/>
    <mergeCell ref="B124:D124"/>
    <mergeCell ref="B275:E275"/>
    <mergeCell ref="B268:D268"/>
    <mergeCell ref="B6:G6"/>
    <mergeCell ref="B7:G7"/>
    <mergeCell ref="B276:E276"/>
    <mergeCell ref="B284:C284"/>
    <mergeCell ref="B286:C286"/>
    <mergeCell ref="B283:C283"/>
    <mergeCell ref="B281:C281"/>
    <mergeCell ref="B282:C282"/>
    <mergeCell ref="B285:C285"/>
  </mergeCells>
  <phoneticPr fontId="54" type="noConversion"/>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87987CFB-254C-4218-8C1E-4ED20C439C6B}">
      <formula1>45107</formula1>
    </dataValidation>
  </dataValidations>
  <printOptions headings="1" gridLines="1"/>
  <pageMargins left="0.25" right="0.25" top="0.25" bottom="0.75" header="0.3" footer="0.3"/>
  <pageSetup scale="74"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2"/>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3" customWidth="1"/>
    <col min="5" max="5" width="25.5546875" customWidth="1"/>
    <col min="6" max="6" width="23" customWidth="1"/>
    <col min="7" max="7" width="32.109375" customWidth="1"/>
    <col min="8" max="9" width="8.88671875" style="622"/>
    <col min="10" max="10" width="1.6640625" style="622" customWidth="1"/>
    <col min="11" max="12" width="8.88671875" style="622" hidden="1" customWidth="1"/>
    <col min="13" max="13" width="13" style="622" customWidth="1"/>
  </cols>
  <sheetData>
    <row r="1" spans="1:13" s="556" customFormat="1" ht="12" customHeight="1" thickBot="1" x14ac:dyDescent="0.35">
      <c r="A1" s="555"/>
      <c r="D1" s="615"/>
      <c r="E1"/>
      <c r="F1"/>
      <c r="G1"/>
      <c r="H1" s="621"/>
      <c r="I1" s="621"/>
      <c r="J1" s="621"/>
      <c r="K1" s="621"/>
      <c r="L1" s="621"/>
      <c r="M1" s="621"/>
    </row>
    <row r="2" spans="1:13" ht="34.950000000000003" customHeight="1" thickBot="1" x14ac:dyDescent="0.35">
      <c r="A2" s="1078" t="s">
        <v>1461</v>
      </c>
      <c r="B2" s="1079"/>
      <c r="C2" s="1079"/>
      <c r="D2" s="1080"/>
    </row>
    <row r="3" spans="1:13" s="556" customFormat="1" ht="8.4" customHeight="1" thickBot="1" x14ac:dyDescent="0.35">
      <c r="A3" s="614"/>
      <c r="D3" s="615"/>
      <c r="E3"/>
      <c r="F3"/>
      <c r="G3"/>
      <c r="H3" s="621"/>
      <c r="I3" s="621"/>
      <c r="J3" s="621"/>
      <c r="K3" s="621"/>
      <c r="L3" s="621"/>
      <c r="M3" s="621"/>
    </row>
    <row r="4" spans="1:13" ht="16.95" customHeight="1" thickBot="1" x14ac:dyDescent="0.35">
      <c r="A4" s="1081" t="s">
        <v>1462</v>
      </c>
      <c r="B4" s="1082"/>
      <c r="C4" s="1082"/>
      <c r="D4" s="1083"/>
    </row>
    <row r="5" spans="1:13" ht="9" customHeight="1" thickBot="1" x14ac:dyDescent="0.35">
      <c r="A5"/>
      <c r="D5"/>
      <c r="H5"/>
      <c r="I5"/>
      <c r="J5"/>
      <c r="K5"/>
      <c r="L5"/>
      <c r="M5"/>
    </row>
    <row r="6" spans="1:13" ht="18.600000000000001" customHeight="1" thickBot="1" x14ac:dyDescent="0.35">
      <c r="A6" s="1084" t="s">
        <v>859</v>
      </c>
      <c r="B6" s="1085"/>
      <c r="C6" s="1085"/>
      <c r="D6" s="1086"/>
    </row>
    <row r="7" spans="1:13" s="180" customFormat="1" ht="7.95" customHeight="1" thickBot="1" x14ac:dyDescent="0.35"/>
    <row r="8" spans="1:13" s="180" customFormat="1" ht="36.6" customHeight="1" thickBot="1" x14ac:dyDescent="0.4">
      <c r="A8" s="1087" t="s">
        <v>1888</v>
      </c>
      <c r="B8" s="1088"/>
      <c r="C8" s="1088"/>
      <c r="D8" s="1089"/>
    </row>
    <row r="9" spans="1:13" s="556" customFormat="1" ht="13.95" customHeight="1" thickBot="1" x14ac:dyDescent="0.35">
      <c r="A9" s="616"/>
      <c r="B9" s="617"/>
      <c r="C9" s="617"/>
      <c r="D9" s="620"/>
      <c r="E9" s="1076" t="s">
        <v>1899</v>
      </c>
      <c r="F9"/>
      <c r="G9"/>
      <c r="H9" s="621"/>
      <c r="I9" s="621"/>
      <c r="J9" s="621"/>
      <c r="K9" s="621"/>
      <c r="L9" s="621"/>
      <c r="M9" s="621"/>
    </row>
    <row r="10" spans="1:13" ht="47.25" customHeight="1" x14ac:dyDescent="0.3">
      <c r="A10" s="754" t="s">
        <v>799</v>
      </c>
      <c r="B10" s="755"/>
      <c r="C10" s="755"/>
      <c r="D10" s="756"/>
      <c r="E10" s="1077"/>
    </row>
    <row r="11" spans="1:13" s="534" customFormat="1" ht="40.200000000000003" customHeight="1" x14ac:dyDescent="0.3">
      <c r="A11" s="646">
        <v>906</v>
      </c>
      <c r="B11" s="647" t="s">
        <v>462</v>
      </c>
      <c r="C11" s="740"/>
      <c r="D11" s="927" t="str">
        <f t="shared" ref="D11:D32" si="0">IF(C11="","This Question must be answered before uploading, the report will not be processed if left blank","")</f>
        <v>This Question must be answered before uploading, the report will not be processed if left blank</v>
      </c>
      <c r="E11" s="1017"/>
      <c r="F11"/>
      <c r="G11"/>
      <c r="H11" s="623"/>
      <c r="I11" s="623"/>
      <c r="J11" s="623"/>
      <c r="K11" s="623"/>
      <c r="L11" s="623"/>
      <c r="M11" s="623"/>
    </row>
    <row r="12" spans="1:13" ht="40.200000000000003" customHeight="1" x14ac:dyDescent="0.3">
      <c r="A12" s="646">
        <v>907</v>
      </c>
      <c r="B12" s="647" t="s">
        <v>1444</v>
      </c>
      <c r="C12" s="740"/>
      <c r="D12" s="927" t="str">
        <f t="shared" si="0"/>
        <v>This Question must be answered before uploading, the report will not be processed if left blank</v>
      </c>
      <c r="E12" s="1018"/>
      <c r="H12" s="623"/>
      <c r="I12" s="623"/>
      <c r="J12" s="623"/>
      <c r="K12" s="623"/>
      <c r="L12" s="623"/>
    </row>
    <row r="13" spans="1:13" s="180" customFormat="1" ht="51.6" customHeight="1" x14ac:dyDescent="0.3">
      <c r="A13" s="775">
        <v>1055</v>
      </c>
      <c r="B13" s="647" t="s">
        <v>1884</v>
      </c>
      <c r="C13" s="740"/>
      <c r="D13" s="710"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19"/>
      <c r="F13"/>
      <c r="G13"/>
      <c r="H13" s="623"/>
      <c r="I13" s="623"/>
      <c r="J13" s="623"/>
      <c r="K13" s="623"/>
      <c r="L13" s="623"/>
      <c r="M13" s="622"/>
    </row>
    <row r="14" spans="1:13" s="180" customFormat="1" ht="48.6" customHeight="1" x14ac:dyDescent="0.3">
      <c r="A14" s="775">
        <v>1056</v>
      </c>
      <c r="B14" s="647" t="s">
        <v>1441</v>
      </c>
      <c r="C14" s="740"/>
      <c r="D14" s="927"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19"/>
      <c r="F14"/>
      <c r="G14"/>
      <c r="H14" s="623"/>
      <c r="I14" s="623"/>
      <c r="J14" s="623"/>
      <c r="K14" s="623"/>
      <c r="L14" s="623"/>
      <c r="M14" s="622"/>
    </row>
    <row r="15" spans="1:13" s="180" customFormat="1" ht="55.2" customHeight="1" x14ac:dyDescent="0.3">
      <c r="A15" s="646">
        <v>1057</v>
      </c>
      <c r="B15" s="618" t="s">
        <v>1895</v>
      </c>
      <c r="C15" s="740"/>
      <c r="D15" s="927"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18"/>
      <c r="F15"/>
      <c r="G15"/>
      <c r="H15" s="623"/>
      <c r="I15" s="623"/>
      <c r="J15" s="623"/>
      <c r="K15" s="623"/>
      <c r="L15" s="623"/>
      <c r="M15" s="622"/>
    </row>
    <row r="16" spans="1:13" ht="57" customHeight="1" x14ac:dyDescent="0.3">
      <c r="A16" s="775">
        <v>1058</v>
      </c>
      <c r="B16" s="647" t="s">
        <v>1896</v>
      </c>
      <c r="C16" s="740"/>
      <c r="D16" s="927"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18"/>
    </row>
    <row r="17" spans="1:13" ht="113.4" customHeight="1" x14ac:dyDescent="0.3">
      <c r="A17" s="646">
        <v>1059</v>
      </c>
      <c r="B17" s="618" t="s">
        <v>1920</v>
      </c>
      <c r="C17" s="740"/>
      <c r="D17" s="927"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18"/>
      <c r="H17" s="623"/>
      <c r="I17" s="623"/>
      <c r="J17" s="623"/>
      <c r="K17" s="623"/>
      <c r="L17" s="623"/>
    </row>
    <row r="18" spans="1:13" s="180" customFormat="1" ht="113.4" customHeight="1" x14ac:dyDescent="0.3">
      <c r="A18" s="646">
        <v>1078</v>
      </c>
      <c r="B18" s="618" t="s">
        <v>1937</v>
      </c>
      <c r="C18" s="740"/>
      <c r="D18" s="927"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18"/>
      <c r="F18"/>
      <c r="H18" s="623"/>
      <c r="I18" s="623"/>
      <c r="J18" s="623"/>
      <c r="K18" s="623"/>
      <c r="L18" s="623"/>
      <c r="M18" s="622"/>
    </row>
    <row r="19" spans="1:13" s="180" customFormat="1" ht="78.599999999999994" customHeight="1" x14ac:dyDescent="0.3">
      <c r="A19" s="762">
        <v>1067</v>
      </c>
      <c r="B19" s="619" t="s">
        <v>1680</v>
      </c>
      <c r="C19" s="740"/>
      <c r="D19" s="927"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18"/>
      <c r="G19"/>
      <c r="H19" s="623"/>
      <c r="I19" s="623"/>
      <c r="J19" s="623"/>
      <c r="K19" s="623"/>
      <c r="L19" s="623"/>
      <c r="M19" s="622"/>
    </row>
    <row r="20" spans="1:13" ht="40.200000000000003" customHeight="1" x14ac:dyDescent="0.3">
      <c r="A20" s="646">
        <v>951</v>
      </c>
      <c r="B20" s="647" t="s">
        <v>1445</v>
      </c>
      <c r="C20" s="740"/>
      <c r="D20" s="927" t="str">
        <f t="shared" si="0"/>
        <v>This Question must be answered before uploading, the report will not be processed if left blank</v>
      </c>
      <c r="E20" s="1018"/>
      <c r="H20" s="623"/>
      <c r="I20" s="623"/>
      <c r="J20" s="623"/>
      <c r="K20" s="623"/>
      <c r="L20" s="623"/>
    </row>
    <row r="21" spans="1:13" ht="40.200000000000003" customHeight="1" x14ac:dyDescent="0.3">
      <c r="A21" s="646">
        <v>953</v>
      </c>
      <c r="B21" s="618" t="s">
        <v>1576</v>
      </c>
      <c r="C21" s="740"/>
      <c r="D21" s="927" t="str">
        <f t="shared" si="0"/>
        <v>This Question must be answered before uploading, the report will not be processed if left blank</v>
      </c>
      <c r="E21" s="1018"/>
      <c r="H21" s="623"/>
      <c r="I21" s="623"/>
      <c r="J21" s="623"/>
      <c r="K21" s="623"/>
      <c r="L21" s="623"/>
    </row>
    <row r="22" spans="1:13" ht="52.95" customHeight="1" x14ac:dyDescent="0.3">
      <c r="A22" s="775">
        <v>955</v>
      </c>
      <c r="B22" s="618" t="s">
        <v>1577</v>
      </c>
      <c r="C22" s="740"/>
      <c r="D22" s="927"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18"/>
      <c r="H22" s="623"/>
      <c r="I22" s="623"/>
      <c r="J22" s="623"/>
      <c r="K22" s="623"/>
      <c r="L22" s="623"/>
    </row>
    <row r="23" spans="1:13" ht="48" customHeight="1" x14ac:dyDescent="0.3">
      <c r="A23" s="775">
        <v>957</v>
      </c>
      <c r="B23" s="618" t="s">
        <v>1580</v>
      </c>
      <c r="C23" s="740"/>
      <c r="D23" s="927"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18"/>
      <c r="H23" s="623"/>
      <c r="I23" s="623"/>
      <c r="J23" s="623"/>
      <c r="K23" s="623"/>
      <c r="L23" s="623"/>
    </row>
    <row r="24" spans="1:13" s="180" customFormat="1" ht="115.8" customHeight="1" x14ac:dyDescent="0.3">
      <c r="A24" s="646">
        <v>973</v>
      </c>
      <c r="B24" s="618" t="s">
        <v>1897</v>
      </c>
      <c r="C24" s="740"/>
      <c r="D24" s="927"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18"/>
      <c r="F24"/>
      <c r="G24"/>
      <c r="H24" s="623"/>
      <c r="I24" s="623"/>
      <c r="J24" s="623"/>
      <c r="K24" s="623"/>
      <c r="L24" s="623"/>
      <c r="M24" s="622"/>
    </row>
    <row r="25" spans="1:13" s="180" customFormat="1" ht="52.8" customHeight="1" x14ac:dyDescent="0.3">
      <c r="A25" s="646">
        <v>959</v>
      </c>
      <c r="B25" s="647" t="s">
        <v>645</v>
      </c>
      <c r="C25" s="740"/>
      <c r="D25" s="927"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18"/>
      <c r="F25"/>
      <c r="G25"/>
      <c r="H25" s="623"/>
      <c r="I25" s="623"/>
      <c r="J25" s="623"/>
      <c r="K25" s="623"/>
      <c r="L25" s="623"/>
      <c r="M25" s="622"/>
    </row>
    <row r="26" spans="1:13" ht="93" customHeight="1" x14ac:dyDescent="0.3">
      <c r="A26" s="646">
        <v>974</v>
      </c>
      <c r="B26" s="647" t="s">
        <v>648</v>
      </c>
      <c r="C26" s="740"/>
      <c r="D26" s="927"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18"/>
      <c r="H26" s="623"/>
      <c r="I26" s="623"/>
      <c r="J26" s="623"/>
      <c r="K26" s="623"/>
      <c r="L26" s="623"/>
    </row>
    <row r="27" spans="1:13" ht="40.200000000000003" customHeight="1" x14ac:dyDescent="0.3">
      <c r="A27" s="646" t="s">
        <v>599</v>
      </c>
      <c r="B27" s="647" t="s">
        <v>2069</v>
      </c>
      <c r="C27" s="740"/>
      <c r="D27" s="927" t="str">
        <f>IF(C27="","This Question must be answered before uploading, the report will not be processed if left blank",IF(C27="Yes","Please submit copy via LGC File Portal.",""))</f>
        <v>This Question must be answered before uploading, the report will not be processed if left blank</v>
      </c>
      <c r="E27" s="1018"/>
      <c r="H27" s="623"/>
      <c r="I27" s="623"/>
      <c r="J27" s="623"/>
      <c r="K27" s="623"/>
      <c r="L27" s="623"/>
    </row>
    <row r="28" spans="1:13" ht="40.200000000000003" customHeight="1" x14ac:dyDescent="0.3">
      <c r="A28" s="646" t="s">
        <v>600</v>
      </c>
      <c r="B28" s="647" t="s">
        <v>1874</v>
      </c>
      <c r="C28" s="740"/>
      <c r="D28" s="927"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18"/>
      <c r="H28" s="623"/>
      <c r="I28" s="623"/>
      <c r="J28" s="623"/>
      <c r="K28" s="623"/>
      <c r="L28" s="623"/>
    </row>
    <row r="29" spans="1:13" ht="40.200000000000003" customHeight="1" x14ac:dyDescent="0.3">
      <c r="A29" s="646" t="s">
        <v>601</v>
      </c>
      <c r="B29" s="647" t="s">
        <v>1877</v>
      </c>
      <c r="C29" s="740"/>
      <c r="D29" s="927" t="str">
        <f t="shared" si="1"/>
        <v>This Question must be answered before uploading, the report will not be processed if left blank</v>
      </c>
      <c r="E29" s="1018"/>
      <c r="H29" s="623"/>
      <c r="I29" s="623"/>
      <c r="J29" s="623"/>
      <c r="K29" s="623"/>
      <c r="L29" s="623"/>
    </row>
    <row r="30" spans="1:13" s="180" customFormat="1" ht="40.200000000000003" customHeight="1" x14ac:dyDescent="0.3">
      <c r="A30" s="646" t="s">
        <v>1950</v>
      </c>
      <c r="B30" s="996" t="s">
        <v>1977</v>
      </c>
      <c r="C30" s="741">
        <v>45473</v>
      </c>
      <c r="D30" s="995" t="s">
        <v>1984</v>
      </c>
      <c r="E30" s="1018"/>
      <c r="H30" s="623"/>
      <c r="I30" s="623"/>
      <c r="J30" s="623"/>
      <c r="K30" s="623"/>
      <c r="L30" s="623"/>
      <c r="M30" s="622"/>
    </row>
    <row r="31" spans="1:13" ht="40.200000000000003" customHeight="1" x14ac:dyDescent="0.3">
      <c r="A31" s="646">
        <v>1079</v>
      </c>
      <c r="B31" s="647" t="s">
        <v>1960</v>
      </c>
      <c r="C31" s="741"/>
      <c r="D31" s="927"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19"/>
      <c r="F31" s="180"/>
      <c r="H31" s="623"/>
      <c r="I31" s="623"/>
      <c r="J31" s="623"/>
      <c r="K31" s="623"/>
      <c r="L31" s="623"/>
    </row>
    <row r="32" spans="1:13" ht="52.95" customHeight="1" x14ac:dyDescent="0.3">
      <c r="A32" s="646">
        <v>980</v>
      </c>
      <c r="B32" s="647" t="s">
        <v>1964</v>
      </c>
      <c r="C32" s="741"/>
      <c r="D32" s="927" t="str">
        <f t="shared" si="0"/>
        <v>This Question must be answered before uploading, the report will not be processed if left blank</v>
      </c>
      <c r="E32" s="1018"/>
      <c r="H32"/>
      <c r="I32"/>
      <c r="J32"/>
      <c r="K32"/>
      <c r="L32"/>
      <c r="M32"/>
    </row>
    <row r="33" spans="1:13" ht="40.200000000000003" customHeight="1" x14ac:dyDescent="0.3">
      <c r="A33" s="1009">
        <v>975</v>
      </c>
      <c r="B33" s="1025" t="s">
        <v>1898</v>
      </c>
      <c r="C33" s="1010"/>
      <c r="D33" s="1011"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18"/>
      <c r="H33" s="623"/>
      <c r="I33" s="623"/>
      <c r="J33" s="623"/>
      <c r="K33" s="623"/>
      <c r="L33" s="623"/>
    </row>
    <row r="34" spans="1:13" ht="25.95" customHeight="1" x14ac:dyDescent="0.3">
      <c r="A34" s="1013" t="s">
        <v>1571</v>
      </c>
      <c r="B34" s="1014"/>
      <c r="C34" s="1015"/>
      <c r="D34" s="1016"/>
      <c r="E34" s="1020"/>
      <c r="H34"/>
      <c r="I34"/>
      <c r="J34"/>
      <c r="K34"/>
      <c r="L34"/>
      <c r="M34"/>
    </row>
    <row r="35" spans="1:13" ht="43.2" customHeight="1" x14ac:dyDescent="0.3">
      <c r="A35" s="1034">
        <v>1068</v>
      </c>
      <c r="B35" s="1035" t="s">
        <v>1572</v>
      </c>
      <c r="C35" s="1012"/>
      <c r="D35" s="1026" t="str">
        <f>IF(C35="","This Question must be answered before uploading, the report will not be processed if left blank","")</f>
        <v>This Question must be answered before uploading, the report will not be processed if left blank</v>
      </c>
      <c r="E35" s="1020"/>
      <c r="H35"/>
      <c r="I35"/>
      <c r="J35"/>
      <c r="K35"/>
      <c r="L35"/>
      <c r="M35"/>
    </row>
    <row r="36" spans="1:13" ht="43.2" customHeight="1" x14ac:dyDescent="0.3">
      <c r="A36" s="646">
        <v>1069</v>
      </c>
      <c r="B36" s="647" t="s">
        <v>1578</v>
      </c>
      <c r="C36" s="740"/>
      <c r="D36" s="710" t="str">
        <f t="shared" ref="D36:D38" si="2">IF(C36="","This Question must be answered before uploading, the report will not be processed if left blank","")</f>
        <v>This Question must be answered before uploading, the report will not be processed if left blank</v>
      </c>
      <c r="E36" s="1020"/>
      <c r="H36"/>
      <c r="I36"/>
      <c r="J36"/>
      <c r="K36"/>
      <c r="L36"/>
      <c r="M36"/>
    </row>
    <row r="37" spans="1:13" ht="43.2" customHeight="1" x14ac:dyDescent="0.3">
      <c r="A37" s="646">
        <v>1070</v>
      </c>
      <c r="B37" s="647" t="s">
        <v>1886</v>
      </c>
      <c r="C37" s="740"/>
      <c r="D37" s="710" t="str">
        <f t="shared" si="2"/>
        <v>This Question must be answered before uploading, the report will not be processed if left blank</v>
      </c>
      <c r="E37" s="1020"/>
      <c r="H37"/>
      <c r="I37"/>
      <c r="J37"/>
      <c r="K37"/>
      <c r="L37"/>
      <c r="M37"/>
    </row>
    <row r="38" spans="1:13" ht="43.2" customHeight="1" x14ac:dyDescent="0.3">
      <c r="A38" s="646">
        <v>1071</v>
      </c>
      <c r="B38" s="647" t="s">
        <v>1962</v>
      </c>
      <c r="C38" s="769"/>
      <c r="D38" s="710" t="str">
        <f t="shared" si="2"/>
        <v>This Question must be answered before uploading, the report will not be processed if left blank</v>
      </c>
      <c r="E38" s="1020"/>
      <c r="H38"/>
      <c r="I38"/>
      <c r="J38"/>
      <c r="K38"/>
      <c r="L38"/>
      <c r="M38"/>
    </row>
    <row r="39" spans="1:13" x14ac:dyDescent="0.3">
      <c r="A39"/>
      <c r="D39"/>
      <c r="E39" s="523"/>
      <c r="H39"/>
      <c r="I39"/>
      <c r="J39"/>
      <c r="K39"/>
      <c r="L39"/>
      <c r="M39"/>
    </row>
    <row r="40" spans="1:13" s="180" customFormat="1" ht="40.200000000000003" customHeight="1" x14ac:dyDescent="0.3">
      <c r="A40" s="646" t="s">
        <v>602</v>
      </c>
      <c r="B40" s="710" t="str">
        <f>IF(D40="","This Question must be answered before uploading, the report will not be processed if left blank","")</f>
        <v>This Question must be answered before uploading, the report will not be processed if left blank</v>
      </c>
      <c r="C40" s="651" t="s">
        <v>463</v>
      </c>
      <c r="D40" s="1027"/>
      <c r="E40" s="523"/>
      <c r="F40"/>
      <c r="G40"/>
      <c r="H40" s="622"/>
      <c r="I40" s="622"/>
      <c r="J40" s="622"/>
      <c r="K40" s="622"/>
      <c r="L40" s="622"/>
      <c r="M40" s="622"/>
    </row>
    <row r="41" spans="1:13" ht="14.4" customHeight="1" x14ac:dyDescent="0.3">
      <c r="A41" s="555"/>
      <c r="B41" s="615"/>
      <c r="C41" s="556"/>
      <c r="D41" s="1028"/>
      <c r="E41" s="523"/>
    </row>
    <row r="42" spans="1:13" ht="40.200000000000003" customHeight="1" x14ac:dyDescent="0.3">
      <c r="A42" s="646" t="s">
        <v>603</v>
      </c>
      <c r="B42" s="710" t="str">
        <f>IF(D42="","This Question must be answered before uploading, the report will not be processed if left blank","")</f>
        <v>This Question must be answered before uploading, the report will not be processed if left blank</v>
      </c>
      <c r="C42" s="651" t="s">
        <v>464</v>
      </c>
      <c r="D42" s="1027"/>
      <c r="E42" s="523"/>
    </row>
    <row r="43" spans="1:13" ht="14.4" customHeight="1" x14ac:dyDescent="0.3">
      <c r="A43" s="555"/>
      <c r="B43" s="615"/>
      <c r="C43" s="556"/>
      <c r="D43" s="1028"/>
      <c r="E43" s="523"/>
    </row>
    <row r="44" spans="1:13" s="180" customFormat="1" ht="40.200000000000003" customHeight="1" x14ac:dyDescent="0.3">
      <c r="A44" s="646" t="s">
        <v>857</v>
      </c>
      <c r="B44" s="710" t="str">
        <f>IF(D44="","This Question must be answered before uploading, the report will not be processed if left blank","")</f>
        <v>This Question must be answered before uploading, the report will not be processed if left blank</v>
      </c>
      <c r="C44" s="651" t="s">
        <v>1446</v>
      </c>
      <c r="D44" s="757"/>
      <c r="E44" s="523"/>
      <c r="F44"/>
      <c r="G44"/>
      <c r="H44" s="622"/>
      <c r="I44" s="622"/>
      <c r="J44" s="622"/>
      <c r="K44" s="622"/>
      <c r="L44" s="622"/>
      <c r="M44" s="622"/>
    </row>
    <row r="48" spans="1:13" x14ac:dyDescent="0.3">
      <c r="A48" s="742"/>
      <c r="B48" s="743" t="s">
        <v>465</v>
      </c>
      <c r="C48" s="744">
        <v>1</v>
      </c>
      <c r="D48" s="745"/>
    </row>
    <row r="50" spans="1:4" x14ac:dyDescent="0.3">
      <c r="A50" s="746"/>
      <c r="B50" s="747" t="s">
        <v>466</v>
      </c>
      <c r="C50" s="748">
        <v>45535</v>
      </c>
      <c r="D50" s="749"/>
    </row>
    <row r="51" spans="1:4" x14ac:dyDescent="0.3">
      <c r="B51" s="556"/>
      <c r="C51" s="615"/>
    </row>
    <row r="52" spans="1:4" x14ac:dyDescent="0.3">
      <c r="B52" s="556"/>
      <c r="C52" s="615"/>
    </row>
  </sheetData>
  <sheetProtection algorithmName="SHA-512" hashValue="4xKYF31EpnKbpidKyQhAG8q587abvjKFFUpeQOVCE3bNd+dsc/hG1m/9Q5aULKHGIvywHLFClbptbs6neh+7qw==" saltValue="MYvP39hMA0HlAxu/e5ZeoQ==" spinCount="100000" sheet="1" objects="1" scenarios="1"/>
  <dataConsolidate/>
  <mergeCells count="5">
    <mergeCell ref="E9:E10"/>
    <mergeCell ref="A2:D2"/>
    <mergeCell ref="A4:D4"/>
    <mergeCell ref="A6:D6"/>
    <mergeCell ref="A8:D8"/>
  </mergeCells>
  <conditionalFormatting sqref="C13">
    <cfRule type="expression" dxfId="92" priority="27">
      <formula>"IF(C13=""Yes""|"" ""| "" "")"</formula>
    </cfRule>
  </conditionalFormatting>
  <conditionalFormatting sqref="E13">
    <cfRule type="expression" dxfId="91" priority="19">
      <formula>C13="yes"</formula>
    </cfRule>
  </conditionalFormatting>
  <conditionalFormatting sqref="E14">
    <cfRule type="expression" dxfId="90" priority="18">
      <formula>C14="Yes"</formula>
    </cfRule>
  </conditionalFormatting>
  <conditionalFormatting sqref="E15">
    <cfRule type="expression" dxfId="89" priority="17">
      <formula>C15="Yes"</formula>
    </cfRule>
  </conditionalFormatting>
  <conditionalFormatting sqref="E16">
    <cfRule type="expression" dxfId="88" priority="16">
      <formula>C16="Yes"</formula>
    </cfRule>
  </conditionalFormatting>
  <conditionalFormatting sqref="E17">
    <cfRule type="expression" dxfId="87" priority="14">
      <formula>C17="No"</formula>
    </cfRule>
  </conditionalFormatting>
  <conditionalFormatting sqref="E19">
    <cfRule type="expression" dxfId="86" priority="13">
      <formula>C19="No"</formula>
    </cfRule>
  </conditionalFormatting>
  <conditionalFormatting sqref="E25">
    <cfRule type="expression" dxfId="85" priority="11">
      <formula>C25="Yes"</formula>
    </cfRule>
  </conditionalFormatting>
  <conditionalFormatting sqref="E26">
    <cfRule type="expression" dxfId="84" priority="10">
      <formula>C26="Yes"</formula>
    </cfRule>
  </conditionalFormatting>
  <conditionalFormatting sqref="E22">
    <cfRule type="expression" dxfId="83" priority="7">
      <formula>$C$22&gt;0</formula>
    </cfRule>
  </conditionalFormatting>
  <conditionalFormatting sqref="E23">
    <cfRule type="expression" dxfId="82" priority="6">
      <formula>$C$23&gt;0</formula>
    </cfRule>
  </conditionalFormatting>
  <conditionalFormatting sqref="E18">
    <cfRule type="expression" dxfId="81" priority="5">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3">
    <dataValidation type="list" allowBlank="1" showInputMessage="1" showErrorMessage="1" prompt="Please select Yes or No from the drop down list" sqref="C21 C17 C37 C33:C35 C19 C15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BD61488-A95B-4373-951D-49CD8B12B95C}">
      <formula1>"Yes, No, N/A"</formula1>
    </dataValidation>
    <dataValidation type="list" allowBlank="1" showInputMessage="1" showErrorMessage="1" prompt="Please select Yes or No from the d dropdown list._x000a_" sqref="C16" xr:uid="{468EDED7-463E-41FB-90A2-04A2B2950869}">
      <formula1>"Yes, No"</formula1>
    </dataValidation>
    <dataValidation type="custom" allowBlank="1" showInputMessage="1" showErrorMessage="1" error="Submit Date is prior to fiscal year end." sqref="C31" xr:uid="{9C37E483-AF95-4F2C-88DC-919785B2EB15}">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64" zoomScaleNormal="64" workbookViewId="0">
      <selection activeCell="C5" sqref="C5:E5"/>
    </sheetView>
  </sheetViews>
  <sheetFormatPr defaultColWidth="9.109375" defaultRowHeight="14.4" x14ac:dyDescent="0.3"/>
  <cols>
    <col min="1" max="1" width="6.33203125" style="811" customWidth="1"/>
    <col min="2" max="2" width="57.6640625" style="811" customWidth="1"/>
    <col min="3" max="4" width="14.33203125" style="811" customWidth="1"/>
    <col min="5" max="7" width="17.33203125" style="811" customWidth="1"/>
    <col min="8" max="8" width="71.44140625" style="811" customWidth="1"/>
    <col min="9" max="9" width="56.77734375" style="921" customWidth="1"/>
    <col min="10" max="10" width="46.109375" style="921" customWidth="1"/>
    <col min="11" max="11" width="9.109375" style="920" customWidth="1"/>
    <col min="12" max="12" width="23.6640625" style="808" hidden="1" customWidth="1"/>
    <col min="13" max="13" width="21.109375" style="808" hidden="1" customWidth="1"/>
    <col min="14" max="14" width="24" style="808" hidden="1" customWidth="1"/>
    <col min="15" max="15" width="21" style="808" hidden="1" customWidth="1"/>
    <col min="16" max="16" width="25" style="809" hidden="1" customWidth="1"/>
    <col min="17" max="17" width="25.6640625" style="810" hidden="1" customWidth="1"/>
    <col min="18" max="18" width="33.77734375" style="810" customWidth="1"/>
    <col min="19" max="19" width="9.109375" style="810" customWidth="1"/>
    <col min="20" max="59" width="9.109375" style="810"/>
    <col min="60" max="16384" width="9.109375" style="811"/>
  </cols>
  <sheetData>
    <row r="1" spans="1:78" ht="40.5" customHeight="1" thickBot="1" x14ac:dyDescent="0.35">
      <c r="A1" s="806"/>
      <c r="B1" s="1114" t="s">
        <v>1064</v>
      </c>
      <c r="C1" s="1114"/>
      <c r="D1" s="1114"/>
      <c r="E1" s="1114"/>
      <c r="F1" s="1114"/>
      <c r="G1" s="1114"/>
      <c r="H1" s="1115"/>
      <c r="I1" s="1112"/>
      <c r="J1" s="1113"/>
      <c r="K1" s="807"/>
    </row>
    <row r="2" spans="1:78" ht="72" customHeight="1" thickBot="1" x14ac:dyDescent="0.35">
      <c r="A2" s="812"/>
      <c r="B2" s="1116" t="s">
        <v>1065</v>
      </c>
      <c r="C2" s="1117"/>
      <c r="D2" s="1117"/>
      <c r="E2" s="1117"/>
      <c r="F2" s="1117"/>
      <c r="G2" s="1117"/>
      <c r="H2" s="1118"/>
      <c r="I2" s="1131" t="s">
        <v>1066</v>
      </c>
      <c r="J2" s="1134" t="s">
        <v>1473</v>
      </c>
      <c r="K2" s="813"/>
    </row>
    <row r="3" spans="1:78" ht="15" customHeight="1" thickBot="1" x14ac:dyDescent="0.35">
      <c r="A3" s="814"/>
      <c r="B3" s="815"/>
      <c r="C3" s="816"/>
      <c r="D3" s="816"/>
      <c r="E3" s="816"/>
      <c r="F3" s="816"/>
      <c r="G3" s="817"/>
      <c r="H3" s="818"/>
      <c r="I3" s="1132"/>
      <c r="J3" s="1135"/>
      <c r="K3" s="813"/>
    </row>
    <row r="4" spans="1:78" ht="21.75" customHeight="1" thickBot="1" x14ac:dyDescent="0.35">
      <c r="A4" s="819"/>
      <c r="B4" s="820" t="s">
        <v>598</v>
      </c>
      <c r="C4" s="1119" t="str">
        <f>'Unit Data from Audit Worksheet'!D2</f>
        <v>Select Unit Name from Drop Down List</v>
      </c>
      <c r="D4" s="1120"/>
      <c r="E4" s="1121"/>
      <c r="F4" s="1122" t="s">
        <v>1978</v>
      </c>
      <c r="G4" s="1123"/>
      <c r="H4" s="1126" t="s">
        <v>1470</v>
      </c>
      <c r="I4" s="1132"/>
      <c r="J4" s="1135"/>
      <c r="K4" s="821"/>
      <c r="L4" s="822"/>
    </row>
    <row r="5" spans="1:78" ht="21.6" thickBot="1" x14ac:dyDescent="0.35">
      <c r="A5" s="823"/>
      <c r="B5" s="824" t="s">
        <v>579</v>
      </c>
      <c r="C5" s="1128" t="e">
        <f>'Unit Data from Audit Worksheet'!D3</f>
        <v>#N/A</v>
      </c>
      <c r="D5" s="1129"/>
      <c r="E5" s="1130"/>
      <c r="F5" s="1124"/>
      <c r="G5" s="1125"/>
      <c r="H5" s="1127"/>
      <c r="I5" s="1132"/>
      <c r="J5" s="1135"/>
      <c r="K5" s="825"/>
      <c r="L5" s="826" t="s">
        <v>588</v>
      </c>
    </row>
    <row r="6" spans="1:78" ht="18.75" customHeight="1" x14ac:dyDescent="0.3">
      <c r="A6" s="814"/>
      <c r="B6" s="1137" t="s">
        <v>1423</v>
      </c>
      <c r="C6" s="1137"/>
      <c r="D6" s="1137"/>
      <c r="E6" s="1137"/>
      <c r="F6" s="1137"/>
      <c r="G6" s="1137"/>
      <c r="H6" s="1138"/>
      <c r="I6" s="1132"/>
      <c r="J6" s="1135"/>
      <c r="K6" s="825"/>
      <c r="L6" s="826"/>
    </row>
    <row r="7" spans="1:78" ht="116.25" customHeight="1" thickBot="1" x14ac:dyDescent="0.35">
      <c r="A7" s="827"/>
      <c r="B7" s="1139"/>
      <c r="C7" s="1139"/>
      <c r="D7" s="1139"/>
      <c r="E7" s="1139"/>
      <c r="F7" s="1139"/>
      <c r="G7" s="1139"/>
      <c r="H7" s="1140"/>
      <c r="I7" s="1133"/>
      <c r="J7" s="1136"/>
      <c r="K7" s="825"/>
      <c r="L7" s="826"/>
    </row>
    <row r="8" spans="1:78" ht="185.1" customHeight="1" thickBot="1" x14ac:dyDescent="0.35">
      <c r="A8" s="828"/>
      <c r="B8" s="1105"/>
      <c r="C8" s="1105"/>
      <c r="D8" s="1105"/>
      <c r="E8" s="1105"/>
      <c r="F8" s="1105"/>
      <c r="G8" s="1106"/>
      <c r="H8" s="1143" t="s">
        <v>1069</v>
      </c>
      <c r="I8" s="829"/>
      <c r="J8" s="1141"/>
      <c r="K8" s="825"/>
      <c r="L8" s="830" t="b">
        <f>IF($L$9&gt;10000000,"25%",IF($L$9&gt;999999,"34%",IF($L$9&gt;99999,"71%",IF($L$9&gt;1,"100%"))))</f>
        <v>0</v>
      </c>
      <c r="N8" s="831"/>
    </row>
    <row r="9" spans="1:78" ht="132" customHeight="1" thickBot="1" x14ac:dyDescent="0.35">
      <c r="A9" s="828"/>
      <c r="B9" s="1107"/>
      <c r="C9" s="1107"/>
      <c r="D9" s="1107"/>
      <c r="E9" s="1107"/>
      <c r="F9" s="1107"/>
      <c r="G9" s="1108"/>
      <c r="H9" s="1144"/>
      <c r="I9" s="829"/>
      <c r="J9" s="1142"/>
      <c r="K9" s="825"/>
      <c r="L9" s="830">
        <f>Import!L59+Import!L65+Import!L62-Import!L63-Import!L64-Import!L60</f>
        <v>0</v>
      </c>
      <c r="N9" s="831"/>
    </row>
    <row r="10" spans="1:78" ht="91.8" customHeight="1" thickBot="1" x14ac:dyDescent="0.35">
      <c r="A10" s="832"/>
      <c r="B10" s="1091" t="s">
        <v>1926</v>
      </c>
      <c r="C10" s="1109"/>
      <c r="D10" s="1109"/>
      <c r="E10" s="1109"/>
      <c r="F10" s="833" t="s">
        <v>651</v>
      </c>
      <c r="G10" s="833" t="s">
        <v>847</v>
      </c>
      <c r="H10" s="834"/>
      <c r="I10" s="835"/>
      <c r="J10" s="835"/>
      <c r="K10" s="836"/>
      <c r="L10" s="808">
        <v>2022</v>
      </c>
      <c r="M10" s="822">
        <v>2023</v>
      </c>
      <c r="N10" s="808">
        <v>2024</v>
      </c>
      <c r="O10" s="837"/>
      <c r="P10" s="838"/>
    </row>
    <row r="11" spans="1:78" ht="261.60000000000002" customHeight="1" thickBot="1" x14ac:dyDescent="0.35">
      <c r="A11" s="828" t="s">
        <v>1067</v>
      </c>
      <c r="B11" s="1147"/>
      <c r="C11" s="1148"/>
      <c r="D11" s="1148"/>
      <c r="E11" s="1149"/>
      <c r="F11" s="801" t="b">
        <f>IF($L$9&gt;10000000,"25% -- Average of similar units is 46%",IF($L$9&gt;999999,"34% -- Average of similar units is 63%",IF($L$9&gt;99999,"71% -- Average of similar units is 132%",IF($L$9&gt;1,"100 %-- Average of similar units is 260%"))))</f>
        <v>0</v>
      </c>
      <c r="G11" s="952" t="str">
        <f>N11</f>
        <v/>
      </c>
      <c r="H11" s="934" t="s">
        <v>1681</v>
      </c>
      <c r="I11" s="840" t="s">
        <v>1530</v>
      </c>
      <c r="J11" s="803"/>
      <c r="K11" s="825"/>
      <c r="L11" s="958" t="e">
        <f>IFERROR(HLOOKUP(C5,'PY2 Data(H)'!$D$2:$CZ$278,275,FALSE),#N/A)</f>
        <v>#N/A</v>
      </c>
      <c r="M11" s="842" t="e">
        <f>IFERROR(HLOOKUP(C5,'PY1 Data(H)'!$D$2:$CZ$279,277,FALSE),#N/A)</f>
        <v>#N/A</v>
      </c>
      <c r="N11" s="843" t="str">
        <f>IFERROR((Import!L38+Import!L39-Import!L43-Import!L44-Import!L196-Import!L48+Import!L69)/(Import!L59+Import!L65+Import!L62-Import!L63-Import!L64-Import!L60),"")</f>
        <v/>
      </c>
      <c r="O11" s="844" t="e">
        <f>IF(N11&lt;VALUE(L8),1,0)</f>
        <v>#VALUE!</v>
      </c>
      <c r="P11" s="838"/>
    </row>
    <row r="12" spans="1:78" ht="27.75" customHeight="1" thickBot="1" x14ac:dyDescent="0.35">
      <c r="A12" s="828"/>
      <c r="B12" s="1110" t="s">
        <v>846</v>
      </c>
      <c r="C12" s="1111"/>
      <c r="D12" s="1111"/>
      <c r="E12" s="1111"/>
      <c r="F12" s="833" t="s">
        <v>651</v>
      </c>
      <c r="G12" s="833" t="s">
        <v>847</v>
      </c>
      <c r="H12" s="845"/>
      <c r="I12" s="840"/>
      <c r="J12" s="846"/>
      <c r="K12" s="825"/>
      <c r="L12" s="841"/>
      <c r="M12" s="843"/>
      <c r="N12" s="843"/>
      <c r="P12" s="838"/>
    </row>
    <row r="13" spans="1:78" ht="95.25" customHeight="1" thickBot="1" x14ac:dyDescent="0.35">
      <c r="A13" s="828" t="s">
        <v>1068</v>
      </c>
      <c r="B13" s="1092" t="s">
        <v>1892</v>
      </c>
      <c r="C13" s="1093"/>
      <c r="D13" s="1093"/>
      <c r="E13" s="1094"/>
      <c r="F13" s="801" t="s">
        <v>1465</v>
      </c>
      <c r="G13" s="969" t="b">
        <f>IF(AND(L13="Operations",M13&lt;0),"Operations",IF(AND(L13="Capital",M13&lt;0),"Capital",IF(L13="N/A","N/A")))</f>
        <v>0</v>
      </c>
      <c r="H13" s="845" t="s">
        <v>1471</v>
      </c>
      <c r="I13" s="847" t="s">
        <v>1925</v>
      </c>
      <c r="J13" s="803"/>
      <c r="K13" s="825"/>
      <c r="L13" s="932">
        <f>'Unit Data from Audit Worksheet'!F77</f>
        <v>0</v>
      </c>
      <c r="M13" s="933">
        <f>'Unit Data from Audit Worksheet'!F76</f>
        <v>0</v>
      </c>
      <c r="N13" s="843"/>
      <c r="O13" s="837"/>
      <c r="P13" s="838"/>
    </row>
    <row r="14" spans="1:78" ht="177" customHeight="1" thickBot="1" x14ac:dyDescent="0.35">
      <c r="A14" s="828" t="s">
        <v>1070</v>
      </c>
      <c r="B14" s="1092" t="s">
        <v>1466</v>
      </c>
      <c r="C14" s="1093"/>
      <c r="D14" s="1093"/>
      <c r="E14" s="1094"/>
      <c r="F14" s="801" t="s">
        <v>1463</v>
      </c>
      <c r="G14" s="848">
        <f>Import!L51</f>
        <v>0</v>
      </c>
      <c r="H14" s="845" t="s">
        <v>1464</v>
      </c>
      <c r="I14" s="847" t="s">
        <v>1479</v>
      </c>
      <c r="J14" s="803"/>
      <c r="K14" s="825"/>
      <c r="L14" s="843"/>
      <c r="M14" s="843"/>
      <c r="N14" s="843"/>
      <c r="O14" s="837"/>
      <c r="P14" s="838"/>
    </row>
    <row r="15" spans="1:78" ht="81" customHeight="1" thickBot="1" x14ac:dyDescent="0.35">
      <c r="A15" s="849"/>
      <c r="B15" s="1090" t="s">
        <v>1927</v>
      </c>
      <c r="C15" s="1090"/>
      <c r="D15" s="1090"/>
      <c r="E15" s="1091"/>
      <c r="F15" s="833" t="s">
        <v>651</v>
      </c>
      <c r="G15" s="833" t="s">
        <v>847</v>
      </c>
      <c r="H15" s="850" t="s">
        <v>1072</v>
      </c>
      <c r="I15" s="851"/>
      <c r="J15" s="852"/>
      <c r="K15" s="825"/>
      <c r="L15" s="977" t="e">
        <f>HLOOKUP($C$5,'PY2 Data(H)'!$D$2:$CZ$276,236,FALSE)</f>
        <v>#N/A</v>
      </c>
      <c r="M15" s="854" t="e">
        <f>HLOOKUP($C$5,'PY1 Data(H)'!$D$2:$CZ$279,230,FALSE)</f>
        <v>#N/A</v>
      </c>
      <c r="N15" s="855" t="e">
        <f>Import!L240</f>
        <v>#N/A</v>
      </c>
      <c r="O15" s="856"/>
      <c r="P15" s="960"/>
      <c r="Q15" s="961"/>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c r="BA15" s="857"/>
      <c r="BB15" s="857"/>
      <c r="BC15" s="857"/>
      <c r="BD15" s="857"/>
      <c r="BE15" s="857"/>
      <c r="BF15" s="857"/>
      <c r="BG15" s="857"/>
      <c r="BH15" s="858"/>
      <c r="BI15" s="858"/>
      <c r="BJ15" s="858"/>
      <c r="BK15" s="858"/>
      <c r="BL15" s="858"/>
      <c r="BM15" s="858"/>
      <c r="BN15" s="858"/>
      <c r="BO15" s="858"/>
      <c r="BP15" s="858"/>
      <c r="BQ15" s="858"/>
      <c r="BR15" s="858"/>
      <c r="BS15" s="858"/>
      <c r="BT15" s="858"/>
      <c r="BU15" s="858"/>
      <c r="BV15" s="858"/>
      <c r="BW15" s="858"/>
      <c r="BX15" s="858"/>
      <c r="BY15" s="858"/>
      <c r="BZ15" s="858"/>
    </row>
    <row r="16" spans="1:78" ht="202.5" customHeight="1" thickBot="1" x14ac:dyDescent="0.35">
      <c r="A16" s="828" t="s">
        <v>1071</v>
      </c>
      <c r="B16" s="859"/>
      <c r="C16" s="860"/>
      <c r="D16" s="860"/>
      <c r="E16" s="861"/>
      <c r="F16" s="862" t="s">
        <v>580</v>
      </c>
      <c r="G16" s="953" t="e">
        <f>N16</f>
        <v>#DIV/0!</v>
      </c>
      <c r="H16" s="839" t="s">
        <v>848</v>
      </c>
      <c r="I16" s="847" t="s">
        <v>582</v>
      </c>
      <c r="J16" s="803"/>
      <c r="K16" s="825"/>
      <c r="L16" s="965" t="e">
        <f>IF(AND(HLOOKUP($C$5,'PY2 Data(H)'!$D$2:$CZ$277,236,FALSE)=0.01,(HLOOKUP($C$5,'PY2 Data(H)'!$D$2:$CZ$277,265,FALSE)&gt;0)),P16,#N/A)</f>
        <v>#N/A</v>
      </c>
      <c r="M16" s="966" t="e">
        <f>IF(AND(HLOOKUP($C$5,'PY1 Data(H)'!$D$2:$CZ$279,230,FALSE)=0.01,(HLOOKUP($C$5,'PY1 Data(H)'!$D$2:$CZ$279,267,FALSE)&gt;0)),Q16,#N/A)</f>
        <v>#N/A</v>
      </c>
      <c r="N16" s="855" t="e">
        <f>(+Import!L76-Import!L77-Import!L74-Import!L75)/(Import!L80-Import!L81-Import!L82-Import!L83-Import!L$84-Import!L85-Import!L79)</f>
        <v>#DIV/0!</v>
      </c>
      <c r="O16" s="959"/>
      <c r="P16" s="967" t="e">
        <f>HLOOKUP($C$5,'PY2 Data(H)'!$D$2:$CZ$276,265,FALSE)</f>
        <v>#N/A</v>
      </c>
      <c r="Q16" s="964" t="e">
        <f>HLOOKUP($C$5,'PY1 Data(H)'!$D$2:$CZ$279,267,FALSE)</f>
        <v>#N/A</v>
      </c>
      <c r="R16"/>
    </row>
    <row r="17" spans="1:81" ht="27.75" customHeight="1" thickBot="1" x14ac:dyDescent="0.35">
      <c r="A17" s="832"/>
      <c r="B17" s="863" t="s">
        <v>1074</v>
      </c>
      <c r="C17" s="864">
        <v>2022</v>
      </c>
      <c r="D17" s="864">
        <v>2023</v>
      </c>
      <c r="E17" s="864">
        <v>2024</v>
      </c>
      <c r="F17" s="833" t="s">
        <v>651</v>
      </c>
      <c r="G17" s="833" t="s">
        <v>847</v>
      </c>
      <c r="H17" s="865"/>
      <c r="I17" s="851"/>
      <c r="J17" s="852"/>
      <c r="K17" s="825"/>
      <c r="L17" s="855"/>
      <c r="M17" s="855"/>
      <c r="N17" s="855"/>
      <c r="P17" s="962"/>
      <c r="Q17" s="963"/>
    </row>
    <row r="18" spans="1:81" ht="93.6" customHeight="1" thickBot="1" x14ac:dyDescent="0.35">
      <c r="A18" s="828" t="s">
        <v>1073</v>
      </c>
      <c r="B18" s="866" t="s">
        <v>1481</v>
      </c>
      <c r="C18" s="848" t="e">
        <f>IF(L15=0,"N/A",L18)</f>
        <v>#N/A</v>
      </c>
      <c r="D18" s="848" t="e">
        <f>IF(M15=0,"N/A",M18)</f>
        <v>#N/A</v>
      </c>
      <c r="E18" s="867" t="e">
        <f>IF(N15=0,"N/A",N18)</f>
        <v>#N/A</v>
      </c>
      <c r="F18" s="801" t="s">
        <v>849</v>
      </c>
      <c r="G18" s="954" t="e">
        <f>E18</f>
        <v>#N/A</v>
      </c>
      <c r="H18" s="839" t="s">
        <v>1561</v>
      </c>
      <c r="I18" s="847" t="s">
        <v>1563</v>
      </c>
      <c r="J18" s="803"/>
      <c r="K18" s="825"/>
      <c r="L18" s="973" t="e">
        <f>IF(HLOOKUP($C$5,'PY2 Data(H)'!$D$2:$CZ$277,266,FALSE)=0,"Prior year data not submitted as of workbook published date.",(HLOOKUP($C$5,'PY2 Data(H)'!$D$2:$CZ$277,266,FALSE)))</f>
        <v>#N/A</v>
      </c>
      <c r="M18" s="1041" t="e">
        <f>IF(HLOOKUP($C$5,'PY1 Data(H)'!$D$2:$CZ$279,268,FALSE)=0,"Prior year data not submitted as of workbook published date.",(HLOOKUP($C$5,'PY1 Data(H)'!$D$2:$CZ$279,268,FALSE)))</f>
        <v>#N/A</v>
      </c>
      <c r="N18" s="868">
        <f>+Import!L109-Import!L111+Import!L110-Import!L140-Import!L112</f>
        <v>0</v>
      </c>
      <c r="P18" s="1053"/>
      <c r="Q18" s="1051"/>
    </row>
    <row r="19" spans="1:81" ht="124.2" customHeight="1" thickBot="1" x14ac:dyDescent="0.35">
      <c r="A19" s="828" t="s">
        <v>1075</v>
      </c>
      <c r="B19" s="869" t="s">
        <v>1575</v>
      </c>
      <c r="C19" s="929" t="e">
        <f>IF(L15=0,"N/A",L19)</f>
        <v>#N/A</v>
      </c>
      <c r="D19" s="929" t="e">
        <f>IF(M15=0,"N/A",M19)</f>
        <v>#N/A</v>
      </c>
      <c r="E19" s="870" t="e">
        <f>IF(N15=0,"N/A",N19)</f>
        <v>#N/A</v>
      </c>
      <c r="F19" s="801" t="s">
        <v>795</v>
      </c>
      <c r="G19" s="955" t="e">
        <f>E19</f>
        <v>#N/A</v>
      </c>
      <c r="H19" s="839" t="s">
        <v>1875</v>
      </c>
      <c r="I19" s="847" t="s">
        <v>1566</v>
      </c>
      <c r="J19" s="804"/>
      <c r="K19" s="825"/>
      <c r="L19" s="976" t="e">
        <f>IF(P19="Blank","Prior year data not submitted as of workbook published date.",(HLOOKUP($C$5,'PY2 Data(H)'!$D$2:$CZ$279,267,FALSE)))</f>
        <v>#N/A</v>
      </c>
      <c r="M19" s="928" t="e">
        <f>IF(Q19="Blank","Prior year data not submitted as of workbook published date.",(HLOOKUP($C$5,'PY1 Data(H)'!$D$2:$CZ$279,269,FALSE)))</f>
        <v>#N/A</v>
      </c>
      <c r="N19" s="871" t="e">
        <f>Import!L72/(Import!L111+Import!L114-Import!L110+Import!L140)</f>
        <v>#DIV/0!</v>
      </c>
      <c r="O19" s="872"/>
      <c r="P19" s="1054" t="str">
        <f>IF(ISBLANK(HLOOKUP($C$5,'PY2 Data(H)'!$D$2:$CZ$279,24,FALSE)),"Blank","Not Blank")</f>
        <v>Not Blank</v>
      </c>
      <c r="Q19" s="1052" t="str">
        <f>IF(ISBLANK(HLOOKUP($C$5,'PY1 Data(H)'!$D$2:$CZ$279,24,FALSE)),"Blank","Not Blank")</f>
        <v>Not Blank</v>
      </c>
      <c r="R19" s="809"/>
    </row>
    <row r="20" spans="1:81" ht="75" customHeight="1" thickBot="1" x14ac:dyDescent="0.35">
      <c r="A20" s="828" t="s">
        <v>1076</v>
      </c>
      <c r="B20" s="1099" t="s">
        <v>1924</v>
      </c>
      <c r="C20" s="1099"/>
      <c r="D20" s="1095"/>
      <c r="E20" s="873" t="str">
        <f>IF(N20&lt;0,"Yes","No")</f>
        <v>No</v>
      </c>
      <c r="F20" s="874"/>
      <c r="G20" s="875" t="str">
        <f>E20</f>
        <v>No</v>
      </c>
      <c r="H20" s="839" t="s">
        <v>1077</v>
      </c>
      <c r="I20" s="847" t="s">
        <v>796</v>
      </c>
      <c r="J20" s="803"/>
      <c r="K20" s="825"/>
      <c r="L20" s="876"/>
      <c r="M20" s="877">
        <f>((Import!L114+Import!L111)*0.03)-Import!L118</f>
        <v>0</v>
      </c>
      <c r="N20" s="878">
        <f>M20*0.03</f>
        <v>0</v>
      </c>
      <c r="P20" s="962"/>
      <c r="Q20" s="963"/>
    </row>
    <row r="21" spans="1:81" ht="75" customHeight="1" thickBot="1" x14ac:dyDescent="0.35">
      <c r="A21" s="912">
        <v>8</v>
      </c>
      <c r="B21" s="936" t="s">
        <v>1944</v>
      </c>
      <c r="C21" s="941" t="e">
        <f>L21</f>
        <v>#N/A</v>
      </c>
      <c r="D21" s="941" t="e">
        <f>M21</f>
        <v>#N/A</v>
      </c>
      <c r="E21" s="985" t="e">
        <f>N21</f>
        <v>#DIV/0!</v>
      </c>
      <c r="F21" s="972" t="s">
        <v>1947</v>
      </c>
      <c r="G21" s="942" t="e">
        <f>E21</f>
        <v>#DIV/0!</v>
      </c>
      <c r="H21" s="984" t="s">
        <v>1945</v>
      </c>
      <c r="I21" s="937" t="s">
        <v>1921</v>
      </c>
      <c r="J21" s="804"/>
      <c r="K21" s="825"/>
      <c r="L21" s="938" t="e">
        <f>IF(HLOOKUP($C$5,'PY2 Data(H)'!$D$2:$CZ$277,276,FALSE)=0,"Prior year data not submitted as of workbook published date.",(HLOOKUP($C$5,'PY2 Data(H)'!$D$2:$CZ$277,276,FALSE)))</f>
        <v>#N/A</v>
      </c>
      <c r="M21" s="939" t="e">
        <f>IF(HLOOKUP($C$5,'PY1 Data(H)'!$D$2:$CZ$279,278,FALSE)=0,"Prior year data not submitted as of workbook published date.",(HLOOKUP($C$5,'PY1 Data(H)'!$D$2:$CZ$279,278,FALSE)))</f>
        <v>#N/A</v>
      </c>
      <c r="N21" s="940" t="e">
        <f>1-(Import!L166+Import!L167+Import!L168+Import!L169)/(Import!L158+Import!L159+Import!L160+Import!L161)</f>
        <v>#DIV/0!</v>
      </c>
    </row>
    <row r="23" spans="1:81" ht="15" thickBot="1" x14ac:dyDescent="0.35"/>
    <row r="24" spans="1:81" ht="87" customHeight="1" thickBot="1" x14ac:dyDescent="0.35">
      <c r="A24" s="849"/>
      <c r="B24" s="1090" t="s">
        <v>1928</v>
      </c>
      <c r="C24" s="1090"/>
      <c r="D24" s="1090"/>
      <c r="E24" s="1090"/>
      <c r="F24" s="833" t="s">
        <v>651</v>
      </c>
      <c r="G24" s="833" t="s">
        <v>847</v>
      </c>
      <c r="H24" s="850" t="s">
        <v>1078</v>
      </c>
      <c r="I24" s="879"/>
      <c r="J24" s="880"/>
      <c r="K24" s="825"/>
      <c r="L24" s="853" t="e">
        <f>HLOOKUP($C$5,'PY2 Data(H)'!$D$2:$CZ$277,235,FALSE)</f>
        <v>#N/A</v>
      </c>
      <c r="M24" s="854" t="e">
        <f>HLOOKUP($C$5,'PY1 Data(H)'!$D$2:$CZ$279,229,FALSE)</f>
        <v>#N/A</v>
      </c>
      <c r="N24" s="881" t="e">
        <f>Import!L239</f>
        <v>#N/A</v>
      </c>
    </row>
    <row r="25" spans="1:81" ht="202.5" customHeight="1" thickBot="1" x14ac:dyDescent="0.35">
      <c r="A25" s="828">
        <v>9</v>
      </c>
      <c r="B25" s="1100"/>
      <c r="C25" s="1100"/>
      <c r="D25" s="1100"/>
      <c r="E25" s="1101"/>
      <c r="F25" s="801" t="s">
        <v>580</v>
      </c>
      <c r="G25" s="956" t="e">
        <f>N25</f>
        <v>#DIV/0!</v>
      </c>
      <c r="H25" s="839" t="s">
        <v>850</v>
      </c>
      <c r="I25" s="847" t="s">
        <v>589</v>
      </c>
      <c r="J25" s="803"/>
      <c r="K25" s="825"/>
      <c r="L25" s="965" t="e">
        <f>IF(AND(HLOOKUP($C$5,'PY2 Data(H)'!$D$2:$CZ$277,235,FALSE)&gt;0,(HLOOKUP($C$5,'PY2 Data(H)'!$D$2:$CZ$277,269,FALSE)&gt;0)),P25,#N/A)</f>
        <v>#N/A</v>
      </c>
      <c r="M25" s="966" t="e">
        <f>IF(AND(HLOOKUP($C$5,'PY1 Data(H)'!$D$2:$CZ$279,229,FALSE)&gt;0,(HLOOKUP($C$5,'PY1 Data(H)'!$D$2:$CZ$279,271,FALSE)&gt;0)),Q25,#N/A)</f>
        <v>#N/A</v>
      </c>
      <c r="N25" s="855" t="e">
        <f>+(Import!L94-Import!L95-Import!L93-Import!L92)/(Import!L99-Import!L100-Import!L101-Import!L102-Import!L103-Import!L104-Import!L98)</f>
        <v>#DIV/0!</v>
      </c>
      <c r="P25" s="965" t="e">
        <f>HLOOKUP($C$5,'PY2 Data(H)'!$D$2:$CZ$277,269,FALSE)</f>
        <v>#N/A</v>
      </c>
      <c r="Q25" s="966" t="e">
        <f>HLOOKUP($C$5,'PY1 Data(H)'!$D$2:$CZ$279,271,FALSE)</f>
        <v>#N/A</v>
      </c>
    </row>
    <row r="26" spans="1:81" ht="27.75" customHeight="1" thickBot="1" x14ac:dyDescent="0.35">
      <c r="A26" s="832"/>
      <c r="B26" s="882" t="s">
        <v>1074</v>
      </c>
      <c r="C26" s="864">
        <v>2022</v>
      </c>
      <c r="D26" s="864">
        <v>2023</v>
      </c>
      <c r="E26" s="864">
        <v>2024</v>
      </c>
      <c r="F26" s="833" t="s">
        <v>651</v>
      </c>
      <c r="G26" s="833" t="s">
        <v>847</v>
      </c>
      <c r="H26" s="883"/>
      <c r="I26" s="884"/>
      <c r="J26" s="885"/>
      <c r="K26" s="825"/>
      <c r="L26" s="886"/>
      <c r="M26" s="855"/>
      <c r="N26" s="855"/>
    </row>
    <row r="27" spans="1:81" ht="84.6" customHeight="1" thickBot="1" x14ac:dyDescent="0.35">
      <c r="A27" s="828">
        <v>10</v>
      </c>
      <c r="B27" s="866" t="s">
        <v>1481</v>
      </c>
      <c r="C27" s="931" t="e">
        <f>IF(L24=0,"N/A",L27)</f>
        <v>#N/A</v>
      </c>
      <c r="D27" s="931" t="e">
        <f>IF(M24=0,"N/A",M27)</f>
        <v>#N/A</v>
      </c>
      <c r="E27" s="887" t="e">
        <f>IF(N24=0,"N/A",N27)</f>
        <v>#N/A</v>
      </c>
      <c r="F27" s="801" t="s">
        <v>849</v>
      </c>
      <c r="G27" s="957" t="e">
        <f>E27</f>
        <v>#N/A</v>
      </c>
      <c r="H27" s="839" t="s">
        <v>1562</v>
      </c>
      <c r="I27" s="888" t="s">
        <v>1564</v>
      </c>
      <c r="J27" s="803"/>
      <c r="K27" s="825"/>
      <c r="L27" s="974" t="e">
        <f>IF(HLOOKUP($C$5,'PY2 Data(H)'!$D$2:$CZ$277,270,FALSE)=0,"Prior year data not submitted as of workbook published date.",(HLOOKUP($C$5,'PY2 Data(H)'!$D$2:$CZ$277,270,FALSE)))</f>
        <v>#N/A</v>
      </c>
      <c r="M27" s="930" t="e">
        <f>IF(HLOOKUP($C$5,'PY1 Data(H)'!$D$2:$CZ$279,272,FALSE)=0,"Prior year data not submitted as of workbook published date.",(HLOOKUP($C$5,'PY1 Data(H)'!$D$2:$CZ$279,272,FALSE)))</f>
        <v>#N/A</v>
      </c>
      <c r="N27" s="889">
        <f>+Import!L125-Import!L128+Import!L127-Import!L143-Import!L129</f>
        <v>0</v>
      </c>
      <c r="P27" s="1053"/>
      <c r="Q27" s="1051"/>
    </row>
    <row r="28" spans="1:81" s="853" customFormat="1" ht="120" customHeight="1" thickBot="1" x14ac:dyDescent="0.35">
      <c r="A28" s="828">
        <v>11</v>
      </c>
      <c r="B28" s="869" t="s">
        <v>1575</v>
      </c>
      <c r="C28" s="929" t="e">
        <f>IF(L24=0,"N/A",L28)</f>
        <v>#N/A</v>
      </c>
      <c r="D28" s="929" t="e">
        <f>IF(M24=0,"N/A",M28)</f>
        <v>#N/A</v>
      </c>
      <c r="E28" s="870" t="e">
        <f>IF(N24=0,"N/A",N28)</f>
        <v>#N/A</v>
      </c>
      <c r="F28" s="801" t="s">
        <v>795</v>
      </c>
      <c r="G28" s="955" t="e">
        <f>E28</f>
        <v>#N/A</v>
      </c>
      <c r="H28" s="839" t="s">
        <v>1875</v>
      </c>
      <c r="I28" s="888" t="s">
        <v>1565</v>
      </c>
      <c r="J28" s="804"/>
      <c r="K28" s="825"/>
      <c r="L28" s="975" t="e">
        <f>IF(P28="Blank","Prior year data not submitted as of workbook published date.",(HLOOKUP($C$5,'PY2 Data(H)'!$D$2:$CZ$279,271,FALSE)))</f>
        <v>#N/A</v>
      </c>
      <c r="M28" s="928" t="e">
        <f>IF(Q28="Blank","Prior year data not submitted as of workbook published date.",(HLOOKUP($C$5,'PY1 Data(H)'!$D$2:$CZ$279,273,FALSE)))</f>
        <v>#N/A</v>
      </c>
      <c r="N28" s="871" t="e">
        <f>+Import!L90/(Import!L131+Import!L128-Import!L127+Import!L143)</f>
        <v>#DIV/0!</v>
      </c>
      <c r="O28" s="808"/>
      <c r="P28" s="1054" t="str">
        <f>IF(ISBLANK(HLOOKUP($C$5,'PY2 Data(H)'!$D$2:$CZ$279,32,FALSE)),"Blank","Not Blank")</f>
        <v>Not Blank</v>
      </c>
      <c r="Q28" s="1052" t="str">
        <f>IF(ISBLANK(HLOOKUP($C$5,'PY1 Data(H)'!$D$2:$CZ$279,32,FALSE)),"Blank","Not Blank")</f>
        <v>Not Blank</v>
      </c>
      <c r="R28" s="809"/>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1"/>
      <c r="BI28" s="811"/>
      <c r="BJ28" s="811"/>
      <c r="BK28" s="811"/>
      <c r="BL28" s="811"/>
      <c r="BM28" s="811"/>
      <c r="BN28" s="811"/>
      <c r="BO28" s="811"/>
      <c r="BP28" s="811"/>
      <c r="BQ28" s="811"/>
      <c r="BR28" s="811"/>
      <c r="BS28" s="811"/>
      <c r="BT28" s="811"/>
      <c r="BU28" s="811"/>
      <c r="BV28" s="811"/>
      <c r="BW28" s="811"/>
      <c r="BX28" s="811"/>
      <c r="BY28" s="811"/>
      <c r="BZ28" s="811"/>
      <c r="CA28" s="811"/>
      <c r="CB28" s="811"/>
      <c r="CC28" s="811"/>
    </row>
    <row r="29" spans="1:81" s="853" customFormat="1" ht="18.600000000000001" thickBot="1" x14ac:dyDescent="0.35">
      <c r="A29" s="890"/>
      <c r="B29" s="1102" t="s">
        <v>851</v>
      </c>
      <c r="C29" s="1102"/>
      <c r="D29" s="1102"/>
      <c r="E29" s="864">
        <v>2024</v>
      </c>
      <c r="F29" s="891" t="s">
        <v>852</v>
      </c>
      <c r="G29" s="892"/>
      <c r="H29" s="893"/>
      <c r="I29" s="894"/>
      <c r="J29" s="895"/>
      <c r="K29" s="825"/>
      <c r="L29" s="808"/>
      <c r="M29" s="808"/>
      <c r="N29" s="808"/>
      <c r="O29" s="808"/>
      <c r="Q29" s="963"/>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1"/>
      <c r="BI29" s="811"/>
      <c r="BJ29" s="811"/>
      <c r="BK29" s="811"/>
      <c r="BL29" s="811"/>
      <c r="BM29" s="811"/>
      <c r="BN29" s="811"/>
      <c r="BO29" s="811"/>
      <c r="BP29" s="811"/>
      <c r="BQ29" s="811"/>
      <c r="BR29" s="811"/>
      <c r="BS29" s="811"/>
      <c r="BT29" s="811"/>
      <c r="BU29" s="811"/>
      <c r="BV29" s="811"/>
      <c r="BW29" s="811"/>
      <c r="BX29" s="811"/>
      <c r="BY29" s="811"/>
      <c r="BZ29" s="811"/>
      <c r="CA29" s="811"/>
      <c r="CB29" s="811"/>
      <c r="CC29" s="811"/>
    </row>
    <row r="30" spans="1:81" s="853" customFormat="1" ht="119.4" customHeight="1" thickBot="1" x14ac:dyDescent="0.35">
      <c r="A30" s="896" t="s">
        <v>1929</v>
      </c>
      <c r="B30" s="1103" t="s">
        <v>1948</v>
      </c>
      <c r="C30" s="1104"/>
      <c r="D30" s="1104"/>
      <c r="E30" s="992">
        <f>Import!L259</f>
        <v>0</v>
      </c>
      <c r="F30" s="990"/>
      <c r="G30" s="992" t="str">
        <f>IF('TD Info Completed by Auditor'!C31&gt;N30,"Late","Response Not Required")</f>
        <v>Response Not Required</v>
      </c>
      <c r="H30" s="897" t="s">
        <v>853</v>
      </c>
      <c r="I30" s="1043" t="s">
        <v>1942</v>
      </c>
      <c r="J30" s="805"/>
      <c r="K30" s="825"/>
      <c r="L30" s="997">
        <f>'TD Info Completed by Auditor'!C31</f>
        <v>0</v>
      </c>
      <c r="M30" s="998">
        <f>'TD Info Completed by Auditor'!C30</f>
        <v>45473</v>
      </c>
      <c r="N30" s="999">
        <f>IF(M30=DATEVALUE("6/30/2024"),N32,IF(M30=DATEVALUE("9/30/2024"),N33,IF(M30=DATEVALUE("12/31/2024"),N34,IF(M30=DATEVALUE("3/31/2025"),N35))))</f>
        <v>45657</v>
      </c>
      <c r="P30" s="994"/>
      <c r="Q30" s="810"/>
      <c r="R30" s="810"/>
      <c r="S30" s="810"/>
      <c r="T30" s="810"/>
      <c r="U30" s="810"/>
      <c r="V30" s="810"/>
      <c r="W30" s="810"/>
      <c r="X30" s="810"/>
      <c r="Y30" s="810"/>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0"/>
      <c r="BB30" s="810"/>
      <c r="BC30" s="810"/>
      <c r="BD30" s="810"/>
      <c r="BE30" s="810"/>
      <c r="BF30" s="810"/>
      <c r="BG30" s="810"/>
      <c r="BH30" s="811"/>
      <c r="BI30" s="811"/>
      <c r="BJ30" s="811"/>
      <c r="BK30" s="811"/>
      <c r="BL30" s="811"/>
      <c r="BM30" s="811"/>
      <c r="BN30" s="811"/>
      <c r="BO30" s="811"/>
      <c r="BP30" s="811"/>
      <c r="BQ30" s="811"/>
      <c r="BR30" s="811"/>
      <c r="BS30" s="811"/>
      <c r="BT30" s="811"/>
      <c r="BU30" s="811"/>
      <c r="BV30" s="811"/>
      <c r="BW30" s="811"/>
      <c r="BX30" s="811"/>
      <c r="BY30" s="811"/>
      <c r="BZ30" s="811"/>
      <c r="CA30" s="811"/>
      <c r="CB30" s="811"/>
      <c r="CC30" s="811"/>
    </row>
    <row r="31" spans="1:81" s="853" customFormat="1" ht="18" customHeight="1" thickBot="1" x14ac:dyDescent="0.35">
      <c r="A31" s="898"/>
      <c r="B31" s="1097"/>
      <c r="C31" s="1097"/>
      <c r="D31" s="1098"/>
      <c r="E31" s="864">
        <v>2024</v>
      </c>
      <c r="F31" s="899" t="s">
        <v>852</v>
      </c>
      <c r="G31" s="900"/>
      <c r="H31" s="900"/>
      <c r="I31" s="901"/>
      <c r="J31" s="902"/>
      <c r="K31" s="825"/>
      <c r="L31" s="1000" t="s">
        <v>1951</v>
      </c>
      <c r="M31" s="1001" t="s">
        <v>1952</v>
      </c>
      <c r="N31" s="1002"/>
      <c r="P31" s="809"/>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0"/>
      <c r="AY31" s="810"/>
      <c r="AZ31" s="810"/>
      <c r="BA31" s="810"/>
      <c r="BB31" s="810"/>
      <c r="BC31" s="810"/>
      <c r="BD31" s="810"/>
      <c r="BE31" s="810"/>
      <c r="BF31" s="810"/>
      <c r="BG31" s="810"/>
      <c r="BH31" s="811"/>
      <c r="BI31" s="811"/>
      <c r="BJ31" s="811"/>
      <c r="BK31" s="811"/>
      <c r="BL31" s="811"/>
      <c r="BM31" s="811"/>
      <c r="BN31" s="811"/>
      <c r="BO31" s="811"/>
      <c r="BP31" s="811"/>
      <c r="BQ31" s="811"/>
      <c r="BR31" s="811"/>
      <c r="BS31" s="811"/>
      <c r="BT31" s="811"/>
      <c r="BU31" s="811"/>
      <c r="BV31" s="811"/>
      <c r="BW31" s="811"/>
      <c r="BX31" s="811"/>
      <c r="BY31" s="811"/>
      <c r="BZ31" s="811"/>
      <c r="CA31" s="811"/>
      <c r="CB31" s="811"/>
      <c r="CC31" s="811"/>
    </row>
    <row r="32" spans="1:81" s="853" customFormat="1" ht="114.6" customHeight="1" thickBot="1" x14ac:dyDescent="0.35">
      <c r="A32" s="828">
        <v>13</v>
      </c>
      <c r="B32" s="1146" t="s">
        <v>1480</v>
      </c>
      <c r="C32" s="1150"/>
      <c r="D32" s="1150"/>
      <c r="E32" s="903"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01" t="s">
        <v>581</v>
      </c>
      <c r="G32" s="904" t="str">
        <f>+E32</f>
        <v>This question must be answered unless the unit does not levy ad valorem taxes. See cells F63 &amp; F64 on Unit Data from Audit</v>
      </c>
      <c r="H32" s="839" t="s">
        <v>1424</v>
      </c>
      <c r="I32" s="888" t="s">
        <v>585</v>
      </c>
      <c r="J32" s="805"/>
      <c r="K32" s="825"/>
      <c r="L32" s="1000"/>
      <c r="M32" s="1003">
        <v>45473</v>
      </c>
      <c r="N32" s="1004">
        <v>45657</v>
      </c>
      <c r="O32" s="808"/>
      <c r="P32" s="809"/>
      <c r="Q32" s="810"/>
      <c r="R32" s="810"/>
      <c r="S32" s="810"/>
      <c r="T32" s="810"/>
      <c r="U32" s="810"/>
      <c r="V32" s="810"/>
      <c r="W32" s="810"/>
      <c r="X32" s="810"/>
      <c r="Y32" s="810"/>
      <c r="Z32" s="810"/>
      <c r="AA32" s="810"/>
      <c r="AB32" s="810"/>
      <c r="AC32" s="810"/>
      <c r="AD32" s="810"/>
      <c r="AE32" s="810"/>
      <c r="AF32" s="810"/>
      <c r="AG32" s="810"/>
      <c r="AH32" s="810"/>
      <c r="AI32" s="810"/>
      <c r="AJ32" s="810"/>
      <c r="AK32" s="810"/>
      <c r="AL32" s="810"/>
      <c r="AM32" s="810"/>
      <c r="AN32" s="810"/>
      <c r="AO32" s="810"/>
      <c r="AP32" s="810"/>
      <c r="AQ32" s="810"/>
      <c r="AR32" s="810"/>
      <c r="AS32" s="810"/>
      <c r="AT32" s="810"/>
      <c r="AU32" s="810"/>
      <c r="AV32" s="810"/>
      <c r="AW32" s="810"/>
      <c r="AX32" s="810"/>
      <c r="AY32" s="810"/>
      <c r="AZ32" s="810"/>
      <c r="BA32" s="810"/>
      <c r="BB32" s="810"/>
      <c r="BC32" s="810"/>
      <c r="BD32" s="810"/>
      <c r="BE32" s="810"/>
      <c r="BF32" s="810"/>
      <c r="BG32" s="810"/>
      <c r="BH32" s="811"/>
      <c r="BI32" s="811"/>
      <c r="BJ32" s="811"/>
      <c r="BK32" s="811"/>
      <c r="BL32" s="811"/>
      <c r="BM32" s="811"/>
      <c r="BN32" s="811"/>
      <c r="BO32" s="811"/>
      <c r="BP32" s="811"/>
      <c r="BQ32" s="811"/>
      <c r="BR32" s="811"/>
      <c r="BS32" s="811"/>
      <c r="BT32" s="811"/>
      <c r="BU32" s="811"/>
      <c r="BV32" s="811"/>
      <c r="BW32" s="811"/>
      <c r="BX32" s="811"/>
      <c r="BY32" s="811"/>
      <c r="BZ32" s="811"/>
      <c r="CA32" s="811"/>
      <c r="CB32" s="811"/>
      <c r="CC32" s="811"/>
    </row>
    <row r="33" spans="1:81" s="853" customFormat="1" ht="18" customHeight="1" thickBot="1" x14ac:dyDescent="0.35">
      <c r="A33" s="905"/>
      <c r="B33" s="1097"/>
      <c r="C33" s="1097"/>
      <c r="D33" s="1098"/>
      <c r="E33" s="864">
        <v>2024</v>
      </c>
      <c r="F33" s="899" t="s">
        <v>852</v>
      </c>
      <c r="G33" s="900"/>
      <c r="H33" s="900"/>
      <c r="I33" s="901"/>
      <c r="J33" s="902"/>
      <c r="K33" s="807"/>
      <c r="L33" s="1000"/>
      <c r="M33" s="1003">
        <v>45565</v>
      </c>
      <c r="N33" s="1004">
        <v>45747</v>
      </c>
      <c r="O33" s="808"/>
      <c r="P33" s="809"/>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0"/>
      <c r="AY33" s="810"/>
      <c r="AZ33" s="810"/>
      <c r="BA33" s="810"/>
      <c r="BB33" s="810"/>
      <c r="BC33" s="810"/>
      <c r="BD33" s="810"/>
      <c r="BE33" s="810"/>
      <c r="BF33" s="810"/>
      <c r="BG33" s="810"/>
      <c r="BH33" s="811"/>
      <c r="BI33" s="811"/>
      <c r="BJ33" s="811"/>
      <c r="BK33" s="811"/>
      <c r="BL33" s="811"/>
      <c r="BM33" s="811"/>
      <c r="BN33" s="811"/>
      <c r="BO33" s="811"/>
      <c r="BP33" s="811"/>
      <c r="BQ33" s="811"/>
      <c r="BR33" s="811"/>
      <c r="BS33" s="811"/>
      <c r="BT33" s="811"/>
      <c r="BU33" s="811"/>
      <c r="BV33" s="811"/>
      <c r="BW33" s="811"/>
      <c r="BX33" s="811"/>
      <c r="BY33" s="811"/>
      <c r="BZ33" s="811"/>
      <c r="CA33" s="811"/>
      <c r="CB33" s="811"/>
      <c r="CC33" s="811"/>
    </row>
    <row r="34" spans="1:81" s="853" customFormat="1" ht="97.5" customHeight="1" thickBot="1" x14ac:dyDescent="0.35">
      <c r="A34" s="828">
        <v>14</v>
      </c>
      <c r="B34" s="1095" t="s">
        <v>1080</v>
      </c>
      <c r="C34" s="1096"/>
      <c r="D34" s="1096"/>
      <c r="E34" s="906" t="str">
        <f>IF(Import!L210=20,"Increase",IF(Import!L210=21,"Decrease",IF(Import!L210=22,"No Change",IF(Import!L210=23,"N/A","This question must be answered. See cell F265 on Unit Data from Audit"))))</f>
        <v>This question must be answered. See cell F265 on Unit Data from Audit</v>
      </c>
      <c r="F34" s="801" t="s">
        <v>854</v>
      </c>
      <c r="G34" s="906" t="str">
        <f>E34</f>
        <v>This question must be answered. See cell F265 on Unit Data from Audit</v>
      </c>
      <c r="H34" s="839" t="s">
        <v>855</v>
      </c>
      <c r="I34" s="888" t="s">
        <v>586</v>
      </c>
      <c r="J34" s="805"/>
      <c r="K34" s="907"/>
      <c r="L34" s="1000"/>
      <c r="M34" s="1003">
        <v>45657</v>
      </c>
      <c r="N34" s="1004">
        <v>45838</v>
      </c>
      <c r="O34" s="808"/>
      <c r="P34" s="809"/>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810"/>
      <c r="BG34" s="810"/>
      <c r="BH34" s="811"/>
      <c r="BI34" s="811"/>
      <c r="BJ34" s="811"/>
      <c r="BK34" s="811"/>
      <c r="BL34" s="811"/>
      <c r="BM34" s="811"/>
      <c r="BN34" s="811"/>
      <c r="BO34" s="811"/>
      <c r="BP34" s="811"/>
      <c r="BQ34" s="811"/>
      <c r="BR34" s="811"/>
      <c r="BS34" s="811"/>
      <c r="BT34" s="811"/>
      <c r="BU34" s="811"/>
      <c r="BV34" s="811"/>
      <c r="BW34" s="811"/>
      <c r="BX34" s="811"/>
      <c r="BY34" s="811"/>
      <c r="BZ34" s="811"/>
      <c r="CA34" s="811"/>
      <c r="CB34" s="811"/>
      <c r="CC34" s="811"/>
    </row>
    <row r="35" spans="1:81" s="853" customFormat="1" ht="18" customHeight="1" thickBot="1" x14ac:dyDescent="0.35">
      <c r="A35" s="905"/>
      <c r="B35" s="1097"/>
      <c r="C35" s="1097"/>
      <c r="D35" s="1098"/>
      <c r="E35" s="864">
        <v>2024</v>
      </c>
      <c r="F35" s="899" t="s">
        <v>852</v>
      </c>
      <c r="G35" s="900"/>
      <c r="H35" s="908"/>
      <c r="I35" s="901"/>
      <c r="J35" s="902"/>
      <c r="K35" s="909"/>
      <c r="L35" s="1005"/>
      <c r="M35" s="1006">
        <v>45747</v>
      </c>
      <c r="N35" s="1007">
        <v>45930</v>
      </c>
      <c r="O35" s="808"/>
      <c r="P35" s="809"/>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0"/>
      <c r="AY35" s="810"/>
      <c r="AZ35" s="810"/>
      <c r="BA35" s="810"/>
      <c r="BB35" s="810"/>
      <c r="BC35" s="810"/>
      <c r="BD35" s="810"/>
      <c r="BE35" s="810"/>
      <c r="BF35" s="810"/>
      <c r="BG35" s="810"/>
      <c r="BH35" s="811"/>
      <c r="BI35" s="811"/>
      <c r="BJ35" s="811"/>
      <c r="BK35" s="811"/>
      <c r="BL35" s="811"/>
      <c r="BM35" s="811"/>
      <c r="BN35" s="811"/>
      <c r="BO35" s="811"/>
      <c r="BP35" s="811"/>
      <c r="BQ35" s="811"/>
      <c r="BR35" s="811"/>
      <c r="BS35" s="811"/>
      <c r="BT35" s="811"/>
      <c r="BU35" s="811"/>
      <c r="BV35" s="811"/>
      <c r="BW35" s="811"/>
      <c r="BX35" s="811"/>
      <c r="BY35" s="811"/>
      <c r="BZ35" s="811"/>
      <c r="CA35" s="811"/>
      <c r="CB35" s="811"/>
      <c r="CC35" s="811"/>
    </row>
    <row r="36" spans="1:81" s="853" customFormat="1" ht="88.2" customHeight="1" thickBot="1" x14ac:dyDescent="0.35">
      <c r="A36" s="828">
        <v>15</v>
      </c>
      <c r="B36" s="1153" t="s">
        <v>1895</v>
      </c>
      <c r="C36" s="1154"/>
      <c r="D36" s="1155"/>
      <c r="E36" s="801" t="str">
        <f>IF(Import!L216=1,"Yes",IF(Import!L216=2,"No",IF(Import!L216=0,"This question must be answered.  See cell C15 on TD")))</f>
        <v>This question must be answered.  See cell C15 on TD</v>
      </c>
      <c r="F36" s="801" t="s">
        <v>587</v>
      </c>
      <c r="G36" s="801" t="str">
        <f>+E36</f>
        <v>This question must be answered.  See cell C15 on TD</v>
      </c>
      <c r="H36" s="910" t="s">
        <v>1081</v>
      </c>
      <c r="I36" s="888" t="s">
        <v>1460</v>
      </c>
      <c r="J36" s="805"/>
      <c r="K36" s="825"/>
      <c r="L36" s="808"/>
      <c r="M36" s="808"/>
      <c r="N36" s="993"/>
      <c r="O36" s="808"/>
      <c r="P36" s="809"/>
      <c r="Q36" s="810"/>
      <c r="R36" s="810"/>
      <c r="S36" s="810"/>
      <c r="T36" s="810"/>
      <c r="U36" s="810"/>
      <c r="V36" s="810"/>
      <c r="W36" s="810"/>
      <c r="X36" s="810"/>
      <c r="Y36" s="810"/>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1"/>
      <c r="BI36" s="811"/>
      <c r="BJ36" s="811"/>
      <c r="BK36" s="811"/>
      <c r="BL36" s="811"/>
      <c r="BM36" s="811"/>
      <c r="BN36" s="811"/>
      <c r="BO36" s="811"/>
      <c r="BP36" s="811"/>
      <c r="BQ36" s="811"/>
      <c r="BR36" s="811"/>
      <c r="BS36" s="811"/>
      <c r="BT36" s="811"/>
      <c r="BU36" s="811"/>
      <c r="BV36" s="811"/>
      <c r="BW36" s="811"/>
      <c r="BX36" s="811"/>
      <c r="BY36" s="811"/>
      <c r="BZ36" s="811"/>
      <c r="CA36" s="811"/>
      <c r="CB36" s="811"/>
      <c r="CC36" s="811"/>
    </row>
    <row r="37" spans="1:81" s="853" customFormat="1" ht="18" customHeight="1" thickBot="1" x14ac:dyDescent="0.35">
      <c r="A37" s="905"/>
      <c r="B37" s="1097"/>
      <c r="C37" s="1097"/>
      <c r="D37" s="1098"/>
      <c r="E37" s="864">
        <v>2024</v>
      </c>
      <c r="F37" s="899" t="s">
        <v>852</v>
      </c>
      <c r="G37" s="900"/>
      <c r="H37" s="908"/>
      <c r="I37" s="901"/>
      <c r="J37" s="902"/>
      <c r="K37" s="825"/>
      <c r="L37" s="808"/>
      <c r="M37" s="808"/>
      <c r="N37" s="808"/>
      <c r="O37" s="808"/>
      <c r="P37" s="809"/>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0"/>
      <c r="AY37" s="810"/>
      <c r="AZ37" s="810"/>
      <c r="BA37" s="810"/>
      <c r="BB37" s="810"/>
      <c r="BC37" s="810"/>
      <c r="BD37" s="810"/>
      <c r="BE37" s="810"/>
      <c r="BF37" s="810"/>
      <c r="BG37" s="810"/>
      <c r="BH37" s="811"/>
      <c r="BI37" s="811"/>
      <c r="BJ37" s="811"/>
      <c r="BK37" s="811"/>
      <c r="BL37" s="811"/>
      <c r="BM37" s="811"/>
      <c r="BN37" s="811"/>
      <c r="BO37" s="811"/>
      <c r="BP37" s="811"/>
      <c r="BQ37" s="811"/>
      <c r="BR37" s="811"/>
      <c r="BS37" s="811"/>
      <c r="BT37" s="811"/>
      <c r="BU37" s="811"/>
      <c r="BV37" s="811"/>
      <c r="BW37" s="811"/>
      <c r="BX37" s="811"/>
      <c r="BY37" s="811"/>
      <c r="BZ37" s="811"/>
      <c r="CA37" s="811"/>
      <c r="CB37" s="811"/>
      <c r="CC37" s="811"/>
    </row>
    <row r="38" spans="1:81" s="853" customFormat="1" ht="109.8" customHeight="1" thickBot="1" x14ac:dyDescent="0.35">
      <c r="A38" s="828">
        <v>16</v>
      </c>
      <c r="B38" s="1145" t="s">
        <v>1583</v>
      </c>
      <c r="C38" s="1145"/>
      <c r="D38" s="1146"/>
      <c r="E38" s="923" t="str">
        <f>IF(AND(Import!L214=2,Import!L215=2,Import!L217=2,AND(Import!L223&lt;=0,Import!L224&lt;=0)),"No","Yes")</f>
        <v>Yes</v>
      </c>
      <c r="F38" s="911"/>
      <c r="G38" s="873" t="str">
        <f>E38</f>
        <v>Yes</v>
      </c>
      <c r="H38" s="1044" t="s">
        <v>1878</v>
      </c>
      <c r="I38" s="847" t="s">
        <v>1472</v>
      </c>
      <c r="J38" s="805"/>
      <c r="K38" s="825"/>
      <c r="L38" s="808"/>
      <c r="M38" s="808"/>
      <c r="N38" s="808"/>
      <c r="O38" s="808"/>
      <c r="P38" s="809"/>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0"/>
      <c r="AY38" s="810"/>
      <c r="AZ38" s="810"/>
      <c r="BA38" s="810"/>
      <c r="BB38" s="810"/>
      <c r="BC38" s="810"/>
      <c r="BD38" s="810"/>
      <c r="BE38" s="810"/>
      <c r="BF38" s="810"/>
      <c r="BG38" s="810"/>
      <c r="BH38" s="811"/>
      <c r="BI38" s="811"/>
      <c r="BJ38" s="811"/>
      <c r="BK38" s="811"/>
      <c r="BL38" s="811"/>
      <c r="BM38" s="811"/>
      <c r="BN38" s="811"/>
      <c r="BO38" s="811"/>
      <c r="BP38" s="811"/>
      <c r="BQ38" s="811"/>
      <c r="BR38" s="811"/>
      <c r="BS38" s="811"/>
      <c r="BT38" s="811"/>
      <c r="BU38" s="811"/>
      <c r="BV38" s="811"/>
      <c r="BW38" s="811"/>
      <c r="BX38" s="811"/>
      <c r="BY38" s="811"/>
      <c r="BZ38" s="811"/>
      <c r="CA38" s="811"/>
      <c r="CB38" s="811"/>
      <c r="CC38" s="811"/>
    </row>
    <row r="39" spans="1:81" s="853" customFormat="1" ht="98.4" customHeight="1" thickBot="1" x14ac:dyDescent="0.35">
      <c r="A39" s="971">
        <v>17</v>
      </c>
      <c r="B39" s="1153" t="s">
        <v>1920</v>
      </c>
      <c r="C39" s="1154"/>
      <c r="D39" s="1155"/>
      <c r="E39" s="873" t="str">
        <f>IF(Import!L218=1,"Yes",IF(Import!L218=2,"No",IF(Import!L218=0,"This question must be answered.  See cell C17 on TD")))</f>
        <v>This question must be answered.  See cell C17 on TD</v>
      </c>
      <c r="F39" s="911"/>
      <c r="G39" s="873" t="str">
        <f>E39</f>
        <v>This question must be answered.  See cell C17 on TD</v>
      </c>
      <c r="H39" s="910" t="s">
        <v>1946</v>
      </c>
      <c r="I39" s="847" t="s">
        <v>1467</v>
      </c>
      <c r="J39" s="805"/>
      <c r="K39" s="825"/>
      <c r="L39" s="808"/>
      <c r="M39" s="808"/>
      <c r="N39" s="808"/>
      <c r="O39" s="808"/>
      <c r="P39" s="809"/>
      <c r="Q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1"/>
      <c r="BI39" s="811"/>
      <c r="BJ39" s="811"/>
      <c r="BK39" s="811"/>
      <c r="BL39" s="811"/>
      <c r="BM39" s="811"/>
      <c r="BN39" s="811"/>
      <c r="BO39" s="811"/>
      <c r="BP39" s="811"/>
      <c r="BQ39" s="811"/>
      <c r="BR39" s="811"/>
      <c r="BS39" s="811"/>
      <c r="BT39" s="811"/>
      <c r="BU39" s="811"/>
      <c r="BV39" s="811"/>
      <c r="BW39" s="811"/>
      <c r="BX39" s="811"/>
      <c r="BY39" s="811"/>
      <c r="BZ39" s="811"/>
      <c r="CA39" s="811"/>
      <c r="CB39" s="811"/>
      <c r="CC39" s="811"/>
    </row>
    <row r="40" spans="1:81" s="853" customFormat="1" ht="106.2" customHeight="1" thickBot="1" x14ac:dyDescent="0.35">
      <c r="A40" s="971">
        <v>18</v>
      </c>
      <c r="B40" s="1153" t="s">
        <v>1680</v>
      </c>
      <c r="C40" s="1154"/>
      <c r="D40" s="1155"/>
      <c r="E40" s="873" t="str">
        <f>IF(Import!L220=1,"Yes",IF(Import!L220=2,"No",IF(Import!L220=0,"This question must be answered.  See cell C19 on TD")))</f>
        <v>This question must be answered.  See cell C19 on TD</v>
      </c>
      <c r="F40" s="911"/>
      <c r="G40" s="873" t="str">
        <f>E40</f>
        <v>This question must be answered.  See cell C19 on TD</v>
      </c>
      <c r="H40" s="910" t="s">
        <v>1954</v>
      </c>
      <c r="I40" s="847" t="s">
        <v>1570</v>
      </c>
      <c r="J40" s="805"/>
      <c r="K40" s="825"/>
      <c r="L40" s="808"/>
      <c r="M40" s="808"/>
      <c r="N40" s="808"/>
      <c r="O40" s="808"/>
      <c r="P40" s="809"/>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0"/>
      <c r="AY40" s="810"/>
      <c r="AZ40" s="810"/>
      <c r="BA40" s="810"/>
      <c r="BB40" s="810"/>
      <c r="BC40" s="810"/>
      <c r="BD40" s="810"/>
      <c r="BE40" s="810"/>
      <c r="BF40" s="810"/>
      <c r="BG40" s="810"/>
      <c r="BH40" s="811"/>
      <c r="BI40" s="811"/>
      <c r="BJ40" s="811"/>
      <c r="BK40" s="811"/>
      <c r="BL40" s="811"/>
      <c r="BM40" s="811"/>
      <c r="BN40" s="811"/>
      <c r="BO40" s="811"/>
      <c r="BP40" s="811"/>
      <c r="BQ40" s="811"/>
      <c r="BR40" s="811"/>
      <c r="BS40" s="811"/>
      <c r="BT40" s="811"/>
      <c r="BU40" s="811"/>
      <c r="BV40" s="811"/>
      <c r="BW40" s="811"/>
      <c r="BX40" s="811"/>
      <c r="BY40" s="811"/>
      <c r="BZ40" s="811"/>
      <c r="CA40" s="811"/>
      <c r="CB40" s="811"/>
      <c r="CC40" s="811"/>
    </row>
    <row r="41" spans="1:81" s="853" customFormat="1" ht="18" customHeight="1" thickBot="1" x14ac:dyDescent="0.35">
      <c r="A41" s="905"/>
      <c r="B41" s="1102" t="s">
        <v>851</v>
      </c>
      <c r="C41" s="1102"/>
      <c r="D41" s="1156"/>
      <c r="E41" s="864">
        <v>2024</v>
      </c>
      <c r="F41" s="899" t="s">
        <v>852</v>
      </c>
      <c r="G41" s="913"/>
      <c r="H41" s="900"/>
      <c r="I41" s="914"/>
      <c r="J41" s="902"/>
      <c r="K41" s="825"/>
      <c r="L41" s="808"/>
      <c r="M41" s="808"/>
      <c r="N41" s="808"/>
      <c r="O41" s="808"/>
      <c r="P41" s="809"/>
      <c r="Q41" s="810"/>
      <c r="R41" s="810"/>
      <c r="S41" s="810"/>
      <c r="T41" s="810"/>
      <c r="U41" s="810"/>
      <c r="V41" s="810"/>
      <c r="W41" s="810"/>
      <c r="X41" s="810"/>
      <c r="Y41" s="810"/>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1"/>
      <c r="BI41" s="811"/>
      <c r="BJ41" s="811"/>
      <c r="BK41" s="811"/>
      <c r="BL41" s="811"/>
      <c r="BM41" s="811"/>
      <c r="BN41" s="811"/>
      <c r="BO41" s="811"/>
      <c r="BP41" s="811"/>
      <c r="BQ41" s="811"/>
      <c r="BR41" s="811"/>
      <c r="BS41" s="811"/>
      <c r="BT41" s="811"/>
      <c r="BU41" s="811"/>
      <c r="BV41" s="811"/>
      <c r="BW41" s="811"/>
      <c r="BX41" s="811"/>
      <c r="BY41" s="811"/>
      <c r="BZ41" s="811"/>
      <c r="CA41" s="811"/>
      <c r="CB41" s="811"/>
      <c r="CC41" s="811"/>
    </row>
    <row r="42" spans="1:81" s="853" customFormat="1" ht="82.8" customHeight="1" thickBot="1" x14ac:dyDescent="0.35">
      <c r="A42" s="971">
        <v>19</v>
      </c>
      <c r="B42" s="1099" t="s">
        <v>1079</v>
      </c>
      <c r="C42" s="1099"/>
      <c r="D42" s="1095"/>
      <c r="E42" s="873" t="str">
        <f>IF(Import!L227=1,"Yes",IF(Import!L227=2,"No",IF(Import!L227=3,"N/A",IF(Import!L227=0,"This question must be answered.  See cell C26 on TD"))))</f>
        <v>This question must be answered.  See cell C26 on TD</v>
      </c>
      <c r="F42" s="911"/>
      <c r="G42" s="873" t="str">
        <f>E42</f>
        <v>This question must be answered.  See cell C26 on TD</v>
      </c>
      <c r="H42" s="910" t="s">
        <v>1879</v>
      </c>
      <c r="I42" s="888" t="s">
        <v>649</v>
      </c>
      <c r="J42" s="805"/>
      <c r="K42" s="825"/>
      <c r="L42" s="808"/>
      <c r="M42" s="808"/>
      <c r="N42" s="808"/>
      <c r="O42" s="808"/>
      <c r="P42" s="809"/>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0"/>
      <c r="AY42" s="810"/>
      <c r="AZ42" s="810"/>
      <c r="BA42" s="810"/>
      <c r="BB42" s="810"/>
      <c r="BC42" s="810"/>
      <c r="BD42" s="810"/>
      <c r="BE42" s="810"/>
      <c r="BF42" s="810"/>
      <c r="BG42" s="810"/>
      <c r="BH42" s="811"/>
      <c r="BI42" s="811"/>
      <c r="BJ42" s="811"/>
      <c r="BK42" s="811"/>
      <c r="BL42" s="811"/>
      <c r="BM42" s="811"/>
      <c r="BN42" s="811"/>
      <c r="BO42" s="811"/>
      <c r="BP42" s="811"/>
      <c r="BQ42" s="811"/>
      <c r="BR42" s="811"/>
      <c r="BS42" s="811"/>
      <c r="BT42" s="811"/>
      <c r="BU42" s="811"/>
      <c r="BV42" s="811"/>
      <c r="BW42" s="811"/>
      <c r="BX42" s="811"/>
      <c r="BY42" s="811"/>
      <c r="BZ42" s="811"/>
      <c r="CA42" s="811"/>
      <c r="CB42" s="811"/>
      <c r="CC42" s="811"/>
    </row>
    <row r="43" spans="1:81" s="853" customFormat="1" ht="18" customHeight="1" thickBot="1" x14ac:dyDescent="0.35">
      <c r="A43" s="905"/>
      <c r="B43" s="1097"/>
      <c r="C43" s="1097"/>
      <c r="D43" s="1098"/>
      <c r="E43" s="864">
        <v>2024</v>
      </c>
      <c r="F43" s="891" t="s">
        <v>852</v>
      </c>
      <c r="G43" s="900"/>
      <c r="H43" s="908"/>
      <c r="I43" s="901"/>
      <c r="J43" s="902"/>
      <c r="K43" s="825"/>
      <c r="L43" s="808"/>
      <c r="M43" s="808"/>
      <c r="N43" s="808"/>
      <c r="O43" s="808"/>
      <c r="P43" s="809"/>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0"/>
      <c r="AY43" s="810"/>
      <c r="AZ43" s="810"/>
      <c r="BA43" s="810"/>
      <c r="BB43" s="810"/>
      <c r="BC43" s="810"/>
      <c r="BD43" s="810"/>
      <c r="BE43" s="810"/>
      <c r="BF43" s="810"/>
      <c r="BG43" s="810"/>
      <c r="BH43" s="811"/>
      <c r="BI43" s="811"/>
      <c r="BJ43" s="811"/>
      <c r="BK43" s="811"/>
      <c r="BL43" s="811"/>
      <c r="BM43" s="811"/>
      <c r="BN43" s="811"/>
      <c r="BO43" s="811"/>
      <c r="BP43" s="811"/>
      <c r="BQ43" s="811"/>
      <c r="BR43" s="811"/>
      <c r="BS43" s="811"/>
      <c r="BT43" s="811"/>
      <c r="BU43" s="811"/>
      <c r="BV43" s="811"/>
      <c r="BW43" s="811"/>
      <c r="BX43" s="811"/>
      <c r="BY43" s="811"/>
      <c r="BZ43" s="811"/>
      <c r="CA43" s="811"/>
      <c r="CB43" s="811"/>
      <c r="CC43" s="811"/>
    </row>
    <row r="44" spans="1:81" s="853" customFormat="1" ht="130.19999999999999" customHeight="1" thickBot="1" x14ac:dyDescent="0.35">
      <c r="A44" s="828">
        <v>20</v>
      </c>
      <c r="B44" s="1146" t="s">
        <v>1478</v>
      </c>
      <c r="C44" s="1150"/>
      <c r="D44" s="1150"/>
      <c r="E44" s="915" t="str">
        <f>IF('Electric trans'!F24="No, unit exceeds limit by:","Yes","No")</f>
        <v>No</v>
      </c>
      <c r="F44" s="911"/>
      <c r="G44" s="915" t="str">
        <f>+E44</f>
        <v>No</v>
      </c>
      <c r="H44" s="839" t="s">
        <v>1882</v>
      </c>
      <c r="I44" s="888" t="s">
        <v>1482</v>
      </c>
      <c r="J44" s="805"/>
      <c r="K44" s="825"/>
      <c r="L44" s="808"/>
      <c r="M44" s="808"/>
      <c r="N44" s="808"/>
      <c r="O44" s="808"/>
      <c r="P44" s="809"/>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0"/>
      <c r="AY44" s="810"/>
      <c r="AZ44" s="810"/>
      <c r="BA44" s="810"/>
      <c r="BB44" s="810"/>
      <c r="BC44" s="810"/>
      <c r="BD44" s="810"/>
      <c r="BE44" s="810"/>
      <c r="BF44" s="810"/>
      <c r="BG44" s="810"/>
      <c r="BH44" s="811"/>
      <c r="BI44" s="811"/>
      <c r="BJ44" s="811"/>
      <c r="BK44" s="811"/>
      <c r="BL44" s="811"/>
      <c r="BM44" s="811"/>
      <c r="BN44" s="811"/>
      <c r="BO44" s="811"/>
      <c r="BP44" s="811"/>
      <c r="BQ44" s="811"/>
      <c r="BR44" s="811"/>
      <c r="BS44" s="811"/>
      <c r="BT44" s="811"/>
      <c r="BU44" s="811"/>
      <c r="BV44" s="811"/>
      <c r="BW44" s="811"/>
      <c r="BX44" s="811"/>
      <c r="BY44" s="811"/>
      <c r="BZ44" s="811"/>
      <c r="CA44" s="811"/>
      <c r="CB44" s="811"/>
      <c r="CC44" s="811"/>
    </row>
    <row r="45" spans="1:81" s="853" customFormat="1" ht="18" customHeight="1" thickBot="1" x14ac:dyDescent="0.35">
      <c r="A45" s="905"/>
      <c r="B45" s="1151"/>
      <c r="C45" s="1151"/>
      <c r="D45" s="1152"/>
      <c r="E45" s="864">
        <v>2024</v>
      </c>
      <c r="F45" s="899" t="s">
        <v>852</v>
      </c>
      <c r="G45" s="913"/>
      <c r="H45" s="900"/>
      <c r="I45" s="901"/>
      <c r="J45" s="902"/>
      <c r="K45" s="825"/>
      <c r="L45" s="808"/>
      <c r="M45" s="808"/>
      <c r="N45" s="808"/>
      <c r="O45" s="808"/>
      <c r="P45" s="809"/>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c r="BG45" s="810"/>
      <c r="BH45" s="811"/>
      <c r="BI45" s="811"/>
      <c r="BJ45" s="811"/>
      <c r="BK45" s="811"/>
      <c r="BL45" s="811"/>
      <c r="BM45" s="811"/>
      <c r="BN45" s="811"/>
      <c r="BO45" s="811"/>
      <c r="BP45" s="811"/>
      <c r="BQ45" s="811"/>
      <c r="BR45" s="811"/>
      <c r="BS45" s="811"/>
      <c r="BT45" s="811"/>
      <c r="BU45" s="811"/>
      <c r="BV45" s="811"/>
      <c r="BW45" s="811"/>
      <c r="BX45" s="811"/>
      <c r="BY45" s="811"/>
      <c r="BZ45" s="811"/>
      <c r="CA45" s="811"/>
      <c r="CB45" s="811"/>
      <c r="CC45" s="811"/>
    </row>
    <row r="46" spans="1:81" s="853" customFormat="1" ht="99.75" customHeight="1" thickBot="1" x14ac:dyDescent="0.35">
      <c r="A46" s="828">
        <v>21</v>
      </c>
      <c r="B46" s="1091" t="s">
        <v>1955</v>
      </c>
      <c r="C46" s="1109"/>
      <c r="D46" s="1109"/>
      <c r="E46" s="924" t="str">
        <f>IF(Import!L225&gt;0,"Yes","No")</f>
        <v>No</v>
      </c>
      <c r="F46" s="911"/>
      <c r="G46" s="873" t="str">
        <f>E46</f>
        <v>No</v>
      </c>
      <c r="H46" s="986" t="s">
        <v>1880</v>
      </c>
      <c r="I46" s="888" t="s">
        <v>1483</v>
      </c>
      <c r="J46" s="805"/>
      <c r="K46" s="825"/>
      <c r="L46" s="808"/>
      <c r="M46" s="916"/>
      <c r="N46" s="808"/>
      <c r="O46" s="808"/>
      <c r="P46" s="809"/>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0"/>
      <c r="BC46" s="810"/>
      <c r="BD46" s="810"/>
      <c r="BE46" s="810"/>
      <c r="BF46" s="810"/>
      <c r="BG46" s="810"/>
      <c r="BH46" s="811"/>
      <c r="BI46" s="811"/>
      <c r="BJ46" s="811"/>
      <c r="BK46" s="811"/>
      <c r="BL46" s="811"/>
      <c r="BM46" s="811"/>
      <c r="BN46" s="811"/>
      <c r="BO46" s="811"/>
      <c r="BP46" s="811"/>
      <c r="BQ46" s="811"/>
      <c r="BR46" s="811"/>
      <c r="BS46" s="811"/>
      <c r="BT46" s="811"/>
      <c r="BU46" s="811"/>
      <c r="BV46" s="811"/>
      <c r="BW46" s="811"/>
      <c r="BX46" s="811"/>
      <c r="BY46" s="811"/>
      <c r="BZ46" s="811"/>
      <c r="CA46" s="811"/>
      <c r="CB46" s="811"/>
      <c r="CC46" s="811"/>
    </row>
    <row r="47" spans="1:81" s="921" customFormat="1" x14ac:dyDescent="0.3">
      <c r="A47" s="917"/>
      <c r="B47" s="918"/>
      <c r="C47" s="918"/>
      <c r="D47" s="918"/>
      <c r="E47" s="918"/>
      <c r="F47" s="918"/>
      <c r="G47" s="918"/>
      <c r="H47" s="918"/>
      <c r="I47" s="919"/>
      <c r="J47" s="919"/>
      <c r="K47" s="920"/>
      <c r="L47" s="808"/>
      <c r="M47" s="808"/>
      <c r="N47" s="808"/>
      <c r="O47" s="808"/>
      <c r="P47" s="809"/>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1"/>
      <c r="BI47" s="811"/>
      <c r="BJ47" s="811"/>
      <c r="BK47" s="811"/>
      <c r="BL47" s="811"/>
      <c r="BM47" s="811"/>
      <c r="BN47" s="811"/>
      <c r="BO47" s="811"/>
      <c r="BP47" s="811"/>
      <c r="BQ47" s="811"/>
      <c r="BR47" s="811"/>
      <c r="BS47" s="811"/>
      <c r="BT47" s="811"/>
      <c r="BU47" s="811"/>
      <c r="BV47" s="811"/>
      <c r="BW47" s="811"/>
      <c r="BX47" s="811"/>
      <c r="BY47" s="811"/>
      <c r="BZ47" s="811"/>
      <c r="CA47" s="811"/>
      <c r="CB47" s="811"/>
      <c r="CC47" s="811"/>
    </row>
  </sheetData>
  <sheetProtection algorithmName="SHA-512" hashValue="E9pzM6Nx0p9ryHW/IBRE9mPXtPtay6sCB2/rESMPgc8CA+fRUwERaHmdQ5WnhzpmK04O1uCEtUWtYfxKBrKmHQ==" saltValue="9dgZ/E8BrQVjvFxZxeqaCw==" spinCount="100000" sheet="1" objects="1" scenarios="1"/>
  <mergeCells count="40">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15:E15"/>
    <mergeCell ref="B14:E14"/>
    <mergeCell ref="B34:D34"/>
    <mergeCell ref="B33:D33"/>
    <mergeCell ref="B20:D20"/>
    <mergeCell ref="B24:E24"/>
    <mergeCell ref="B25:E25"/>
    <mergeCell ref="B29:D29"/>
    <mergeCell ref="B30:D30"/>
  </mergeCells>
  <conditionalFormatting sqref="G16">
    <cfRule type="cellIs" dxfId="79" priority="72" operator="lessThan">
      <formula>1</formula>
    </cfRule>
  </conditionalFormatting>
  <conditionalFormatting sqref="G18">
    <cfRule type="cellIs" dxfId="78" priority="71" operator="lessThan">
      <formula>0</formula>
    </cfRule>
  </conditionalFormatting>
  <conditionalFormatting sqref="G19:G20">
    <cfRule type="cellIs" dxfId="77" priority="70" operator="lessThan">
      <formula>0.16</formula>
    </cfRule>
  </conditionalFormatting>
  <conditionalFormatting sqref="G25">
    <cfRule type="cellIs" dxfId="76" priority="69" operator="lessThan">
      <formula>1</formula>
    </cfRule>
  </conditionalFormatting>
  <conditionalFormatting sqref="G27">
    <cfRule type="cellIs" dxfId="75" priority="68" operator="lessThan">
      <formula>0</formula>
    </cfRule>
  </conditionalFormatting>
  <conditionalFormatting sqref="G28">
    <cfRule type="cellIs" dxfId="74" priority="67" operator="lessThan">
      <formula>0.16</formula>
    </cfRule>
  </conditionalFormatting>
  <conditionalFormatting sqref="G30">
    <cfRule type="cellIs" dxfId="73" priority="66" operator="equal">
      <formula>"Late"</formula>
    </cfRule>
  </conditionalFormatting>
  <conditionalFormatting sqref="G32">
    <cfRule type="cellIs" dxfId="72" priority="65" operator="lessThan">
      <formula>-0.03</formula>
    </cfRule>
  </conditionalFormatting>
  <conditionalFormatting sqref="G38">
    <cfRule type="cellIs" dxfId="71" priority="63" operator="equal">
      <formula>"Yes"</formula>
    </cfRule>
  </conditionalFormatting>
  <conditionalFormatting sqref="G42">
    <cfRule type="cellIs" dxfId="70" priority="62" operator="equal">
      <formula>"Yes"</formula>
    </cfRule>
  </conditionalFormatting>
  <conditionalFormatting sqref="G36">
    <cfRule type="cellIs" dxfId="69" priority="61" operator="equal">
      <formula>"Yes"</formula>
    </cfRule>
  </conditionalFormatting>
  <conditionalFormatting sqref="G45">
    <cfRule type="cellIs" dxfId="68" priority="60" operator="equal">
      <formula>"Yes"</formula>
    </cfRule>
  </conditionalFormatting>
  <conditionalFormatting sqref="G44">
    <cfRule type="cellIs" dxfId="67" priority="59" operator="equal">
      <formula>"Yes"</formula>
    </cfRule>
  </conditionalFormatting>
  <conditionalFormatting sqref="G34">
    <cfRule type="cellIs" dxfId="66" priority="56" operator="equal">
      <formula>"Decrease"</formula>
    </cfRule>
  </conditionalFormatting>
  <conditionalFormatting sqref="G20">
    <cfRule type="cellIs" dxfId="65" priority="4" operator="equal">
      <formula>$E$21="Yes"</formula>
    </cfRule>
    <cfRule type="expression" dxfId="64" priority="51">
      <formula>E20="Yes"</formula>
    </cfRule>
  </conditionalFormatting>
  <conditionalFormatting sqref="E36 G36">
    <cfRule type="containsText" dxfId="63" priority="50" operator="containsText" text="This question must be answered">
      <formula>NOT(ISERROR(SEARCH("This question must be answered",E36)))</formula>
    </cfRule>
  </conditionalFormatting>
  <conditionalFormatting sqref="E34 G34">
    <cfRule type="containsText" dxfId="62" priority="49" operator="containsText" text="This question must be answered">
      <formula>NOT(ISERROR(SEARCH("This question must be answered",E34)))</formula>
    </cfRule>
  </conditionalFormatting>
  <conditionalFormatting sqref="E32 G32">
    <cfRule type="containsText" dxfId="61" priority="48" operator="containsText" text="This question must be answered">
      <formula>NOT(ISERROR(SEARCH("This question must be answered",E32)))</formula>
    </cfRule>
  </conditionalFormatting>
  <conditionalFormatting sqref="E30 G30">
    <cfRule type="containsText" dxfId="60" priority="47" operator="containsText" text="This question must be answered">
      <formula>NOT(ISERROR(SEARCH("This question must be answered",E30)))</formula>
    </cfRule>
  </conditionalFormatting>
  <conditionalFormatting sqref="E42 G42">
    <cfRule type="containsText" dxfId="59" priority="45" operator="containsText" text="This question must be answered">
      <formula>NOT(ISERROR(SEARCH("This question must be answered",E42)))</formula>
    </cfRule>
  </conditionalFormatting>
  <conditionalFormatting sqref="G46">
    <cfRule type="cellIs" dxfId="58" priority="43" operator="equal">
      <formula>"Yes"</formula>
    </cfRule>
  </conditionalFormatting>
  <conditionalFormatting sqref="G46">
    <cfRule type="containsText" dxfId="57" priority="42" operator="containsText" text="This question must be answered">
      <formula>NOT(ISERROR(SEARCH("This question must be answered",G46)))</formula>
    </cfRule>
  </conditionalFormatting>
  <conditionalFormatting sqref="G13">
    <cfRule type="containsText" dxfId="56" priority="41" operator="containsText" text="Operations">
      <formula>NOT(ISERROR(SEARCH("Operations",G13)))</formula>
    </cfRule>
  </conditionalFormatting>
  <conditionalFormatting sqref="G14">
    <cfRule type="cellIs" dxfId="55" priority="40" operator="lessThan">
      <formula>0</formula>
    </cfRule>
  </conditionalFormatting>
  <conditionalFormatting sqref="E39:E40">
    <cfRule type="containsText" dxfId="54" priority="39" operator="containsText" text="This question must be answered">
      <formula>NOT(ISERROR(SEARCH("This question must be answered",E39)))</formula>
    </cfRule>
  </conditionalFormatting>
  <conditionalFormatting sqref="G39:G40">
    <cfRule type="containsText" dxfId="53" priority="37" operator="containsText" text="No">
      <formula>NOT(ISERROR(SEARCH("No",G39)))</formula>
    </cfRule>
    <cfRule type="containsText" dxfId="52" priority="38" operator="containsText" text="This question must be answered">
      <formula>NOT(ISERROR(SEARCH("This question must be answered",G39)))</formula>
    </cfRule>
  </conditionalFormatting>
  <conditionalFormatting sqref="G11">
    <cfRule type="expression" dxfId="51" priority="28">
      <formula>$O$11=1</formula>
    </cfRule>
  </conditionalFormatting>
  <conditionalFormatting sqref="I9">
    <cfRule type="expression" dxfId="50" priority="135">
      <formula>IF($L$9&lt;0.25,)</formula>
    </cfRule>
  </conditionalFormatting>
  <conditionalFormatting sqref="C18">
    <cfRule type="cellIs" dxfId="49" priority="24" operator="equal">
      <formula>"Prior year data not submitted as of workbook published date."</formula>
    </cfRule>
  </conditionalFormatting>
  <conditionalFormatting sqref="D18">
    <cfRule type="cellIs" dxfId="48" priority="23" operator="equal">
      <formula>"Prior year data not submitted as of workbook published date."</formula>
    </cfRule>
  </conditionalFormatting>
  <conditionalFormatting sqref="L19:L21">
    <cfRule type="cellIs" dxfId="47" priority="22" operator="equal">
      <formula>"Priod year data not submitted as of workbook published date."</formula>
    </cfRule>
  </conditionalFormatting>
  <conditionalFormatting sqref="D19:D28">
    <cfRule type="cellIs" dxfId="46" priority="18" operator="equal">
      <formula>"Prior year data not submitted as of workbook published date."</formula>
    </cfRule>
  </conditionalFormatting>
  <conditionalFormatting sqref="C19:C28">
    <cfRule type="cellIs" dxfId="45" priority="17" operator="equal">
      <formula>"Prior year data not submitted as of workbook published date."</formula>
    </cfRule>
  </conditionalFormatting>
  <conditionalFormatting sqref="C27">
    <cfRule type="cellIs" dxfId="44" priority="16" operator="equal">
      <formula>"Prior year data not submitted as of workbook published date."</formula>
    </cfRule>
  </conditionalFormatting>
  <conditionalFormatting sqref="D27">
    <cfRule type="cellIs" dxfId="43" priority="15" operator="equal">
      <formula>"Prior year data not submitted as of workbook published date."</formula>
    </cfRule>
  </conditionalFormatting>
  <conditionalFormatting sqref="D28">
    <cfRule type="cellIs" dxfId="42" priority="11" operator="equal">
      <formula>"Prior year data not submitted as of  workbook published date."</formula>
    </cfRule>
  </conditionalFormatting>
  <conditionalFormatting sqref="C28">
    <cfRule type="cellIs" dxfId="41" priority="9" operator="equal">
      <formula>"Prior year data not submitted as of workbook published date."</formula>
    </cfRule>
  </conditionalFormatting>
  <conditionalFormatting sqref="F21">
    <cfRule type="expression" dxfId="40" priority="8">
      <formula>D21="Yes"</formula>
    </cfRule>
  </conditionalFormatting>
  <conditionalFormatting sqref="D21">
    <cfRule type="cellIs" dxfId="39" priority="7" operator="equal">
      <formula>"Prior year data not submitted as of workbook published date."</formula>
    </cfRule>
  </conditionalFormatting>
  <conditionalFormatting sqref="C21">
    <cfRule type="cellIs" dxfId="38" priority="6" operator="equal">
      <formula>"Prior year data not submitted as of workbook published date."</formula>
    </cfRule>
  </conditionalFormatting>
  <conditionalFormatting sqref="G21">
    <cfRule type="cellIs" dxfId="37" priority="2" operator="lessThan">
      <formula>0.5</formula>
    </cfRule>
  </conditionalFormatting>
  <conditionalFormatting sqref="M19">
    <cfRule type="cellIs" dxfId="36" priority="1" operator="equal">
      <formula>"Priod year data not submitted as of workbook published date."</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251460</xdr:colOff>
                <xdr:row>7</xdr:row>
                <xdr:rowOff>83820</xdr:rowOff>
              </from>
              <to>
                <xdr:col>6</xdr:col>
                <xdr:colOff>1066800</xdr:colOff>
                <xdr:row>8</xdr:row>
                <xdr:rowOff>1531620</xdr:rowOff>
              </to>
            </anchor>
          </objectPr>
        </oleObject>
      </mc:Choice>
      <mc:Fallback>
        <oleObject progId="Excel.Sheet.12" shapeId="48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6" bestFit="1" customWidth="1"/>
    <col min="3" max="3" width="42.5546875" style="361" customWidth="1"/>
    <col min="4" max="4" width="20.88671875" style="3" bestFit="1" customWidth="1"/>
    <col min="5" max="5" width="17.5546875" style="3" customWidth="1"/>
    <col min="6" max="6" width="22.6640625" style="3" customWidth="1"/>
    <col min="7" max="7" width="17.44140625" style="274" customWidth="1"/>
    <col min="8" max="8" width="9.6640625" style="3" customWidth="1"/>
    <col min="9" max="9" width="1" style="306" customWidth="1"/>
    <col min="10" max="10" width="18.109375" style="5" customWidth="1"/>
    <col min="11" max="11" width="36.88671875" style="9" customWidth="1"/>
    <col min="12" max="12" width="26.33203125" style="368" customWidth="1"/>
    <col min="13" max="13" width="8.44140625" customWidth="1"/>
    <col min="14" max="14" width="18.109375" style="3" customWidth="1"/>
    <col min="15" max="15" width="17.88671875" style="3" customWidth="1"/>
    <col min="16" max="16" width="9.109375" style="186" customWidth="1"/>
    <col min="17" max="17" width="10.33203125" style="276"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412</v>
      </c>
      <c r="D1" s="13">
        <f>L51-(L38+L39-L43-L44-L199)-L47</f>
        <v>0</v>
      </c>
      <c r="I1" s="275"/>
      <c r="J1" s="42"/>
      <c r="K1" s="14" t="s">
        <v>46</v>
      </c>
      <c r="L1" s="56"/>
      <c r="S1" s="3">
        <v>100</v>
      </c>
      <c r="T1" s="3">
        <v>1</v>
      </c>
    </row>
    <row r="2" spans="1:28" ht="44.4" x14ac:dyDescent="0.4">
      <c r="C2" s="67" t="str">
        <f>'Unit Data from Audit Worksheet'!D2</f>
        <v>Select Unit Name from Drop Down List</v>
      </c>
      <c r="D2" s="135">
        <v>2024</v>
      </c>
      <c r="E2" s="135">
        <v>2024</v>
      </c>
      <c r="F2" s="12"/>
      <c r="G2" s="63"/>
      <c r="H2" s="12"/>
      <c r="I2" s="275"/>
      <c r="J2" s="37" t="s">
        <v>42</v>
      </c>
      <c r="K2" s="8" t="s">
        <v>41</v>
      </c>
      <c r="L2" s="61" t="s">
        <v>30</v>
      </c>
      <c r="S2" s="3">
        <v>200</v>
      </c>
      <c r="T2" s="3">
        <v>2</v>
      </c>
      <c r="X2" s="308" t="s">
        <v>876</v>
      </c>
      <c r="Y2" s="308" t="s">
        <v>875</v>
      </c>
    </row>
    <row r="3" spans="1:28" ht="31.2" x14ac:dyDescent="0.3">
      <c r="A3" s="277" t="s">
        <v>42</v>
      </c>
      <c r="B3" s="278"/>
      <c r="C3" s="40" t="s">
        <v>1</v>
      </c>
      <c r="D3" s="15" t="s">
        <v>43</v>
      </c>
      <c r="E3" s="15" t="s">
        <v>44</v>
      </c>
      <c r="F3" s="16" t="s">
        <v>48</v>
      </c>
      <c r="G3" s="68" t="s">
        <v>310</v>
      </c>
      <c r="H3" s="16" t="s">
        <v>345</v>
      </c>
      <c r="I3" s="275"/>
      <c r="J3" s="279"/>
      <c r="K3" s="136"/>
      <c r="L3" s="280"/>
      <c r="O3" s="3" t="s">
        <v>281</v>
      </c>
      <c r="Q3" s="79" t="s">
        <v>311</v>
      </c>
      <c r="S3" s="3">
        <v>300</v>
      </c>
      <c r="T3" s="3">
        <v>3</v>
      </c>
      <c r="Y3" s="3" t="s">
        <v>650</v>
      </c>
    </row>
    <row r="4" spans="1:28" ht="25.95" customHeight="1" x14ac:dyDescent="0.35">
      <c r="A4" s="281"/>
      <c r="B4" s="282"/>
      <c r="C4" s="44"/>
      <c r="D4" s="7"/>
      <c r="E4" s="7"/>
      <c r="F4" s="7"/>
      <c r="G4" s="64"/>
      <c r="H4" s="7"/>
      <c r="I4" s="275"/>
      <c r="J4" s="39">
        <v>999</v>
      </c>
      <c r="K4" s="11" t="s">
        <v>278</v>
      </c>
      <c r="L4" s="713" t="e">
        <f>'Unit Data from Audit Worksheet'!D3</f>
        <v>#N/A</v>
      </c>
      <c r="S4" s="3">
        <v>400</v>
      </c>
      <c r="T4" s="3">
        <v>4</v>
      </c>
      <c r="X4" s="283"/>
      <c r="Y4" s="283"/>
    </row>
    <row r="5" spans="1:28" ht="57" customHeight="1" x14ac:dyDescent="0.3">
      <c r="A5" s="284">
        <f>'Unit Data from Audit Worksheet'!A9</f>
        <v>333</v>
      </c>
      <c r="B5" s="48" t="str">
        <f>'Unit Data from Audit Worksheet'!C9</f>
        <v>Net Position-Governmental Activities</v>
      </c>
      <c r="C5" s="285" t="str">
        <f>'Unit Data from Audit Worksheet'!D9</f>
        <v xml:space="preserve"> All unrestricted Cash and investments.  
Exclude: restricted cash 
                   cash held by a third party. </v>
      </c>
      <c r="D5" s="134"/>
      <c r="E5" s="142">
        <f>'Unit Data from Audit Worksheet'!F9</f>
        <v>0</v>
      </c>
      <c r="F5" s="221">
        <f>IF(L5&lt;0,"Error: Number is normally positive.",)</f>
        <v>0</v>
      </c>
      <c r="G5" s="65"/>
      <c r="H5" s="220"/>
      <c r="I5" s="32"/>
      <c r="J5" s="36">
        <v>333</v>
      </c>
      <c r="K5" s="45" t="s">
        <v>176</v>
      </c>
      <c r="L5" s="286">
        <f>IF(D5="",E5,D5)</f>
        <v>0</v>
      </c>
      <c r="P5" s="192"/>
      <c r="X5" s="548">
        <v>333</v>
      </c>
      <c r="Y5" s="283">
        <v>333</v>
      </c>
      <c r="AA5" s="3">
        <f>A5-J5</f>
        <v>0</v>
      </c>
      <c r="AB5" s="283">
        <f>E5-L5</f>
        <v>0</v>
      </c>
    </row>
    <row r="6" spans="1:28" ht="39.75" customHeight="1" x14ac:dyDescent="0.3">
      <c r="A6" s="209">
        <f>'Unit Data from Audit Worksheet'!A10</f>
        <v>500</v>
      </c>
      <c r="B6" s="222" t="str">
        <f>'Unit Data from Audit Worksheet'!C10</f>
        <v>Net Position-Governmental Activities</v>
      </c>
      <c r="C6" s="208" t="str">
        <f>'Unit Data from Audit Worksheet'!D10</f>
        <v xml:space="preserve"> All restricted Cash and investments</v>
      </c>
      <c r="D6" s="134"/>
      <c r="E6" s="228">
        <f>'Unit Data from Audit Worksheet'!F10</f>
        <v>0</v>
      </c>
      <c r="F6" s="221">
        <f>IF(L6&lt;0,"Error: Number is normally positive.",)</f>
        <v>0</v>
      </c>
      <c r="G6" s="223"/>
      <c r="H6" s="220"/>
      <c r="I6" s="32"/>
      <c r="J6" s="219">
        <v>500</v>
      </c>
      <c r="K6" s="218" t="s">
        <v>175</v>
      </c>
      <c r="L6" s="286">
        <f>IF(D6="",E6,D6)</f>
        <v>0</v>
      </c>
      <c r="P6" s="193"/>
      <c r="X6" s="548">
        <v>500</v>
      </c>
      <c r="Y6" s="283">
        <v>500</v>
      </c>
      <c r="AA6" s="383">
        <f t="shared" ref="AA6:AA71" si="0">A6-J6</f>
        <v>0</v>
      </c>
      <c r="AB6" s="283">
        <f t="shared" ref="AB6:AB71" si="1">E6-L6</f>
        <v>0</v>
      </c>
    </row>
    <row r="7" spans="1:28" ht="43.5" customHeight="1" x14ac:dyDescent="0.3">
      <c r="A7" s="209">
        <f>'Unit Data from Audit Worksheet'!A11</f>
        <v>385</v>
      </c>
      <c r="B7" s="222" t="str">
        <f>'Unit Data from Audit Worksheet'!C11</f>
        <v>Net Position-Governmental Activities</v>
      </c>
      <c r="C7" s="208" t="str">
        <f>'Unit Data from Audit Worksheet'!D11</f>
        <v>Total Assets and deferred outflows</v>
      </c>
      <c r="D7" s="134"/>
      <c r="E7" s="228">
        <f>'Unit Data from Audit Worksheet'!F11</f>
        <v>0</v>
      </c>
      <c r="F7" s="126">
        <f>IF((L5+L6)&gt;L7,"Error: Please review accts (333 + 500) &gt; 385",)</f>
        <v>0</v>
      </c>
      <c r="G7" s="223" t="str">
        <f>IF(Q7=1," Included in error count"," ")</f>
        <v xml:space="preserve"> </v>
      </c>
      <c r="H7" s="220"/>
      <c r="I7" s="32"/>
      <c r="J7" s="69">
        <v>385</v>
      </c>
      <c r="K7" s="70" t="s">
        <v>107</v>
      </c>
      <c r="L7" s="287">
        <f>IF(D7="",E7,D7)+IF(D9="",E9,D9)</f>
        <v>0</v>
      </c>
      <c r="N7" s="71" t="s">
        <v>297</v>
      </c>
      <c r="P7" s="193"/>
      <c r="X7" s="548">
        <v>385</v>
      </c>
      <c r="Y7" s="283">
        <v>385</v>
      </c>
      <c r="AA7" s="383">
        <f t="shared" si="0"/>
        <v>0</v>
      </c>
      <c r="AB7" s="283">
        <f t="shared" si="1"/>
        <v>0</v>
      </c>
    </row>
    <row r="8" spans="1:28" ht="90.75" customHeight="1" x14ac:dyDescent="0.3">
      <c r="A8" s="209">
        <f>'Unit Data from Audit Worksheet'!A12</f>
        <v>575</v>
      </c>
      <c r="B8" s="222" t="str">
        <f>'Unit Data from Audit Worksheet'!C12</f>
        <v>Net Position-Governmental Activities</v>
      </c>
      <c r="C8" s="208" t="str">
        <f>'Unit Data from Audit Worksheet'!D12</f>
        <v>Record any positive Internal balances on the net position statements that appear in the Asset Section of the Net Position Statement</v>
      </c>
      <c r="D8" s="134"/>
      <c r="E8" s="228">
        <f>'Unit Data from Audit Worksheet'!F12</f>
        <v>0</v>
      </c>
      <c r="F8" s="221">
        <f>IF(L8&lt;0,"Error: Number is normally positive.",)</f>
        <v>0</v>
      </c>
      <c r="G8" s="223"/>
      <c r="H8" s="220"/>
      <c r="I8" s="32"/>
      <c r="J8" s="219">
        <v>575</v>
      </c>
      <c r="K8" s="225" t="s">
        <v>300</v>
      </c>
      <c r="L8" s="286">
        <f>IF(D8="",E8,D8)</f>
        <v>0</v>
      </c>
      <c r="N8" s="57"/>
      <c r="P8" s="193"/>
      <c r="X8" s="548">
        <v>575</v>
      </c>
      <c r="Y8" s="283">
        <v>575</v>
      </c>
      <c r="AA8" s="383">
        <f t="shared" si="0"/>
        <v>0</v>
      </c>
      <c r="AB8" s="283">
        <f t="shared" si="1"/>
        <v>0</v>
      </c>
    </row>
    <row r="9" spans="1:28" ht="103.5" customHeight="1" x14ac:dyDescent="0.3">
      <c r="A9" s="209">
        <f>'Unit Data from Audit Worksheet'!A13</f>
        <v>576</v>
      </c>
      <c r="B9" s="222" t="str">
        <f>'Unit Data from Audit Worksheet'!C13</f>
        <v>Net Position-Governmental Activities</v>
      </c>
      <c r="C9" s="288" t="str">
        <f>'Unit Data from Audit Worksheet'!D13</f>
        <v>Record any negative Internal balances on the net position statements that appear in the Asset Section of the Net Position Statement.
Enter as a positive</v>
      </c>
      <c r="D9" s="102"/>
      <c r="E9" s="145">
        <f>'Unit Data from Audit Worksheet'!F13</f>
        <v>0</v>
      </c>
      <c r="F9" s="217">
        <f>IF(E9&lt;0,"Error: Enter as positive.",)</f>
        <v>0</v>
      </c>
      <c r="G9" s="104"/>
      <c r="H9" s="105"/>
      <c r="I9" s="32"/>
      <c r="J9" s="97">
        <v>576</v>
      </c>
      <c r="K9" s="225" t="s">
        <v>301</v>
      </c>
      <c r="L9" s="286">
        <f>IF(D9="",E9,D9)</f>
        <v>0</v>
      </c>
      <c r="N9" s="57"/>
      <c r="P9" s="194"/>
      <c r="X9" s="548">
        <v>576</v>
      </c>
      <c r="Y9" s="283">
        <v>576</v>
      </c>
      <c r="AA9" s="383">
        <f t="shared" si="0"/>
        <v>0</v>
      </c>
      <c r="AB9" s="283">
        <f t="shared" si="1"/>
        <v>0</v>
      </c>
    </row>
    <row r="10" spans="1:28" s="18" customFormat="1" ht="100.5" customHeight="1" x14ac:dyDescent="0.3">
      <c r="A10" s="209">
        <f>'Unit Data from Audit Worksheet'!A14</f>
        <v>626</v>
      </c>
      <c r="B10" s="214" t="str">
        <f>'Unit Data from Audit Worksheet'!C14</f>
        <v>Net Position-Governmental Activities</v>
      </c>
      <c r="C10" s="213"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57">
        <f>'Unit Data from Audit Worksheet'!F14</f>
        <v>0</v>
      </c>
      <c r="F10"/>
      <c r="G10"/>
      <c r="H10"/>
      <c r="I10" s="32"/>
      <c r="J10" s="636">
        <v>626</v>
      </c>
      <c r="K10" s="637" t="s">
        <v>370</v>
      </c>
      <c r="L10" s="638">
        <f>IF(D10="",E10,D10)+IF(D9="",E9,D9)</f>
        <v>0</v>
      </c>
      <c r="M10"/>
      <c r="N10" s="167" t="s">
        <v>297</v>
      </c>
      <c r="O10" s="289"/>
      <c r="P10" s="195"/>
      <c r="Q10" s="290"/>
      <c r="R10" s="3"/>
      <c r="X10" s="548">
        <v>626</v>
      </c>
      <c r="Y10" s="291">
        <v>626</v>
      </c>
      <c r="AA10" s="383">
        <f t="shared" si="0"/>
        <v>0</v>
      </c>
      <c r="AB10" s="283">
        <f t="shared" si="1"/>
        <v>0</v>
      </c>
    </row>
    <row r="11" spans="1:28" s="18" customFormat="1" ht="86.25" customHeight="1" x14ac:dyDescent="0.3">
      <c r="A11" s="209">
        <f>'Unit Data from Audit Worksheet'!A15</f>
        <v>627</v>
      </c>
      <c r="B11" s="214" t="str">
        <f>'Unit Data from Audit Worksheet'!C15</f>
        <v>Net Position-Governmental Activities</v>
      </c>
      <c r="C11" s="213"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1">
        <f>'Unit Data from Audit Worksheet'!F15</f>
        <v>0</v>
      </c>
      <c r="F11" s="656"/>
      <c r="G11" s="655"/>
      <c r="H11" s="656"/>
      <c r="I11" s="32"/>
      <c r="J11" s="215">
        <v>627</v>
      </c>
      <c r="K11" s="190" t="s">
        <v>362</v>
      </c>
      <c r="L11" s="292">
        <f t="shared" ref="L11:L16" si="2">IF(D11="",E11,D11)</f>
        <v>0</v>
      </c>
      <c r="M11"/>
      <c r="N11" s="166"/>
      <c r="O11" s="289"/>
      <c r="P11" s="195"/>
      <c r="Q11" s="290"/>
      <c r="R11" s="3"/>
      <c r="X11" s="548">
        <v>627</v>
      </c>
      <c r="Y11" s="291">
        <v>627</v>
      </c>
      <c r="AA11" s="383">
        <f t="shared" si="0"/>
        <v>0</v>
      </c>
      <c r="AB11" s="283">
        <f t="shared" si="1"/>
        <v>0</v>
      </c>
    </row>
    <row r="12" spans="1:28" s="18" customFormat="1" ht="86.25" customHeight="1" x14ac:dyDescent="0.3">
      <c r="A12" s="209">
        <f>'Unit Data from Audit Worksheet'!A16</f>
        <v>628</v>
      </c>
      <c r="B12" s="214" t="str">
        <f>'Unit Data from Audit Worksheet'!C16</f>
        <v>Net Position-Governmental Activities</v>
      </c>
      <c r="C12" s="213"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1">
        <f>'Unit Data from Audit Worksheet'!F16</f>
        <v>0</v>
      </c>
      <c r="F12" s="216"/>
      <c r="G12" s="204"/>
      <c r="H12" s="216"/>
      <c r="I12" s="32"/>
      <c r="J12" s="215">
        <v>628</v>
      </c>
      <c r="K12" s="190" t="s">
        <v>367</v>
      </c>
      <c r="L12" s="292">
        <f t="shared" si="2"/>
        <v>0</v>
      </c>
      <c r="M12"/>
      <c r="N12" s="166"/>
      <c r="O12" s="289"/>
      <c r="P12" s="195"/>
      <c r="Q12" s="290"/>
      <c r="R12" s="3"/>
      <c r="X12" s="548">
        <v>628</v>
      </c>
      <c r="Y12" s="291">
        <v>628</v>
      </c>
      <c r="AA12" s="383">
        <f t="shared" si="0"/>
        <v>0</v>
      </c>
      <c r="AB12" s="283">
        <f t="shared" si="1"/>
        <v>0</v>
      </c>
    </row>
    <row r="13" spans="1:28" s="18" customFormat="1" ht="93" customHeight="1" x14ac:dyDescent="0.3">
      <c r="A13" s="209">
        <f>'Unit Data from Audit Worksheet'!A17</f>
        <v>629</v>
      </c>
      <c r="B13" s="214" t="str">
        <f>'Unit Data from Audit Worksheet'!C17</f>
        <v>Net Position-Governmental Activities</v>
      </c>
      <c r="C13" s="213" t="str">
        <f>'Unit Data from Audit Worksheet'!D17</f>
        <v>Please enter any pension liabilities that are classified as current liabilities and included in account 626 above (amounts entered should agree to the current amount included in the changes to long-term debt note)</v>
      </c>
      <c r="D13" s="102"/>
      <c r="E13" s="231">
        <f>'Unit Data from Audit Worksheet'!F17</f>
        <v>0</v>
      </c>
      <c r="F13" s="216"/>
      <c r="G13" s="204"/>
      <c r="H13" s="216"/>
      <c r="I13" s="32"/>
      <c r="J13" s="215">
        <v>629</v>
      </c>
      <c r="K13" s="190" t="s">
        <v>366</v>
      </c>
      <c r="L13" s="292">
        <f t="shared" si="2"/>
        <v>0</v>
      </c>
      <c r="M13"/>
      <c r="N13" s="166"/>
      <c r="O13" s="289"/>
      <c r="P13" s="195"/>
      <c r="Q13" s="290"/>
      <c r="R13" s="3"/>
      <c r="X13" s="548">
        <v>629</v>
      </c>
      <c r="Y13" s="291">
        <v>629</v>
      </c>
      <c r="AA13" s="383">
        <f t="shared" si="0"/>
        <v>0</v>
      </c>
      <c r="AB13" s="283">
        <f t="shared" si="1"/>
        <v>0</v>
      </c>
    </row>
    <row r="14" spans="1:28" s="18" customFormat="1" ht="67.5" customHeight="1" x14ac:dyDescent="0.3">
      <c r="A14" s="209">
        <f>'Unit Data from Audit Worksheet'!A18</f>
        <v>630</v>
      </c>
      <c r="B14" s="214" t="str">
        <f>'Unit Data from Audit Worksheet'!C18</f>
        <v>Net Position-Governmental Activities</v>
      </c>
      <c r="C14" s="213" t="str">
        <f>'Unit Data from Audit Worksheet'!D18</f>
        <v>Please enter any current liabilities that are payable from restricted assets and included in account 626 above</v>
      </c>
      <c r="D14" s="102"/>
      <c r="E14" s="231">
        <f>'Unit Data from Audit Worksheet'!F18</f>
        <v>0</v>
      </c>
      <c r="F14" s="216"/>
      <c r="G14" s="204"/>
      <c r="H14" s="216"/>
      <c r="I14" s="32"/>
      <c r="J14" s="215">
        <v>630</v>
      </c>
      <c r="K14" s="190" t="s">
        <v>365</v>
      </c>
      <c r="L14" s="292">
        <f t="shared" si="2"/>
        <v>0</v>
      </c>
      <c r="M14"/>
      <c r="N14" s="166"/>
      <c r="O14" s="289"/>
      <c r="P14" s="195"/>
      <c r="Q14" s="290"/>
      <c r="R14" s="3"/>
      <c r="X14" s="548">
        <v>630</v>
      </c>
      <c r="Y14" s="291">
        <v>630</v>
      </c>
      <c r="AA14" s="383">
        <f t="shared" si="0"/>
        <v>0</v>
      </c>
      <c r="AB14" s="283">
        <f t="shared" si="1"/>
        <v>0</v>
      </c>
    </row>
    <row r="15" spans="1:28" s="18" customFormat="1" ht="102.75" customHeight="1" x14ac:dyDescent="0.3">
      <c r="A15" s="209">
        <f>'Unit Data from Audit Worksheet'!A19</f>
        <v>631</v>
      </c>
      <c r="B15" s="222" t="str">
        <f>'Unit Data from Audit Worksheet'!C19</f>
        <v>Net Position-Governmental Activities</v>
      </c>
      <c r="C15" s="205" t="str">
        <f>'Unit Data from Audit Worksheet'!D19</f>
        <v>Please enter any OPEB liabilities that are classified as current liabilities and included in account 626 above (amounts entered should agree to the current amount included in the changes to long-term debt note)</v>
      </c>
      <c r="D15" s="102"/>
      <c r="E15" s="231">
        <f>'Unit Data from Audit Worksheet'!F19</f>
        <v>0</v>
      </c>
      <c r="F15" s="216"/>
      <c r="G15" s="204"/>
      <c r="H15" s="216"/>
      <c r="I15" s="32"/>
      <c r="J15" s="215">
        <v>631</v>
      </c>
      <c r="K15" s="190" t="s">
        <v>364</v>
      </c>
      <c r="L15" s="292">
        <f t="shared" si="2"/>
        <v>0</v>
      </c>
      <c r="M15"/>
      <c r="N15" s="166"/>
      <c r="O15" s="289"/>
      <c r="P15" s="195"/>
      <c r="Q15" s="290"/>
      <c r="R15" s="3"/>
      <c r="X15" s="548">
        <v>631</v>
      </c>
      <c r="Y15" s="291">
        <v>631</v>
      </c>
      <c r="AA15" s="383">
        <f t="shared" si="0"/>
        <v>0</v>
      </c>
      <c r="AB15" s="283">
        <f t="shared" si="1"/>
        <v>0</v>
      </c>
    </row>
    <row r="16" spans="1:28" s="18" customFormat="1" ht="119.25" customHeight="1" x14ac:dyDescent="0.3">
      <c r="A16" s="209">
        <f>'Unit Data from Audit Worksheet'!A20</f>
        <v>632</v>
      </c>
      <c r="B16" s="222" t="str">
        <f>'Unit Data from Audit Worksheet'!C20</f>
        <v>Net Position-Governmental Activities</v>
      </c>
      <c r="C16" s="205"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1">
        <f>'Unit Data from Audit Worksheet'!F20</f>
        <v>0</v>
      </c>
      <c r="F16" s="216"/>
      <c r="G16" s="204"/>
      <c r="H16" s="216"/>
      <c r="I16" s="32"/>
      <c r="J16" s="215">
        <v>632</v>
      </c>
      <c r="K16" s="190" t="s">
        <v>363</v>
      </c>
      <c r="L16" s="292">
        <f t="shared" si="2"/>
        <v>0</v>
      </c>
      <c r="M16"/>
      <c r="N16" s="166"/>
      <c r="O16" s="289"/>
      <c r="P16" s="195"/>
      <c r="Q16" s="290"/>
      <c r="R16" s="3"/>
      <c r="X16" s="548">
        <v>632</v>
      </c>
      <c r="Y16" s="291">
        <v>632</v>
      </c>
      <c r="AA16" s="383">
        <f t="shared" si="0"/>
        <v>0</v>
      </c>
      <c r="AB16" s="283">
        <f t="shared" si="1"/>
        <v>0</v>
      </c>
    </row>
    <row r="17" spans="1:28" ht="30.6" x14ac:dyDescent="0.3">
      <c r="A17" s="547">
        <f>'Unit Data from Audit Worksheet'!A21</f>
        <v>338</v>
      </c>
      <c r="B17" s="222" t="str">
        <f>'Unit Data from Audit Worksheet'!C21</f>
        <v>Net Position-Governmental Activities</v>
      </c>
      <c r="C17" s="208" t="str">
        <f>'Unit Data from Audit Worksheet'!D21</f>
        <v>Total Liabilities and total deferred inflows</v>
      </c>
      <c r="D17" s="102"/>
      <c r="E17" s="142">
        <f>'Unit Data from Audit Worksheet'!F21</f>
        <v>0</v>
      </c>
      <c r="F17" s="126" t="str">
        <f>IF(L10&gt;L17,"Please review accounts 626 greater than 338","")</f>
        <v/>
      </c>
      <c r="G17" s="65"/>
      <c r="H17" s="220"/>
      <c r="I17" s="32"/>
      <c r="J17" s="106">
        <v>338</v>
      </c>
      <c r="K17" s="107" t="s">
        <v>108</v>
      </c>
      <c r="L17" s="287">
        <f>IF(D17="",E17,D17)+IF(D9="",E9,D9)</f>
        <v>0</v>
      </c>
      <c r="N17" s="71" t="s">
        <v>297</v>
      </c>
      <c r="P17" s="192"/>
      <c r="X17" s="548">
        <v>338</v>
      </c>
      <c r="Y17" s="283">
        <v>338</v>
      </c>
      <c r="AA17" s="383">
        <f t="shared" si="0"/>
        <v>0</v>
      </c>
      <c r="AB17" s="283">
        <f t="shared" si="1"/>
        <v>0</v>
      </c>
    </row>
    <row r="18" spans="1:28" ht="100.5" customHeight="1" x14ac:dyDescent="0.3">
      <c r="A18" s="209">
        <f>'Unit Data from Audit Worksheet'!A22</f>
        <v>335</v>
      </c>
      <c r="B18" s="222" t="str">
        <f>'Unit Data from Audit Worksheet'!C22</f>
        <v>Net Position-Governmental Activities</v>
      </c>
      <c r="C18" s="208" t="str">
        <f>'Unit Data from Audit Worksheet'!D22</f>
        <v>Unearned revenues that were included in current liabilities in your audit report or entered in acct # 626 above. 
Exclude - unearned revenues that are listed in deferred inflows.</v>
      </c>
      <c r="D18" s="102"/>
      <c r="E18" s="228">
        <f>'Unit Data from Audit Worksheet'!F22</f>
        <v>0</v>
      </c>
      <c r="F18" s="221">
        <f>IF(L18&lt;0,"Error: Enter as a positive.",)</f>
        <v>0</v>
      </c>
      <c r="G18" s="223"/>
      <c r="H18" s="220"/>
      <c r="I18" s="32"/>
      <c r="J18" s="219">
        <v>335</v>
      </c>
      <c r="K18" s="218" t="s">
        <v>109</v>
      </c>
      <c r="L18" s="286">
        <f>IF(D18="",E18,D18)</f>
        <v>0</v>
      </c>
      <c r="P18" s="193"/>
      <c r="X18" s="548">
        <v>335</v>
      </c>
      <c r="Y18" s="283">
        <v>335</v>
      </c>
      <c r="AA18" s="383">
        <f t="shared" si="0"/>
        <v>0</v>
      </c>
      <c r="AB18" s="283">
        <f t="shared" si="1"/>
        <v>0</v>
      </c>
    </row>
    <row r="19" spans="1:28" ht="20.399999999999999" x14ac:dyDescent="0.3">
      <c r="A19" s="209">
        <f>'Unit Data from Audit Worksheet'!A23</f>
        <v>252</v>
      </c>
      <c r="B19" s="222" t="str">
        <f>'Unit Data from Audit Worksheet'!C23</f>
        <v>Net Position-Governmental Activities</v>
      </c>
      <c r="C19" s="208" t="str">
        <f>'Unit Data from Audit Worksheet'!D23</f>
        <v xml:space="preserve"> Total Net investment in capital assets</v>
      </c>
      <c r="D19" s="102"/>
      <c r="E19" s="228">
        <f>'Unit Data from Audit Worksheet'!F23</f>
        <v>0</v>
      </c>
      <c r="F19" s="221"/>
      <c r="G19" s="223"/>
      <c r="H19" s="220"/>
      <c r="I19" s="32"/>
      <c r="J19" s="219">
        <v>252</v>
      </c>
      <c r="K19" s="218" t="s">
        <v>95</v>
      </c>
      <c r="L19" s="286">
        <f t="shared" ref="L19:L37" si="3">IF(D19="",E19,D19)</f>
        <v>0</v>
      </c>
      <c r="O19" s="293" t="e">
        <f>'Unit Data from Audit Worksheet'!E23</f>
        <v>#N/A</v>
      </c>
      <c r="P19" s="193"/>
      <c r="X19" s="548">
        <v>252</v>
      </c>
      <c r="Y19" s="283">
        <v>252</v>
      </c>
      <c r="AA19" s="383">
        <f t="shared" si="0"/>
        <v>0</v>
      </c>
      <c r="AB19" s="283">
        <f t="shared" si="1"/>
        <v>0</v>
      </c>
    </row>
    <row r="20" spans="1:28" ht="20.399999999999999" x14ac:dyDescent="0.3">
      <c r="A20" s="209">
        <f>'Unit Data from Audit Worksheet'!A24</f>
        <v>253</v>
      </c>
      <c r="B20" s="222" t="str">
        <f>'Unit Data from Audit Worksheet'!C24</f>
        <v>Net Position-Governmental Activities</v>
      </c>
      <c r="C20" s="208" t="str">
        <f>'Unit Data from Audit Worksheet'!D24</f>
        <v xml:space="preserve"> Total Net Position, Restricted</v>
      </c>
      <c r="D20" s="102"/>
      <c r="E20" s="228">
        <f>'Unit Data from Audit Worksheet'!F24</f>
        <v>0</v>
      </c>
      <c r="F20" s="221"/>
      <c r="G20" s="223"/>
      <c r="H20" s="220"/>
      <c r="I20" s="32"/>
      <c r="J20" s="219">
        <v>253</v>
      </c>
      <c r="K20" s="218" t="s">
        <v>96</v>
      </c>
      <c r="L20" s="286">
        <f t="shared" si="3"/>
        <v>0</v>
      </c>
      <c r="O20" s="293" t="e">
        <f>'Unit Data from Audit Worksheet'!E24</f>
        <v>#N/A</v>
      </c>
      <c r="P20" s="193"/>
      <c r="X20" s="548">
        <v>253</v>
      </c>
      <c r="Y20" s="283">
        <v>253</v>
      </c>
      <c r="AA20" s="383">
        <f t="shared" si="0"/>
        <v>0</v>
      </c>
      <c r="AB20" s="283">
        <f t="shared" si="1"/>
        <v>0</v>
      </c>
    </row>
    <row r="21" spans="1:28" ht="73.5" customHeight="1" x14ac:dyDescent="0.3">
      <c r="A21" s="209">
        <f>'Unit Data from Audit Worksheet'!A25</f>
        <v>254</v>
      </c>
      <c r="B21" s="222" t="str">
        <f>'Unit Data from Audit Worksheet'!C25</f>
        <v>Net Position-Governmental Activities</v>
      </c>
      <c r="C21" s="208" t="str">
        <f>'Unit Data from Audit Worksheet'!D25</f>
        <v>Total Net Position, Unrestricted - enter negative unrestricted net position as a negative)</v>
      </c>
      <c r="D21" s="102"/>
      <c r="E21" s="228">
        <f>'Unit Data from Audit Worksheet'!F25</f>
        <v>0</v>
      </c>
      <c r="F21" s="221">
        <f>IF((L7-L17-L19-L20-L21)=0,,"Error: Total assets and deferred outflows less total liabilities and deferred inflows do not equal total net position accts 385-338-252-253-254")</f>
        <v>0</v>
      </c>
      <c r="G21" s="83">
        <f>+L7-L17-L19-L20-L21</f>
        <v>0</v>
      </c>
      <c r="H21" s="220"/>
      <c r="I21" s="32"/>
      <c r="J21" s="219">
        <v>254</v>
      </c>
      <c r="K21" s="218" t="s">
        <v>97</v>
      </c>
      <c r="L21" s="286">
        <f t="shared" si="3"/>
        <v>0</v>
      </c>
      <c r="O21" s="293" t="e">
        <f>'Unit Data from Audit Worksheet'!E25</f>
        <v>#N/A</v>
      </c>
      <c r="P21" s="193"/>
      <c r="X21" s="548">
        <v>254</v>
      </c>
      <c r="Y21" s="283">
        <v>254</v>
      </c>
      <c r="AA21" s="383">
        <f t="shared" si="0"/>
        <v>0</v>
      </c>
      <c r="AB21" s="283">
        <f t="shared" si="1"/>
        <v>0</v>
      </c>
    </row>
    <row r="22" spans="1:28" ht="51.75" customHeight="1" x14ac:dyDescent="0.3">
      <c r="A22" s="209">
        <f>'Unit Data from Audit Worksheet'!A27</f>
        <v>502</v>
      </c>
      <c r="B22" s="222" t="str">
        <f>'Unit Data from Audit Worksheet'!C27</f>
        <v>Net Position-Business Activities</v>
      </c>
      <c r="C22" s="208" t="str">
        <f>'Unit Data from Audit Worksheet'!D27</f>
        <v xml:space="preserve">All unrestricted Cash and investments. 
Exclude restricted cash and cash held by a third party. </v>
      </c>
      <c r="D22" s="102"/>
      <c r="E22" s="228">
        <f>'Unit Data from Audit Worksheet'!F27</f>
        <v>0</v>
      </c>
      <c r="F22" s="221">
        <f>IF(L22&lt;0,"Error: Number is normally positive.",)</f>
        <v>0</v>
      </c>
      <c r="G22" s="223"/>
      <c r="H22" s="220"/>
      <c r="I22" s="32"/>
      <c r="J22" s="219">
        <v>502</v>
      </c>
      <c r="K22" s="218" t="s">
        <v>177</v>
      </c>
      <c r="L22" s="286">
        <f t="shared" si="3"/>
        <v>0</v>
      </c>
      <c r="P22" s="193"/>
      <c r="X22" s="548">
        <v>502</v>
      </c>
      <c r="Y22" s="283">
        <v>502</v>
      </c>
      <c r="AA22" s="383">
        <f t="shared" si="0"/>
        <v>0</v>
      </c>
      <c r="AB22" s="283">
        <f t="shared" si="1"/>
        <v>0</v>
      </c>
    </row>
    <row r="23" spans="1:28" ht="40.5" customHeight="1" x14ac:dyDescent="0.3">
      <c r="A23" s="209">
        <f>'Unit Data from Audit Worksheet'!A28</f>
        <v>503</v>
      </c>
      <c r="B23" s="222" t="str">
        <f>'Unit Data from Audit Worksheet'!C28</f>
        <v>Net Position-Business Activities</v>
      </c>
      <c r="C23" s="208" t="str">
        <f>'Unit Data from Audit Worksheet'!D28</f>
        <v>All restricted Cash and investments</v>
      </c>
      <c r="D23" s="102"/>
      <c r="E23" s="228">
        <f>'Unit Data from Audit Worksheet'!F28</f>
        <v>0</v>
      </c>
      <c r="F23" s="221">
        <f>IF(L23&lt;0,"Error: Number is normally positive.",)</f>
        <v>0</v>
      </c>
      <c r="G23" s="223"/>
      <c r="H23" s="220"/>
      <c r="I23" s="32"/>
      <c r="J23" s="219">
        <v>503</v>
      </c>
      <c r="K23" s="218" t="s">
        <v>178</v>
      </c>
      <c r="L23" s="286">
        <f t="shared" si="3"/>
        <v>0</v>
      </c>
      <c r="P23" s="193"/>
      <c r="X23" s="548">
        <v>503</v>
      </c>
      <c r="Y23" s="283">
        <v>503</v>
      </c>
      <c r="AA23" s="383">
        <f t="shared" si="0"/>
        <v>0</v>
      </c>
      <c r="AB23" s="283">
        <f t="shared" si="1"/>
        <v>0</v>
      </c>
    </row>
    <row r="24" spans="1:28" ht="39" customHeight="1" x14ac:dyDescent="0.3">
      <c r="A24" s="209">
        <f>'Unit Data from Audit Worksheet'!A30</f>
        <v>344</v>
      </c>
      <c r="B24" s="222" t="str">
        <f>'Unit Data from Audit Worksheet'!C30</f>
        <v>Statement of Activities - Governmental</v>
      </c>
      <c r="C24" s="208" t="str">
        <f>'Unit Data from Audit Worksheet'!D30</f>
        <v xml:space="preserve">Total Interest expense on Long-Term Debt </v>
      </c>
      <c r="D24" s="102"/>
      <c r="E24" s="228">
        <f>'Unit Data from Audit Worksheet'!F30</f>
        <v>0</v>
      </c>
      <c r="F24" s="221">
        <f>IF(L24&lt;0,"Error: Enter as a positive.",)</f>
        <v>0</v>
      </c>
      <c r="G24" s="223"/>
      <c r="H24" s="220"/>
      <c r="I24" s="32"/>
      <c r="J24" s="219">
        <v>344</v>
      </c>
      <c r="K24" s="218" t="s">
        <v>179</v>
      </c>
      <c r="L24" s="286">
        <f t="shared" si="3"/>
        <v>0</v>
      </c>
      <c r="P24" s="193"/>
      <c r="X24" s="548">
        <v>344</v>
      </c>
      <c r="Y24" s="283">
        <v>344</v>
      </c>
      <c r="AA24" s="383">
        <f t="shared" si="0"/>
        <v>0</v>
      </c>
      <c r="AB24" s="283">
        <f t="shared" si="1"/>
        <v>0</v>
      </c>
    </row>
    <row r="25" spans="1:28" ht="39" customHeight="1" x14ac:dyDescent="0.3">
      <c r="A25" s="209">
        <f>'Unit Data from Audit Worksheet'!A31</f>
        <v>388</v>
      </c>
      <c r="B25" s="222" t="str">
        <f>'Unit Data from Audit Worksheet'!C31</f>
        <v>Statement of Activities - Governmental</v>
      </c>
      <c r="C25" s="208" t="str">
        <f>'Unit Data from Audit Worksheet'!D31</f>
        <v>Total Expenses</v>
      </c>
      <c r="D25" s="102"/>
      <c r="E25" s="228">
        <f>'Unit Data from Audit Worksheet'!F31</f>
        <v>0</v>
      </c>
      <c r="F25" s="221">
        <f t="shared" ref="F25:F30" si="4">IF(L25&lt;0,"Error: Number is normally positive.",)</f>
        <v>0</v>
      </c>
      <c r="G25" s="223"/>
      <c r="H25" s="220"/>
      <c r="I25" s="32"/>
      <c r="J25" s="219">
        <v>388</v>
      </c>
      <c r="K25" s="218" t="s">
        <v>180</v>
      </c>
      <c r="L25" s="286">
        <f t="shared" si="3"/>
        <v>0</v>
      </c>
      <c r="P25" s="193"/>
      <c r="X25" s="548">
        <v>388</v>
      </c>
      <c r="Y25" s="283">
        <v>388</v>
      </c>
      <c r="AA25" s="383">
        <f t="shared" si="0"/>
        <v>0</v>
      </c>
      <c r="AB25" s="283">
        <f t="shared" si="1"/>
        <v>0</v>
      </c>
    </row>
    <row r="26" spans="1:28" ht="39" customHeight="1" x14ac:dyDescent="0.3">
      <c r="A26" s="209">
        <f>'Unit Data from Audit Worksheet'!A32</f>
        <v>339</v>
      </c>
      <c r="B26" s="222" t="str">
        <f>'Unit Data from Audit Worksheet'!C32</f>
        <v>Statement of Activities - Governmental</v>
      </c>
      <c r="C26" s="208" t="str">
        <f>'Unit Data from Audit Worksheet'!D32</f>
        <v xml:space="preserve">Charges for services </v>
      </c>
      <c r="D26" s="102"/>
      <c r="E26" s="228">
        <f>'Unit Data from Audit Worksheet'!F32</f>
        <v>0</v>
      </c>
      <c r="F26" s="221">
        <f t="shared" si="4"/>
        <v>0</v>
      </c>
      <c r="G26" s="223"/>
      <c r="H26" s="220"/>
      <c r="I26" s="32"/>
      <c r="J26" s="219">
        <v>339</v>
      </c>
      <c r="K26" s="218" t="s">
        <v>181</v>
      </c>
      <c r="L26" s="286">
        <f t="shared" si="3"/>
        <v>0</v>
      </c>
      <c r="P26" s="193"/>
      <c r="X26" s="548">
        <v>339</v>
      </c>
      <c r="Y26" s="283">
        <v>339</v>
      </c>
      <c r="AA26" s="383">
        <f t="shared" si="0"/>
        <v>0</v>
      </c>
      <c r="AB26" s="283">
        <f t="shared" si="1"/>
        <v>0</v>
      </c>
    </row>
    <row r="27" spans="1:28" ht="39" customHeight="1" x14ac:dyDescent="0.3">
      <c r="A27" s="209">
        <f>'Unit Data from Audit Worksheet'!A33</f>
        <v>504</v>
      </c>
      <c r="B27" s="222" t="str">
        <f>'Unit Data from Audit Worksheet'!C33</f>
        <v>Statement of Activities - Governmental</v>
      </c>
      <c r="C27" s="208" t="str">
        <f>'Unit Data from Audit Worksheet'!D33</f>
        <v>Operating grants and contributions</v>
      </c>
      <c r="D27" s="102"/>
      <c r="E27" s="228">
        <f>'Unit Data from Audit Worksheet'!F33</f>
        <v>0</v>
      </c>
      <c r="F27" s="221">
        <f t="shared" si="4"/>
        <v>0</v>
      </c>
      <c r="G27" s="223"/>
      <c r="H27" s="220"/>
      <c r="I27" s="32"/>
      <c r="J27" s="219">
        <v>504</v>
      </c>
      <c r="K27" s="218" t="s">
        <v>182</v>
      </c>
      <c r="L27" s="286">
        <f t="shared" si="3"/>
        <v>0</v>
      </c>
      <c r="P27" s="193"/>
      <c r="X27" s="548">
        <v>504</v>
      </c>
      <c r="Y27" s="283">
        <v>504</v>
      </c>
      <c r="AA27" s="383">
        <f t="shared" si="0"/>
        <v>0</v>
      </c>
      <c r="AB27" s="283">
        <f t="shared" si="1"/>
        <v>0</v>
      </c>
    </row>
    <row r="28" spans="1:28" ht="39" customHeight="1" x14ac:dyDescent="0.3">
      <c r="A28" s="209">
        <f>'Unit Data from Audit Worksheet'!A34</f>
        <v>505</v>
      </c>
      <c r="B28" s="222" t="str">
        <f>'Unit Data from Audit Worksheet'!C34</f>
        <v>Statement of Activities - Governmental</v>
      </c>
      <c r="C28" s="208" t="str">
        <f>'Unit Data from Audit Worksheet'!D34</f>
        <v>Capital grants and contributions</v>
      </c>
      <c r="D28" s="102"/>
      <c r="E28" s="228">
        <f>'Unit Data from Audit Worksheet'!F34</f>
        <v>0</v>
      </c>
      <c r="F28" s="221">
        <f t="shared" si="4"/>
        <v>0</v>
      </c>
      <c r="G28" s="223"/>
      <c r="H28" s="220"/>
      <c r="I28" s="32"/>
      <c r="J28" s="219">
        <v>505</v>
      </c>
      <c r="K28" s="218" t="s">
        <v>183</v>
      </c>
      <c r="L28" s="286">
        <f t="shared" si="3"/>
        <v>0</v>
      </c>
      <c r="P28" s="193"/>
      <c r="X28" s="548">
        <v>505</v>
      </c>
      <c r="Y28" s="283">
        <v>505</v>
      </c>
      <c r="AA28" s="383">
        <f t="shared" si="0"/>
        <v>0</v>
      </c>
      <c r="AB28" s="283">
        <f t="shared" si="1"/>
        <v>0</v>
      </c>
    </row>
    <row r="29" spans="1:28" ht="82.5" customHeight="1" x14ac:dyDescent="0.3">
      <c r="A29" s="209">
        <f>'Unit Data from Audit Worksheet'!A35</f>
        <v>341</v>
      </c>
      <c r="B29" s="222" t="str">
        <f>'Unit Data from Audit Worksheet'!C35</f>
        <v>Statement of Activities - Governmental</v>
      </c>
      <c r="C29" s="208" t="str">
        <f>'Unit Data from Audit Worksheet'!D35</f>
        <v>Total General revenues
Exclude: transfers-in or out,
                 special items,
                 extraordinary amounts</v>
      </c>
      <c r="D29" s="102"/>
      <c r="E29" s="228">
        <f>'Unit Data from Audit Worksheet'!F35</f>
        <v>0</v>
      </c>
      <c r="F29" s="221">
        <f t="shared" si="4"/>
        <v>0</v>
      </c>
      <c r="G29" s="223"/>
      <c r="H29" s="220"/>
      <c r="I29" s="32"/>
      <c r="J29" s="219">
        <v>341</v>
      </c>
      <c r="K29" s="218" t="s">
        <v>184</v>
      </c>
      <c r="L29" s="286">
        <f t="shared" si="3"/>
        <v>0</v>
      </c>
      <c r="P29" s="193"/>
      <c r="X29" s="548">
        <v>341</v>
      </c>
      <c r="Y29" s="283">
        <v>341</v>
      </c>
      <c r="AA29" s="383">
        <f t="shared" si="0"/>
        <v>0</v>
      </c>
      <c r="AB29" s="283">
        <f t="shared" si="1"/>
        <v>0</v>
      </c>
    </row>
    <row r="30" spans="1:28" ht="82.5" customHeight="1" x14ac:dyDescent="0.3">
      <c r="A30" s="209">
        <f>'Unit Data from Audit Worksheet'!A36</f>
        <v>386</v>
      </c>
      <c r="B30" s="222" t="str">
        <f>'Unit Data from Audit Worksheet'!C36</f>
        <v>Statement of Activities - Governmental</v>
      </c>
      <c r="C30" s="208" t="str">
        <f>'Unit Data from Audit Worksheet'!D36</f>
        <v>Total Transfers in    (Preference is that transfers-in  are not netted against transfers-out)</v>
      </c>
      <c r="D30" s="102"/>
      <c r="E30" s="228">
        <f>'Unit Data from Audit Worksheet'!F36</f>
        <v>0</v>
      </c>
      <c r="F30" s="221">
        <f t="shared" si="4"/>
        <v>0</v>
      </c>
      <c r="G30" s="223"/>
      <c r="H30" s="220"/>
      <c r="I30" s="32"/>
      <c r="J30" s="219">
        <v>386</v>
      </c>
      <c r="K30" s="218" t="s">
        <v>185</v>
      </c>
      <c r="L30" s="286">
        <f t="shared" si="3"/>
        <v>0</v>
      </c>
      <c r="P30" s="193"/>
      <c r="X30" s="548">
        <v>386</v>
      </c>
      <c r="Y30" s="283">
        <v>386</v>
      </c>
      <c r="AA30" s="383">
        <f t="shared" si="0"/>
        <v>0</v>
      </c>
      <c r="AB30" s="283">
        <f t="shared" si="1"/>
        <v>0</v>
      </c>
    </row>
    <row r="31" spans="1:28" ht="82.5" customHeight="1" x14ac:dyDescent="0.3">
      <c r="A31" s="209">
        <f>'Unit Data from Audit Worksheet'!A37</f>
        <v>387</v>
      </c>
      <c r="B31" s="222" t="str">
        <f>'Unit Data from Audit Worksheet'!C37</f>
        <v>Statement of Activities - Governmental</v>
      </c>
      <c r="C31" s="208" t="str">
        <f>'Unit Data from Audit Worksheet'!D37</f>
        <v>Total Transfers out    (Preference is that transfers-in  are not netted against transfers-out)</v>
      </c>
      <c r="D31" s="102"/>
      <c r="E31" s="228">
        <f>'Unit Data from Audit Worksheet'!F37</f>
        <v>0</v>
      </c>
      <c r="F31" s="221">
        <f>IF(L31&lt;0,"Error: Enter as a positive.",)</f>
        <v>0</v>
      </c>
      <c r="G31" s="223"/>
      <c r="H31" s="220"/>
      <c r="I31" s="32"/>
      <c r="J31" s="219">
        <v>387</v>
      </c>
      <c r="K31" s="218" t="s">
        <v>186</v>
      </c>
      <c r="L31" s="286">
        <f t="shared" si="3"/>
        <v>0</v>
      </c>
      <c r="P31" s="193"/>
      <c r="X31" s="548">
        <v>387</v>
      </c>
      <c r="Y31" s="283">
        <v>387</v>
      </c>
      <c r="AA31" s="383">
        <f t="shared" si="0"/>
        <v>0</v>
      </c>
      <c r="AB31" s="283">
        <f t="shared" si="1"/>
        <v>0</v>
      </c>
    </row>
    <row r="32" spans="1:28" ht="82.5" customHeight="1" x14ac:dyDescent="0.3">
      <c r="A32" s="209">
        <f>'Unit Data from Audit Worksheet'!A38</f>
        <v>389</v>
      </c>
      <c r="B32" s="222" t="str">
        <f>'Unit Data from Audit Worksheet'!C38</f>
        <v>Statement of Activities - Governmental</v>
      </c>
      <c r="C32" s="208" t="str">
        <f>'Unit Data from Audit Worksheet'!D38</f>
        <v>Total Special and Extraordinary items.    (Amounts that increase net position are recorded as positive and amounts that decrease net position are recorded as negative)</v>
      </c>
      <c r="D32" s="102"/>
      <c r="E32" s="228">
        <f>'Unit Data from Audit Worksheet'!F38</f>
        <v>0</v>
      </c>
      <c r="F32" s="221"/>
      <c r="G32" s="223"/>
      <c r="H32" s="220"/>
      <c r="I32" s="32"/>
      <c r="J32" s="219">
        <v>389</v>
      </c>
      <c r="K32" s="218" t="s">
        <v>187</v>
      </c>
      <c r="L32" s="286">
        <f t="shared" si="3"/>
        <v>0</v>
      </c>
      <c r="N32" s="294"/>
      <c r="P32" s="193"/>
      <c r="X32" s="548">
        <v>389</v>
      </c>
      <c r="Y32" s="283">
        <v>389</v>
      </c>
      <c r="AA32" s="383">
        <f t="shared" si="0"/>
        <v>0</v>
      </c>
      <c r="AB32" s="283">
        <f t="shared" si="1"/>
        <v>0</v>
      </c>
    </row>
    <row r="33" spans="1:28" ht="79.5" customHeight="1" x14ac:dyDescent="0.3">
      <c r="A33" s="209">
        <f>'Unit Data from Audit Worksheet'!A39</f>
        <v>255</v>
      </c>
      <c r="B33" s="222" t="str">
        <f>'Unit Data from Audit Worksheet'!C39</f>
        <v>Statement of Activities - Governmental</v>
      </c>
      <c r="C33" s="208" t="str">
        <f>'Unit Data from Audit Worksheet'!D39</f>
        <v>Total Change in net position - (Increase in net position is recorded as a positive and a decrease in net position is recorded as a negative)</v>
      </c>
      <c r="D33" s="102"/>
      <c r="E33" s="228">
        <f>'Unit Data from Audit Worksheet'!F39</f>
        <v>0</v>
      </c>
      <c r="F33" s="221">
        <f>IF((L26+L27+L28+L29+L30-L31+L32-L25-L33)=0,,"Total revenues less total expenses do not equal total change in net position. Acct 339+504+505+341+386-387+389-388-255=0")</f>
        <v>0</v>
      </c>
      <c r="G33" s="84">
        <f>L26+L27+L28+L29+L30-L31+L32-L25-L33</f>
        <v>0</v>
      </c>
      <c r="H33" s="220"/>
      <c r="I33" s="32"/>
      <c r="J33" s="219">
        <v>255</v>
      </c>
      <c r="K33" s="218" t="s">
        <v>188</v>
      </c>
      <c r="L33" s="286">
        <f t="shared" si="3"/>
        <v>0</v>
      </c>
      <c r="O33" s="293" t="e">
        <f>'Unit Data from Audit Worksheet'!E39</f>
        <v>#N/A</v>
      </c>
      <c r="P33" s="193"/>
      <c r="X33" s="548">
        <v>255</v>
      </c>
      <c r="Y33" s="283">
        <v>255</v>
      </c>
      <c r="AA33" s="383">
        <f t="shared" si="0"/>
        <v>0</v>
      </c>
      <c r="AB33" s="283">
        <f t="shared" si="1"/>
        <v>0</v>
      </c>
    </row>
    <row r="34" spans="1:28" ht="89.25" customHeight="1" x14ac:dyDescent="0.3">
      <c r="A34" s="209">
        <f>'Unit Data from Audit Worksheet'!A40</f>
        <v>376</v>
      </c>
      <c r="B34" s="222" t="str">
        <f>'Unit Data from Audit Worksheet'!C40</f>
        <v>Statement of Activities - Governmental</v>
      </c>
      <c r="C34" s="208" t="str">
        <f>'Unit Data from Audit Worksheet'!D40</f>
        <v>Any adjustment to beginning net position including rounding, prior period adjustments and restatements.   (Increases to net position are positive; decreases to net position are negative)</v>
      </c>
      <c r="D34" s="102"/>
      <c r="E34" s="228">
        <f>'Unit Data from Audit Worksheet'!F40</f>
        <v>0</v>
      </c>
      <c r="F34" s="80" t="e">
        <f>IF(L19+L20+L21-L33-L34=O19+O20+O21,,"Beginning Balance does not agree with our records acct (252+253+254-255-376=PY252+PY253+PY254)")</f>
        <v>#N/A</v>
      </c>
      <c r="G34" s="85" t="e">
        <f>L19+L20+L21-L33-L34-(O19+O20+O21)</f>
        <v>#N/A</v>
      </c>
      <c r="H34" s="220" t="e">
        <f>'Unit Data from Audit Worksheet'!I40</f>
        <v>#N/A</v>
      </c>
      <c r="I34" s="32"/>
      <c r="J34" s="219">
        <v>376</v>
      </c>
      <c r="K34" s="218" t="s">
        <v>100</v>
      </c>
      <c r="L34" s="286">
        <f t="shared" si="3"/>
        <v>0</v>
      </c>
      <c r="O34" s="293" t="e">
        <f>'Unit Data from Audit Worksheet'!E40</f>
        <v>#N/A</v>
      </c>
      <c r="P34" s="193"/>
      <c r="R34" s="381"/>
      <c r="S34" s="381"/>
      <c r="T34" s="381"/>
      <c r="U34" s="381"/>
      <c r="V34" s="381"/>
      <c r="W34" s="381"/>
      <c r="X34" s="548">
        <v>376</v>
      </c>
      <c r="Y34" s="283">
        <v>376</v>
      </c>
      <c r="Z34" s="381"/>
      <c r="AA34" s="383">
        <f t="shared" si="0"/>
        <v>0</v>
      </c>
      <c r="AB34" s="283">
        <f t="shared" si="1"/>
        <v>0</v>
      </c>
    </row>
    <row r="35" spans="1:28" ht="157.5" customHeight="1" x14ac:dyDescent="0.3">
      <c r="A35" s="209">
        <f>'Unit Data from Audit Worksheet'!A41</f>
        <v>597</v>
      </c>
      <c r="B35" s="222" t="str">
        <f>'Unit Data from Audit Worksheet'!C41</f>
        <v>Statement of Activities                               (all governmental and business funds)</v>
      </c>
      <c r="C35" s="208"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28">
        <f>'Unit Data from Audit Worksheet'!F41</f>
        <v>0</v>
      </c>
      <c r="F35" s="221">
        <f>IF(L35&lt;0,"Error: Number is normally positive.",)</f>
        <v>0</v>
      </c>
      <c r="G35" s="223"/>
      <c r="H35" s="220"/>
      <c r="I35" s="32"/>
      <c r="J35" s="219">
        <v>597</v>
      </c>
      <c r="K35" s="218" t="s">
        <v>336</v>
      </c>
      <c r="L35" s="286">
        <f t="shared" si="3"/>
        <v>0</v>
      </c>
      <c r="O35" s="293"/>
      <c r="P35" s="193"/>
      <c r="R35" s="381"/>
      <c r="S35" s="381"/>
      <c r="T35" s="381"/>
      <c r="U35" s="381"/>
      <c r="V35" s="381"/>
      <c r="W35" s="381"/>
      <c r="X35" s="548">
        <v>597</v>
      </c>
      <c r="Y35" s="283">
        <v>597</v>
      </c>
      <c r="Z35" s="381"/>
      <c r="AA35" s="383">
        <f t="shared" si="0"/>
        <v>0</v>
      </c>
      <c r="AB35" s="283">
        <f t="shared" si="1"/>
        <v>0</v>
      </c>
    </row>
    <row r="36" spans="1:28" ht="90" customHeight="1" x14ac:dyDescent="0.3">
      <c r="A36" s="209">
        <f>'Unit Data from Audit Worksheet'!A43</f>
        <v>592</v>
      </c>
      <c r="B36" s="222" t="str">
        <f>'Unit Data from Audit Worksheet'!C43</f>
        <v>Statement of Activities - Business Activities</v>
      </c>
      <c r="C36" s="208" t="str">
        <f>'Unit Data from Audit Worksheet'!D43</f>
        <v>Total Change in net position Business Type 
(Increase in net position is recorded as a positive and a decrease in net position is recorded as a negative)</v>
      </c>
      <c r="D36" s="102"/>
      <c r="E36" s="228">
        <f>'Unit Data from Audit Worksheet'!F43</f>
        <v>0</v>
      </c>
      <c r="F36" s="221"/>
      <c r="G36" s="223"/>
      <c r="H36" s="220"/>
      <c r="I36" s="32"/>
      <c r="J36" s="219">
        <v>592</v>
      </c>
      <c r="K36" s="218" t="s">
        <v>328</v>
      </c>
      <c r="L36" s="286">
        <f t="shared" si="3"/>
        <v>0</v>
      </c>
      <c r="O36" s="293"/>
      <c r="P36" s="193"/>
      <c r="R36" s="381"/>
      <c r="S36" s="381"/>
      <c r="T36" s="381"/>
      <c r="U36" s="381"/>
      <c r="V36" s="381"/>
      <c r="W36" s="381"/>
      <c r="X36" s="548">
        <v>592</v>
      </c>
      <c r="Y36" s="283">
        <v>592</v>
      </c>
      <c r="Z36" s="381"/>
      <c r="AA36" s="383">
        <f t="shared" si="0"/>
        <v>0</v>
      </c>
      <c r="AB36" s="283">
        <f t="shared" si="1"/>
        <v>0</v>
      </c>
    </row>
    <row r="37" spans="1:28" ht="66" customHeight="1" x14ac:dyDescent="0.3">
      <c r="A37" s="209">
        <f>'Unit Data from Audit Worksheet'!A44</f>
        <v>591</v>
      </c>
      <c r="B37" s="222" t="str">
        <f>'Unit Data from Audit Worksheet'!C44</f>
        <v>Statement of Activities - Business Activities</v>
      </c>
      <c r="C37" s="208" t="str">
        <f>'Unit Data from Audit Worksheet'!D44</f>
        <v>Total Expenses - Exclude Transfers</v>
      </c>
      <c r="D37" s="102"/>
      <c r="E37" s="228">
        <f>'Unit Data from Audit Worksheet'!F44</f>
        <v>0</v>
      </c>
      <c r="F37" s="221">
        <f>IF(L37&lt;0,"Error: Enter as a positive.",)</f>
        <v>0</v>
      </c>
      <c r="G37" s="223"/>
      <c r="H37" s="220"/>
      <c r="I37" s="32"/>
      <c r="J37" s="219">
        <v>591</v>
      </c>
      <c r="K37" s="218" t="s">
        <v>327</v>
      </c>
      <c r="L37" s="286">
        <f t="shared" si="3"/>
        <v>0</v>
      </c>
      <c r="O37" s="293"/>
      <c r="P37" s="193"/>
      <c r="R37" s="381"/>
      <c r="S37" s="381"/>
      <c r="T37" s="381"/>
      <c r="U37" s="381"/>
      <c r="V37" s="381"/>
      <c r="W37" s="381"/>
      <c r="X37" s="548">
        <v>591</v>
      </c>
      <c r="Y37" s="283">
        <v>591</v>
      </c>
      <c r="Z37" s="381"/>
      <c r="AA37" s="383">
        <f t="shared" si="0"/>
        <v>0</v>
      </c>
      <c r="AB37" s="283">
        <f t="shared" si="1"/>
        <v>0</v>
      </c>
    </row>
    <row r="38" spans="1:28" ht="54" customHeight="1" x14ac:dyDescent="0.3">
      <c r="A38" s="209">
        <f>'Unit Data from Audit Worksheet'!A46</f>
        <v>506</v>
      </c>
      <c r="B38" s="47" t="str">
        <f>'Unit Data from Audit Worksheet'!C46</f>
        <v>General Fund-Balance Sheet</v>
      </c>
      <c r="C38" s="295"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0"/>
      <c r="I38" s="32"/>
      <c r="J38" s="35">
        <v>506</v>
      </c>
      <c r="K38" s="218" t="s">
        <v>189</v>
      </c>
      <c r="L38" s="296">
        <f t="shared" ref="L38:L51" si="5">IF(D38="",E38,D38)</f>
        <v>0</v>
      </c>
      <c r="P38" s="194"/>
      <c r="X38" s="548">
        <v>506</v>
      </c>
      <c r="Y38" s="283">
        <v>506</v>
      </c>
      <c r="AA38" s="383">
        <f t="shared" si="0"/>
        <v>0</v>
      </c>
      <c r="AB38" s="283">
        <f t="shared" si="1"/>
        <v>0</v>
      </c>
    </row>
    <row r="39" spans="1:28" ht="45.75" customHeight="1" x14ac:dyDescent="0.3">
      <c r="A39" s="209">
        <f>'Unit Data from Audit Worksheet'!A47</f>
        <v>536</v>
      </c>
      <c r="B39" s="47" t="str">
        <f>'Unit Data from Audit Worksheet'!C47</f>
        <v>General Fund-Balance Sheet</v>
      </c>
      <c r="C39" s="295" t="str">
        <f>'Unit Data from Audit Worksheet'!D47</f>
        <v>All restricted cash and investments</v>
      </c>
      <c r="D39" s="102"/>
      <c r="E39" s="144">
        <f>'Unit Data from Audit Worksheet'!F47</f>
        <v>0</v>
      </c>
      <c r="F39" s="31">
        <f>IF(L39&lt;0,"Error: Number is normally positive.",)</f>
        <v>0</v>
      </c>
      <c r="G39" s="66"/>
      <c r="H39" s="220"/>
      <c r="I39" s="32"/>
      <c r="J39" s="35">
        <v>536</v>
      </c>
      <c r="K39" s="218" t="s">
        <v>190</v>
      </c>
      <c r="L39" s="296">
        <f t="shared" si="5"/>
        <v>0</v>
      </c>
      <c r="P39" s="195"/>
      <c r="Q39" s="290"/>
      <c r="S39" s="289"/>
      <c r="T39" s="289"/>
      <c r="U39" s="289"/>
      <c r="V39" s="289"/>
      <c r="W39" s="18"/>
      <c r="X39" s="548">
        <v>536</v>
      </c>
      <c r="Y39" s="283">
        <v>536</v>
      </c>
      <c r="Z39" s="18"/>
      <c r="AA39" s="383">
        <f t="shared" si="0"/>
        <v>0</v>
      </c>
      <c r="AB39" s="283">
        <f t="shared" si="1"/>
        <v>0</v>
      </c>
    </row>
    <row r="40" spans="1:28" ht="56.25" customHeight="1" x14ac:dyDescent="0.3">
      <c r="A40" s="209">
        <f>'Unit Data from Audit Worksheet'!A48</f>
        <v>586</v>
      </c>
      <c r="B40" s="222" t="str">
        <f>'Unit Data from Audit Worksheet'!C48</f>
        <v>General Fund-Balance Sheet</v>
      </c>
      <c r="C40" s="208" t="str">
        <f>'Unit Data from Audit Worksheet'!D48</f>
        <v>Advance To: Interfund loan receivable-portion of repayment plan longer than 12 months</v>
      </c>
      <c r="D40" s="134"/>
      <c r="E40" s="228">
        <f>'Unit Data from Audit Worksheet'!F48</f>
        <v>0</v>
      </c>
      <c r="F40" s="221"/>
      <c r="G40" s="223"/>
      <c r="H40" s="220"/>
      <c r="I40" s="32"/>
      <c r="J40" s="219">
        <v>586</v>
      </c>
      <c r="K40" s="208" t="s">
        <v>313</v>
      </c>
      <c r="L40" s="286">
        <f t="shared" si="5"/>
        <v>0</v>
      </c>
      <c r="P40" s="195"/>
      <c r="Q40" s="290"/>
      <c r="S40" s="289"/>
      <c r="T40" s="289"/>
      <c r="U40" s="289"/>
      <c r="V40" s="289"/>
      <c r="W40" s="18"/>
      <c r="X40" s="548">
        <v>586</v>
      </c>
      <c r="Y40" s="283">
        <v>586</v>
      </c>
      <c r="Z40" s="18"/>
      <c r="AA40" s="383">
        <f t="shared" si="0"/>
        <v>0</v>
      </c>
      <c r="AB40" s="283">
        <f t="shared" si="1"/>
        <v>0</v>
      </c>
    </row>
    <row r="41" spans="1:28" ht="28.8" x14ac:dyDescent="0.3">
      <c r="A41" s="209">
        <f>'Unit Data from Audit Worksheet'!A49</f>
        <v>379</v>
      </c>
      <c r="B41" s="222" t="str">
        <f>'Unit Data from Audit Worksheet'!C49</f>
        <v>General Fund-Balance Sheet</v>
      </c>
      <c r="C41" s="208" t="str">
        <f>'Unit Data from Audit Worksheet'!D49</f>
        <v>Total Assets and deferred outflows</v>
      </c>
      <c r="D41" s="134"/>
      <c r="E41" s="228">
        <f>'Unit Data from Audit Worksheet'!F49</f>
        <v>0</v>
      </c>
      <c r="F41" s="77">
        <f>IF((L38+L39)&gt;L41,"Error: Please review accts (506+536)&gt;379",)</f>
        <v>0</v>
      </c>
      <c r="G41" s="223"/>
      <c r="H41" s="220"/>
      <c r="I41" s="32"/>
      <c r="J41" s="219">
        <v>379</v>
      </c>
      <c r="K41" s="218" t="s">
        <v>110</v>
      </c>
      <c r="L41" s="286">
        <f t="shared" si="5"/>
        <v>0</v>
      </c>
      <c r="P41" s="192"/>
      <c r="X41" s="548">
        <v>379</v>
      </c>
      <c r="Y41" s="283">
        <v>379</v>
      </c>
      <c r="AA41" s="383">
        <f t="shared" si="0"/>
        <v>0</v>
      </c>
      <c r="AB41" s="283">
        <f t="shared" si="1"/>
        <v>0</v>
      </c>
    </row>
    <row r="42" spans="1:28" ht="106.5" customHeight="1" x14ac:dyDescent="0.3">
      <c r="A42" s="209">
        <f>'Unit Data from Audit Worksheet'!A50</f>
        <v>368</v>
      </c>
      <c r="B42" s="222" t="str">
        <f>'Unit Data from Audit Worksheet'!C50</f>
        <v>General Fund-Balance Sheet</v>
      </c>
      <c r="C42" s="208"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28">
        <f>'Unit Data from Audit Worksheet'!F50</f>
        <v>0</v>
      </c>
      <c r="F42" s="221">
        <f>IF(L42&lt;0,"Error: Enter as a positive.",)</f>
        <v>0</v>
      </c>
      <c r="G42" s="223"/>
      <c r="H42" s="220"/>
      <c r="I42" s="32"/>
      <c r="J42" s="219">
        <v>368</v>
      </c>
      <c r="K42" s="218" t="s">
        <v>191</v>
      </c>
      <c r="L42" s="286">
        <f t="shared" si="5"/>
        <v>0</v>
      </c>
      <c r="P42" s="193"/>
      <c r="S42" s="18"/>
      <c r="T42" s="18"/>
      <c r="U42" s="18"/>
      <c r="V42" s="18"/>
      <c r="X42" s="548">
        <v>368</v>
      </c>
      <c r="Y42" s="283">
        <v>368</v>
      </c>
      <c r="Z42" s="18"/>
      <c r="AA42" s="383">
        <f t="shared" si="0"/>
        <v>0</v>
      </c>
      <c r="AB42" s="283">
        <f t="shared" si="1"/>
        <v>0</v>
      </c>
    </row>
    <row r="43" spans="1:28" ht="90.75" customHeight="1" x14ac:dyDescent="0.3">
      <c r="A43" s="209">
        <f>'Unit Data from Audit Worksheet'!A51</f>
        <v>4</v>
      </c>
      <c r="B43" s="47" t="str">
        <f>'Unit Data from Audit Worksheet'!C51</f>
        <v>General Fund-Balance Sheet</v>
      </c>
      <c r="C43" s="295"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0"/>
      <c r="I43" s="32"/>
      <c r="J43" s="35">
        <v>4</v>
      </c>
      <c r="K43" s="218" t="s">
        <v>111</v>
      </c>
      <c r="L43" s="296">
        <f t="shared" si="5"/>
        <v>0</v>
      </c>
      <c r="P43" s="193"/>
      <c r="S43" s="18"/>
      <c r="T43" s="18"/>
      <c r="U43" s="18"/>
      <c r="V43" s="18"/>
      <c r="X43" s="548">
        <v>4</v>
      </c>
      <c r="Y43" s="283">
        <v>4</v>
      </c>
      <c r="Z43" s="18"/>
      <c r="AA43" s="383">
        <f t="shared" si="0"/>
        <v>0</v>
      </c>
      <c r="AB43" s="283">
        <f t="shared" si="1"/>
        <v>0</v>
      </c>
    </row>
    <row r="44" spans="1:28" ht="131.25" customHeight="1" x14ac:dyDescent="0.3">
      <c r="A44" s="209">
        <f>'Unit Data from Audit Worksheet'!A52</f>
        <v>5</v>
      </c>
      <c r="B44" s="47" t="str">
        <f>'Unit Data from Audit Worksheet'!C52</f>
        <v>General Fund-Balance Sheet</v>
      </c>
      <c r="C44" s="295"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0"/>
      <c r="I44" s="32"/>
      <c r="J44" s="35">
        <v>5</v>
      </c>
      <c r="K44" s="218" t="s">
        <v>112</v>
      </c>
      <c r="L44" s="296">
        <f t="shared" si="5"/>
        <v>0</v>
      </c>
      <c r="P44" s="193"/>
      <c r="S44" s="18"/>
      <c r="T44" s="18"/>
      <c r="U44" s="18"/>
      <c r="V44" s="18"/>
      <c r="X44" s="548">
        <v>5</v>
      </c>
      <c r="Y44" s="283">
        <v>5</v>
      </c>
      <c r="Z44" s="18"/>
      <c r="AA44" s="383">
        <f t="shared" si="0"/>
        <v>0</v>
      </c>
      <c r="AB44" s="283">
        <f t="shared" si="1"/>
        <v>0</v>
      </c>
    </row>
    <row r="45" spans="1:28" ht="104.25" customHeight="1" x14ac:dyDescent="0.3">
      <c r="A45" s="209">
        <f>'Unit Data from Audit Worksheet'!A53</f>
        <v>380</v>
      </c>
      <c r="B45" s="222" t="str">
        <f>'Unit Data from Audit Worksheet'!C53</f>
        <v>General Fund-Balance Sheet</v>
      </c>
      <c r="C45" s="208"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28">
        <f>'Unit Data from Audit Worksheet'!F53</f>
        <v>0</v>
      </c>
      <c r="F45" s="221">
        <f t="shared" si="6"/>
        <v>0</v>
      </c>
      <c r="G45" s="223"/>
      <c r="H45" s="220"/>
      <c r="I45" s="32"/>
      <c r="J45" s="219">
        <v>380</v>
      </c>
      <c r="K45" s="218" t="s">
        <v>113</v>
      </c>
      <c r="L45" s="286">
        <f t="shared" si="5"/>
        <v>0</v>
      </c>
      <c r="P45" s="193"/>
      <c r="X45" s="548">
        <v>380</v>
      </c>
      <c r="Y45" s="283">
        <v>380</v>
      </c>
      <c r="AA45" s="383">
        <f t="shared" si="0"/>
        <v>0</v>
      </c>
      <c r="AB45" s="283">
        <f t="shared" si="1"/>
        <v>0</v>
      </c>
    </row>
    <row r="46" spans="1:28" ht="41.25" customHeight="1" x14ac:dyDescent="0.3">
      <c r="A46" s="209">
        <f>'Unit Data from Audit Worksheet'!A54</f>
        <v>391</v>
      </c>
      <c r="B46" s="222" t="str">
        <f>'Unit Data from Audit Worksheet'!C54</f>
        <v>General Fund-Balance Sheet</v>
      </c>
      <c r="C46" s="208" t="str">
        <f>'Unit Data from Audit Worksheet'!D54</f>
        <v xml:space="preserve">Fund balance, Restricted for Stabilization by State Statute </v>
      </c>
      <c r="D46" s="134"/>
      <c r="E46" s="228">
        <f>'Unit Data from Audit Worksheet'!F54</f>
        <v>0</v>
      </c>
      <c r="F46" s="221">
        <f t="shared" si="6"/>
        <v>0</v>
      </c>
      <c r="G46" s="223"/>
      <c r="H46" s="220"/>
      <c r="I46" s="32"/>
      <c r="J46" s="219">
        <v>391</v>
      </c>
      <c r="K46" s="218" t="s">
        <v>192</v>
      </c>
      <c r="L46" s="286">
        <f t="shared" si="5"/>
        <v>0</v>
      </c>
      <c r="P46" s="193"/>
      <c r="X46" s="548">
        <v>391</v>
      </c>
      <c r="Y46" s="283">
        <v>391</v>
      </c>
      <c r="AA46" s="383">
        <f t="shared" si="0"/>
        <v>0</v>
      </c>
      <c r="AB46" s="283">
        <f t="shared" si="1"/>
        <v>0</v>
      </c>
    </row>
    <row r="47" spans="1:28" ht="28.8" x14ac:dyDescent="0.3">
      <c r="A47" s="209">
        <f>'Unit Data from Audit Worksheet'!A55</f>
        <v>7</v>
      </c>
      <c r="B47" s="47" t="str">
        <f>'Unit Data from Audit Worksheet'!C55</f>
        <v>General Fund-Balance Sheet</v>
      </c>
      <c r="C47" s="295" t="str">
        <f>'Unit Data from Audit Worksheet'!D55</f>
        <v>Fund balance, Nonspendable-  inventory/prepaids/etc.</v>
      </c>
      <c r="D47" s="134"/>
      <c r="E47" s="144">
        <f>'Unit Data from Audit Worksheet'!F55</f>
        <v>0</v>
      </c>
      <c r="F47" s="31">
        <f t="shared" si="6"/>
        <v>0</v>
      </c>
      <c r="G47" s="66"/>
      <c r="H47" s="220"/>
      <c r="I47" s="32"/>
      <c r="J47" s="35">
        <v>7</v>
      </c>
      <c r="K47" s="218" t="s">
        <v>193</v>
      </c>
      <c r="L47" s="296">
        <f t="shared" si="5"/>
        <v>0</v>
      </c>
      <c r="P47" s="193"/>
      <c r="X47" s="548">
        <v>7</v>
      </c>
      <c r="Y47" s="283">
        <v>7</v>
      </c>
      <c r="AA47" s="383">
        <f t="shared" si="0"/>
        <v>0</v>
      </c>
      <c r="AB47" s="283">
        <f t="shared" si="1"/>
        <v>0</v>
      </c>
    </row>
    <row r="48" spans="1:28" ht="89.25" customHeight="1" x14ac:dyDescent="0.3">
      <c r="A48" s="297">
        <f>'Unit Data from Audit Worksheet'!A56</f>
        <v>11</v>
      </c>
      <c r="B48" s="109" t="str">
        <f>'Unit Data from Audit Worksheet'!C56</f>
        <v>General Fund-Balance Sheet</v>
      </c>
      <c r="C48" s="288"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6">
        <f t="shared" si="5"/>
        <v>0</v>
      </c>
      <c r="P48" s="193"/>
      <c r="X48" s="548">
        <v>11</v>
      </c>
      <c r="Y48" s="283">
        <v>11</v>
      </c>
      <c r="AA48" s="383">
        <f t="shared" si="0"/>
        <v>0</v>
      </c>
      <c r="AB48" s="283">
        <f t="shared" si="1"/>
        <v>0</v>
      </c>
    </row>
    <row r="49" spans="1:28" s="18" customFormat="1" ht="48.75" customHeight="1" x14ac:dyDescent="0.3">
      <c r="A49" s="187">
        <f>'Unit Data from Audit Worksheet'!A57</f>
        <v>645</v>
      </c>
      <c r="B49" s="232" t="str">
        <f>'Unit Data from Audit Worksheet'!C57</f>
        <v>General Fund-Balance Sheet</v>
      </c>
      <c r="C49" s="187" t="str">
        <f>'Unit Data from Audit Worksheet'!D57</f>
        <v>Fund balance, Assigned (total of all assigned components)</v>
      </c>
      <c r="D49" s="108"/>
      <c r="E49" s="231">
        <f>'Unit Data from Audit Worksheet'!F57</f>
        <v>0</v>
      </c>
      <c r="F49" s="216">
        <f>IF(L49&lt;0,"Error: Enter as a positive.",)</f>
        <v>0</v>
      </c>
      <c r="G49" s="204"/>
      <c r="H49" s="216"/>
      <c r="I49" s="298"/>
      <c r="J49" s="215">
        <v>645</v>
      </c>
      <c r="K49" s="187" t="s">
        <v>381</v>
      </c>
      <c r="L49" s="299">
        <f t="shared" si="5"/>
        <v>0</v>
      </c>
      <c r="M49"/>
      <c r="N49" s="289"/>
      <c r="O49" s="289"/>
      <c r="P49" s="193"/>
      <c r="Q49" s="276"/>
      <c r="R49" s="3"/>
      <c r="S49" s="3"/>
      <c r="T49" s="3"/>
      <c r="U49" s="3"/>
      <c r="V49" s="3"/>
      <c r="W49" s="3"/>
      <c r="X49" s="548">
        <v>645</v>
      </c>
      <c r="Y49" s="283">
        <v>645</v>
      </c>
      <c r="Z49" s="3"/>
      <c r="AA49" s="383">
        <f t="shared" si="0"/>
        <v>0</v>
      </c>
      <c r="AB49" s="283">
        <f t="shared" si="1"/>
        <v>0</v>
      </c>
    </row>
    <row r="50" spans="1:28" s="18" customFormat="1" ht="45.75" customHeight="1" x14ac:dyDescent="0.3">
      <c r="A50" s="187">
        <f>'Unit Data from Audit Worksheet'!A58</f>
        <v>646</v>
      </c>
      <c r="B50" s="232" t="str">
        <f>'Unit Data from Audit Worksheet'!C58</f>
        <v>General Fund-Balance Sheet</v>
      </c>
      <c r="C50" s="187" t="str">
        <f>'Unit Data from Audit Worksheet'!D58</f>
        <v>Fund Balance, Unassigned</v>
      </c>
      <c r="D50" s="108"/>
      <c r="E50" s="231">
        <f>'Unit Data from Audit Worksheet'!F58</f>
        <v>0</v>
      </c>
      <c r="F50" s="216">
        <f>IF(L50&lt;0,"Error: Enter as a positive.",)</f>
        <v>0</v>
      </c>
      <c r="G50" s="204"/>
      <c r="H50" s="216"/>
      <c r="I50" s="298"/>
      <c r="J50" s="215">
        <v>646</v>
      </c>
      <c r="K50" s="187" t="s">
        <v>382</v>
      </c>
      <c r="L50" s="299">
        <f t="shared" si="5"/>
        <v>0</v>
      </c>
      <c r="M50"/>
      <c r="N50" s="289"/>
      <c r="O50" s="289"/>
      <c r="P50" s="193"/>
      <c r="Q50" s="276"/>
      <c r="R50" s="3"/>
      <c r="S50" s="3"/>
      <c r="T50" s="3"/>
      <c r="U50" s="3"/>
      <c r="V50" s="3"/>
      <c r="W50" s="3"/>
      <c r="X50" s="548">
        <v>646</v>
      </c>
      <c r="Y50" s="283">
        <v>646</v>
      </c>
      <c r="Z50" s="3"/>
      <c r="AA50" s="383">
        <f t="shared" si="0"/>
        <v>0</v>
      </c>
      <c r="AB50" s="283">
        <f t="shared" si="1"/>
        <v>0</v>
      </c>
    </row>
    <row r="51" spans="1:28" ht="55.5" customHeight="1" x14ac:dyDescent="0.3">
      <c r="A51" s="284">
        <f>'Unit Data from Audit Worksheet'!A59</f>
        <v>9</v>
      </c>
      <c r="B51" s="110" t="str">
        <f>'Unit Data from Audit Worksheet'!C59</f>
        <v>General Fund-Balance Sheet</v>
      </c>
      <c r="C51" s="300"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0"/>
      <c r="I51" s="32"/>
      <c r="J51" s="113">
        <v>9</v>
      </c>
      <c r="K51" s="45" t="s">
        <v>195</v>
      </c>
      <c r="L51" s="296">
        <f t="shared" si="5"/>
        <v>0</v>
      </c>
      <c r="O51" s="293" t="e">
        <f>'Unit Data from Audit Worksheet'!E59</f>
        <v>#N/A</v>
      </c>
      <c r="P51" s="193"/>
      <c r="X51" s="548">
        <v>9</v>
      </c>
      <c r="Y51" s="283">
        <v>9</v>
      </c>
      <c r="AA51" s="383">
        <f t="shared" si="0"/>
        <v>0</v>
      </c>
      <c r="AB51" s="283">
        <f t="shared" si="1"/>
        <v>0</v>
      </c>
    </row>
    <row r="52" spans="1:28" s="18" customFormat="1" ht="73.5" customHeight="1" x14ac:dyDescent="0.3">
      <c r="A52" s="209">
        <f>'Unit Data from Audit Worksheet'!A60</f>
        <v>540</v>
      </c>
      <c r="B52" s="222" t="str">
        <f>'Unit Data from Audit Worksheet'!C60</f>
        <v>General Fund - Budget Actual Statement</v>
      </c>
      <c r="C52" s="208" t="str">
        <f>'Unit Data from Audit Worksheet'!D60</f>
        <v>Amount of the General Fund Balance appropriated in next year's budget. As reported on the General Fund Balance Sheet.</v>
      </c>
      <c r="D52" s="134"/>
      <c r="E52" s="228">
        <f>'Unit Data from Audit Worksheet'!F60</f>
        <v>0</v>
      </c>
      <c r="F52" s="221">
        <f t="shared" si="6"/>
        <v>0</v>
      </c>
      <c r="G52" s="223"/>
      <c r="H52" s="220"/>
      <c r="I52" s="32"/>
      <c r="J52" s="219">
        <v>540</v>
      </c>
      <c r="K52" s="218" t="s">
        <v>253</v>
      </c>
      <c r="L52" s="286">
        <f t="shared" ref="L52:L79" si="7">IF(D52="",E52,D52)</f>
        <v>0</v>
      </c>
      <c r="M52"/>
      <c r="P52" s="193"/>
      <c r="Q52" s="276"/>
      <c r="R52" s="3"/>
      <c r="S52" s="3"/>
      <c r="T52" s="3"/>
      <c r="U52" s="3"/>
      <c r="V52" s="3"/>
      <c r="W52" s="3"/>
      <c r="X52" s="548">
        <v>540</v>
      </c>
      <c r="Y52" s="283">
        <v>540</v>
      </c>
      <c r="Z52" s="3"/>
      <c r="AA52" s="383">
        <f t="shared" si="0"/>
        <v>0</v>
      </c>
      <c r="AB52" s="283">
        <f t="shared" si="1"/>
        <v>0</v>
      </c>
    </row>
    <row r="53" spans="1:28" s="18" customFormat="1" ht="73.5" customHeight="1" x14ac:dyDescent="0.3">
      <c r="A53" s="209">
        <f>'Unit Data from Audit Worksheet'!A61</f>
        <v>1052</v>
      </c>
      <c r="B53" s="222" t="str">
        <f>'Unit Data from Audit Worksheet'!C61</f>
        <v>General Fund-Rev, Exp. Change in Fund Balance</v>
      </c>
      <c r="C53" s="208" t="str">
        <f>'Unit Data from Audit Worksheet'!D61</f>
        <v>Mark to Market unrealized losses in the General Fund. (enter as a negative number)</v>
      </c>
      <c r="D53" s="134"/>
      <c r="E53" s="228">
        <f>'Unit Data from Audit Worksheet'!F61</f>
        <v>0</v>
      </c>
      <c r="F53" s="221"/>
      <c r="G53" s="223"/>
      <c r="H53" s="220"/>
      <c r="I53" s="32"/>
      <c r="J53" s="219">
        <v>1052</v>
      </c>
      <c r="K53" s="218" t="s">
        <v>1532</v>
      </c>
      <c r="L53" s="292">
        <f t="shared" si="7"/>
        <v>0</v>
      </c>
      <c r="M53"/>
      <c r="P53" s="193"/>
      <c r="Q53" s="276"/>
      <c r="R53" s="383"/>
      <c r="S53" s="383"/>
      <c r="T53" s="383"/>
      <c r="U53" s="383"/>
      <c r="V53" s="383"/>
      <c r="W53" s="383"/>
      <c r="X53" s="548"/>
      <c r="Y53" s="283"/>
      <c r="Z53" s="383"/>
      <c r="AA53" s="383">
        <f t="shared" si="0"/>
        <v>0</v>
      </c>
      <c r="AB53" s="283"/>
    </row>
    <row r="54" spans="1:28" s="18" customFormat="1" ht="73.5" customHeight="1" x14ac:dyDescent="0.3">
      <c r="A54" s="209">
        <f>'Unit Data from Audit Worksheet'!A63</f>
        <v>984</v>
      </c>
      <c r="B54" s="222" t="str">
        <f>'Unit Data from Audit Worksheet'!C63</f>
        <v>General Fund - Budget Actual Statement</v>
      </c>
      <c r="C54" s="208" t="str">
        <f>'Unit Data from Audit Worksheet'!D63</f>
        <v>Amount of Ad valorem tax collected (including motor vehicle and prior years) reported on budget actual statement</v>
      </c>
      <c r="D54" s="134"/>
      <c r="E54" s="228">
        <f>'Unit Data from Audit Worksheet'!F63</f>
        <v>0</v>
      </c>
      <c r="F54" s="221"/>
      <c r="G54" s="223"/>
      <c r="H54" s="220"/>
      <c r="I54" s="32"/>
      <c r="J54" s="219">
        <v>984</v>
      </c>
      <c r="K54" s="218" t="s">
        <v>591</v>
      </c>
      <c r="L54" s="292">
        <f t="shared" si="7"/>
        <v>0</v>
      </c>
      <c r="M54"/>
      <c r="P54" s="193"/>
      <c r="Q54" s="276"/>
      <c r="R54" s="3"/>
      <c r="S54" s="3"/>
      <c r="T54" s="3"/>
      <c r="U54" s="3"/>
      <c r="V54" s="3"/>
      <c r="W54" s="3"/>
      <c r="X54" s="548">
        <v>984</v>
      </c>
      <c r="Y54" s="283">
        <v>984</v>
      </c>
      <c r="Z54" s="3"/>
      <c r="AA54" s="383">
        <f t="shared" si="0"/>
        <v>0</v>
      </c>
      <c r="AB54" s="283">
        <f t="shared" si="1"/>
        <v>0</v>
      </c>
    </row>
    <row r="55" spans="1:28" s="18" customFormat="1" ht="73.5" customHeight="1" x14ac:dyDescent="0.3">
      <c r="A55" s="209">
        <f>'Unit Data from Audit Worksheet'!A64</f>
        <v>985</v>
      </c>
      <c r="B55" s="222" t="str">
        <f>'Unit Data from Audit Worksheet'!C64</f>
        <v>General Fund - Budget Actual Statement</v>
      </c>
      <c r="C55" s="208" t="str">
        <f>'Unit Data from Audit Worksheet'!D64</f>
        <v>Amount of Ad valorem tax budgeted (including motor vehicle and prior years) reported on budget actual statement</v>
      </c>
      <c r="D55" s="134"/>
      <c r="E55" s="228">
        <f>'Unit Data from Audit Worksheet'!F64</f>
        <v>0</v>
      </c>
      <c r="F55" s="221"/>
      <c r="G55" s="223"/>
      <c r="H55" s="220"/>
      <c r="I55" s="32"/>
      <c r="J55" s="219">
        <v>985</v>
      </c>
      <c r="K55" s="218" t="s">
        <v>592</v>
      </c>
      <c r="L55" s="292">
        <f t="shared" si="7"/>
        <v>0</v>
      </c>
      <c r="M55"/>
      <c r="P55" s="194"/>
      <c r="Q55" s="276"/>
      <c r="R55" s="3"/>
      <c r="S55" s="3"/>
      <c r="T55" s="3"/>
      <c r="U55" s="3"/>
      <c r="V55" s="3"/>
      <c r="W55" s="3"/>
      <c r="X55" s="548">
        <v>985</v>
      </c>
      <c r="Y55" s="283">
        <v>985</v>
      </c>
      <c r="Z55" s="3"/>
      <c r="AA55" s="383">
        <f t="shared" si="0"/>
        <v>0</v>
      </c>
      <c r="AB55" s="283">
        <f t="shared" si="1"/>
        <v>0</v>
      </c>
    </row>
    <row r="56" spans="1:28" ht="73.5" customHeight="1" x14ac:dyDescent="0.3">
      <c r="A56" s="209">
        <f>'Unit Data from Audit Worksheet'!A65</f>
        <v>369</v>
      </c>
      <c r="B56" s="222" t="str">
        <f>'Unit Data from Audit Worksheet'!C65</f>
        <v>General Fund-Rev, Exp. Change in Fund Balance</v>
      </c>
      <c r="C56" s="208" t="str">
        <f>'Unit Data from Audit Worksheet'!D65</f>
        <v>Total Intergovernmental revenue 
Include restricted and unrestricted revenues</v>
      </c>
      <c r="D56" s="134"/>
      <c r="E56" s="228">
        <f>'Unit Data from Audit Worksheet'!F65</f>
        <v>0</v>
      </c>
      <c r="F56" s="221"/>
      <c r="G56" s="223"/>
      <c r="H56" s="220"/>
      <c r="I56" s="32"/>
      <c r="J56" s="219">
        <v>369</v>
      </c>
      <c r="K56" s="218" t="s">
        <v>196</v>
      </c>
      <c r="L56" s="286">
        <f t="shared" si="7"/>
        <v>0</v>
      </c>
      <c r="P56" s="202"/>
      <c r="X56" s="548">
        <v>369</v>
      </c>
      <c r="Y56" s="291">
        <v>369</v>
      </c>
      <c r="AA56" s="383">
        <f t="shared" si="0"/>
        <v>0</v>
      </c>
      <c r="AB56" s="283">
        <f t="shared" si="1"/>
        <v>0</v>
      </c>
    </row>
    <row r="57" spans="1:28" ht="73.5" customHeight="1" x14ac:dyDescent="0.3">
      <c r="A57" s="209">
        <f>'Unit Data from Audit Worksheet'!A66</f>
        <v>16</v>
      </c>
      <c r="B57" s="222" t="str">
        <f>'Unit Data from Audit Worksheet'!C66</f>
        <v>General Fund-Rev, Exp. Change in Fund Balance</v>
      </c>
      <c r="C57" s="208" t="str">
        <f>'Unit Data from Audit Worksheet'!D66</f>
        <v>Total revenues</v>
      </c>
      <c r="D57" s="134"/>
      <c r="E57" s="228">
        <f>'Unit Data from Audit Worksheet'!F66</f>
        <v>0</v>
      </c>
      <c r="F57" s="221"/>
      <c r="G57" s="223"/>
      <c r="H57" s="220"/>
      <c r="I57" s="32"/>
      <c r="J57" s="219">
        <v>16</v>
      </c>
      <c r="K57" s="218" t="s">
        <v>197</v>
      </c>
      <c r="L57" s="286">
        <f t="shared" si="7"/>
        <v>0</v>
      </c>
      <c r="P57" s="202"/>
      <c r="X57" s="548">
        <v>16</v>
      </c>
      <c r="Y57" s="291">
        <v>16</v>
      </c>
      <c r="AA57" s="383">
        <f t="shared" si="0"/>
        <v>0</v>
      </c>
      <c r="AB57" s="283">
        <f t="shared" si="1"/>
        <v>0</v>
      </c>
    </row>
    <row r="58" spans="1:28" ht="73.5" customHeight="1" x14ac:dyDescent="0.3">
      <c r="A58" s="209">
        <f>'Unit Data from Audit Worksheet'!A67</f>
        <v>370</v>
      </c>
      <c r="B58" s="222" t="str">
        <f>'Unit Data from Audit Worksheet'!C67</f>
        <v>General Fund-Rev, Exp. Change in Fund Balance</v>
      </c>
      <c r="C58" s="208" t="str">
        <f>'Unit Data from Audit Worksheet'!D67</f>
        <v>Debt service expenditures. 
Include principal, interest paid, and bond/debt issuance costs on long-term debt</v>
      </c>
      <c r="D58" s="134"/>
      <c r="E58" s="228">
        <f>'Unit Data from Audit Worksheet'!F67</f>
        <v>0</v>
      </c>
      <c r="F58" s="221">
        <f t="shared" ref="F58:F65" si="8">IF(L58&lt;0,"Error: Enter as a positive.",)</f>
        <v>0</v>
      </c>
      <c r="G58" s="223"/>
      <c r="H58" s="220"/>
      <c r="I58" s="32"/>
      <c r="J58" s="219">
        <v>370</v>
      </c>
      <c r="K58" s="218" t="s">
        <v>198</v>
      </c>
      <c r="L58" s="286">
        <f t="shared" si="7"/>
        <v>0</v>
      </c>
      <c r="P58" s="202"/>
      <c r="X58" s="548">
        <v>370</v>
      </c>
      <c r="Y58" s="283">
        <v>370</v>
      </c>
      <c r="AA58" s="383">
        <f t="shared" si="0"/>
        <v>0</v>
      </c>
      <c r="AB58" s="283">
        <f t="shared" si="1"/>
        <v>0</v>
      </c>
    </row>
    <row r="59" spans="1:28" ht="73.5" customHeight="1" x14ac:dyDescent="0.3">
      <c r="A59" s="209">
        <f>'Unit Data from Audit Worksheet'!A68</f>
        <v>532</v>
      </c>
      <c r="B59" s="222" t="str">
        <f>'Unit Data from Audit Worksheet'!C68</f>
        <v>General Fund-Rev, Exp. Change in Fund Balance</v>
      </c>
      <c r="C59" s="208" t="str">
        <f>'Unit Data from Audit Worksheet'!D68</f>
        <v xml:space="preserve">Total expenditures  
Exclude expenditures in the "other financing sources (uses)" section.
</v>
      </c>
      <c r="D59" s="134"/>
      <c r="E59" s="228">
        <f>'Unit Data from Audit Worksheet'!F68</f>
        <v>0</v>
      </c>
      <c r="F59" s="221">
        <f t="shared" si="8"/>
        <v>0</v>
      </c>
      <c r="G59" s="223"/>
      <c r="H59" s="220"/>
      <c r="I59" s="32"/>
      <c r="J59" s="219">
        <v>532</v>
      </c>
      <c r="K59" s="304" t="s">
        <v>199</v>
      </c>
      <c r="L59" s="286">
        <f t="shared" si="7"/>
        <v>0</v>
      </c>
      <c r="P59" s="202"/>
      <c r="X59" s="548">
        <v>532</v>
      </c>
      <c r="Y59" s="283">
        <v>532</v>
      </c>
      <c r="AA59" s="383">
        <f t="shared" si="0"/>
        <v>0</v>
      </c>
      <c r="AB59" s="283">
        <f t="shared" si="1"/>
        <v>0</v>
      </c>
    </row>
    <row r="60" spans="1:28" s="383" customFormat="1" ht="73.5" customHeight="1" x14ac:dyDescent="0.3">
      <c r="A60" s="209">
        <f>'Unit Data from Audit Worksheet'!A69</f>
        <v>1050</v>
      </c>
      <c r="B60" s="222" t="str">
        <f>'Unit Data from Audit Worksheet'!C69</f>
        <v>General Fund-Rev, Exp. Change in Fund Balance</v>
      </c>
      <c r="C60" s="208" t="str">
        <f>'Unit Data from Audit Worksheet'!D69</f>
        <v>Amount expended for Powell Bill expenditures in the General Fund</v>
      </c>
      <c r="D60" s="134"/>
      <c r="E60" s="228">
        <f>'Unit Data from Audit Worksheet'!F69</f>
        <v>0</v>
      </c>
      <c r="F60" s="221"/>
      <c r="G60" s="223"/>
      <c r="H60" s="220"/>
      <c r="I60" s="32"/>
      <c r="J60" s="219">
        <v>1050</v>
      </c>
      <c r="K60" s="208" t="s">
        <v>1435</v>
      </c>
      <c r="L60" s="292">
        <f t="shared" si="7"/>
        <v>0</v>
      </c>
      <c r="M60"/>
      <c r="P60" s="202"/>
      <c r="Q60" s="276"/>
      <c r="X60" s="548"/>
      <c r="Y60" s="283"/>
      <c r="AA60" s="383">
        <f t="shared" si="0"/>
        <v>0</v>
      </c>
      <c r="AB60" s="283"/>
    </row>
    <row r="61" spans="1:28" ht="73.5" customHeight="1" x14ac:dyDescent="0.3">
      <c r="A61" s="209">
        <f>'Unit Data from Audit Worksheet'!A70</f>
        <v>17</v>
      </c>
      <c r="B61" s="222" t="str">
        <f>'Unit Data from Audit Worksheet'!C70</f>
        <v>General Fund-Rev, Exp. Change in Fund Balance</v>
      </c>
      <c r="C61" s="208" t="str">
        <f>'Unit Data from Audit Worksheet'!D70</f>
        <v>Total Transfers in    (Preference is that transfers-in  are not netted against transfers-out)</v>
      </c>
      <c r="D61" s="134"/>
      <c r="E61" s="228">
        <f>'Unit Data from Audit Worksheet'!F70</f>
        <v>0</v>
      </c>
      <c r="F61" s="221">
        <f t="shared" si="8"/>
        <v>0</v>
      </c>
      <c r="G61" s="223"/>
      <c r="H61" s="220"/>
      <c r="I61" s="32"/>
      <c r="J61" s="219">
        <v>17</v>
      </c>
      <c r="K61" s="218" t="s">
        <v>200</v>
      </c>
      <c r="L61" s="286">
        <f t="shared" si="7"/>
        <v>0</v>
      </c>
      <c r="P61" s="202"/>
      <c r="X61" s="548">
        <v>17</v>
      </c>
      <c r="Y61" s="283">
        <v>17</v>
      </c>
      <c r="AA61" s="383">
        <f t="shared" si="0"/>
        <v>0</v>
      </c>
      <c r="AB61" s="283">
        <f t="shared" si="1"/>
        <v>0</v>
      </c>
    </row>
    <row r="62" spans="1:28" ht="54.75" customHeight="1" x14ac:dyDescent="0.3">
      <c r="A62" s="209">
        <f>'Unit Data from Audit Worksheet'!A71</f>
        <v>20</v>
      </c>
      <c r="B62" s="222" t="str">
        <f>'Unit Data from Audit Worksheet'!C71</f>
        <v>General Fund-Rev, Exp. Change in Fund Balance</v>
      </c>
      <c r="C62" s="208" t="str">
        <f>'Unit Data from Audit Worksheet'!D71</f>
        <v>Total Transfers out    (Preference is that transfers-in  are not netted against transfers-out)</v>
      </c>
      <c r="D62" s="134"/>
      <c r="E62" s="228">
        <f>'Unit Data from Audit Worksheet'!F71</f>
        <v>0</v>
      </c>
      <c r="F62" s="221">
        <f t="shared" si="8"/>
        <v>0</v>
      </c>
      <c r="G62" s="223"/>
      <c r="H62" s="220"/>
      <c r="I62" s="32"/>
      <c r="J62" s="219">
        <v>20</v>
      </c>
      <c r="K62" s="218" t="s">
        <v>201</v>
      </c>
      <c r="L62" s="286">
        <f t="shared" si="7"/>
        <v>0</v>
      </c>
      <c r="P62" s="202"/>
      <c r="X62" s="548">
        <v>20</v>
      </c>
      <c r="Y62" s="283">
        <v>20</v>
      </c>
      <c r="AA62" s="383">
        <f t="shared" si="0"/>
        <v>0</v>
      </c>
      <c r="AB62" s="283">
        <f t="shared" si="1"/>
        <v>0</v>
      </c>
    </row>
    <row r="63" spans="1:28" ht="54.75" customHeight="1" x14ac:dyDescent="0.3">
      <c r="A63" s="209">
        <f>'Unit Data from Audit Worksheet'!A72</f>
        <v>533</v>
      </c>
      <c r="B63" s="222" t="str">
        <f>'Unit Data from Audit Worksheet'!C72</f>
        <v>General Fund-Rev, Exp. Change in Fund Balance</v>
      </c>
      <c r="C63" s="208" t="str">
        <f>'Unit Data from Audit Worksheet'!D72</f>
        <v>Total Proceeds from all long-term debt issuances 
Exclude proceeds from refundings</v>
      </c>
      <c r="D63" s="134"/>
      <c r="E63" s="228">
        <f>'Unit Data from Audit Worksheet'!F72</f>
        <v>0</v>
      </c>
      <c r="F63" s="221">
        <f t="shared" si="8"/>
        <v>0</v>
      </c>
      <c r="G63" s="223"/>
      <c r="H63" s="220"/>
      <c r="I63" s="32"/>
      <c r="J63" s="219">
        <v>533</v>
      </c>
      <c r="K63" s="304" t="s">
        <v>202</v>
      </c>
      <c r="L63" s="286">
        <f t="shared" si="7"/>
        <v>0</v>
      </c>
      <c r="P63" s="202"/>
      <c r="X63" s="548">
        <v>533</v>
      </c>
      <c r="Y63" s="283">
        <v>533</v>
      </c>
      <c r="AA63" s="383">
        <f t="shared" si="0"/>
        <v>0</v>
      </c>
      <c r="AB63" s="283">
        <f t="shared" si="1"/>
        <v>0</v>
      </c>
    </row>
    <row r="64" spans="1:28" ht="54.75" customHeight="1" x14ac:dyDescent="0.3">
      <c r="A64" s="209">
        <f>'Unit Data from Audit Worksheet'!A73</f>
        <v>508</v>
      </c>
      <c r="B64" s="222" t="str">
        <f>'Unit Data from Audit Worksheet'!C73</f>
        <v>General Fund-Rev, Exp. Change in Fund Balance</v>
      </c>
      <c r="C64" s="208" t="str">
        <f>'Unit Data from Audit Worksheet'!D73</f>
        <v>Debt Refunding - Net refunding proceeds against debt payoff and if positive place results on this line.</v>
      </c>
      <c r="D64" s="134"/>
      <c r="E64" s="228">
        <f>'Unit Data from Audit Worksheet'!F73</f>
        <v>0</v>
      </c>
      <c r="F64" s="221">
        <f t="shared" si="8"/>
        <v>0</v>
      </c>
      <c r="G64" s="223"/>
      <c r="H64" s="220"/>
      <c r="I64" s="32"/>
      <c r="J64" s="219">
        <v>508</v>
      </c>
      <c r="K64" s="218" t="s">
        <v>204</v>
      </c>
      <c r="L64" s="286">
        <f t="shared" si="7"/>
        <v>0</v>
      </c>
      <c r="N64" s="567"/>
      <c r="P64" s="195"/>
      <c r="X64" s="548">
        <v>508</v>
      </c>
      <c r="Y64" s="283">
        <v>508</v>
      </c>
      <c r="AA64" s="383">
        <f t="shared" si="0"/>
        <v>0</v>
      </c>
      <c r="AB64" s="283">
        <f t="shared" si="1"/>
        <v>0</v>
      </c>
    </row>
    <row r="65" spans="1:28" ht="54.75" customHeight="1" x14ac:dyDescent="0.3">
      <c r="A65" s="209">
        <f>'Unit Data from Audit Worksheet'!A74</f>
        <v>509</v>
      </c>
      <c r="B65" s="222" t="str">
        <f>'Unit Data from Audit Worksheet'!C74</f>
        <v>General Fund-Rev, Exp. Change in Fund Balance</v>
      </c>
      <c r="C65" s="208" t="str">
        <f>'Unit Data from Audit Worksheet'!D74</f>
        <v>Debt Refunding - Net refunding proceeds against debt payoff and if negative place results on this line.</v>
      </c>
      <c r="D65" s="134"/>
      <c r="E65" s="228">
        <f>'Unit Data from Audit Worksheet'!F74</f>
        <v>0</v>
      </c>
      <c r="F65" s="221">
        <f t="shared" si="8"/>
        <v>0</v>
      </c>
      <c r="G65" s="223"/>
      <c r="H65" s="220"/>
      <c r="I65" s="32"/>
      <c r="J65" s="219">
        <v>509</v>
      </c>
      <c r="K65" s="218" t="s">
        <v>205</v>
      </c>
      <c r="L65" s="286">
        <f>IF(D65="",E65,D65)</f>
        <v>0</v>
      </c>
      <c r="N65" s="568"/>
      <c r="P65" s="202"/>
      <c r="Q65" s="290"/>
      <c r="S65" s="289"/>
      <c r="T65" s="289"/>
      <c r="U65" s="289"/>
      <c r="V65" s="289"/>
      <c r="W65" s="18"/>
      <c r="X65" s="548">
        <v>509</v>
      </c>
      <c r="Y65" s="283">
        <v>509</v>
      </c>
      <c r="Z65" s="18"/>
      <c r="AA65" s="383">
        <f t="shared" si="0"/>
        <v>0</v>
      </c>
      <c r="AB65" s="283">
        <f t="shared" si="1"/>
        <v>0</v>
      </c>
    </row>
    <row r="66" spans="1:28" ht="84.75" customHeight="1" x14ac:dyDescent="0.3">
      <c r="A66" s="209">
        <f>'Unit Data from Audit Worksheet'!A75</f>
        <v>22</v>
      </c>
      <c r="B66" s="222" t="str">
        <f>'Unit Data from Audit Worksheet'!C75</f>
        <v>General Fund-Rev, Exp. Change in Fund Balance</v>
      </c>
      <c r="C66" s="208" t="str">
        <f>'Unit Data from Audit Worksheet'!D75</f>
        <v xml:space="preserve">All other items on this statement that were not included in total revenues, total expenditures, transfers in or out, or proceeds from long-term debt above.  </v>
      </c>
      <c r="D66" s="134"/>
      <c r="E66" s="228">
        <f>'Unit Data from Audit Worksheet'!F75</f>
        <v>0</v>
      </c>
      <c r="F66" s="221"/>
      <c r="G66" s="223"/>
      <c r="H66" s="220"/>
      <c r="I66" s="32"/>
      <c r="J66" s="219">
        <v>22</v>
      </c>
      <c r="K66" s="218" t="s">
        <v>203</v>
      </c>
      <c r="L66" s="286">
        <f t="shared" si="7"/>
        <v>0</v>
      </c>
      <c r="N66" s="568"/>
      <c r="P66" s="192"/>
      <c r="Q66" s="307"/>
      <c r="S66" s="306"/>
      <c r="T66" s="306"/>
      <c r="U66" s="306"/>
      <c r="V66" s="306"/>
      <c r="W66" s="306"/>
      <c r="X66" s="548">
        <v>22</v>
      </c>
      <c r="Y66" s="283">
        <v>22</v>
      </c>
      <c r="Z66" s="18"/>
      <c r="AA66" s="383">
        <f t="shared" si="0"/>
        <v>0</v>
      </c>
      <c r="AB66" s="283">
        <f t="shared" si="1"/>
        <v>0</v>
      </c>
    </row>
    <row r="67" spans="1:28" ht="74.25" customHeight="1" x14ac:dyDescent="0.3">
      <c r="A67" s="209">
        <f>'Unit Data from Audit Worksheet'!A76</f>
        <v>23</v>
      </c>
      <c r="B67" s="222" t="str">
        <f>'Unit Data from Audit Worksheet'!C76</f>
        <v>General Fund-Rev, Exp. Change in Fund Balance</v>
      </c>
      <c r="C67" s="208" t="str">
        <f>'Unit Data from Audit Worksheet'!D76</f>
        <v>Change in fund balance - (Increase in Fund balance is recorded as a positive and a decrease in fund balance is recorded as a negative)</v>
      </c>
      <c r="D67" s="134"/>
      <c r="E67" s="228">
        <f>'Unit Data from Audit Worksheet'!F76</f>
        <v>0</v>
      </c>
      <c r="F67" s="221">
        <f>IF(+L57-L59+L61-L62+L63+L64-L65+L66-L67=0,,"Error:Total revenues less toal Expenditures do not equal change in fund balance")</f>
        <v>0</v>
      </c>
      <c r="G67" s="84">
        <f>+L57-L59+L61-L62+L63+L66+L64-L65-L67</f>
        <v>0</v>
      </c>
      <c r="H67" s="220"/>
      <c r="I67" s="32"/>
      <c r="J67" s="219">
        <v>23</v>
      </c>
      <c r="K67" s="218" t="s">
        <v>206</v>
      </c>
      <c r="L67" s="286">
        <f t="shared" si="7"/>
        <v>0</v>
      </c>
      <c r="P67" s="192"/>
      <c r="X67" s="548">
        <v>23</v>
      </c>
      <c r="Y67" s="283">
        <v>23</v>
      </c>
      <c r="AA67" s="383">
        <f t="shared" si="0"/>
        <v>0</v>
      </c>
      <c r="AB67" s="283">
        <f t="shared" si="1"/>
        <v>0</v>
      </c>
    </row>
    <row r="68" spans="1:28" ht="123" customHeight="1" x14ac:dyDescent="0.3">
      <c r="A68" s="297">
        <f>'Unit Data from Audit Worksheet'!A78</f>
        <v>507</v>
      </c>
      <c r="B68" s="109" t="str">
        <f>'Unit Data from Audit Worksheet'!C78</f>
        <v>General Fund-Rev, Exp. Change in Fund Balance</v>
      </c>
      <c r="C68" s="203"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6">
        <f t="shared" si="7"/>
        <v>0</v>
      </c>
      <c r="N68" s="294"/>
      <c r="O68" s="293"/>
      <c r="P68" s="192"/>
      <c r="R68" s="383"/>
      <c r="S68" s="383"/>
      <c r="T68" s="383"/>
      <c r="U68" s="383"/>
      <c r="V68" s="383"/>
      <c r="W68" s="306"/>
      <c r="X68" s="548">
        <v>507</v>
      </c>
      <c r="Y68" s="283">
        <v>507</v>
      </c>
      <c r="Z68" s="383"/>
      <c r="AA68" s="383">
        <f t="shared" si="0"/>
        <v>0</v>
      </c>
      <c r="AB68" s="283">
        <f t="shared" si="1"/>
        <v>0</v>
      </c>
    </row>
    <row r="69" spans="1:28" s="18" customFormat="1" ht="40.5" customHeight="1" x14ac:dyDescent="0.3">
      <c r="A69" s="187">
        <f>'Unit Data from Audit Worksheet'!A79</f>
        <v>647</v>
      </c>
      <c r="B69" s="232" t="str">
        <f>'Unit Data from Audit Worksheet'!C79</f>
        <v>Debt Service Fund</v>
      </c>
      <c r="C69" s="187" t="str">
        <f>'Unit Data from Audit Worksheet'!D79</f>
        <v>Please enter the Total Fund Balance for any Debt Service Funds from the Budgeted to Actual statement</v>
      </c>
      <c r="D69" s="108"/>
      <c r="E69" s="231">
        <f>'Unit Data from Audit Worksheet'!F79</f>
        <v>0</v>
      </c>
      <c r="F69" s="216"/>
      <c r="G69" s="212"/>
      <c r="H69" s="216"/>
      <c r="I69" s="298"/>
      <c r="J69" s="215">
        <v>647</v>
      </c>
      <c r="K69" s="190" t="s">
        <v>792</v>
      </c>
      <c r="L69" s="299">
        <f>IF(D69="",E69,D69)</f>
        <v>0</v>
      </c>
      <c r="M69"/>
      <c r="N69" s="289"/>
      <c r="O69" s="305"/>
      <c r="P69" s="192"/>
      <c r="Q69" s="276"/>
      <c r="R69" s="3"/>
      <c r="S69" s="3"/>
      <c r="T69" s="3"/>
      <c r="U69" s="3"/>
      <c r="V69" s="3"/>
      <c r="W69" s="3"/>
      <c r="X69" s="548">
        <v>647</v>
      </c>
      <c r="Y69" s="283">
        <v>647</v>
      </c>
      <c r="Z69" s="3"/>
      <c r="AA69" s="383">
        <f t="shared" si="0"/>
        <v>0</v>
      </c>
      <c r="AB69" s="283">
        <f t="shared" si="1"/>
        <v>0</v>
      </c>
    </row>
    <row r="70" spans="1:28" ht="60" customHeight="1" x14ac:dyDescent="0.3">
      <c r="A70" s="284">
        <f>'Unit Data from Audit Worksheet'!A81</f>
        <v>171</v>
      </c>
      <c r="B70" s="48" t="str">
        <f>'Unit Data from Audit Worksheet'!C81</f>
        <v>Fund Statements - all Governmental Funds</v>
      </c>
      <c r="C70" s="285" t="str">
        <f>'Unit Data from Audit Worksheet'!D81</f>
        <v>Debt service expenditures from all governmental funds.  Include principal, interest paid, and debt issuance costs on long-term debt.</v>
      </c>
      <c r="D70" s="227"/>
      <c r="E70" s="142">
        <f>'Unit Data from Audit Worksheet'!F81</f>
        <v>0</v>
      </c>
      <c r="F70" s="41">
        <f>IF(L70&lt;0,"Error: Enter as a positive.",)</f>
        <v>0</v>
      </c>
      <c r="G70" s="65"/>
      <c r="H70" s="220"/>
      <c r="I70" s="32"/>
      <c r="J70" s="36">
        <v>171</v>
      </c>
      <c r="K70" s="45" t="s">
        <v>208</v>
      </c>
      <c r="L70" s="286">
        <f t="shared" si="7"/>
        <v>0</v>
      </c>
      <c r="P70" s="192"/>
      <c r="X70" s="548">
        <v>171</v>
      </c>
      <c r="Y70" s="283">
        <v>171</v>
      </c>
      <c r="AA70" s="383">
        <f t="shared" si="0"/>
        <v>0</v>
      </c>
      <c r="AB70" s="283">
        <f t="shared" si="1"/>
        <v>0</v>
      </c>
    </row>
    <row r="71" spans="1:28" ht="69" customHeight="1" x14ac:dyDescent="0.3">
      <c r="A71" s="209">
        <f>'Unit Data from Audit Worksheet'!A85</f>
        <v>596</v>
      </c>
      <c r="B71" s="222"/>
      <c r="C71" s="208" t="str">
        <f>'Unit Data from Audit Worksheet'!D85</f>
        <v>Indicate if your water/sewer system:
50 - Became Operational
51 - Ceased Operations
52 - No Change
Select from drop down.</v>
      </c>
      <c r="D71" s="134"/>
      <c r="E71" s="228">
        <f>'Unit Data from Audit Worksheet'!F85</f>
        <v>0</v>
      </c>
      <c r="F71" s="221"/>
      <c r="G71" s="221" t="str">
        <f>'Unit Data from Audit Worksheet'!G85</f>
        <v>Please do not answer this question unless the unit has a  water and/or sewer fund</v>
      </c>
      <c r="H71" s="220"/>
      <c r="I71" s="32"/>
      <c r="J71" s="219">
        <v>596</v>
      </c>
      <c r="K71" s="218" t="s">
        <v>333</v>
      </c>
      <c r="L71" s="286">
        <f t="shared" si="7"/>
        <v>0</v>
      </c>
      <c r="P71" s="193"/>
      <c r="X71" s="548">
        <v>596</v>
      </c>
      <c r="Y71" s="283">
        <v>596</v>
      </c>
      <c r="AA71" s="383">
        <f t="shared" si="0"/>
        <v>0</v>
      </c>
      <c r="AB71" s="283">
        <f t="shared" si="1"/>
        <v>0</v>
      </c>
    </row>
    <row r="72" spans="1:28" ht="82.2" customHeight="1" x14ac:dyDescent="0.3">
      <c r="A72" s="209">
        <f>'Unit Data from Audit Worksheet'!A86</f>
        <v>80</v>
      </c>
      <c r="B72" s="222" t="str">
        <f>'Unit Data from Audit Worksheet'!C86</f>
        <v>Water Sewer Net Position Statement</v>
      </c>
      <c r="C72" s="208" t="str">
        <f>'Unit Data from Audit Worksheet'!D86</f>
        <v>Unrestricted Cash and investments 
Exclude restricted cash and/or restricted investments.</v>
      </c>
      <c r="D72" s="134"/>
      <c r="E72" s="228">
        <f>'Unit Data from Audit Worksheet'!F86</f>
        <v>0</v>
      </c>
      <c r="F72" s="221">
        <f>IF(L72&lt;0,"Error: Number is normally positive.",)</f>
        <v>0</v>
      </c>
      <c r="G72" s="221" t="e">
        <f>'Unit Data from Audit Worksheet'!G86</f>
        <v>#N/A</v>
      </c>
      <c r="H72" s="220"/>
      <c r="I72" s="32"/>
      <c r="J72" s="219">
        <v>80</v>
      </c>
      <c r="K72" s="218" t="s">
        <v>209</v>
      </c>
      <c r="L72" s="286">
        <f t="shared" si="7"/>
        <v>0</v>
      </c>
      <c r="P72" s="193"/>
      <c r="X72" s="548">
        <v>80</v>
      </c>
      <c r="Y72" s="283">
        <v>80</v>
      </c>
      <c r="AA72" s="383">
        <f t="shared" ref="AA72:AA137" si="9">A72-J72</f>
        <v>0</v>
      </c>
      <c r="AB72" s="283">
        <f t="shared" ref="AB72:AB137" si="10">E72-L72</f>
        <v>0</v>
      </c>
    </row>
    <row r="73" spans="1:28" ht="43.2" x14ac:dyDescent="0.3">
      <c r="A73" s="209">
        <f>'Unit Data from Audit Worksheet'!A87</f>
        <v>81</v>
      </c>
      <c r="B73" s="222" t="str">
        <f>'Unit Data from Audit Worksheet'!C87</f>
        <v>Water Sewer Net Position Statement</v>
      </c>
      <c r="C73" s="208" t="str">
        <f>'Unit Data from Audit Worksheet'!D87</f>
        <v>Customer accounts receivable (net of allowance accounts). 
Include both billed and unbilled amounts.</v>
      </c>
      <c r="D73" s="134"/>
      <c r="E73" s="228">
        <f>'Unit Data from Audit Worksheet'!F87</f>
        <v>0</v>
      </c>
      <c r="F73" s="221">
        <f>IF(L73&lt;0,"Error: Number is normally positive.",)</f>
        <v>0</v>
      </c>
      <c r="G73" s="223"/>
      <c r="H73" s="220"/>
      <c r="I73" s="32"/>
      <c r="J73" s="219">
        <v>81</v>
      </c>
      <c r="K73" s="218" t="s">
        <v>210</v>
      </c>
      <c r="L73" s="286">
        <f t="shared" si="7"/>
        <v>0</v>
      </c>
      <c r="P73" s="193"/>
      <c r="X73" s="548">
        <v>81</v>
      </c>
      <c r="Y73" s="283">
        <v>81</v>
      </c>
      <c r="AA73" s="383">
        <f t="shared" si="9"/>
        <v>0</v>
      </c>
      <c r="AB73" s="283">
        <f t="shared" si="10"/>
        <v>0</v>
      </c>
    </row>
    <row r="74" spans="1:28" ht="68.25" customHeight="1" x14ac:dyDescent="0.3">
      <c r="A74" s="209">
        <f>'Unit Data from Audit Worksheet'!A88</f>
        <v>579</v>
      </c>
      <c r="B74" s="222" t="str">
        <f>'Unit Data from Audit Worksheet'!C88</f>
        <v>Water Sewer Net Position Statement</v>
      </c>
      <c r="C74" s="208" t="str">
        <f>'Unit Data from Audit Worksheet'!D88</f>
        <v>Water Sewer - Advance To:
Interfund loan receivable-portion of repayment plan longer than 12 months</v>
      </c>
      <c r="D74" s="134"/>
      <c r="E74" s="228">
        <f>'Unit Data from Audit Worksheet'!F88</f>
        <v>0</v>
      </c>
      <c r="F74" s="221"/>
      <c r="G74" s="223"/>
      <c r="H74" s="220"/>
      <c r="I74" s="32"/>
      <c r="J74" s="219">
        <v>579</v>
      </c>
      <c r="K74" s="218" t="s">
        <v>314</v>
      </c>
      <c r="L74" s="286">
        <f t="shared" si="7"/>
        <v>0</v>
      </c>
      <c r="N74" s="308"/>
      <c r="P74" s="193"/>
      <c r="X74" s="548">
        <v>579</v>
      </c>
      <c r="Y74" s="283">
        <v>579</v>
      </c>
      <c r="AA74" s="383">
        <f t="shared" si="9"/>
        <v>0</v>
      </c>
      <c r="AB74" s="283">
        <f t="shared" si="10"/>
        <v>0</v>
      </c>
    </row>
    <row r="75" spans="1:28" ht="47.25" customHeight="1" x14ac:dyDescent="0.3">
      <c r="A75" s="209">
        <f>'Unit Data from Audit Worksheet'!A89</f>
        <v>510</v>
      </c>
      <c r="B75" s="222" t="str">
        <f>'Unit Data from Audit Worksheet'!C89</f>
        <v>Water Sewer Net Position Statement</v>
      </c>
      <c r="C75" s="208" t="str">
        <f>'Unit Data from Audit Worksheet'!D89</f>
        <v>Amount of Inventories and Prepaid expenses in current assets</v>
      </c>
      <c r="D75" s="134"/>
      <c r="E75" s="228">
        <f>'Unit Data from Audit Worksheet'!F89</f>
        <v>0</v>
      </c>
      <c r="F75" s="221"/>
      <c r="G75" s="223"/>
      <c r="H75" s="220"/>
      <c r="I75" s="32"/>
      <c r="J75" s="219">
        <v>510</v>
      </c>
      <c r="K75" s="218" t="s">
        <v>211</v>
      </c>
      <c r="L75" s="286">
        <f t="shared" si="7"/>
        <v>0</v>
      </c>
      <c r="P75" s="193"/>
      <c r="X75" s="548">
        <v>510</v>
      </c>
      <c r="Y75" s="283">
        <v>510</v>
      </c>
      <c r="AA75" s="383">
        <f t="shared" si="9"/>
        <v>0</v>
      </c>
      <c r="AB75" s="283">
        <f t="shared" si="10"/>
        <v>0</v>
      </c>
    </row>
    <row r="76" spans="1:28" ht="43.2" x14ac:dyDescent="0.3">
      <c r="A76" s="209">
        <f>'Unit Data from Audit Worksheet'!A90</f>
        <v>654</v>
      </c>
      <c r="B76" s="222" t="str">
        <f>'Unit Data from Audit Worksheet'!C90</f>
        <v>Water Sewer Net Position Statement</v>
      </c>
      <c r="C76" s="208" t="str">
        <f>'Unit Data from Audit Worksheet'!D90</f>
        <v xml:space="preserve">Total Current assets as listed on the WS Net Position Statement.  
</v>
      </c>
      <c r="D76" s="134"/>
      <c r="E76" s="228">
        <f>'Unit Data from Audit Worksheet'!F90</f>
        <v>0</v>
      </c>
      <c r="F76" s="221">
        <f>IF((+L72+L73+L75)&gt;L76,"Please review components of current assets above Acct. (80+81+510&gt;654",)</f>
        <v>0</v>
      </c>
      <c r="G76" s="223"/>
      <c r="H76" s="220"/>
      <c r="I76" s="32"/>
      <c r="J76" s="219">
        <v>654</v>
      </c>
      <c r="K76" s="225" t="s">
        <v>413</v>
      </c>
      <c r="L76" s="286">
        <f t="shared" si="7"/>
        <v>0</v>
      </c>
      <c r="P76" s="193"/>
      <c r="X76" s="548">
        <v>654</v>
      </c>
      <c r="Y76" s="283">
        <v>654</v>
      </c>
      <c r="AA76" s="383">
        <f t="shared" si="9"/>
        <v>0</v>
      </c>
      <c r="AB76" s="283">
        <f t="shared" si="10"/>
        <v>0</v>
      </c>
    </row>
    <row r="77" spans="1:28" ht="43.2" x14ac:dyDescent="0.3">
      <c r="A77" s="209">
        <f>'Unit Data from Audit Worksheet'!A91</f>
        <v>655</v>
      </c>
      <c r="B77" s="222" t="str">
        <f>'Unit Data from Audit Worksheet'!C91</f>
        <v>Water Sewer Net Position Statement</v>
      </c>
      <c r="C77" s="208" t="str">
        <f>'Unit Data from Audit Worksheet'!D91</f>
        <v>WS-Any current assets that are restricted (Cash, Accounts Rec., etc..) and included in account 654 above</v>
      </c>
      <c r="D77" s="134"/>
      <c r="E77" s="228">
        <f>'Unit Data from Audit Worksheet'!F91</f>
        <v>0</v>
      </c>
      <c r="F77" s="221"/>
      <c r="G77" s="223"/>
      <c r="H77" s="220"/>
      <c r="I77" s="32"/>
      <c r="J77" s="219">
        <v>655</v>
      </c>
      <c r="K77" s="225" t="s">
        <v>445</v>
      </c>
      <c r="L77" s="286">
        <f t="shared" si="7"/>
        <v>0</v>
      </c>
      <c r="P77" s="193"/>
      <c r="X77" s="548">
        <v>655</v>
      </c>
      <c r="Y77" s="283">
        <v>655</v>
      </c>
      <c r="AA77" s="383">
        <f t="shared" si="9"/>
        <v>0</v>
      </c>
      <c r="AB77" s="283">
        <f t="shared" si="10"/>
        <v>0</v>
      </c>
    </row>
    <row r="78" spans="1:28" ht="42.75" customHeight="1" x14ac:dyDescent="0.3">
      <c r="A78" s="209">
        <f>'Unit Data from Audit Worksheet'!A92</f>
        <v>381</v>
      </c>
      <c r="B78" s="222" t="str">
        <f>'Unit Data from Audit Worksheet'!C92</f>
        <v>Water Sewer Net Position Statement</v>
      </c>
      <c r="C78" s="208" t="str">
        <f>'Unit Data from Audit Worksheet'!D92</f>
        <v>Total Assets and deferred outflows</v>
      </c>
      <c r="D78" s="134"/>
      <c r="E78" s="228">
        <f>'Unit Data from Audit Worksheet'!F92</f>
        <v>0</v>
      </c>
      <c r="F78" s="221" t="str">
        <f>IF(L78&lt;L76,"Please review components of current assets above acct. 381&lt;654"," ")</f>
        <v xml:space="preserve"> </v>
      </c>
      <c r="G78" s="223"/>
      <c r="H78" s="220"/>
      <c r="I78" s="32"/>
      <c r="J78" s="219">
        <v>381</v>
      </c>
      <c r="K78" s="218" t="s">
        <v>105</v>
      </c>
      <c r="L78" s="286">
        <f t="shared" si="7"/>
        <v>0</v>
      </c>
      <c r="P78" s="193"/>
      <c r="X78" s="548">
        <v>381</v>
      </c>
      <c r="Y78" s="283">
        <v>381</v>
      </c>
      <c r="AA78" s="383">
        <f t="shared" si="9"/>
        <v>0</v>
      </c>
      <c r="AB78" s="283">
        <f t="shared" si="10"/>
        <v>0</v>
      </c>
    </row>
    <row r="79" spans="1:28" ht="60.75" customHeight="1" x14ac:dyDescent="0.3">
      <c r="A79" s="297">
        <f>'Unit Data from Audit Worksheet'!A93</f>
        <v>578</v>
      </c>
      <c r="B79" s="109" t="str">
        <f>'Unit Data from Audit Worksheet'!C93</f>
        <v>Water Sewer Net Position Statement</v>
      </c>
      <c r="C79" s="288"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315</v>
      </c>
      <c r="L79" s="286">
        <f t="shared" si="7"/>
        <v>0</v>
      </c>
      <c r="P79" s="193"/>
      <c r="X79" s="548">
        <v>578</v>
      </c>
      <c r="Y79" s="283">
        <v>578</v>
      </c>
      <c r="AA79" s="383">
        <f t="shared" si="9"/>
        <v>0</v>
      </c>
      <c r="AB79" s="283">
        <f t="shared" si="10"/>
        <v>0</v>
      </c>
    </row>
    <row r="80" spans="1:28" s="18" customFormat="1" ht="169.95" customHeight="1" x14ac:dyDescent="0.3">
      <c r="A80" s="187">
        <v>633</v>
      </c>
      <c r="B80" s="232" t="str">
        <f>'Unit Data from Audit Worksheet'!C94</f>
        <v>Water Sewer Net Position Statement</v>
      </c>
      <c r="C80" s="187"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57">
        <f>'Unit Data from Audit Worksheet'!F94</f>
        <v>0</v>
      </c>
      <c r="F80"/>
      <c r="G80"/>
      <c r="H80"/>
      <c r="I80" s="654"/>
      <c r="J80" s="215">
        <v>633</v>
      </c>
      <c r="K80" s="190" t="s">
        <v>371</v>
      </c>
      <c r="L80" s="299">
        <f>IF(D80="",E80,D80)</f>
        <v>0</v>
      </c>
      <c r="M80"/>
      <c r="N80" s="289"/>
      <c r="O80" s="289"/>
      <c r="P80" s="193"/>
      <c r="Q80" s="276"/>
      <c r="R80" s="3"/>
      <c r="X80" s="548">
        <v>633</v>
      </c>
      <c r="Y80" s="283">
        <v>633</v>
      </c>
      <c r="AA80" s="383">
        <f t="shared" si="9"/>
        <v>0</v>
      </c>
      <c r="AB80" s="283">
        <f t="shared" si="10"/>
        <v>0</v>
      </c>
    </row>
    <row r="81" spans="1:28" s="18" customFormat="1" ht="130.5" customHeight="1" x14ac:dyDescent="0.3">
      <c r="A81" s="187">
        <v>634</v>
      </c>
      <c r="B81" s="232" t="str">
        <f>'Unit Data from Audit Worksheet'!C95</f>
        <v>Water Sewer Net Position Statement</v>
      </c>
      <c r="C81" s="187"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1">
        <f>'Unit Data from Audit Worksheet'!F95</f>
        <v>0</v>
      </c>
      <c r="F81" s="656"/>
      <c r="G81" s="655"/>
      <c r="H81" s="656"/>
      <c r="I81" s="298"/>
      <c r="J81" s="215">
        <v>634</v>
      </c>
      <c r="K81" s="190" t="s">
        <v>372</v>
      </c>
      <c r="L81" s="299">
        <f>IF(D81="",E81,D81)</f>
        <v>0</v>
      </c>
      <c r="M81"/>
      <c r="N81" s="289"/>
      <c r="O81" s="289"/>
      <c r="P81" s="193"/>
      <c r="Q81" s="276"/>
      <c r="R81" s="3"/>
      <c r="X81" s="548">
        <v>634</v>
      </c>
      <c r="Y81" s="283">
        <v>634</v>
      </c>
      <c r="AA81" s="383">
        <f t="shared" si="9"/>
        <v>0</v>
      </c>
      <c r="AB81" s="283">
        <f t="shared" si="10"/>
        <v>0</v>
      </c>
    </row>
    <row r="82" spans="1:28" s="18" customFormat="1" ht="105.75" customHeight="1" x14ac:dyDescent="0.3">
      <c r="A82" s="187">
        <v>635</v>
      </c>
      <c r="B82" s="232" t="str">
        <f>'Unit Data from Audit Worksheet'!C96</f>
        <v>Water Sewer Net Position Statement</v>
      </c>
      <c r="C82" s="187"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1">
        <f>'Unit Data from Audit Worksheet'!F96</f>
        <v>0</v>
      </c>
      <c r="F82" s="216"/>
      <c r="G82" s="204"/>
      <c r="H82" s="216"/>
      <c r="I82" s="298"/>
      <c r="J82" s="215">
        <v>635</v>
      </c>
      <c r="K82" s="190" t="s">
        <v>373</v>
      </c>
      <c r="L82" s="299">
        <f>IF(D82="",E82,D82)</f>
        <v>0</v>
      </c>
      <c r="M82"/>
      <c r="N82" s="289"/>
      <c r="O82" s="289"/>
      <c r="P82" s="193"/>
      <c r="Q82" s="276"/>
      <c r="R82" s="3"/>
      <c r="X82" s="548">
        <v>635</v>
      </c>
      <c r="Y82" s="283">
        <v>635</v>
      </c>
      <c r="AA82" s="383">
        <f t="shared" si="9"/>
        <v>0</v>
      </c>
      <c r="AB82" s="283">
        <f t="shared" si="10"/>
        <v>0</v>
      </c>
    </row>
    <row r="83" spans="1:28" s="18" customFormat="1" ht="105.75" customHeight="1" x14ac:dyDescent="0.3">
      <c r="A83" s="187">
        <v>636</v>
      </c>
      <c r="B83" s="232" t="str">
        <f>'Unit Data from Audit Worksheet'!C97</f>
        <v>Water Sewer Net Position Statement</v>
      </c>
      <c r="C83" s="187"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1">
        <f>'Unit Data from Audit Worksheet'!F97</f>
        <v>0</v>
      </c>
      <c r="F83" s="216"/>
      <c r="G83" s="204"/>
      <c r="H83" s="216"/>
      <c r="I83" s="298"/>
      <c r="J83" s="215">
        <v>636</v>
      </c>
      <c r="K83" s="190" t="s">
        <v>368</v>
      </c>
      <c r="L83" s="299">
        <f t="shared" ref="L83:L93" si="11">IF(D83="",E83,D83)</f>
        <v>0</v>
      </c>
      <c r="M83"/>
      <c r="N83" s="289"/>
      <c r="O83" s="289"/>
      <c r="P83" s="193"/>
      <c r="Q83" s="276"/>
      <c r="R83" s="3"/>
      <c r="X83" s="548">
        <v>636</v>
      </c>
      <c r="Y83" s="283">
        <v>636</v>
      </c>
      <c r="AA83" s="383">
        <f t="shared" si="9"/>
        <v>0</v>
      </c>
      <c r="AB83" s="283">
        <f t="shared" si="10"/>
        <v>0</v>
      </c>
    </row>
    <row r="84" spans="1:28" s="18" customFormat="1" ht="59.25" customHeight="1" x14ac:dyDescent="0.3">
      <c r="A84" s="187">
        <v>637</v>
      </c>
      <c r="B84" s="232" t="str">
        <f>'Unit Data from Audit Worksheet'!C98</f>
        <v>Water Sewer Net Position Statement</v>
      </c>
      <c r="C84" s="187" t="str">
        <f>'Unit Data from Audit Worksheet'!D98</f>
        <v>Please enter any current liabilities that are payable from restricted assets and included in account 633 above.
Enter as positive</v>
      </c>
      <c r="D84" s="102"/>
      <c r="E84" s="231">
        <f>'Unit Data from Audit Worksheet'!F98</f>
        <v>0</v>
      </c>
      <c r="F84" s="216"/>
      <c r="G84" s="204"/>
      <c r="H84" s="216"/>
      <c r="I84" s="298"/>
      <c r="J84" s="215">
        <v>637</v>
      </c>
      <c r="K84" s="190" t="s">
        <v>369</v>
      </c>
      <c r="L84" s="299">
        <f t="shared" si="11"/>
        <v>0</v>
      </c>
      <c r="M84"/>
      <c r="N84" s="289"/>
      <c r="O84" s="289"/>
      <c r="P84" s="196"/>
      <c r="Q84" s="276"/>
      <c r="R84" s="3"/>
      <c r="X84" s="548">
        <v>637</v>
      </c>
      <c r="Y84" s="283">
        <v>637</v>
      </c>
      <c r="AA84" s="383">
        <f t="shared" si="9"/>
        <v>0</v>
      </c>
      <c r="AB84" s="283">
        <f t="shared" si="10"/>
        <v>0</v>
      </c>
    </row>
    <row r="85" spans="1:28" s="18" customFormat="1" ht="115.95" customHeight="1" x14ac:dyDescent="0.3">
      <c r="A85" s="187">
        <v>638</v>
      </c>
      <c r="B85" s="232" t="str">
        <f>'Unit Data from Audit Worksheet'!C99</f>
        <v>Water Sewer Net Position Statement</v>
      </c>
      <c r="C85" s="187"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1">
        <f>'Unit Data from Audit Worksheet'!F99</f>
        <v>0</v>
      </c>
      <c r="F85" s="216"/>
      <c r="G85" s="204"/>
      <c r="H85" s="216"/>
      <c r="I85" s="298"/>
      <c r="J85" s="215">
        <v>638</v>
      </c>
      <c r="K85" s="190" t="s">
        <v>374</v>
      </c>
      <c r="L85" s="299">
        <f t="shared" si="11"/>
        <v>0</v>
      </c>
      <c r="M85"/>
      <c r="N85" s="289"/>
      <c r="O85" s="289"/>
      <c r="P85" s="193"/>
      <c r="Q85" s="276"/>
      <c r="R85" s="3"/>
      <c r="X85" s="548">
        <v>638</v>
      </c>
      <c r="Y85" s="283">
        <v>638</v>
      </c>
      <c r="AA85" s="383">
        <f t="shared" si="9"/>
        <v>0</v>
      </c>
      <c r="AB85" s="283">
        <f t="shared" si="10"/>
        <v>0</v>
      </c>
    </row>
    <row r="86" spans="1:28" ht="76.5" customHeight="1" x14ac:dyDescent="0.3">
      <c r="A86" s="284">
        <f>'Unit Data from Audit Worksheet'!A100</f>
        <v>383</v>
      </c>
      <c r="B86" s="48" t="str">
        <f>'Unit Data from Audit Worksheet'!C100</f>
        <v>Water Sewer Net Position Statement</v>
      </c>
      <c r="C86" s="285"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0"/>
      <c r="I86" s="32"/>
      <c r="J86" s="36">
        <v>383</v>
      </c>
      <c r="K86" s="45" t="s">
        <v>212</v>
      </c>
      <c r="L86" s="286">
        <f t="shared" si="11"/>
        <v>0</v>
      </c>
      <c r="P86" s="193"/>
      <c r="X86" s="548">
        <v>383</v>
      </c>
      <c r="Y86" s="283">
        <v>383</v>
      </c>
      <c r="AA86" s="383">
        <f t="shared" si="9"/>
        <v>0</v>
      </c>
      <c r="AB86" s="283">
        <f t="shared" si="10"/>
        <v>0</v>
      </c>
    </row>
    <row r="87" spans="1:28" ht="54" customHeight="1" x14ac:dyDescent="0.3">
      <c r="A87" s="209">
        <f>'Unit Data from Audit Worksheet'!A101</f>
        <v>349</v>
      </c>
      <c r="B87" s="222" t="str">
        <f>'Unit Data from Audit Worksheet'!C101</f>
        <v>Water Sewer Net Position Statement</v>
      </c>
      <c r="C87" s="208" t="str">
        <f>'Unit Data from Audit Worksheet'!D101</f>
        <v>Total Liabilities and deferred inflows</v>
      </c>
      <c r="D87" s="134"/>
      <c r="E87" s="228">
        <f>'Unit Data from Audit Worksheet'!F101</f>
        <v>0</v>
      </c>
      <c r="F87" s="221">
        <f>IF(L80&gt;L87,"Error: Please review accts 633&gt;349",)</f>
        <v>0</v>
      </c>
      <c r="G87" s="223"/>
      <c r="H87" s="220"/>
      <c r="I87" s="32"/>
      <c r="J87" s="219">
        <v>349</v>
      </c>
      <c r="K87" s="218" t="s">
        <v>114</v>
      </c>
      <c r="L87" s="286">
        <f t="shared" si="11"/>
        <v>0</v>
      </c>
      <c r="P87" s="193"/>
      <c r="X87" s="548">
        <v>349</v>
      </c>
      <c r="Y87" s="283">
        <v>349</v>
      </c>
      <c r="AA87" s="383">
        <f t="shared" si="9"/>
        <v>0</v>
      </c>
      <c r="AB87" s="283">
        <f t="shared" si="10"/>
        <v>0</v>
      </c>
    </row>
    <row r="88" spans="1:28" ht="56.25" customHeight="1" x14ac:dyDescent="0.3">
      <c r="A88" s="209">
        <f>'Unit Data from Audit Worksheet'!A102</f>
        <v>375</v>
      </c>
      <c r="B88" s="222" t="str">
        <f>'Unit Data from Audit Worksheet'!C102</f>
        <v>Water Sewer Net Position Statement</v>
      </c>
      <c r="C88" s="208" t="str">
        <f>'Unit Data from Audit Worksheet'!D102</f>
        <v>Total Net position, Unrestricted - enter negative unrestricted net position as a negative</v>
      </c>
      <c r="D88" s="134"/>
      <c r="E88" s="228">
        <f>'Unit Data from Audit Worksheet'!F102</f>
        <v>0</v>
      </c>
      <c r="F88" s="221"/>
      <c r="G88" s="223"/>
      <c r="H88" s="220"/>
      <c r="I88" s="32"/>
      <c r="J88" s="219">
        <v>375</v>
      </c>
      <c r="K88" s="218" t="s">
        <v>213</v>
      </c>
      <c r="L88" s="286">
        <f t="shared" si="11"/>
        <v>0</v>
      </c>
      <c r="P88" s="193"/>
      <c r="X88" s="548">
        <v>375</v>
      </c>
      <c r="Y88" s="283">
        <v>375</v>
      </c>
      <c r="AA88" s="383">
        <f t="shared" si="9"/>
        <v>0</v>
      </c>
      <c r="AB88" s="283">
        <f t="shared" si="10"/>
        <v>0</v>
      </c>
    </row>
    <row r="89" spans="1:28" ht="56.25" customHeight="1" x14ac:dyDescent="0.3">
      <c r="A89" s="209">
        <f>'Unit Data from Audit Worksheet'!A103</f>
        <v>83</v>
      </c>
      <c r="B89" s="222" t="str">
        <f>'Unit Data from Audit Worksheet'!C103</f>
        <v>Water Sewer Net Position Statement</v>
      </c>
      <c r="C89" s="208" t="str">
        <f>'Unit Data from Audit Worksheet'!D103</f>
        <v>Total Net position</v>
      </c>
      <c r="D89" s="134"/>
      <c r="E89" s="228">
        <f>'Unit Data from Audit Worksheet'!F103</f>
        <v>0</v>
      </c>
      <c r="F89" s="221">
        <f>IF(+L78-L87-L89=0,,"Error: Total assets less total liabilities do not equal net position acct 381-349-83=0")</f>
        <v>0</v>
      </c>
      <c r="G89" s="84">
        <f>L78-L87-L89</f>
        <v>0</v>
      </c>
      <c r="H89" s="220"/>
      <c r="I89" s="32"/>
      <c r="J89" s="219">
        <v>83</v>
      </c>
      <c r="K89" s="218" t="s">
        <v>94</v>
      </c>
      <c r="L89" s="286">
        <f t="shared" si="11"/>
        <v>0</v>
      </c>
      <c r="O89" s="293" t="e">
        <f>'Unit Data from Audit Worksheet'!E103</f>
        <v>#N/A</v>
      </c>
      <c r="P89" s="193"/>
      <c r="Q89" s="224"/>
      <c r="X89" s="548">
        <v>83</v>
      </c>
      <c r="Y89" s="283">
        <v>83</v>
      </c>
      <c r="AA89" s="383">
        <f t="shared" si="9"/>
        <v>0</v>
      </c>
      <c r="AB89" s="283">
        <f t="shared" si="10"/>
        <v>0</v>
      </c>
    </row>
    <row r="90" spans="1:28" ht="56.25" customHeight="1" x14ac:dyDescent="0.3">
      <c r="A90" s="209">
        <f>'Unit Data from Audit Worksheet'!A105</f>
        <v>90</v>
      </c>
      <c r="B90" s="222" t="str">
        <f>'Unit Data from Audit Worksheet'!C105</f>
        <v>Electric Fund Net Position Statement</v>
      </c>
      <c r="C90" s="208" t="str">
        <f>'Unit Data from Audit Worksheet'!D105</f>
        <v>All Unrestricted Cash and Investments.  
Exclude any restricted cash and investments.</v>
      </c>
      <c r="D90" s="134"/>
      <c r="E90" s="228">
        <f>'Unit Data from Audit Worksheet'!F105</f>
        <v>0</v>
      </c>
      <c r="F90" s="221">
        <f>IF(L90&lt;0,"Error: Number is normally positive.",)</f>
        <v>0</v>
      </c>
      <c r="G90" s="223"/>
      <c r="H90" s="220"/>
      <c r="I90" s="32"/>
      <c r="J90" s="219">
        <v>90</v>
      </c>
      <c r="K90" s="218" t="s">
        <v>214</v>
      </c>
      <c r="L90" s="286">
        <f t="shared" si="11"/>
        <v>0</v>
      </c>
      <c r="P90" s="193"/>
      <c r="X90" s="548">
        <v>90</v>
      </c>
      <c r="Y90" s="283">
        <v>90</v>
      </c>
      <c r="AA90" s="383">
        <f t="shared" si="9"/>
        <v>0</v>
      </c>
      <c r="AB90" s="283">
        <f t="shared" si="10"/>
        <v>0</v>
      </c>
    </row>
    <row r="91" spans="1:28" ht="56.25" customHeight="1" x14ac:dyDescent="0.3">
      <c r="A91" s="209">
        <f>'Unit Data from Audit Worksheet'!A106</f>
        <v>91</v>
      </c>
      <c r="B91" s="222" t="str">
        <f>'Unit Data from Audit Worksheet'!C106</f>
        <v>Electric Fund Net Position Statement</v>
      </c>
      <c r="C91" s="208" t="str">
        <f>'Unit Data from Audit Worksheet'!D106</f>
        <v xml:space="preserve">Customer accounts receivable (net of allowance accounts)
Include billed and unbilled amounts </v>
      </c>
      <c r="D91" s="134"/>
      <c r="E91" s="228">
        <f>'Unit Data from Audit Worksheet'!F106</f>
        <v>0</v>
      </c>
      <c r="F91" s="221">
        <f>IF(L91&lt;0,"Error: Number is normally positive.",)</f>
        <v>0</v>
      </c>
      <c r="G91" s="223"/>
      <c r="H91" s="220"/>
      <c r="I91" s="32"/>
      <c r="J91" s="219">
        <v>91</v>
      </c>
      <c r="K91" s="218" t="s">
        <v>215</v>
      </c>
      <c r="L91" s="286">
        <f t="shared" si="11"/>
        <v>0</v>
      </c>
      <c r="P91" s="193"/>
      <c r="X91" s="548">
        <v>91</v>
      </c>
      <c r="Y91" s="283">
        <v>91</v>
      </c>
      <c r="AA91" s="383">
        <f t="shared" si="9"/>
        <v>0</v>
      </c>
      <c r="AB91" s="283">
        <f t="shared" si="10"/>
        <v>0</v>
      </c>
    </row>
    <row r="92" spans="1:28" ht="56.25" customHeight="1" x14ac:dyDescent="0.3">
      <c r="A92" s="209">
        <f>'Unit Data from Audit Worksheet'!A107</f>
        <v>581</v>
      </c>
      <c r="B92" s="222" t="str">
        <f>'Unit Data from Audit Worksheet'!C107</f>
        <v>Electric Fund Net Position Statement</v>
      </c>
      <c r="C92" s="208" t="str">
        <f>'Unit Data from Audit Worksheet'!D107</f>
        <v>Electric Fund - Advance To:
Interfund loan receivable-portion of repayment plan longer than 12 months</v>
      </c>
      <c r="D92" s="134"/>
      <c r="E92" s="228">
        <f>'Unit Data from Audit Worksheet'!F107</f>
        <v>0</v>
      </c>
      <c r="F92" s="221"/>
      <c r="G92" s="223"/>
      <c r="H92" s="220"/>
      <c r="I92" s="32"/>
      <c r="J92" s="219">
        <v>581</v>
      </c>
      <c r="K92" s="218" t="s">
        <v>316</v>
      </c>
      <c r="L92" s="286">
        <f t="shared" si="11"/>
        <v>0</v>
      </c>
      <c r="P92" s="193"/>
      <c r="X92" s="548">
        <v>581</v>
      </c>
      <c r="Y92" s="283">
        <v>581</v>
      </c>
      <c r="AA92" s="383">
        <f t="shared" si="9"/>
        <v>0</v>
      </c>
      <c r="AB92" s="283">
        <f t="shared" si="10"/>
        <v>0</v>
      </c>
    </row>
    <row r="93" spans="1:28" ht="56.25" customHeight="1" x14ac:dyDescent="0.3">
      <c r="A93" s="209">
        <f>'Unit Data from Audit Worksheet'!A108</f>
        <v>511</v>
      </c>
      <c r="B93" s="222" t="str">
        <f>'Unit Data from Audit Worksheet'!C108</f>
        <v>Electric Fund Net Position Statement</v>
      </c>
      <c r="C93" s="208" t="str">
        <f>'Unit Data from Audit Worksheet'!D108</f>
        <v>Amount of inventories and prepaids</v>
      </c>
      <c r="D93" s="134"/>
      <c r="E93" s="228">
        <f>'Unit Data from Audit Worksheet'!F108</f>
        <v>0</v>
      </c>
      <c r="F93" s="221">
        <f t="shared" ref="F93:F98" si="12">IF(L93&lt;0,"Error: Number is normally positive.",)</f>
        <v>0</v>
      </c>
      <c r="G93" s="223"/>
      <c r="H93" s="220"/>
      <c r="I93" s="32"/>
      <c r="J93" s="219">
        <v>511</v>
      </c>
      <c r="K93" s="218" t="s">
        <v>216</v>
      </c>
      <c r="L93" s="286">
        <f t="shared" si="11"/>
        <v>0</v>
      </c>
      <c r="P93" s="193"/>
      <c r="X93" s="548">
        <v>511</v>
      </c>
      <c r="Y93" s="283">
        <v>511</v>
      </c>
      <c r="AA93" s="383">
        <f t="shared" si="9"/>
        <v>0</v>
      </c>
      <c r="AB93" s="283">
        <f t="shared" si="10"/>
        <v>0</v>
      </c>
    </row>
    <row r="94" spans="1:28" ht="62.25" customHeight="1" x14ac:dyDescent="0.3">
      <c r="A94" s="209">
        <f>'Unit Data from Audit Worksheet'!A109</f>
        <v>657</v>
      </c>
      <c r="B94" s="222" t="str">
        <f>'Unit Data from Audit Worksheet'!C109</f>
        <v>Electric Fund Net Position Statement</v>
      </c>
      <c r="C94" s="208" t="str">
        <f>'Unit Data from Audit Worksheet'!D109</f>
        <v xml:space="preserve">Total Current assets as listed on the Electric Net Position Statement.  
</v>
      </c>
      <c r="D94" s="134"/>
      <c r="E94" s="228">
        <f>'Unit Data from Audit Worksheet'!F109</f>
        <v>0</v>
      </c>
      <c r="F94" s="221">
        <f t="shared" si="12"/>
        <v>0</v>
      </c>
      <c r="G94" s="223"/>
      <c r="H94" s="220"/>
      <c r="I94" s="32"/>
      <c r="J94" s="219">
        <v>657</v>
      </c>
      <c r="K94" s="218" t="s">
        <v>417</v>
      </c>
      <c r="L94" s="299">
        <f>IF(D94="",E94,D94)</f>
        <v>0</v>
      </c>
      <c r="P94" s="193"/>
      <c r="X94" s="548">
        <v>657</v>
      </c>
      <c r="Y94" s="283">
        <v>657</v>
      </c>
      <c r="AA94" s="383">
        <f t="shared" si="9"/>
        <v>0</v>
      </c>
      <c r="AB94" s="283">
        <f t="shared" si="10"/>
        <v>0</v>
      </c>
    </row>
    <row r="95" spans="1:28" ht="62.25" customHeight="1" x14ac:dyDescent="0.3">
      <c r="A95" s="209">
        <f>'Unit Data from Audit Worksheet'!A110</f>
        <v>658</v>
      </c>
      <c r="B95" s="222" t="str">
        <f>'Unit Data from Audit Worksheet'!C110</f>
        <v>Electric Fund Net Position Statement</v>
      </c>
      <c r="C95" s="208" t="str">
        <f>'Unit Data from Audit Worksheet'!D110</f>
        <v>Electric-Any current assets that are restricted (Cash, Accounts Rec., etc..) and included in account 657 above</v>
      </c>
      <c r="D95" s="134"/>
      <c r="E95" s="228">
        <f>'Unit Data from Audit Worksheet'!F110</f>
        <v>0</v>
      </c>
      <c r="F95" s="221">
        <f t="shared" si="12"/>
        <v>0</v>
      </c>
      <c r="G95" s="223"/>
      <c r="H95" s="220"/>
      <c r="I95" s="32"/>
      <c r="J95" s="219">
        <v>658</v>
      </c>
      <c r="K95" s="218" t="s">
        <v>444</v>
      </c>
      <c r="L95" s="299">
        <f>IF(D95="",E95,D95)</f>
        <v>0</v>
      </c>
      <c r="P95" s="193"/>
      <c r="X95" s="548">
        <v>658</v>
      </c>
      <c r="Y95" s="283">
        <v>658</v>
      </c>
      <c r="AA95" s="383">
        <f t="shared" si="9"/>
        <v>0</v>
      </c>
      <c r="AB95" s="283">
        <f t="shared" si="10"/>
        <v>0</v>
      </c>
    </row>
    <row r="96" spans="1:28" ht="39.75" customHeight="1" x14ac:dyDescent="0.3">
      <c r="A96" s="209">
        <f>'Unit Data from Audit Worksheet'!A111</f>
        <v>382</v>
      </c>
      <c r="B96" s="222" t="str">
        <f>'Unit Data from Audit Worksheet'!C111</f>
        <v>Electric Fund Net Position Statement</v>
      </c>
      <c r="C96" s="208" t="str">
        <f>'Unit Data from Audit Worksheet'!D111</f>
        <v>Total Assets and deferred outflows</v>
      </c>
      <c r="D96" s="134"/>
      <c r="E96" s="228">
        <f>'Unit Data from Audit Worksheet'!F111</f>
        <v>0</v>
      </c>
      <c r="F96" s="221">
        <f t="shared" si="12"/>
        <v>0</v>
      </c>
      <c r="G96" s="223"/>
      <c r="H96" s="220"/>
      <c r="I96" s="32"/>
      <c r="J96" s="219">
        <v>382</v>
      </c>
      <c r="K96" s="218" t="s">
        <v>106</v>
      </c>
      <c r="L96" s="286">
        <f>IF(D96="",E96,D96)</f>
        <v>0</v>
      </c>
      <c r="P96" s="193"/>
      <c r="X96" s="548">
        <v>382</v>
      </c>
      <c r="Y96" s="283">
        <v>382</v>
      </c>
      <c r="AA96" s="383">
        <f t="shared" si="9"/>
        <v>0</v>
      </c>
      <c r="AB96" s="283">
        <f t="shared" si="10"/>
        <v>0</v>
      </c>
    </row>
    <row r="97" spans="1:28" ht="39.75" customHeight="1" x14ac:dyDescent="0.3">
      <c r="A97" s="209">
        <f>'Unit Data from Audit Worksheet'!A112</f>
        <v>360</v>
      </c>
      <c r="B97" s="222" t="str">
        <f>'Unit Data from Audit Worksheet'!C112</f>
        <v>Electric Fund Net Position Statement</v>
      </c>
      <c r="C97" s="208" t="str">
        <f>'Unit Data from Audit Worksheet'!D112</f>
        <v>Total liabilities and total deferred inflows</v>
      </c>
      <c r="D97" s="134"/>
      <c r="E97" s="228">
        <f>'Unit Data from Audit Worksheet'!F112</f>
        <v>0</v>
      </c>
      <c r="F97" s="221">
        <f t="shared" si="12"/>
        <v>0</v>
      </c>
      <c r="G97" s="223"/>
      <c r="H97" s="220"/>
      <c r="I97" s="32"/>
      <c r="J97" s="219">
        <v>360</v>
      </c>
      <c r="K97" s="101" t="s">
        <v>117</v>
      </c>
      <c r="L97" s="286">
        <f>IF(D97="",E97,D97)</f>
        <v>0</v>
      </c>
      <c r="P97" s="193"/>
      <c r="X97" s="548">
        <v>360</v>
      </c>
      <c r="Y97" s="283">
        <v>360</v>
      </c>
      <c r="AA97" s="383">
        <f t="shared" si="9"/>
        <v>0</v>
      </c>
      <c r="AB97" s="283">
        <f t="shared" si="10"/>
        <v>0</v>
      </c>
    </row>
    <row r="98" spans="1:28" ht="58.5" customHeight="1" x14ac:dyDescent="0.3">
      <c r="A98" s="209">
        <f>'Unit Data from Audit Worksheet'!A113</f>
        <v>580</v>
      </c>
      <c r="B98" s="222" t="str">
        <f>'Unit Data from Audit Worksheet'!C113</f>
        <v>Electric Fund Net Position Statement</v>
      </c>
      <c r="C98" s="208" t="str">
        <f>'Unit Data from Audit Worksheet'!D113</f>
        <v>Electric Fund - Advance From:
Interfund loans payable-portion of repayment plan longer than 12 months</v>
      </c>
      <c r="D98" s="134"/>
      <c r="E98" s="228">
        <f>'Unit Data from Audit Worksheet'!F113</f>
        <v>0</v>
      </c>
      <c r="F98" s="103">
        <f t="shared" si="12"/>
        <v>0</v>
      </c>
      <c r="G98" s="104"/>
      <c r="H98" s="105"/>
      <c r="I98" s="32"/>
      <c r="J98" s="219">
        <v>580</v>
      </c>
      <c r="K98" s="101" t="s">
        <v>317</v>
      </c>
      <c r="L98" s="286">
        <f>IF(D98="",E98,D98)</f>
        <v>0</v>
      </c>
      <c r="N98" s="294"/>
      <c r="P98" s="197"/>
      <c r="X98" s="548">
        <v>580</v>
      </c>
      <c r="Y98" s="283">
        <v>580</v>
      </c>
      <c r="AA98" s="383">
        <f t="shared" si="9"/>
        <v>0</v>
      </c>
      <c r="AB98" s="283">
        <f t="shared" si="10"/>
        <v>0</v>
      </c>
    </row>
    <row r="99" spans="1:28" s="18" customFormat="1" ht="128.4" customHeight="1" x14ac:dyDescent="0.3">
      <c r="A99" s="209">
        <f>'Unit Data from Audit Worksheet'!A114</f>
        <v>639</v>
      </c>
      <c r="B99" s="222" t="str">
        <f>'Unit Data from Audit Worksheet'!C114</f>
        <v>Electric Fund Net Position Statement</v>
      </c>
      <c r="C99" s="208"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58">
        <f>'Unit Data from Audit Worksheet'!F114</f>
        <v>0</v>
      </c>
      <c r="F99"/>
      <c r="G99"/>
      <c r="H99"/>
      <c r="I99" s="32"/>
      <c r="J99" s="219">
        <v>639</v>
      </c>
      <c r="K99" s="218" t="s">
        <v>375</v>
      </c>
      <c r="L99" s="299">
        <f t="shared" ref="L99:L123" si="13">IF(D99="",E99,D99)</f>
        <v>0</v>
      </c>
      <c r="M99"/>
      <c r="P99" s="193"/>
      <c r="Q99" s="276"/>
      <c r="R99" s="3"/>
      <c r="S99" s="3"/>
      <c r="T99" s="3"/>
      <c r="U99" s="3"/>
      <c r="V99" s="3"/>
      <c r="W99" s="3"/>
      <c r="X99" s="548">
        <v>639</v>
      </c>
      <c r="Y99" s="283">
        <v>639</v>
      </c>
      <c r="Z99" s="3"/>
      <c r="AA99" s="383">
        <f t="shared" si="9"/>
        <v>0</v>
      </c>
      <c r="AB99" s="283">
        <f t="shared" si="10"/>
        <v>0</v>
      </c>
    </row>
    <row r="100" spans="1:28" s="18" customFormat="1" ht="132" customHeight="1" x14ac:dyDescent="0.3">
      <c r="A100" s="209">
        <f>'Unit Data from Audit Worksheet'!A115</f>
        <v>640</v>
      </c>
      <c r="B100" s="222" t="str">
        <f>'Unit Data from Audit Worksheet'!C115</f>
        <v>Electric Fund Net Position Statement</v>
      </c>
      <c r="C100" s="208"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28">
        <f>'Unit Data from Audit Worksheet'!F115</f>
        <v>0</v>
      </c>
      <c r="F100" s="41">
        <f t="shared" ref="F100:F105" si="14">IF(L100&lt;0,"Error: Number is normally positive.",)</f>
        <v>0</v>
      </c>
      <c r="G100" s="65"/>
      <c r="H100" s="220"/>
      <c r="I100" s="32"/>
      <c r="J100" s="219">
        <v>640</v>
      </c>
      <c r="K100" s="218" t="s">
        <v>376</v>
      </c>
      <c r="L100" s="299">
        <f t="shared" si="13"/>
        <v>0</v>
      </c>
      <c r="M100"/>
      <c r="P100" s="193"/>
      <c r="Q100" s="276"/>
      <c r="R100" s="3"/>
      <c r="S100" s="3"/>
      <c r="T100" s="3"/>
      <c r="U100" s="3"/>
      <c r="V100" s="3"/>
      <c r="W100" s="3"/>
      <c r="X100" s="548">
        <v>640</v>
      </c>
      <c r="Y100" s="283">
        <v>640</v>
      </c>
      <c r="Z100" s="3"/>
      <c r="AA100" s="383">
        <f t="shared" si="9"/>
        <v>0</v>
      </c>
      <c r="AB100" s="283">
        <f t="shared" si="10"/>
        <v>0</v>
      </c>
    </row>
    <row r="101" spans="1:28" s="18" customFormat="1" ht="128.4" customHeight="1" x14ac:dyDescent="0.3">
      <c r="A101" s="209">
        <f>'Unit Data from Audit Worksheet'!A116</f>
        <v>641</v>
      </c>
      <c r="B101" s="222" t="str">
        <f>'Unit Data from Audit Worksheet'!C116</f>
        <v>Electric Fund Net Position Statement</v>
      </c>
      <c r="C101" s="208"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28">
        <f>'Unit Data from Audit Worksheet'!F116</f>
        <v>0</v>
      </c>
      <c r="F101" s="221">
        <f t="shared" si="14"/>
        <v>0</v>
      </c>
      <c r="G101" s="223"/>
      <c r="H101" s="220"/>
      <c r="I101" s="32"/>
      <c r="J101" s="219">
        <v>641</v>
      </c>
      <c r="K101" s="218" t="s">
        <v>377</v>
      </c>
      <c r="L101" s="299">
        <f t="shared" si="13"/>
        <v>0</v>
      </c>
      <c r="M101"/>
      <c r="P101" s="198"/>
      <c r="Q101" s="276"/>
      <c r="R101" s="3"/>
      <c r="S101" s="3"/>
      <c r="T101" s="3"/>
      <c r="U101" s="3"/>
      <c r="V101" s="3"/>
      <c r="W101" s="3"/>
      <c r="X101" s="548">
        <v>641</v>
      </c>
      <c r="Y101" s="283">
        <v>641</v>
      </c>
      <c r="Z101" s="3"/>
      <c r="AA101" s="383">
        <f t="shared" si="9"/>
        <v>0</v>
      </c>
      <c r="AB101" s="283">
        <f t="shared" si="10"/>
        <v>0</v>
      </c>
    </row>
    <row r="102" spans="1:28" s="18" customFormat="1" ht="104.25" customHeight="1" x14ac:dyDescent="0.3">
      <c r="A102" s="209">
        <f>'Unit Data from Audit Worksheet'!A117</f>
        <v>642</v>
      </c>
      <c r="B102" s="222" t="str">
        <f>'Unit Data from Audit Worksheet'!C117</f>
        <v>Electric Fund Net Position Statement</v>
      </c>
      <c r="C102" s="208"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28">
        <f>'Unit Data from Audit Worksheet'!F117</f>
        <v>0</v>
      </c>
      <c r="F102" s="221">
        <f t="shared" si="14"/>
        <v>0</v>
      </c>
      <c r="G102" s="223"/>
      <c r="H102" s="220"/>
      <c r="I102" s="32"/>
      <c r="J102" s="219">
        <v>642</v>
      </c>
      <c r="K102" s="218" t="s">
        <v>378</v>
      </c>
      <c r="L102" s="299">
        <f t="shared" si="13"/>
        <v>0</v>
      </c>
      <c r="M102"/>
      <c r="P102" s="198"/>
      <c r="Q102" s="276"/>
      <c r="R102" s="3"/>
      <c r="S102" s="3"/>
      <c r="T102" s="3"/>
      <c r="U102" s="3"/>
      <c r="V102" s="3"/>
      <c r="W102" s="3"/>
      <c r="X102" s="548">
        <v>642</v>
      </c>
      <c r="Y102" s="283">
        <v>642</v>
      </c>
      <c r="Z102" s="3"/>
      <c r="AA102" s="383">
        <f t="shared" si="9"/>
        <v>0</v>
      </c>
      <c r="AB102" s="283">
        <f t="shared" si="10"/>
        <v>0</v>
      </c>
    </row>
    <row r="103" spans="1:28" s="18" customFormat="1" ht="97.95" customHeight="1" x14ac:dyDescent="0.3">
      <c r="A103" s="209">
        <f>'Unit Data from Audit Worksheet'!A118</f>
        <v>643</v>
      </c>
      <c r="B103" s="222" t="str">
        <f>'Unit Data from Audit Worksheet'!C118</f>
        <v>Electric Fund Net Position Statement</v>
      </c>
      <c r="C103" s="208" t="str">
        <f>'Unit Data from Audit Worksheet'!D118</f>
        <v>Please enter any current liabilities that are payable from restricted assets and included in account 639 above. 
Enter as a positive</v>
      </c>
      <c r="D103" s="134"/>
      <c r="E103" s="228">
        <f>'Unit Data from Audit Worksheet'!F118</f>
        <v>0</v>
      </c>
      <c r="F103" s="221">
        <f t="shared" si="14"/>
        <v>0</v>
      </c>
      <c r="G103" s="223"/>
      <c r="H103" s="220"/>
      <c r="I103" s="32"/>
      <c r="J103" s="219">
        <v>643</v>
      </c>
      <c r="K103" s="218" t="s">
        <v>379</v>
      </c>
      <c r="L103" s="299">
        <f t="shared" si="13"/>
        <v>0</v>
      </c>
      <c r="M103"/>
      <c r="P103" s="193"/>
      <c r="Q103" s="276"/>
      <c r="R103" s="3"/>
      <c r="S103" s="3"/>
      <c r="T103" s="3"/>
      <c r="U103" s="3"/>
      <c r="V103" s="3"/>
      <c r="W103" s="3"/>
      <c r="X103" s="548">
        <v>643</v>
      </c>
      <c r="Y103" s="283">
        <v>643</v>
      </c>
      <c r="Z103" s="3"/>
      <c r="AA103" s="383">
        <f t="shared" si="9"/>
        <v>0</v>
      </c>
      <c r="AB103" s="283">
        <f t="shared" si="10"/>
        <v>0</v>
      </c>
    </row>
    <row r="104" spans="1:28" s="18" customFormat="1" ht="102" customHeight="1" x14ac:dyDescent="0.3">
      <c r="A104" s="209">
        <f>'Unit Data from Audit Worksheet'!A119</f>
        <v>644</v>
      </c>
      <c r="B104" s="222" t="str">
        <f>'Unit Data from Audit Worksheet'!C119</f>
        <v>Electric Fund Net Position Statement</v>
      </c>
      <c r="C104" s="208"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28">
        <f>'Unit Data from Audit Worksheet'!F119</f>
        <v>0</v>
      </c>
      <c r="F104" s="221">
        <f t="shared" si="14"/>
        <v>0</v>
      </c>
      <c r="G104" s="223"/>
      <c r="H104" s="220"/>
      <c r="I104" s="32"/>
      <c r="J104" s="182">
        <v>644</v>
      </c>
      <c r="K104" s="218" t="s">
        <v>380</v>
      </c>
      <c r="L104" s="299">
        <f t="shared" si="13"/>
        <v>0</v>
      </c>
      <c r="M104"/>
      <c r="P104" s="193"/>
      <c r="Q104" s="276"/>
      <c r="R104" s="3"/>
      <c r="S104" s="3"/>
      <c r="T104" s="3"/>
      <c r="U104" s="3"/>
      <c r="V104" s="3"/>
      <c r="W104" s="3"/>
      <c r="X104" s="548">
        <v>644</v>
      </c>
      <c r="Y104" s="283">
        <v>644</v>
      </c>
      <c r="Z104" s="3"/>
      <c r="AA104" s="383">
        <f t="shared" si="9"/>
        <v>0</v>
      </c>
      <c r="AB104" s="283">
        <f t="shared" si="10"/>
        <v>0</v>
      </c>
    </row>
    <row r="105" spans="1:28" ht="96" customHeight="1" x14ac:dyDescent="0.3">
      <c r="A105" s="209">
        <f>+'Unit Data from Audit Worksheet'!A120</f>
        <v>384</v>
      </c>
      <c r="B105" s="209" t="str">
        <f>+'Unit Data from Audit Worksheet'!C120</f>
        <v>Electric Fund Net Position Statement</v>
      </c>
      <c r="C105" s="209" t="str">
        <f>+'Unit Data from Audit Worksheet'!D120</f>
        <v>Unearned revenue (arising from cash receipts) that were included in Current Liabilities in account 639 above.
Enter as a positive</v>
      </c>
      <c r="D105" s="134"/>
      <c r="E105" s="228">
        <f>+'Unit Data from Audit Worksheet'!F120</f>
        <v>0</v>
      </c>
      <c r="F105" s="221">
        <f t="shared" si="14"/>
        <v>0</v>
      </c>
      <c r="G105" s="223"/>
      <c r="H105" s="220"/>
      <c r="I105" s="32"/>
      <c r="J105" s="219">
        <v>384</v>
      </c>
      <c r="K105" s="52" t="s">
        <v>116</v>
      </c>
      <c r="L105" s="286">
        <f t="shared" si="13"/>
        <v>0</v>
      </c>
      <c r="P105" s="193"/>
      <c r="X105" s="548">
        <v>384</v>
      </c>
      <c r="Y105" s="283">
        <v>384</v>
      </c>
      <c r="AA105" s="383">
        <f t="shared" si="9"/>
        <v>0</v>
      </c>
      <c r="AB105" s="283">
        <f t="shared" si="10"/>
        <v>0</v>
      </c>
    </row>
    <row r="106" spans="1:28" ht="72" x14ac:dyDescent="0.3">
      <c r="A106" s="209">
        <f>+'Unit Data from Audit Worksheet'!A121</f>
        <v>361</v>
      </c>
      <c r="B106" s="209" t="str">
        <f>+'Unit Data from Audit Worksheet'!C121</f>
        <v>Electric Fund Net Position Statement</v>
      </c>
      <c r="C106" s="209" t="str">
        <f>+'Unit Data from Audit Worksheet'!D121</f>
        <v>Total net position, unrestricted - Amount of negative unrestricted net position should be entered as a negative amount and the amount of positive unrestricted net position should be entered as a positive amount.</v>
      </c>
      <c r="D106" s="134"/>
      <c r="E106" s="228">
        <f>+'Unit Data from Audit Worksheet'!F121</f>
        <v>0</v>
      </c>
      <c r="F106" s="221"/>
      <c r="G106" s="223"/>
      <c r="H106" s="220"/>
      <c r="I106" s="32"/>
      <c r="J106" s="219">
        <v>361</v>
      </c>
      <c r="K106" s="218" t="s">
        <v>98</v>
      </c>
      <c r="L106" s="286">
        <f t="shared" si="13"/>
        <v>0</v>
      </c>
      <c r="P106" s="193"/>
      <c r="X106" s="548">
        <v>361</v>
      </c>
      <c r="Y106" s="283">
        <v>361</v>
      </c>
      <c r="AA106" s="383">
        <f t="shared" si="9"/>
        <v>0</v>
      </c>
      <c r="AB106" s="283">
        <f t="shared" si="10"/>
        <v>0</v>
      </c>
    </row>
    <row r="107" spans="1:28" ht="46.5" customHeight="1" x14ac:dyDescent="0.3">
      <c r="A107" s="209">
        <f>'Unit Data from Audit Worksheet'!A122</f>
        <v>362</v>
      </c>
      <c r="B107" s="222" t="str">
        <f>'Unit Data from Audit Worksheet'!C122</f>
        <v>Electric Fund Net Position Statement</v>
      </c>
      <c r="C107" s="208" t="str">
        <f>'Unit Data from Audit Worksheet'!D122</f>
        <v>Total net position</v>
      </c>
      <c r="D107" s="134"/>
      <c r="E107" s="228">
        <f>'Unit Data from Audit Worksheet'!F122</f>
        <v>0</v>
      </c>
      <c r="F107" s="221">
        <f>IF(L96-L97-L107=0,,"Error: Total assets less total liabilities do not equal net position acct 382-360-362=0")</f>
        <v>0</v>
      </c>
      <c r="G107" s="84">
        <f>+L96-L97-L107</f>
        <v>0</v>
      </c>
      <c r="H107" s="220"/>
      <c r="I107" s="32"/>
      <c r="J107" s="219">
        <v>362</v>
      </c>
      <c r="K107" s="218" t="s">
        <v>99</v>
      </c>
      <c r="L107" s="286">
        <f t="shared" si="13"/>
        <v>0</v>
      </c>
      <c r="O107" s="293" t="e">
        <f>'Unit Data from Audit Worksheet'!E122</f>
        <v>#N/A</v>
      </c>
      <c r="P107" s="193"/>
      <c r="X107" s="548">
        <v>362</v>
      </c>
      <c r="Y107" s="283">
        <v>362</v>
      </c>
      <c r="AA107" s="383">
        <f t="shared" si="9"/>
        <v>0</v>
      </c>
      <c r="AB107" s="283">
        <f t="shared" si="10"/>
        <v>0</v>
      </c>
    </row>
    <row r="108" spans="1:28" ht="61.5" customHeight="1" x14ac:dyDescent="0.3">
      <c r="A108" s="209">
        <f>'Unit Data from Audit Worksheet'!A125</f>
        <v>88</v>
      </c>
      <c r="B108" s="222" t="str">
        <f>'Unit Data from Audit Worksheet'!C125</f>
        <v>Water Sewer Revenue, Expenses &amp; Changes in Fund Net Position</v>
      </c>
      <c r="C108" s="208" t="str">
        <f>'Unit Data from Audit Worksheet'!D125</f>
        <v>Charges for services. 
Exclude tap, capacity fees and other misc. income .</v>
      </c>
      <c r="D108" s="134"/>
      <c r="E108" s="228">
        <f>'Unit Data from Audit Worksheet'!F125</f>
        <v>0</v>
      </c>
      <c r="F108" s="221"/>
      <c r="G108" s="223"/>
      <c r="H108" s="220"/>
      <c r="I108" s="32"/>
      <c r="J108" s="219">
        <v>88</v>
      </c>
      <c r="K108" s="218" t="s">
        <v>217</v>
      </c>
      <c r="L108" s="286">
        <f t="shared" si="13"/>
        <v>0</v>
      </c>
      <c r="P108" s="193"/>
      <c r="X108" s="548">
        <v>88</v>
      </c>
      <c r="Y108" s="283">
        <v>88</v>
      </c>
      <c r="AA108" s="383">
        <f t="shared" si="9"/>
        <v>0</v>
      </c>
      <c r="AB108" s="283">
        <f t="shared" si="10"/>
        <v>0</v>
      </c>
    </row>
    <row r="109" spans="1:28" ht="72" customHeight="1" x14ac:dyDescent="0.3">
      <c r="A109" s="209">
        <f>'Unit Data from Audit Worksheet'!A126</f>
        <v>84</v>
      </c>
      <c r="B109" s="222" t="str">
        <f>'Unit Data from Audit Worksheet'!C126</f>
        <v>Water Sewer Revenue, Expenses &amp; Changes in Fund Net Position</v>
      </c>
      <c r="C109" s="208" t="str">
        <f>'Unit Data from Audit Worksheet'!D126</f>
        <v>Total Operating revenues</v>
      </c>
      <c r="D109" s="134"/>
      <c r="E109" s="228">
        <f>'Unit Data from Audit Worksheet'!F126</f>
        <v>0</v>
      </c>
      <c r="F109" s="221" t="str">
        <f>IF(L108&gt;L109,"Error: Charges for services exceed total operating revenues. Acct # 88&gt;84"," ")</f>
        <v xml:space="preserve"> </v>
      </c>
      <c r="G109" s="223" t="str">
        <f>IF(Q90=1," Included in error count"," ")</f>
        <v xml:space="preserve"> </v>
      </c>
      <c r="H109" s="220"/>
      <c r="I109" s="32"/>
      <c r="J109" s="219">
        <v>84</v>
      </c>
      <c r="K109" s="218" t="s">
        <v>218</v>
      </c>
      <c r="L109" s="286">
        <f t="shared" si="13"/>
        <v>0</v>
      </c>
      <c r="P109" s="193"/>
      <c r="X109" s="548">
        <v>84</v>
      </c>
      <c r="Y109" s="283">
        <v>84</v>
      </c>
      <c r="AA109" s="383">
        <f t="shared" si="9"/>
        <v>0</v>
      </c>
      <c r="AB109" s="283">
        <f t="shared" si="10"/>
        <v>0</v>
      </c>
    </row>
    <row r="110" spans="1:28" ht="72" customHeight="1" x14ac:dyDescent="0.3">
      <c r="A110" s="209">
        <f>'Unit Data from Audit Worksheet'!A127</f>
        <v>49</v>
      </c>
      <c r="B110" s="222" t="str">
        <f>'Unit Data from Audit Worksheet'!C127</f>
        <v>Water Sewer Revenue, Expenses &amp; Changes in Fund Net Position</v>
      </c>
      <c r="C110" s="208" t="str">
        <f>'Unit Data from Audit Worksheet'!D127</f>
        <v>Depreciation and amortization expense</v>
      </c>
      <c r="D110" s="134"/>
      <c r="E110" s="228">
        <f>'Unit Data from Audit Worksheet'!F127</f>
        <v>0</v>
      </c>
      <c r="F110" s="221">
        <f>IF(L110&lt;0,"Error: Number is normally positive.",)</f>
        <v>0</v>
      </c>
      <c r="G110" s="223"/>
      <c r="H110" s="220"/>
      <c r="I110" s="32"/>
      <c r="J110" s="219">
        <v>49</v>
      </c>
      <c r="K110" s="218" t="s">
        <v>219</v>
      </c>
      <c r="L110" s="286">
        <f t="shared" si="13"/>
        <v>0</v>
      </c>
      <c r="O110" s="293"/>
      <c r="P110" s="193"/>
      <c r="X110" s="548">
        <v>49</v>
      </c>
      <c r="Y110" s="283">
        <v>49</v>
      </c>
      <c r="AA110" s="383">
        <f t="shared" si="9"/>
        <v>0</v>
      </c>
      <c r="AB110" s="283">
        <f t="shared" si="10"/>
        <v>0</v>
      </c>
    </row>
    <row r="111" spans="1:28" ht="48" customHeight="1" x14ac:dyDescent="0.3">
      <c r="A111" s="209">
        <f>'Unit Data from Audit Worksheet'!A128</f>
        <v>85</v>
      </c>
      <c r="B111" s="222" t="str">
        <f>'Unit Data from Audit Worksheet'!C128</f>
        <v>Water Sewer Revenue, Expenses &amp; Changes in Fund Net Position</v>
      </c>
      <c r="C111" s="208" t="str">
        <f>'Unit Data from Audit Worksheet'!D128</f>
        <v>Total Operating expenses</v>
      </c>
      <c r="D111" s="134"/>
      <c r="E111" s="228">
        <f>'Unit Data from Audit Worksheet'!F128</f>
        <v>0</v>
      </c>
      <c r="F111" s="221"/>
      <c r="G111" s="223"/>
      <c r="H111" s="220"/>
      <c r="I111" s="32"/>
      <c r="J111" s="219">
        <v>85</v>
      </c>
      <c r="K111" s="218" t="s">
        <v>220</v>
      </c>
      <c r="L111" s="286">
        <f t="shared" si="13"/>
        <v>0</v>
      </c>
      <c r="P111" s="193"/>
      <c r="X111" s="548">
        <v>85</v>
      </c>
      <c r="Y111" s="283">
        <v>85</v>
      </c>
      <c r="AA111" s="383">
        <f t="shared" si="9"/>
        <v>0</v>
      </c>
      <c r="AB111" s="283">
        <f t="shared" si="10"/>
        <v>0</v>
      </c>
    </row>
    <row r="112" spans="1:28" ht="48" customHeight="1" x14ac:dyDescent="0.3">
      <c r="A112" s="209">
        <f>'Unit Data from Audit Worksheet'!A129</f>
        <v>89</v>
      </c>
      <c r="B112" s="222" t="str">
        <f>'Unit Data from Audit Worksheet'!C129</f>
        <v>Water Sewer Revenue, Expenses &amp; Changes in Fund Net Position</v>
      </c>
      <c r="C112" s="208" t="str">
        <f>'Unit Data from Audit Worksheet'!D129</f>
        <v>Interest expense</v>
      </c>
      <c r="D112" s="134"/>
      <c r="E112" s="228">
        <f>'Unit Data from Audit Worksheet'!F129</f>
        <v>0</v>
      </c>
      <c r="F112" s="221"/>
      <c r="G112" s="223"/>
      <c r="H112" s="220"/>
      <c r="I112" s="32"/>
      <c r="J112" s="219">
        <v>89</v>
      </c>
      <c r="K112" s="218" t="s">
        <v>221</v>
      </c>
      <c r="L112" s="286">
        <f t="shared" si="13"/>
        <v>0</v>
      </c>
      <c r="P112" s="193"/>
      <c r="X112" s="548">
        <v>89</v>
      </c>
      <c r="Y112" s="283">
        <v>89</v>
      </c>
      <c r="AA112" s="383">
        <f t="shared" si="9"/>
        <v>0</v>
      </c>
      <c r="AB112" s="283">
        <f t="shared" si="10"/>
        <v>0</v>
      </c>
    </row>
    <row r="113" spans="1:28" ht="48" customHeight="1" x14ac:dyDescent="0.3">
      <c r="A113" s="209">
        <f>'Unit Data from Audit Worksheet'!A130</f>
        <v>350</v>
      </c>
      <c r="B113" s="222" t="str">
        <f>'Unit Data from Audit Worksheet'!C130</f>
        <v>Water Sewer Revenue, Expenses &amp; Changes in Fund Net Position</v>
      </c>
      <c r="C113" s="208" t="str">
        <f>'Unit Data from Audit Worksheet'!D130</f>
        <v>Total all non-operating revenues  
Exclude Capital contributions.</v>
      </c>
      <c r="D113" s="134"/>
      <c r="E113" s="228">
        <f>'Unit Data from Audit Worksheet'!F130</f>
        <v>0</v>
      </c>
      <c r="F113" s="221"/>
      <c r="G113" s="223"/>
      <c r="H113" s="220"/>
      <c r="I113" s="32"/>
      <c r="J113" s="219">
        <v>350</v>
      </c>
      <c r="K113" s="218" t="s">
        <v>222</v>
      </c>
      <c r="L113" s="286">
        <f t="shared" si="13"/>
        <v>0</v>
      </c>
      <c r="P113" s="193"/>
      <c r="X113" s="548">
        <v>350</v>
      </c>
      <c r="Y113" s="283">
        <v>350</v>
      </c>
      <c r="AA113" s="383">
        <f t="shared" si="9"/>
        <v>0</v>
      </c>
      <c r="AB113" s="283">
        <f t="shared" si="10"/>
        <v>0</v>
      </c>
    </row>
    <row r="114" spans="1:28" ht="48" customHeight="1" x14ac:dyDescent="0.3">
      <c r="A114" s="209">
        <f>'Unit Data from Audit Worksheet'!A131</f>
        <v>351</v>
      </c>
      <c r="B114" s="222" t="str">
        <f>'Unit Data from Audit Worksheet'!C131</f>
        <v>Water Sewer Revenue, Expenses &amp; Changes in Fund Net Position</v>
      </c>
      <c r="C114" s="208" t="str">
        <f>'Unit Data from Audit Worksheet'!D131</f>
        <v>Total all non-operating expenses.  
Include any negative special, extraordinary, or capital contribution.</v>
      </c>
      <c r="D114" s="134"/>
      <c r="E114" s="228">
        <f>'Unit Data from Audit Worksheet'!F131</f>
        <v>0</v>
      </c>
      <c r="F114" s="221"/>
      <c r="G114" s="223"/>
      <c r="H114" s="220"/>
      <c r="I114" s="32"/>
      <c r="J114" s="219">
        <v>351</v>
      </c>
      <c r="K114" s="218" t="s">
        <v>223</v>
      </c>
      <c r="L114" s="286">
        <f t="shared" si="13"/>
        <v>0</v>
      </c>
      <c r="P114" s="193"/>
      <c r="X114" s="548">
        <v>351</v>
      </c>
      <c r="Y114" s="283">
        <v>351</v>
      </c>
      <c r="AA114" s="383">
        <f t="shared" si="9"/>
        <v>0</v>
      </c>
      <c r="AB114" s="283">
        <f t="shared" si="10"/>
        <v>0</v>
      </c>
    </row>
    <row r="115" spans="1:28" ht="66" customHeight="1" x14ac:dyDescent="0.3">
      <c r="A115" s="209">
        <f>'Unit Data from Audit Worksheet'!A132</f>
        <v>191</v>
      </c>
      <c r="B115" s="222" t="str">
        <f>'Unit Data from Audit Worksheet'!C132</f>
        <v>Water Sewer Revenue, Expenses &amp; Changes in Fund Net Position</v>
      </c>
      <c r="C115" s="208" t="str">
        <f>'Unit Data from Audit Worksheet'!D132</f>
        <v>Capital contributions. Only include positive capital contributions.  Negative capital contributions should be included with 'Total all non-operating expenses.'</v>
      </c>
      <c r="D115" s="134"/>
      <c r="E115" s="228">
        <f>'Unit Data from Audit Worksheet'!F132</f>
        <v>0</v>
      </c>
      <c r="F115" s="221">
        <f>IF(L115&lt;0,"Error: Enter as a positive.",)</f>
        <v>0</v>
      </c>
      <c r="G115" s="223"/>
      <c r="H115" s="220"/>
      <c r="I115" s="32"/>
      <c r="J115" s="219">
        <v>191</v>
      </c>
      <c r="K115" s="218" t="s">
        <v>224</v>
      </c>
      <c r="L115" s="286">
        <f t="shared" si="13"/>
        <v>0</v>
      </c>
      <c r="P115" s="193"/>
      <c r="S115" s="18"/>
      <c r="T115" s="18"/>
      <c r="U115" s="18"/>
      <c r="V115" s="18"/>
      <c r="X115" s="548">
        <v>191</v>
      </c>
      <c r="Y115" s="283">
        <v>191</v>
      </c>
      <c r="Z115" s="18"/>
      <c r="AA115" s="383">
        <f t="shared" si="9"/>
        <v>0</v>
      </c>
      <c r="AB115" s="283">
        <f t="shared" si="10"/>
        <v>0</v>
      </c>
    </row>
    <row r="116" spans="1:28" s="383" customFormat="1" ht="66.599999999999994" customHeight="1" x14ac:dyDescent="0.3">
      <c r="A116" s="209">
        <f>'Unit Data from Audit Worksheet'!A133</f>
        <v>1053</v>
      </c>
      <c r="B116" s="222" t="str">
        <f>'Unit Data from Audit Worksheet'!C133</f>
        <v>Water &amp; Sewer Revenue, Expenses &amp; Changes in Fund Net Position</v>
      </c>
      <c r="C116" s="208" t="str">
        <f>'Unit Data from Audit Worksheet'!D133</f>
        <v>Mark to Market unrealized losses in the Water and Sewer Fund. (enter as a negative number)</v>
      </c>
      <c r="D116" s="134"/>
      <c r="E116" s="228">
        <f>'Unit Data from Audit Worksheet'!F133</f>
        <v>0</v>
      </c>
      <c r="F116" s="221"/>
      <c r="G116" s="223"/>
      <c r="H116" s="220"/>
      <c r="I116" s="32"/>
      <c r="J116" s="219">
        <v>1053</v>
      </c>
      <c r="K116" s="208" t="s">
        <v>1533</v>
      </c>
      <c r="L116" s="292">
        <f t="shared" si="13"/>
        <v>0</v>
      </c>
      <c r="M116"/>
      <c r="P116" s="193"/>
      <c r="Q116" s="276"/>
      <c r="S116" s="18"/>
      <c r="T116" s="18"/>
      <c r="U116" s="18"/>
      <c r="V116" s="18"/>
      <c r="X116" s="548"/>
      <c r="Y116" s="283"/>
      <c r="Z116" s="18"/>
      <c r="AA116" s="383">
        <f t="shared" si="9"/>
        <v>0</v>
      </c>
      <c r="AB116" s="283"/>
    </row>
    <row r="117" spans="1:28" ht="47.25" customHeight="1" x14ac:dyDescent="0.3">
      <c r="A117" s="209">
        <f>'Unit Data from Audit Worksheet'!A134</f>
        <v>352</v>
      </c>
      <c r="B117" s="222" t="str">
        <f>'Unit Data from Audit Worksheet'!C134</f>
        <v>Water Sewer Revenue, Expenses &amp; Changes in Fund Net Position</v>
      </c>
      <c r="C117" s="208" t="str">
        <f>'Unit Data from Audit Worksheet'!D134</f>
        <v>Total Transfers in - all funds (operating and capital)</v>
      </c>
      <c r="D117" s="134"/>
      <c r="E117" s="228">
        <f>'Unit Data from Audit Worksheet'!F134</f>
        <v>0</v>
      </c>
      <c r="F117" s="221"/>
      <c r="G117" s="223"/>
      <c r="H117" s="220"/>
      <c r="I117" s="32"/>
      <c r="J117" s="219">
        <v>352</v>
      </c>
      <c r="K117" s="218" t="s">
        <v>225</v>
      </c>
      <c r="L117" s="286">
        <f t="shared" si="13"/>
        <v>0</v>
      </c>
      <c r="P117" s="193"/>
      <c r="X117" s="548">
        <v>352</v>
      </c>
      <c r="Y117" s="283">
        <v>352</v>
      </c>
      <c r="AA117" s="383">
        <f t="shared" si="9"/>
        <v>0</v>
      </c>
      <c r="AB117" s="283">
        <f t="shared" si="10"/>
        <v>0</v>
      </c>
    </row>
    <row r="118" spans="1:28" ht="70.5" customHeight="1" x14ac:dyDescent="0.3">
      <c r="A118" s="209">
        <f>'Unit Data from Audit Worksheet'!A135</f>
        <v>986</v>
      </c>
      <c r="B118" s="222" t="str">
        <f>'Unit Data from Audit Worksheet'!C135</f>
        <v>Water Sewer Revenue, Expenses &amp; Changes in Fund Net Position</v>
      </c>
      <c r="C118" s="208" t="str">
        <f>'Unit Data from Audit Worksheet'!D135</f>
        <v>Of the transfers-in above in acct # 352, list amount of transfers-in that were used to support Water Sewer operations  (exclude capital transfers)</v>
      </c>
      <c r="D118" s="134"/>
      <c r="E118" s="228">
        <f>'Unit Data from Audit Worksheet'!F135</f>
        <v>0</v>
      </c>
      <c r="F118" s="221"/>
      <c r="G118" s="223"/>
      <c r="H118" s="220"/>
      <c r="I118" s="32"/>
      <c r="J118" s="219">
        <v>986</v>
      </c>
      <c r="K118" s="208" t="s">
        <v>584</v>
      </c>
      <c r="L118" s="292">
        <f t="shared" si="13"/>
        <v>0</v>
      </c>
      <c r="P118" s="193"/>
      <c r="X118" s="548">
        <v>986</v>
      </c>
      <c r="Y118" s="283">
        <v>986</v>
      </c>
      <c r="AA118" s="383">
        <f t="shared" si="9"/>
        <v>0</v>
      </c>
      <c r="AB118" s="283">
        <f t="shared" si="10"/>
        <v>0</v>
      </c>
    </row>
    <row r="119" spans="1:28" ht="47.25" customHeight="1" x14ac:dyDescent="0.3">
      <c r="A119" s="209">
        <f>'Unit Data from Audit Worksheet'!A136</f>
        <v>353</v>
      </c>
      <c r="B119" s="222" t="str">
        <f>'Unit Data from Audit Worksheet'!C136</f>
        <v>Water Sewer Revenue, Expenses &amp; Changes in Fund Net Position</v>
      </c>
      <c r="C119" s="208" t="str">
        <f>'Unit Data from Audit Worksheet'!D136</f>
        <v>Total Transfers out</v>
      </c>
      <c r="D119" s="134"/>
      <c r="E119" s="228">
        <f>'Unit Data from Audit Worksheet'!F136</f>
        <v>0</v>
      </c>
      <c r="F119" s="221">
        <f>IF(L119&lt;0,"Error: Enter as a positive.",)</f>
        <v>0</v>
      </c>
      <c r="G119" s="223"/>
      <c r="H119" s="220"/>
      <c r="I119" s="32"/>
      <c r="J119" s="34">
        <v>353</v>
      </c>
      <c r="K119" s="218" t="s">
        <v>226</v>
      </c>
      <c r="L119" s="286">
        <f t="shared" si="13"/>
        <v>0</v>
      </c>
      <c r="P119" s="193"/>
      <c r="X119" s="548">
        <v>353</v>
      </c>
      <c r="Y119" s="283">
        <v>353</v>
      </c>
      <c r="AA119" s="383">
        <f t="shared" si="9"/>
        <v>0</v>
      </c>
      <c r="AB119" s="283">
        <f t="shared" si="10"/>
        <v>0</v>
      </c>
    </row>
    <row r="120" spans="1:28" ht="72.75" customHeight="1" x14ac:dyDescent="0.3">
      <c r="A120" s="209">
        <f>'Unit Data from Audit Worksheet'!A137</f>
        <v>50</v>
      </c>
      <c r="B120" s="222" t="str">
        <f>'Unit Data from Audit Worksheet'!C137</f>
        <v>Water Sewer Revenue, Expenses &amp; Changes in Fund Net Position</v>
      </c>
      <c r="C120" s="208" t="str">
        <f>'Unit Data from Audit Worksheet'!D137</f>
        <v>Change in net position - Increase in net position is recorded as a positive and a (Decrease) in net position is recorded as a negative.</v>
      </c>
      <c r="D120" s="134"/>
      <c r="E120" s="139">
        <f>'Unit Data from Audit Worksheet'!F137</f>
        <v>0</v>
      </c>
      <c r="F120" s="221">
        <f>IF(L109-L111+L113-L114+L117+L115-L119-L120=0,,"Error:Total revenues less total expenses do not equal total change in net position. Acct # 84-85+350-351+191+352-353-50")</f>
        <v>0</v>
      </c>
      <c r="G120" s="84">
        <f>+L109-L111+L113-L114+L117+L115-L119-L120</f>
        <v>0</v>
      </c>
      <c r="H120" s="220"/>
      <c r="I120" s="32"/>
      <c r="J120" s="219">
        <v>50</v>
      </c>
      <c r="K120" s="218" t="s">
        <v>92</v>
      </c>
      <c r="L120" s="286">
        <f t="shared" si="13"/>
        <v>0</v>
      </c>
      <c r="P120" s="193"/>
      <c r="X120" s="548">
        <v>50</v>
      </c>
      <c r="Y120" s="283">
        <v>50</v>
      </c>
      <c r="AA120" s="383">
        <f t="shared" si="9"/>
        <v>0</v>
      </c>
      <c r="AB120" s="283">
        <f t="shared" si="10"/>
        <v>0</v>
      </c>
    </row>
    <row r="121" spans="1:28" ht="144" customHeight="1" x14ac:dyDescent="0.3">
      <c r="A121" s="209">
        <f>'Unit Data from Audit Worksheet'!A138</f>
        <v>377</v>
      </c>
      <c r="B121" s="222" t="str">
        <f>'Unit Data from Audit Worksheet'!C138</f>
        <v>Water Sewer Revenue, Expenses &amp; Changes in Fund Net Position</v>
      </c>
      <c r="C121" s="208"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0" t="e">
        <f>'Unit Data from Audit Worksheet'!I138</f>
        <v>#N/A</v>
      </c>
      <c r="I121" s="32"/>
      <c r="J121" s="219">
        <v>377</v>
      </c>
      <c r="K121" s="218" t="s">
        <v>101</v>
      </c>
      <c r="L121" s="286">
        <f t="shared" si="13"/>
        <v>0</v>
      </c>
      <c r="P121" s="193"/>
      <c r="X121" s="548">
        <v>377</v>
      </c>
      <c r="Y121" s="283">
        <v>377</v>
      </c>
      <c r="AA121" s="383">
        <f t="shared" si="9"/>
        <v>0</v>
      </c>
      <c r="AB121" s="283">
        <f t="shared" si="10"/>
        <v>0</v>
      </c>
    </row>
    <row r="122" spans="1:28" ht="63" customHeight="1" x14ac:dyDescent="0.3">
      <c r="A122" s="309">
        <f>'Unit Data from Audit Worksheet'!A139</f>
        <v>537</v>
      </c>
      <c r="B122" s="222" t="str">
        <f>'Unit Data from Audit Worksheet'!C139</f>
        <v>Water Sewer Revenue, Expenses &amp; Changes in Fund Net Position</v>
      </c>
      <c r="C122" s="208" t="str">
        <f>'Unit Data from Audit Worksheet'!D139</f>
        <v>Did unit raise Water Sewer rates during the audited fiscal period? - answer Yes =1 or No= 2</v>
      </c>
      <c r="D122" s="129"/>
      <c r="E122" s="228">
        <f>'Unit Data from Audit Worksheet'!F139</f>
        <v>0</v>
      </c>
      <c r="F122" s="221" t="s">
        <v>309</v>
      </c>
      <c r="G122" s="223"/>
      <c r="H122" s="220"/>
      <c r="I122" s="32"/>
      <c r="J122" s="60">
        <v>537</v>
      </c>
      <c r="K122" s="58" t="s">
        <v>280</v>
      </c>
      <c r="L122" s="286">
        <f t="shared" si="13"/>
        <v>0</v>
      </c>
      <c r="N122" s="54" t="s">
        <v>299</v>
      </c>
      <c r="P122" s="193"/>
      <c r="X122" s="548">
        <v>537</v>
      </c>
      <c r="Y122" s="283">
        <v>537</v>
      </c>
      <c r="AA122" s="383">
        <f t="shared" si="9"/>
        <v>0</v>
      </c>
      <c r="AB122" s="283">
        <f t="shared" si="10"/>
        <v>0</v>
      </c>
    </row>
    <row r="123" spans="1:28" ht="63.75" customHeight="1" x14ac:dyDescent="0.3">
      <c r="A123" s="309">
        <f>'Unit Data from Audit Worksheet'!A140</f>
        <v>538</v>
      </c>
      <c r="B123" s="222" t="str">
        <f>'Unit Data from Audit Worksheet'!C140</f>
        <v>Water Sewer Revenue, Expenses &amp; Changes in Fund Net Position</v>
      </c>
      <c r="C123" s="208" t="str">
        <f>'Unit Data from Audit Worksheet'!D140</f>
        <v>Did unit raise Water Sewer rates during the budget year following the audited fiscal year? - answer Yes=1 or No=2</v>
      </c>
      <c r="D123" s="129"/>
      <c r="E123" s="228">
        <f>'Unit Data from Audit Worksheet'!F140</f>
        <v>0</v>
      </c>
      <c r="F123" s="221" t="s">
        <v>309</v>
      </c>
      <c r="G123" s="223"/>
      <c r="H123" s="220"/>
      <c r="I123" s="32"/>
      <c r="J123" s="60">
        <v>538</v>
      </c>
      <c r="K123" s="58" t="s">
        <v>279</v>
      </c>
      <c r="L123" s="286">
        <f t="shared" si="13"/>
        <v>0</v>
      </c>
      <c r="N123" s="54" t="s">
        <v>299</v>
      </c>
      <c r="P123" s="193"/>
      <c r="X123" s="548">
        <v>538</v>
      </c>
      <c r="Y123" s="283">
        <v>538</v>
      </c>
      <c r="AA123" s="383">
        <f t="shared" si="9"/>
        <v>0</v>
      </c>
      <c r="AB123" s="283">
        <f t="shared" si="10"/>
        <v>0</v>
      </c>
    </row>
    <row r="124" spans="1:28" ht="47.25" customHeight="1" x14ac:dyDescent="0.3">
      <c r="A124" s="209">
        <f>'Unit Data from Audit Worksheet'!A142</f>
        <v>97</v>
      </c>
      <c r="B124" s="222" t="str">
        <f>'Unit Data from Audit Worksheet'!C142</f>
        <v>Electric Fund Revenue, Expenses &amp; Changes in Fund Net Position</v>
      </c>
      <c r="C124" s="208" t="str">
        <f>'Unit Data from Audit Worksheet'!D142</f>
        <v>Charges for services</v>
      </c>
      <c r="D124" s="227"/>
      <c r="E124" s="228">
        <f>'Unit Data from Audit Worksheet'!F142</f>
        <v>0</v>
      </c>
      <c r="F124" s="221">
        <f>IF(L124&lt;0,"Error: Enter as a positive.",)</f>
        <v>0</v>
      </c>
      <c r="G124" s="223"/>
      <c r="H124" s="220"/>
      <c r="I124" s="32"/>
      <c r="J124" s="219">
        <v>97</v>
      </c>
      <c r="K124" s="218" t="s">
        <v>227</v>
      </c>
      <c r="L124" s="286">
        <f t="shared" ref="L124:L200" si="15">IF(D124="",E124,D124)</f>
        <v>0</v>
      </c>
      <c r="P124" s="193"/>
      <c r="X124" s="548">
        <v>97</v>
      </c>
      <c r="Y124" s="283">
        <v>97</v>
      </c>
      <c r="AA124" s="383">
        <f t="shared" si="9"/>
        <v>0</v>
      </c>
      <c r="AB124" s="283">
        <f t="shared" si="10"/>
        <v>0</v>
      </c>
    </row>
    <row r="125" spans="1:28" ht="45.75" customHeight="1" x14ac:dyDescent="0.3">
      <c r="A125" s="209">
        <f>'Unit Data from Audit Worksheet'!A143</f>
        <v>93</v>
      </c>
      <c r="B125" s="222" t="str">
        <f>'Unit Data from Audit Worksheet'!C143</f>
        <v>Electric Fund Revenue, Expenses &amp; Changes in Fund Net Position</v>
      </c>
      <c r="C125" s="208" t="str">
        <f>'Unit Data from Audit Worksheet'!D143</f>
        <v>Total Operating revenues</v>
      </c>
      <c r="D125" s="227"/>
      <c r="E125" s="228">
        <f>'Unit Data from Audit Worksheet'!F143</f>
        <v>0</v>
      </c>
      <c r="F125" s="221" t="str">
        <f>IF(L124&gt;L125,"Error: Charges for services exceeds total operating revenues Acct 97&gt;=93"," ")</f>
        <v xml:space="preserve"> </v>
      </c>
      <c r="G125" s="223" t="str">
        <f>IF(Q105=1," Included in error count"," ")</f>
        <v xml:space="preserve"> </v>
      </c>
      <c r="H125" s="220"/>
      <c r="I125" s="32"/>
      <c r="J125" s="219">
        <v>93</v>
      </c>
      <c r="K125" s="218" t="s">
        <v>228</v>
      </c>
      <c r="L125" s="286">
        <f t="shared" si="15"/>
        <v>0</v>
      </c>
      <c r="P125" s="193"/>
      <c r="X125" s="548">
        <v>93</v>
      </c>
      <c r="Y125" s="283">
        <v>93</v>
      </c>
      <c r="AA125" s="383">
        <f t="shared" si="9"/>
        <v>0</v>
      </c>
      <c r="AB125" s="283">
        <f t="shared" si="10"/>
        <v>0</v>
      </c>
    </row>
    <row r="126" spans="1:28" ht="45.75" customHeight="1" x14ac:dyDescent="0.3">
      <c r="A126" s="209">
        <f>'Unit Data from Audit Worksheet'!A144</f>
        <v>99</v>
      </c>
      <c r="B126" s="222" t="str">
        <f>'Unit Data from Audit Worksheet'!C144</f>
        <v>Electric Fund Revenue, Expenses &amp; Changes in Fund Net Position</v>
      </c>
      <c r="C126" s="208" t="str">
        <f>'Unit Data from Audit Worksheet'!D144</f>
        <v>Electrical power purchases</v>
      </c>
      <c r="D126" s="227"/>
      <c r="E126" s="228">
        <f>'Unit Data from Audit Worksheet'!F144</f>
        <v>0</v>
      </c>
      <c r="F126" s="221">
        <f>IF(L126&lt;0,"Error: Enter as a positive.",)</f>
        <v>0</v>
      </c>
      <c r="G126" s="223"/>
      <c r="H126" s="220"/>
      <c r="I126" s="32"/>
      <c r="J126" s="219">
        <v>99</v>
      </c>
      <c r="K126" s="218" t="s">
        <v>229</v>
      </c>
      <c r="L126" s="286">
        <f t="shared" si="15"/>
        <v>0</v>
      </c>
      <c r="P126" s="193"/>
      <c r="S126" s="18"/>
      <c r="T126" s="18"/>
      <c r="U126" s="18"/>
      <c r="V126" s="18"/>
      <c r="X126" s="548">
        <v>99</v>
      </c>
      <c r="Y126" s="283">
        <v>99</v>
      </c>
      <c r="Z126" s="18"/>
      <c r="AA126" s="383">
        <f t="shared" si="9"/>
        <v>0</v>
      </c>
      <c r="AB126" s="283">
        <f t="shared" si="10"/>
        <v>0</v>
      </c>
    </row>
    <row r="127" spans="1:28" ht="45.75" customHeight="1" x14ac:dyDescent="0.3">
      <c r="A127" s="209">
        <f>'Unit Data from Audit Worksheet'!A145</f>
        <v>52</v>
      </c>
      <c r="B127" s="222" t="str">
        <f>'Unit Data from Audit Worksheet'!C145</f>
        <v>Electric Fund Revenue, Expenses &amp; Changes in Fund Net Position</v>
      </c>
      <c r="C127" s="208" t="str">
        <f>'Unit Data from Audit Worksheet'!D145</f>
        <v>Depreciation and amortization expense</v>
      </c>
      <c r="D127" s="227"/>
      <c r="E127" s="228">
        <f>'Unit Data from Audit Worksheet'!F145</f>
        <v>0</v>
      </c>
      <c r="F127" s="221">
        <f>IF(L127&lt;0,"Error: Enter as a positive.",)</f>
        <v>0</v>
      </c>
      <c r="G127" s="223"/>
      <c r="H127" s="220"/>
      <c r="I127" s="32"/>
      <c r="J127" s="219">
        <v>52</v>
      </c>
      <c r="K127" s="218" t="s">
        <v>230</v>
      </c>
      <c r="L127" s="286">
        <f t="shared" si="15"/>
        <v>0</v>
      </c>
      <c r="P127" s="193"/>
      <c r="X127" s="548">
        <v>52</v>
      </c>
      <c r="Y127" s="283">
        <v>52</v>
      </c>
      <c r="AA127" s="383">
        <f t="shared" si="9"/>
        <v>0</v>
      </c>
      <c r="AB127" s="283">
        <f t="shared" si="10"/>
        <v>0</v>
      </c>
    </row>
    <row r="128" spans="1:28" ht="45.75" customHeight="1" x14ac:dyDescent="0.3">
      <c r="A128" s="209">
        <f>'Unit Data from Audit Worksheet'!A146</f>
        <v>94</v>
      </c>
      <c r="B128" s="222" t="str">
        <f>'Unit Data from Audit Worksheet'!C146</f>
        <v>Electric Fund Revenue, Expenses &amp; Changes in Fund Net Position</v>
      </c>
      <c r="C128" s="208" t="str">
        <f>'Unit Data from Audit Worksheet'!D146</f>
        <v>Total Operating expenses</v>
      </c>
      <c r="D128" s="227"/>
      <c r="E128" s="228">
        <f>'Unit Data from Audit Worksheet'!F146</f>
        <v>0</v>
      </c>
      <c r="F128" s="221">
        <f>IF(L128&lt;0,"Error: Enter as a positive.",)</f>
        <v>0</v>
      </c>
      <c r="G128" s="223"/>
      <c r="H128" s="220"/>
      <c r="I128" s="32"/>
      <c r="J128" s="219">
        <v>94</v>
      </c>
      <c r="K128" s="218" t="s">
        <v>231</v>
      </c>
      <c r="L128" s="286">
        <f t="shared" si="15"/>
        <v>0</v>
      </c>
      <c r="P128" s="193"/>
      <c r="X128" s="548">
        <v>94</v>
      </c>
      <c r="Y128" s="283">
        <v>94</v>
      </c>
      <c r="AA128" s="383">
        <f t="shared" si="9"/>
        <v>0</v>
      </c>
      <c r="AB128" s="283">
        <f t="shared" si="10"/>
        <v>0</v>
      </c>
    </row>
    <row r="129" spans="1:28" ht="46.5" customHeight="1" x14ac:dyDescent="0.3">
      <c r="A129" s="209">
        <f>'Unit Data from Audit Worksheet'!A147</f>
        <v>98</v>
      </c>
      <c r="B129" s="222" t="str">
        <f>'Unit Data from Audit Worksheet'!C147</f>
        <v>Electric Fund Revenue, Expenses &amp; Changes in Fund Net Position</v>
      </c>
      <c r="C129" s="208" t="str">
        <f>'Unit Data from Audit Worksheet'!D147</f>
        <v>Interest expense</v>
      </c>
      <c r="D129" s="227"/>
      <c r="E129" s="228">
        <f>'Unit Data from Audit Worksheet'!F147</f>
        <v>0</v>
      </c>
      <c r="F129" s="221">
        <f>IF(L129&lt;0,"Error: Enter as a positive.",)</f>
        <v>0</v>
      </c>
      <c r="G129" s="223"/>
      <c r="H129" s="220"/>
      <c r="I129" s="32"/>
      <c r="J129" s="219">
        <v>98</v>
      </c>
      <c r="K129" s="218" t="s">
        <v>232</v>
      </c>
      <c r="L129" s="286">
        <f t="shared" si="15"/>
        <v>0</v>
      </c>
      <c r="P129" s="193"/>
      <c r="X129" s="548">
        <v>98</v>
      </c>
      <c r="Y129" s="283">
        <v>98</v>
      </c>
      <c r="AA129" s="383">
        <f t="shared" si="9"/>
        <v>0</v>
      </c>
      <c r="AB129" s="283">
        <f t="shared" si="10"/>
        <v>0</v>
      </c>
    </row>
    <row r="130" spans="1:28" ht="51" customHeight="1" x14ac:dyDescent="0.3">
      <c r="A130" s="209">
        <f>'Unit Data from Audit Worksheet'!A148</f>
        <v>363</v>
      </c>
      <c r="B130" s="222" t="str">
        <f>'Unit Data from Audit Worksheet'!C148</f>
        <v>Electric Fund Revenue, Expenses &amp; Changes in Fund Net Position</v>
      </c>
      <c r="C130" s="208" t="str">
        <f>'Unit Data from Audit Worksheet'!D148</f>
        <v>Total all the non-operating revenues  
Exclude Capital Contributions.</v>
      </c>
      <c r="D130" s="227"/>
      <c r="E130" s="228">
        <f>'Unit Data from Audit Worksheet'!F148</f>
        <v>0</v>
      </c>
      <c r="F130" s="221"/>
      <c r="G130" s="223"/>
      <c r="H130" s="220"/>
      <c r="I130" s="32"/>
      <c r="J130" s="219">
        <v>363</v>
      </c>
      <c r="K130" s="218" t="s">
        <v>233</v>
      </c>
      <c r="L130" s="286">
        <f t="shared" si="15"/>
        <v>0</v>
      </c>
      <c r="P130" s="193"/>
      <c r="X130" s="548">
        <v>363</v>
      </c>
      <c r="Y130" s="283">
        <v>363</v>
      </c>
      <c r="AA130" s="383">
        <f t="shared" si="9"/>
        <v>0</v>
      </c>
      <c r="AB130" s="283">
        <f t="shared" si="10"/>
        <v>0</v>
      </c>
    </row>
    <row r="131" spans="1:28" ht="60" customHeight="1" x14ac:dyDescent="0.3">
      <c r="A131" s="209">
        <f>'Unit Data from Audit Worksheet'!A149</f>
        <v>364</v>
      </c>
      <c r="B131" s="222" t="str">
        <f>'Unit Data from Audit Worksheet'!C149</f>
        <v>Electric Fund Revenue, Expenses &amp; Changes in Fund Net Position</v>
      </c>
      <c r="C131" s="208" t="str">
        <f>'Unit Data from Audit Worksheet'!D149</f>
        <v>Total all non-operating expenses.  
Include negative special, extraordinary, or capital contribution.</v>
      </c>
      <c r="D131" s="227"/>
      <c r="E131" s="228">
        <f>'Unit Data from Audit Worksheet'!F149</f>
        <v>0</v>
      </c>
      <c r="F131" s="221">
        <f>IF(L131&lt;0,"Error: Enter as a positive.",)</f>
        <v>0</v>
      </c>
      <c r="G131" s="223"/>
      <c r="H131" s="220"/>
      <c r="I131" s="32"/>
      <c r="J131" s="219">
        <v>364</v>
      </c>
      <c r="K131" s="218" t="s">
        <v>234</v>
      </c>
      <c r="L131" s="286">
        <f t="shared" si="15"/>
        <v>0</v>
      </c>
      <c r="P131" s="193"/>
      <c r="X131" s="548">
        <v>364</v>
      </c>
      <c r="Y131" s="283">
        <v>364</v>
      </c>
      <c r="AA131" s="383">
        <f t="shared" si="9"/>
        <v>0</v>
      </c>
      <c r="AB131" s="283">
        <f t="shared" si="10"/>
        <v>0</v>
      </c>
    </row>
    <row r="132" spans="1:28" ht="89.25" customHeight="1" x14ac:dyDescent="0.3">
      <c r="A132" s="209">
        <f>'Unit Data from Audit Worksheet'!A150</f>
        <v>192</v>
      </c>
      <c r="B132" s="222" t="str">
        <f>'Unit Data from Audit Worksheet'!C150</f>
        <v>Electric Fund Revenue, Expenses &amp; Changes in Fund Net Position</v>
      </c>
      <c r="C132" s="208" t="str">
        <f>'Unit Data from Audit Worksheet'!D150</f>
        <v>Capital Contributions.  
Include only positive capital Contributions.  Negative capital contributions should be included with 'Total all non-operating expenses.'</v>
      </c>
      <c r="D132" s="227"/>
      <c r="E132" s="228">
        <f>'Unit Data from Audit Worksheet'!F150</f>
        <v>0</v>
      </c>
      <c r="F132" s="221">
        <f>IF(L132&lt;0,"Error: Enter as a positive.",)</f>
        <v>0</v>
      </c>
      <c r="G132" s="223"/>
      <c r="H132" s="220"/>
      <c r="I132" s="32"/>
      <c r="J132" s="219">
        <v>192</v>
      </c>
      <c r="K132" s="218" t="s">
        <v>235</v>
      </c>
      <c r="L132" s="286">
        <f t="shared" si="15"/>
        <v>0</v>
      </c>
      <c r="P132" s="193"/>
      <c r="X132" s="548">
        <v>192</v>
      </c>
      <c r="Y132" s="283">
        <v>192</v>
      </c>
      <c r="AA132" s="383">
        <f t="shared" si="9"/>
        <v>0</v>
      </c>
      <c r="AB132" s="283">
        <f t="shared" si="10"/>
        <v>0</v>
      </c>
    </row>
    <row r="133" spans="1:28" s="383" customFormat="1" ht="89.25" customHeight="1" x14ac:dyDescent="0.3">
      <c r="A133" s="209">
        <f>'Unit Data from Audit Worksheet'!A151</f>
        <v>1054</v>
      </c>
      <c r="B133" s="222" t="str">
        <f>'Unit Data from Audit Worksheet'!C151</f>
        <v>Electric Fund Revenue, Expenses &amp; Changes in Fund Net Position</v>
      </c>
      <c r="C133" s="208" t="str">
        <f>'Unit Data from Audit Worksheet'!D151</f>
        <v xml:space="preserve"> Mark to Market unrealized losses in the Electric Fund. (enter as a negative number)</v>
      </c>
      <c r="D133" s="227"/>
      <c r="E133" s="228">
        <f>'Unit Data from Audit Worksheet'!F151</f>
        <v>0</v>
      </c>
      <c r="F133" s="221"/>
      <c r="G133" s="223"/>
      <c r="H133" s="220"/>
      <c r="I133" s="32"/>
      <c r="J133" s="219">
        <v>1054</v>
      </c>
      <c r="K133" s="208" t="s">
        <v>1439</v>
      </c>
      <c r="L133" s="286">
        <f t="shared" si="15"/>
        <v>0</v>
      </c>
      <c r="M133"/>
      <c r="P133" s="193"/>
      <c r="Q133" s="276"/>
      <c r="X133" s="548"/>
      <c r="Y133" s="283"/>
      <c r="AA133" s="383">
        <f t="shared" si="9"/>
        <v>0</v>
      </c>
      <c r="AB133" s="283"/>
    </row>
    <row r="134" spans="1:28" ht="42.75" customHeight="1" x14ac:dyDescent="0.3">
      <c r="A134" s="209">
        <f>'Unit Data from Audit Worksheet'!A152</f>
        <v>365</v>
      </c>
      <c r="B134" s="222" t="str">
        <f>'Unit Data from Audit Worksheet'!C152</f>
        <v>Electric Fund Revenue, Expenses &amp; Changes in Fund Net Position</v>
      </c>
      <c r="C134" s="208" t="str">
        <f>'Unit Data from Audit Worksheet'!D152</f>
        <v>Total Transfers In (From all Funds)</v>
      </c>
      <c r="D134" s="227"/>
      <c r="E134" s="228">
        <f>'Unit Data from Audit Worksheet'!F152</f>
        <v>0</v>
      </c>
      <c r="F134" s="221"/>
      <c r="G134" s="223"/>
      <c r="H134" s="220"/>
      <c r="I134" s="32"/>
      <c r="J134" s="219">
        <v>365</v>
      </c>
      <c r="K134" s="218" t="s">
        <v>236</v>
      </c>
      <c r="L134" s="286">
        <f t="shared" si="15"/>
        <v>0</v>
      </c>
      <c r="P134" s="193"/>
      <c r="X134" s="548">
        <v>365</v>
      </c>
      <c r="Y134" s="283">
        <v>365</v>
      </c>
      <c r="AA134" s="383">
        <f t="shared" si="9"/>
        <v>0</v>
      </c>
      <c r="AB134" s="283">
        <f t="shared" si="10"/>
        <v>0</v>
      </c>
    </row>
    <row r="135" spans="1:28" ht="42.75" customHeight="1" x14ac:dyDescent="0.3">
      <c r="A135" s="209">
        <f>'Unit Data from Audit Worksheet'!A153</f>
        <v>366</v>
      </c>
      <c r="B135" s="222" t="str">
        <f>'Unit Data from Audit Worksheet'!C153</f>
        <v>Electric Fund Revenue, Expenses &amp; Changes in Fund Net Position</v>
      </c>
      <c r="C135" s="208" t="str">
        <f>'Unit Data from Audit Worksheet'!D153</f>
        <v>Total Transfers Out (To all funds)</v>
      </c>
      <c r="D135" s="227"/>
      <c r="E135" s="228">
        <f>'Unit Data from Audit Worksheet'!F153</f>
        <v>0</v>
      </c>
      <c r="F135" s="221">
        <f>IF(L135&lt;0,"Error: Enter as a positive.",)</f>
        <v>0</v>
      </c>
      <c r="G135" s="223"/>
      <c r="H135" s="220"/>
      <c r="I135" s="32"/>
      <c r="J135" s="219">
        <v>366</v>
      </c>
      <c r="K135" s="218" t="s">
        <v>291</v>
      </c>
      <c r="L135" s="286">
        <f t="shared" si="15"/>
        <v>0</v>
      </c>
      <c r="P135" s="193"/>
      <c r="X135" s="548">
        <v>366</v>
      </c>
      <c r="Y135" s="283">
        <v>366</v>
      </c>
      <c r="AA135" s="383">
        <f t="shared" si="9"/>
        <v>0</v>
      </c>
      <c r="AB135" s="283">
        <f t="shared" si="10"/>
        <v>0</v>
      </c>
    </row>
    <row r="136" spans="1:28" s="18" customFormat="1" ht="76.5" customHeight="1" x14ac:dyDescent="0.3">
      <c r="A136" s="209">
        <f>'Unit Data from Audit Worksheet'!A154</f>
        <v>53</v>
      </c>
      <c r="B136" s="222" t="str">
        <f>'Unit Data from Audit Worksheet'!C154</f>
        <v>Electric Fund Revenue, Expenses &amp; Changes in Fund Net Position</v>
      </c>
      <c r="C136" s="208" t="str">
        <f>'Unit Data from Audit Worksheet'!D154</f>
        <v>Change in net position - Increase in net position is recorded as a positive and a (decrease) in net position is recorded as a negative.</v>
      </c>
      <c r="D136" s="227"/>
      <c r="E136" s="228">
        <f>'Unit Data from Audit Worksheet'!F154</f>
        <v>0</v>
      </c>
      <c r="F136" s="221">
        <f>IF(L125-L128+L130-L131+L132+L134-L135-L136=0,,"Error: Total revenues less total exp. does not equal change in net position Acct 93-94+363-364+192+365-366-53=0")</f>
        <v>0</v>
      </c>
      <c r="G136" s="84">
        <f>+L125-L128+L130-L131+L132+L134-L135-L136</f>
        <v>0</v>
      </c>
      <c r="H136" s="220"/>
      <c r="I136" s="32"/>
      <c r="J136" s="219">
        <v>53</v>
      </c>
      <c r="K136" s="218" t="s">
        <v>93</v>
      </c>
      <c r="L136" s="286">
        <f t="shared" si="15"/>
        <v>0</v>
      </c>
      <c r="M136"/>
      <c r="P136" s="193"/>
      <c r="Q136" s="276"/>
      <c r="R136" s="3"/>
      <c r="S136" s="3"/>
      <c r="T136" s="3"/>
      <c r="U136" s="3"/>
      <c r="V136" s="3"/>
      <c r="W136" s="3"/>
      <c r="X136" s="548">
        <v>53</v>
      </c>
      <c r="Y136" s="283">
        <v>53</v>
      </c>
      <c r="Z136" s="3"/>
      <c r="AA136" s="383">
        <f t="shared" si="9"/>
        <v>0</v>
      </c>
      <c r="AB136" s="283">
        <f t="shared" si="10"/>
        <v>0</v>
      </c>
    </row>
    <row r="137" spans="1:28" ht="140.25" customHeight="1" x14ac:dyDescent="0.3">
      <c r="A137" s="209">
        <f>'Unit Data from Audit Worksheet'!A155</f>
        <v>378</v>
      </c>
      <c r="B137" s="222" t="str">
        <f>'Unit Data from Audit Worksheet'!C155</f>
        <v>Electric Fund Revenue, Expenses &amp; Changes in Fund Net Position</v>
      </c>
      <c r="C137" s="208"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27"/>
      <c r="E137" s="228">
        <f>+'Unit Data from Audit Worksheet'!F155</f>
        <v>0</v>
      </c>
      <c r="F137" s="221" t="e">
        <f>IF(L107-L136-L137=O107,,"Error: Beg. Bal does not agree with our records Acct 362-53-378= pr yr 362")</f>
        <v>#N/A</v>
      </c>
      <c r="G137" s="84" t="e">
        <f>L107-L136-L137-O107</f>
        <v>#N/A</v>
      </c>
      <c r="H137" s="220" t="e">
        <f>'Unit Data from Audit Worksheet'!I155</f>
        <v>#N/A</v>
      </c>
      <c r="I137" s="32"/>
      <c r="J137" s="219">
        <v>378</v>
      </c>
      <c r="K137" s="218" t="s">
        <v>102</v>
      </c>
      <c r="L137" s="286">
        <f t="shared" si="15"/>
        <v>0</v>
      </c>
      <c r="P137" s="193"/>
      <c r="X137" s="548">
        <v>378</v>
      </c>
      <c r="Y137" s="283">
        <v>378</v>
      </c>
      <c r="AA137" s="383">
        <f t="shared" si="9"/>
        <v>0</v>
      </c>
      <c r="AB137" s="283">
        <f t="shared" si="10"/>
        <v>0</v>
      </c>
    </row>
    <row r="138" spans="1:28" ht="28.8" x14ac:dyDescent="0.3">
      <c r="A138" s="209">
        <f>'Unit Data from Audit Worksheet'!A160</f>
        <v>51</v>
      </c>
      <c r="B138" s="222" t="str">
        <f>'Unit Data from Audit Worksheet'!C160</f>
        <v>Water Sewer Cash Flow Statement</v>
      </c>
      <c r="C138" s="208" t="str">
        <f>'Unit Data from Audit Worksheet'!D160</f>
        <v>Total Cash flow from operating activities  - (Enter negative cash flows as negative)</v>
      </c>
      <c r="D138" s="227"/>
      <c r="E138" s="228">
        <f>'Unit Data from Audit Worksheet'!F160</f>
        <v>0</v>
      </c>
      <c r="F138" s="221"/>
      <c r="G138" s="223"/>
      <c r="H138" s="220"/>
      <c r="I138" s="32"/>
      <c r="J138" s="219">
        <v>51</v>
      </c>
      <c r="K138" s="218" t="s">
        <v>237</v>
      </c>
      <c r="L138" s="286">
        <f t="shared" si="15"/>
        <v>0</v>
      </c>
      <c r="P138" s="193"/>
      <c r="X138" s="548">
        <v>51</v>
      </c>
      <c r="Y138" s="283">
        <v>51</v>
      </c>
      <c r="AA138" s="383">
        <f t="shared" ref="AA138:AA209" si="16">A138-J138</f>
        <v>0</v>
      </c>
      <c r="AB138" s="283">
        <f t="shared" ref="AB138:AB209" si="17">E138-L138</f>
        <v>0</v>
      </c>
    </row>
    <row r="139" spans="1:28" ht="64.5" customHeight="1" x14ac:dyDescent="0.3">
      <c r="A139" s="209">
        <f>'Unit Data from Audit Worksheet'!A161</f>
        <v>332</v>
      </c>
      <c r="B139" s="222" t="str">
        <f>'Unit Data from Audit Worksheet'!C161</f>
        <v>Water Sewer Cash Flow Statement</v>
      </c>
      <c r="C139" s="208" t="str">
        <f>'Unit Data from Audit Worksheet'!D161</f>
        <v>Total Capital outlay. 
Include acquisition and construction of capital assets.</v>
      </c>
      <c r="D139" s="227"/>
      <c r="E139" s="228">
        <f>'Unit Data from Audit Worksheet'!F161</f>
        <v>0</v>
      </c>
      <c r="F139" s="221">
        <f>IF(L139&lt;0,"Error: Enter as a positive.",)</f>
        <v>0</v>
      </c>
      <c r="G139" s="223"/>
      <c r="H139" s="220"/>
      <c r="I139" s="32"/>
      <c r="J139" s="219">
        <v>332</v>
      </c>
      <c r="K139" s="218" t="s">
        <v>239</v>
      </c>
      <c r="L139" s="286">
        <f t="shared" si="15"/>
        <v>0</v>
      </c>
      <c r="O139" s="293"/>
      <c r="P139" s="193"/>
      <c r="X139" s="548">
        <v>332</v>
      </c>
      <c r="Y139" s="283">
        <v>332</v>
      </c>
      <c r="AA139" s="383">
        <f t="shared" si="16"/>
        <v>0</v>
      </c>
      <c r="AB139" s="283">
        <f t="shared" si="17"/>
        <v>0</v>
      </c>
    </row>
    <row r="140" spans="1:28" ht="58.5" customHeight="1" x14ac:dyDescent="0.3">
      <c r="A140" s="209">
        <f>'Unit Data from Audit Worksheet'!A162</f>
        <v>331</v>
      </c>
      <c r="B140" s="222" t="str">
        <f>'Unit Data from Audit Worksheet'!C162</f>
        <v>Water Sewer Cash Flow Statement</v>
      </c>
      <c r="C140" s="208" t="str">
        <f>'Unit Data from Audit Worksheet'!D162</f>
        <v>Principal paid on long-term debt.  Amount should be reduced by principal payments for debt refunding.</v>
      </c>
      <c r="D140" s="227"/>
      <c r="E140" s="228">
        <f>'Unit Data from Audit Worksheet'!F162</f>
        <v>0</v>
      </c>
      <c r="F140" s="221">
        <f>IF(L140&lt;0,"Error: Enter as a positive.",)</f>
        <v>0</v>
      </c>
      <c r="G140" s="223"/>
      <c r="H140" s="220"/>
      <c r="I140" s="32"/>
      <c r="J140" s="219">
        <v>331</v>
      </c>
      <c r="K140" s="218" t="s">
        <v>238</v>
      </c>
      <c r="L140" s="286">
        <f t="shared" si="15"/>
        <v>0</v>
      </c>
      <c r="O140" s="293"/>
      <c r="P140" s="193"/>
      <c r="X140" s="548">
        <v>331</v>
      </c>
      <c r="Y140" s="283">
        <v>331</v>
      </c>
      <c r="AA140" s="383">
        <f t="shared" si="16"/>
        <v>0</v>
      </c>
      <c r="AB140" s="283">
        <f t="shared" si="17"/>
        <v>0</v>
      </c>
    </row>
    <row r="141" spans="1:28" ht="51.75" customHeight="1" x14ac:dyDescent="0.3">
      <c r="A141" s="209">
        <f>'Unit Data from Audit Worksheet'!A164</f>
        <v>55</v>
      </c>
      <c r="B141" s="222" t="str">
        <f>'Unit Data from Audit Worksheet'!C164</f>
        <v>Electric Fund Cash Flow Statement</v>
      </c>
      <c r="C141" s="208" t="str">
        <f>'Unit Data from Audit Worksheet'!D164</f>
        <v>Cash flow from operating activities - (enter negative cash flows as negative)</v>
      </c>
      <c r="D141" s="227"/>
      <c r="E141" s="228">
        <f>'Unit Data from Audit Worksheet'!F164</f>
        <v>0</v>
      </c>
      <c r="F141" s="221"/>
      <c r="G141" s="223"/>
      <c r="H141" s="220"/>
      <c r="I141" s="32"/>
      <c r="J141" s="219">
        <v>55</v>
      </c>
      <c r="K141" s="218" t="s">
        <v>240</v>
      </c>
      <c r="L141" s="286">
        <f t="shared" si="15"/>
        <v>0</v>
      </c>
      <c r="P141" s="193"/>
      <c r="X141" s="548">
        <v>55</v>
      </c>
      <c r="Y141" s="283">
        <v>55</v>
      </c>
      <c r="AA141" s="383">
        <f t="shared" si="16"/>
        <v>0</v>
      </c>
      <c r="AB141" s="283">
        <f t="shared" si="17"/>
        <v>0</v>
      </c>
    </row>
    <row r="142" spans="1:28" ht="58.5" customHeight="1" x14ac:dyDescent="0.3">
      <c r="A142" s="209">
        <f>'Unit Data from Audit Worksheet'!A165</f>
        <v>101</v>
      </c>
      <c r="B142" s="222" t="str">
        <f>'Unit Data from Audit Worksheet'!C165</f>
        <v>Electric Fund Cash Flow Statement</v>
      </c>
      <c r="C142" s="208" t="str">
        <f>'Unit Data from Audit Worksheet'!D165</f>
        <v>Total Capital outlay.  
Include acquisition and construction of capital assets.</v>
      </c>
      <c r="D142" s="227"/>
      <c r="E142" s="228">
        <f>'Unit Data from Audit Worksheet'!F165</f>
        <v>0</v>
      </c>
      <c r="F142" s="221">
        <f>IF(L142&lt;0,"Error: Enter as a positive.",)</f>
        <v>0</v>
      </c>
      <c r="G142" s="223"/>
      <c r="H142" s="220"/>
      <c r="I142" s="32"/>
      <c r="J142" s="219">
        <v>101</v>
      </c>
      <c r="K142" s="218" t="s">
        <v>241</v>
      </c>
      <c r="L142" s="286">
        <f t="shared" si="15"/>
        <v>0</v>
      </c>
      <c r="P142" s="193"/>
      <c r="X142" s="548">
        <v>101</v>
      </c>
      <c r="Y142" s="283">
        <v>101</v>
      </c>
      <c r="AA142" s="383">
        <f t="shared" si="16"/>
        <v>0</v>
      </c>
      <c r="AB142" s="283">
        <f t="shared" si="17"/>
        <v>0</v>
      </c>
    </row>
    <row r="143" spans="1:28" ht="60.75" customHeight="1" x14ac:dyDescent="0.3">
      <c r="A143" s="209">
        <f>'Unit Data from Audit Worksheet'!A166</f>
        <v>100</v>
      </c>
      <c r="B143" s="222" t="str">
        <f>'Unit Data from Audit Worksheet'!C166</f>
        <v>Electric Fund Cash Flow Statement</v>
      </c>
      <c r="C143" s="208" t="str">
        <f>'Unit Data from Audit Worksheet'!D166</f>
        <v>Principal paid on long-term debt.  Amount should be reduced by principal payments for debt refunding.</v>
      </c>
      <c r="D143" s="227"/>
      <c r="E143" s="228">
        <f>'Unit Data from Audit Worksheet'!F166</f>
        <v>0</v>
      </c>
      <c r="F143" s="221">
        <f>IF(L143&lt;0,"Error: Enter as a positive.",)</f>
        <v>0</v>
      </c>
      <c r="G143" s="223"/>
      <c r="H143" s="220"/>
      <c r="I143" s="32"/>
      <c r="J143" s="219">
        <v>100</v>
      </c>
      <c r="K143" s="218" t="s">
        <v>242</v>
      </c>
      <c r="L143" s="286">
        <f t="shared" si="15"/>
        <v>0</v>
      </c>
      <c r="P143" s="193"/>
      <c r="X143" s="548">
        <v>100</v>
      </c>
      <c r="Y143" s="283">
        <v>100</v>
      </c>
      <c r="AA143" s="383">
        <f t="shared" si="16"/>
        <v>0</v>
      </c>
      <c r="AB143" s="283">
        <f t="shared" si="17"/>
        <v>0</v>
      </c>
    </row>
    <row r="144" spans="1:28" s="383" customFormat="1" ht="95.4" customHeight="1" x14ac:dyDescent="0.3">
      <c r="A144" s="209">
        <f>'Unit Data from Audit Worksheet'!A168</f>
        <v>1060</v>
      </c>
      <c r="B144" s="222">
        <f>'Unit Data from Audit Worksheet'!C168</f>
        <v>0</v>
      </c>
      <c r="C144" s="208" t="str">
        <f>'Unit Data from Audit Worksheet'!D168</f>
        <v>Total American Rescue Plan Act (ARPA) of 2021-Coronavrius State &amp; Local Fiscal Recovery Funds actually expended since inception as of June 30th.  Do not include encumbered funds in this number.</v>
      </c>
      <c r="D144" s="227"/>
      <c r="E144" s="228">
        <f>'Unit Data from Audit Worksheet'!F168</f>
        <v>0</v>
      </c>
      <c r="F144" s="221"/>
      <c r="G144" s="223"/>
      <c r="H144" s="220"/>
      <c r="I144" s="32"/>
      <c r="J144" s="219">
        <v>1060</v>
      </c>
      <c r="K144" s="208" t="s">
        <v>1440</v>
      </c>
      <c r="L144" s="286">
        <f t="shared" si="15"/>
        <v>0</v>
      </c>
      <c r="M144"/>
      <c r="P144" s="193"/>
      <c r="Q144" s="276"/>
      <c r="X144" s="548"/>
      <c r="Y144" s="283"/>
      <c r="AB144" s="283"/>
    </row>
    <row r="145" spans="1:28" s="383" customFormat="1" ht="85.95" customHeight="1" x14ac:dyDescent="0.3">
      <c r="A145" s="209">
        <f>'Unit Data from Audit Worksheet'!A169</f>
        <v>1061</v>
      </c>
      <c r="B145" s="222">
        <f>'Unit Data from Audit Worksheet'!C169</f>
        <v>0</v>
      </c>
      <c r="C145" s="208" t="str">
        <f>'Unit Data from Audit Worksheet'!D169</f>
        <v>Total American Rescue Plan Act (ARPA) of 2021-Coronavrius State &amp; Local Fiscal Recovery Funds encumbered or obligated and not yet expended since inception as of June 30th.</v>
      </c>
      <c r="D145" s="227"/>
      <c r="E145" s="228">
        <f>'Unit Data from Audit Worksheet'!F169</f>
        <v>0</v>
      </c>
      <c r="F145" s="221"/>
      <c r="G145" s="223"/>
      <c r="H145" s="220"/>
      <c r="I145" s="32"/>
      <c r="J145" s="219">
        <v>1061</v>
      </c>
      <c r="K145" s="208" t="s">
        <v>1524</v>
      </c>
      <c r="L145" s="286">
        <f t="shared" si="15"/>
        <v>0</v>
      </c>
      <c r="M145"/>
      <c r="P145" s="193"/>
      <c r="Q145" s="276"/>
      <c r="X145" s="548"/>
      <c r="Y145" s="283"/>
      <c r="AB145" s="283"/>
    </row>
    <row r="146" spans="1:28" s="383" customFormat="1" ht="81.599999999999994" customHeight="1" x14ac:dyDescent="0.3">
      <c r="A146" s="209">
        <f>'Unit Data from Audit Worksheet'!A170</f>
        <v>1062</v>
      </c>
      <c r="B146" s="222">
        <f>'Unit Data from Audit Worksheet'!C170</f>
        <v>0</v>
      </c>
      <c r="C146" s="208" t="str">
        <f>'Unit Data from Audit Worksheet'!D170</f>
        <v xml:space="preserve">Are the American Rescue Plan Act (ARPA) of 2021-Coronavrius State &amp; Local Fiscal Recovery Funds on target to be committed by December 31, 2024? (Yes = 1 or No = 2or N/A = 3 if unit did not receive funds) </v>
      </c>
      <c r="D146" s="227"/>
      <c r="E146" s="228">
        <f>'Unit Data from Audit Worksheet'!F170</f>
        <v>0</v>
      </c>
      <c r="F146" s="221"/>
      <c r="G146" s="221"/>
      <c r="H146" s="220"/>
      <c r="I146" s="32"/>
      <c r="J146" s="219">
        <v>1062</v>
      </c>
      <c r="K146" s="208" t="s">
        <v>1523</v>
      </c>
      <c r="L146" s="286">
        <f t="shared" si="15"/>
        <v>0</v>
      </c>
      <c r="M146"/>
      <c r="P146" s="193"/>
      <c r="Q146" s="276"/>
      <c r="X146" s="548"/>
      <c r="Y146" s="283"/>
      <c r="AB146" s="283"/>
    </row>
    <row r="147" spans="1:28" s="383" customFormat="1" ht="99.6" customHeight="1" x14ac:dyDescent="0.3">
      <c r="A147" s="209">
        <f>'Unit Data from Audit Worksheet'!A171</f>
        <v>1063</v>
      </c>
      <c r="B147" s="222">
        <f>'Unit Data from Audit Worksheet'!C171</f>
        <v>0</v>
      </c>
      <c r="C147" s="208" t="str">
        <f>'Unit Data from Audit Worksheet'!D171</f>
        <v>Are the American Rescue Plan Act (ARPA) of 2021-Coronavrius State &amp; Local Fiscal Recovery Funds on target to be completely expended by December 31, 2026? (Yes = 1 or No = 2 or N/A = 3 if unit did not receive funds)</v>
      </c>
      <c r="D147" s="227"/>
      <c r="E147" s="228">
        <f>'Unit Data from Audit Worksheet'!F171</f>
        <v>0</v>
      </c>
      <c r="F147" s="221"/>
      <c r="G147" s="223"/>
      <c r="H147" s="220"/>
      <c r="I147" s="32"/>
      <c r="J147" s="219">
        <v>1063</v>
      </c>
      <c r="K147" s="208" t="s">
        <v>1525</v>
      </c>
      <c r="L147" s="286">
        <f t="shared" si="15"/>
        <v>0</v>
      </c>
      <c r="M147"/>
      <c r="P147" s="193"/>
      <c r="Q147" s="276"/>
      <c r="X147" s="548"/>
      <c r="Y147" s="283"/>
      <c r="AB147" s="283"/>
    </row>
    <row r="148" spans="1:28" ht="71.25" customHeight="1" x14ac:dyDescent="0.3">
      <c r="A148" s="209">
        <f>'Unit Data from Audit Worksheet'!A173</f>
        <v>512</v>
      </c>
      <c r="B148" s="222" t="str">
        <f>'Unit Data from Audit Worksheet'!C173</f>
        <v>Fiduciary Statements</v>
      </c>
      <c r="C148" s="208" t="str">
        <f>'Unit Data from Audit Worksheet'!D173</f>
        <v>Cash and investments.  
Include:  unrestricted and restricted.  
                   cash and investments held 
                   by a third party</v>
      </c>
      <c r="D148" s="227"/>
      <c r="E148" s="228">
        <f>'Unit Data from Audit Worksheet'!F173</f>
        <v>0</v>
      </c>
      <c r="F148" s="221">
        <f>IF(L148&lt;0,"Error: Number is normally positive.",)</f>
        <v>0</v>
      </c>
      <c r="G148" s="223"/>
      <c r="H148" s="220"/>
      <c r="I148" s="32"/>
      <c r="J148" s="219">
        <v>512</v>
      </c>
      <c r="K148" s="218" t="s">
        <v>243</v>
      </c>
      <c r="L148" s="286">
        <f t="shared" si="15"/>
        <v>0</v>
      </c>
      <c r="P148" s="193"/>
      <c r="X148" s="548">
        <v>512</v>
      </c>
      <c r="Y148" s="283">
        <v>512</v>
      </c>
      <c r="AA148" s="383">
        <f t="shared" si="16"/>
        <v>0</v>
      </c>
      <c r="AB148" s="283">
        <f t="shared" si="17"/>
        <v>0</v>
      </c>
    </row>
    <row r="149" spans="1:28" ht="62.25" customHeight="1" x14ac:dyDescent="0.3">
      <c r="A149" s="209">
        <f>'Unit Data from Audit Worksheet'!A175</f>
        <v>656</v>
      </c>
      <c r="B149" s="222">
        <f>'Unit Data from Audit Worksheet'!C175</f>
        <v>0</v>
      </c>
      <c r="C149" s="208" t="str">
        <f>'Unit Data from Audit Worksheet'!D175</f>
        <v>Do you use prepared food/occupancy tax revenue stream to support debt?  Select "1" for Yes and "2" for No from drop down list.</v>
      </c>
      <c r="D149" s="129"/>
      <c r="E149" s="228">
        <f>'Unit Data from Audit Worksheet'!F175</f>
        <v>0</v>
      </c>
      <c r="F149" s="221"/>
      <c r="G149" s="223"/>
      <c r="H149" s="220"/>
      <c r="I149" s="32"/>
      <c r="J149" s="219">
        <v>656</v>
      </c>
      <c r="K149" s="225" t="s">
        <v>419</v>
      </c>
      <c r="L149" s="310">
        <f>E149</f>
        <v>0</v>
      </c>
      <c r="N149" s="18"/>
      <c r="O149" s="18"/>
      <c r="P149" s="193"/>
      <c r="X149" s="548">
        <v>656</v>
      </c>
      <c r="Y149" s="283">
        <v>656</v>
      </c>
      <c r="AA149" s="383">
        <f t="shared" si="16"/>
        <v>0</v>
      </c>
      <c r="AB149" s="283">
        <f t="shared" si="17"/>
        <v>0</v>
      </c>
    </row>
    <row r="150" spans="1:28" s="18" customFormat="1" ht="102.75" customHeight="1" x14ac:dyDescent="0.3">
      <c r="A150" s="209">
        <f>'Unit Data from Audit Worksheet'!A177</f>
        <v>535</v>
      </c>
      <c r="B150" s="222" t="str">
        <f>'Unit Data from Audit Worksheet'!C177</f>
        <v>Cash and Investment Note</v>
      </c>
      <c r="C150" s="208" t="str">
        <f>'Unit Data from Audit Worksheet'!D177</f>
        <v>Cash and Investment - Please list the book value of any unspent debt proceeds (bonds, installment, etc.) in any funds as of June 30.  This information may be on the face of your statements or in the notes</v>
      </c>
      <c r="D150" s="227"/>
      <c r="E150" s="228">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3"/>
      <c r="H150" s="220"/>
      <c r="I150" s="32"/>
      <c r="J150" s="219">
        <v>535</v>
      </c>
      <c r="K150" s="55" t="s">
        <v>244</v>
      </c>
      <c r="L150" s="286">
        <f t="shared" si="15"/>
        <v>0</v>
      </c>
      <c r="M150"/>
      <c r="P150" s="193"/>
      <c r="Q150" s="276"/>
      <c r="R150" s="3"/>
      <c r="S150" s="3"/>
      <c r="T150" s="3"/>
      <c r="U150" s="3"/>
      <c r="V150" s="3"/>
      <c r="W150" s="3"/>
      <c r="X150" s="548">
        <v>535</v>
      </c>
      <c r="Y150" s="283">
        <v>535</v>
      </c>
      <c r="Z150" s="3"/>
      <c r="AA150" s="383">
        <f t="shared" si="16"/>
        <v>0</v>
      </c>
      <c r="AB150" s="283">
        <f t="shared" si="17"/>
        <v>0</v>
      </c>
    </row>
    <row r="151" spans="1:28" ht="45.75" customHeight="1" x14ac:dyDescent="0.3">
      <c r="A151" s="209">
        <f>'Unit Data from Audit Worksheet'!A181</f>
        <v>334</v>
      </c>
      <c r="B151" s="222" t="str">
        <f>'Unit Data from Audit Worksheet'!C181</f>
        <v>Gov.-Capital Assets Schedule in the Notes</v>
      </c>
      <c r="C151" s="208" t="str">
        <f>'Unit Data from Audit Worksheet'!D181</f>
        <v>Gross value.  
Exclude non-depreciable.</v>
      </c>
      <c r="D151" s="227"/>
      <c r="E151" s="228">
        <f>'Unit Data from Audit Worksheet'!F181</f>
        <v>0</v>
      </c>
      <c r="F151" s="80"/>
      <c r="G151" s="223"/>
      <c r="H151" s="220"/>
      <c r="I151" s="32"/>
      <c r="J151" s="219">
        <v>334</v>
      </c>
      <c r="K151" s="55" t="s">
        <v>261</v>
      </c>
      <c r="L151" s="286">
        <f t="shared" si="15"/>
        <v>0</v>
      </c>
      <c r="P151" s="193"/>
      <c r="X151" s="548">
        <v>334</v>
      </c>
      <c r="Y151" s="283">
        <v>334</v>
      </c>
      <c r="AA151" s="383">
        <f t="shared" si="16"/>
        <v>0</v>
      </c>
      <c r="AB151" s="283">
        <f t="shared" si="17"/>
        <v>0</v>
      </c>
    </row>
    <row r="152" spans="1:28" ht="57" customHeight="1" x14ac:dyDescent="0.3">
      <c r="A152" s="209">
        <f>'Unit Data from Audit Worksheet'!A182</f>
        <v>373</v>
      </c>
      <c r="B152" s="222" t="str">
        <f>'Unit Data from Audit Worksheet'!C182</f>
        <v>Gov.-Capital Assets Schedule in the Notes</v>
      </c>
      <c r="C152" s="208" t="str">
        <f>'Unit Data from Audit Worksheet'!D182</f>
        <v>Accumulated depreciation</v>
      </c>
      <c r="D152" s="227"/>
      <c r="E152" s="228">
        <f>'Unit Data from Audit Worksheet'!F182</f>
        <v>0</v>
      </c>
      <c r="F152" s="80"/>
      <c r="G152" s="223"/>
      <c r="H152" s="220"/>
      <c r="I152" s="32"/>
      <c r="J152" s="219">
        <v>373</v>
      </c>
      <c r="K152" s="52" t="s">
        <v>302</v>
      </c>
      <c r="L152" s="286">
        <f t="shared" si="15"/>
        <v>0</v>
      </c>
      <c r="P152" s="193"/>
      <c r="X152" s="548">
        <v>373</v>
      </c>
      <c r="Y152" s="283">
        <v>373</v>
      </c>
      <c r="AA152" s="383">
        <f t="shared" si="16"/>
        <v>0</v>
      </c>
      <c r="AB152" s="283">
        <f t="shared" si="17"/>
        <v>0</v>
      </c>
    </row>
    <row r="153" spans="1:28" ht="102.75" customHeight="1" x14ac:dyDescent="0.3">
      <c r="A153" s="209">
        <f>'Unit Data from Audit Worksheet'!A183</f>
        <v>987</v>
      </c>
      <c r="B153" s="222">
        <f>'Unit Data from Audit Worksheet'!C183</f>
        <v>0</v>
      </c>
      <c r="C153" s="208" t="str">
        <f>'Unit Data from Audit Worksheet'!D183</f>
        <v xml:space="preserve">Estimated cost not yet budgeted of any mandate placed on unit by DEQ, a court order or some similar requirement (that has no realistic appeal path). </v>
      </c>
      <c r="D153" s="227"/>
      <c r="E153" s="228">
        <f>'Unit Data from Audit Worksheet'!F183</f>
        <v>0</v>
      </c>
      <c r="F153" s="80"/>
      <c r="G153" s="223"/>
      <c r="H153" s="220"/>
      <c r="I153" s="32"/>
      <c r="J153" s="219">
        <v>987</v>
      </c>
      <c r="K153" s="52" t="s">
        <v>634</v>
      </c>
      <c r="L153" s="292">
        <f t="shared" si="15"/>
        <v>0</v>
      </c>
      <c r="P153" s="193"/>
      <c r="X153" s="548">
        <v>987</v>
      </c>
      <c r="Y153" s="283">
        <v>987</v>
      </c>
      <c r="AA153" s="383">
        <f t="shared" si="16"/>
        <v>0</v>
      </c>
      <c r="AB153" s="283">
        <f t="shared" si="17"/>
        <v>0</v>
      </c>
    </row>
    <row r="154" spans="1:28" ht="69" customHeight="1" x14ac:dyDescent="0.3">
      <c r="A154" s="209">
        <f>'Unit Data from Audit Worksheet'!A184</f>
        <v>988</v>
      </c>
      <c r="B154" s="222">
        <f>'Unit Data from Audit Worksheet'!C184</f>
        <v>0</v>
      </c>
      <c r="C154" s="208" t="str">
        <f>'Unit Data from Audit Worksheet'!D184</f>
        <v>Do you operate a landfill that will be closing  or have a significant portion closing within the next 5 years?  Select "1" for Yes and "2" for No</v>
      </c>
      <c r="D154" s="227"/>
      <c r="E154" s="228">
        <f>'Unit Data from Audit Worksheet'!F184</f>
        <v>0</v>
      </c>
      <c r="F154" s="80"/>
      <c r="G154" s="223"/>
      <c r="H154" s="220"/>
      <c r="I154" s="32"/>
      <c r="J154" s="219">
        <v>988</v>
      </c>
      <c r="K154" s="52" t="s">
        <v>858</v>
      </c>
      <c r="L154" s="292">
        <f t="shared" si="15"/>
        <v>0</v>
      </c>
      <c r="P154" s="193"/>
      <c r="X154" s="548">
        <v>988</v>
      </c>
      <c r="Y154" s="283">
        <v>988</v>
      </c>
      <c r="AA154" s="383">
        <f t="shared" si="16"/>
        <v>0</v>
      </c>
      <c r="AB154" s="283">
        <f t="shared" si="17"/>
        <v>0</v>
      </c>
    </row>
    <row r="155" spans="1:28" ht="95.25" customHeight="1" x14ac:dyDescent="0.3">
      <c r="A155" s="209">
        <f>'Unit Data from Audit Worksheet'!A185</f>
        <v>989</v>
      </c>
      <c r="B155" s="222">
        <f>'Unit Data from Audit Worksheet'!C185</f>
        <v>0</v>
      </c>
      <c r="C155" s="208" t="str">
        <f>'Unit Data from Audit Worksheet'!D185</f>
        <v>If you answered "yes" to question #988 above, will you have the closure/postclosure cost fully funded by the date of closure?  Select "1" for Yes,  "2" for No, or "3" for N/A.</v>
      </c>
      <c r="D155" s="227"/>
      <c r="E155" s="228">
        <f>'Unit Data from Audit Worksheet'!F185</f>
        <v>0</v>
      </c>
      <c r="F155" s="80"/>
      <c r="G155" s="223"/>
      <c r="H155" s="220"/>
      <c r="I155" s="32"/>
      <c r="J155" s="219">
        <v>989</v>
      </c>
      <c r="K155" s="52" t="s">
        <v>794</v>
      </c>
      <c r="L155" s="292">
        <f t="shared" si="15"/>
        <v>0</v>
      </c>
      <c r="P155" s="193"/>
      <c r="X155" s="548">
        <v>989</v>
      </c>
      <c r="Y155" s="283">
        <v>989</v>
      </c>
      <c r="AA155" s="383">
        <f t="shared" si="16"/>
        <v>0</v>
      </c>
      <c r="AB155" s="283">
        <f t="shared" si="17"/>
        <v>0</v>
      </c>
    </row>
    <row r="156" spans="1:28" ht="57" customHeight="1" x14ac:dyDescent="0.3">
      <c r="A156" s="209">
        <f>'Unit Data from Audit Worksheet'!A189</f>
        <v>327</v>
      </c>
      <c r="B156" s="222" t="str">
        <f>'Unit Data from Audit Worksheet'!C189</f>
        <v>WS-Capital Assets Schedule in the Notes</v>
      </c>
      <c r="C156" s="208" t="str">
        <f>'Unit Data from Audit Worksheet'!D189</f>
        <v>Land and all other non depreciable capital assets 
Exclude construction in progress</v>
      </c>
      <c r="D156" s="227"/>
      <c r="E156" s="228">
        <f>'Unit Data from Audit Worksheet'!F189</f>
        <v>0</v>
      </c>
      <c r="F156" s="80"/>
      <c r="G156" s="223"/>
      <c r="H156" s="220"/>
      <c r="I156" s="32"/>
      <c r="J156" s="219">
        <v>327</v>
      </c>
      <c r="K156" s="52" t="s">
        <v>303</v>
      </c>
      <c r="L156" s="286">
        <f t="shared" si="15"/>
        <v>0</v>
      </c>
      <c r="P156" s="193"/>
      <c r="X156" s="548">
        <v>327</v>
      </c>
      <c r="Y156" s="283">
        <v>327</v>
      </c>
      <c r="AA156" s="383">
        <f t="shared" si="16"/>
        <v>0</v>
      </c>
      <c r="AB156" s="283">
        <f t="shared" si="17"/>
        <v>0</v>
      </c>
    </row>
    <row r="157" spans="1:28" ht="57" customHeight="1" x14ac:dyDescent="0.3">
      <c r="A157" s="209">
        <f>'Unit Data from Audit Worksheet'!A190</f>
        <v>328</v>
      </c>
      <c r="B157" s="222" t="str">
        <f>'Unit Data from Audit Worksheet'!C190</f>
        <v>WS-Capital Assets Schedule in the Notes</v>
      </c>
      <c r="C157" s="208" t="str">
        <f>'Unit Data from Audit Worksheet'!D190</f>
        <v>Construction in progress</v>
      </c>
      <c r="D157" s="227"/>
      <c r="E157" s="228">
        <f>'Unit Data from Audit Worksheet'!F190</f>
        <v>0</v>
      </c>
      <c r="F157" s="80"/>
      <c r="G157" s="223"/>
      <c r="H157" s="220"/>
      <c r="I157" s="32"/>
      <c r="J157" s="219">
        <v>328</v>
      </c>
      <c r="K157" s="52" t="s">
        <v>304</v>
      </c>
      <c r="L157" s="286">
        <f t="shared" si="15"/>
        <v>0</v>
      </c>
      <c r="P157" s="193"/>
      <c r="X157" s="548">
        <v>328</v>
      </c>
      <c r="Y157" s="283">
        <v>328</v>
      </c>
      <c r="AA157" s="383">
        <f t="shared" si="16"/>
        <v>0</v>
      </c>
      <c r="AB157" s="283">
        <f t="shared" si="17"/>
        <v>0</v>
      </c>
    </row>
    <row r="158" spans="1:28" ht="46.5" customHeight="1" x14ac:dyDescent="0.3">
      <c r="A158" s="209">
        <f>'Unit Data from Audit Worksheet'!A194</f>
        <v>515</v>
      </c>
      <c r="B158" s="222" t="str">
        <f>'Unit Data from Audit Worksheet'!C194</f>
        <v>WS Capital Assets Schedule-Gross Value</v>
      </c>
      <c r="C158" s="208" t="str">
        <f>'Unit Data from Audit Worksheet'!D194</f>
        <v>Buildings</v>
      </c>
      <c r="D158" s="227"/>
      <c r="E158" s="228">
        <f>'Unit Data from Audit Worksheet'!F194</f>
        <v>0</v>
      </c>
      <c r="F158" s="80"/>
      <c r="G158" s="223"/>
      <c r="H158" s="220"/>
      <c r="I158" s="32"/>
      <c r="J158" s="219">
        <v>515</v>
      </c>
      <c r="K158" s="52" t="s">
        <v>262</v>
      </c>
      <c r="L158" s="286">
        <f t="shared" si="15"/>
        <v>0</v>
      </c>
      <c r="P158" s="193"/>
      <c r="X158" s="548">
        <v>515</v>
      </c>
      <c r="Y158" s="283">
        <v>515</v>
      </c>
      <c r="AA158" s="383">
        <f t="shared" si="16"/>
        <v>0</v>
      </c>
      <c r="AB158" s="283">
        <f t="shared" si="17"/>
        <v>0</v>
      </c>
    </row>
    <row r="159" spans="1:28" ht="46.5" customHeight="1" x14ac:dyDescent="0.3">
      <c r="A159" s="209">
        <f>'Unit Data from Audit Worksheet'!A195</f>
        <v>516</v>
      </c>
      <c r="B159" s="222" t="str">
        <f>'Unit Data from Audit Worksheet'!C195</f>
        <v>WS Capital Assets Schedule-Gross Value</v>
      </c>
      <c r="C159" s="208" t="str">
        <f>'Unit Data from Audit Worksheet'!D195</f>
        <v>Plant / distributions systems / water lines</v>
      </c>
      <c r="D159" s="227"/>
      <c r="E159" s="228">
        <f>'Unit Data from Audit Worksheet'!F195</f>
        <v>0</v>
      </c>
      <c r="F159" s="80"/>
      <c r="G159" s="223"/>
      <c r="H159" s="220"/>
      <c r="I159" s="32"/>
      <c r="J159" s="219">
        <v>516</v>
      </c>
      <c r="K159" s="52" t="s">
        <v>263</v>
      </c>
      <c r="L159" s="286">
        <f t="shared" si="15"/>
        <v>0</v>
      </c>
      <c r="P159" s="193"/>
      <c r="X159" s="548">
        <v>516</v>
      </c>
      <c r="Y159" s="283">
        <v>516</v>
      </c>
      <c r="AA159" s="383">
        <f t="shared" si="16"/>
        <v>0</v>
      </c>
      <c r="AB159" s="283">
        <f t="shared" si="17"/>
        <v>0</v>
      </c>
    </row>
    <row r="160" spans="1:28" ht="46.5" customHeight="1" x14ac:dyDescent="0.3">
      <c r="A160" s="209">
        <f>'Unit Data from Audit Worksheet'!A196</f>
        <v>517</v>
      </c>
      <c r="B160" s="222" t="str">
        <f>'Unit Data from Audit Worksheet'!C196</f>
        <v>WS Capital Assets Schedule-Gross Value</v>
      </c>
      <c r="C160" s="208" t="str">
        <f>'Unit Data from Audit Worksheet'!D196</f>
        <v>Infrastructure(other infrastructure)</v>
      </c>
      <c r="D160" s="227"/>
      <c r="E160" s="228">
        <f>'Unit Data from Audit Worksheet'!F196</f>
        <v>0</v>
      </c>
      <c r="F160" s="80"/>
      <c r="G160" s="223"/>
      <c r="H160" s="220"/>
      <c r="I160" s="32"/>
      <c r="J160" s="219">
        <v>517</v>
      </c>
      <c r="K160" s="311" t="s">
        <v>264</v>
      </c>
      <c r="L160" s="286">
        <f t="shared" si="15"/>
        <v>0</v>
      </c>
      <c r="P160" s="193"/>
      <c r="X160" s="548">
        <v>517</v>
      </c>
      <c r="Y160" s="283">
        <v>517</v>
      </c>
      <c r="AA160" s="383">
        <f t="shared" si="16"/>
        <v>0</v>
      </c>
      <c r="AB160" s="283">
        <f t="shared" si="17"/>
        <v>0</v>
      </c>
    </row>
    <row r="161" spans="1:28" ht="46.5" customHeight="1" x14ac:dyDescent="0.3">
      <c r="A161" s="209">
        <f>'Unit Data from Audit Worksheet'!A197</f>
        <v>518</v>
      </c>
      <c r="B161" s="222" t="str">
        <f>'Unit Data from Audit Worksheet'!C197</f>
        <v>WS Capital Assets Schedule-Gross Value</v>
      </c>
      <c r="C161" s="208" t="str">
        <f>'Unit Data from Audit Worksheet'!D197</f>
        <v>All other depreciable capital assets</v>
      </c>
      <c r="D161" s="227"/>
      <c r="E161" s="228">
        <f>'Unit Data from Audit Worksheet'!F197</f>
        <v>0</v>
      </c>
      <c r="F161" s="80"/>
      <c r="G161" s="223"/>
      <c r="H161" s="220"/>
      <c r="I161" s="32"/>
      <c r="J161" s="219">
        <v>518</v>
      </c>
      <c r="K161" s="311" t="s">
        <v>265</v>
      </c>
      <c r="L161" s="286">
        <f t="shared" si="15"/>
        <v>0</v>
      </c>
      <c r="P161" s="193"/>
      <c r="X161" s="548">
        <v>518</v>
      </c>
      <c r="Y161" s="283">
        <v>518</v>
      </c>
      <c r="AA161" s="383">
        <f t="shared" si="16"/>
        <v>0</v>
      </c>
      <c r="AB161" s="283">
        <f t="shared" si="17"/>
        <v>0</v>
      </c>
    </row>
    <row r="162" spans="1:28" ht="52.5" customHeight="1" x14ac:dyDescent="0.3">
      <c r="A162" s="209">
        <f>'Unit Data from Audit Worksheet'!A200</f>
        <v>519</v>
      </c>
      <c r="B162" s="222" t="str">
        <f>'Unit Data from Audit Worksheet'!C200</f>
        <v>WS Capital Assets Schedule-Annual Depreciation</v>
      </c>
      <c r="C162" s="208" t="str">
        <f>'Unit Data from Audit Worksheet'!D200</f>
        <v>Buildings annual depreciation</v>
      </c>
      <c r="D162" s="227"/>
      <c r="E162" s="228">
        <f>'Unit Data from Audit Worksheet'!F200</f>
        <v>0</v>
      </c>
      <c r="F162" s="80"/>
      <c r="G162" s="223"/>
      <c r="H162" s="220"/>
      <c r="I162" s="32"/>
      <c r="J162" s="219">
        <v>519</v>
      </c>
      <c r="K162" s="311" t="s">
        <v>266</v>
      </c>
      <c r="L162" s="286">
        <f t="shared" si="15"/>
        <v>0</v>
      </c>
      <c r="P162" s="314"/>
      <c r="X162" s="548">
        <v>519</v>
      </c>
      <c r="Y162" s="283">
        <v>519</v>
      </c>
      <c r="AA162" s="383">
        <f t="shared" si="16"/>
        <v>0</v>
      </c>
      <c r="AB162" s="283">
        <f t="shared" si="17"/>
        <v>0</v>
      </c>
    </row>
    <row r="163" spans="1:28" ht="52.5" customHeight="1" x14ac:dyDescent="0.3">
      <c r="A163" s="209">
        <f>'Unit Data from Audit Worksheet'!A201</f>
        <v>520</v>
      </c>
      <c r="B163" s="222" t="str">
        <f>'Unit Data from Audit Worksheet'!C201</f>
        <v>WS Capital Assets Schedule-Annual Depreciation</v>
      </c>
      <c r="C163" s="208" t="str">
        <f>'Unit Data from Audit Worksheet'!D201</f>
        <v>Plant / distributions systems / water lines annual depreciation</v>
      </c>
      <c r="D163" s="227"/>
      <c r="E163" s="228">
        <f>'Unit Data from Audit Worksheet'!F201</f>
        <v>0</v>
      </c>
      <c r="F163" s="80"/>
      <c r="G163" s="223"/>
      <c r="H163" s="220"/>
      <c r="I163" s="32"/>
      <c r="J163" s="219">
        <v>520</v>
      </c>
      <c r="K163" s="311" t="s">
        <v>267</v>
      </c>
      <c r="L163" s="286">
        <f t="shared" si="15"/>
        <v>0</v>
      </c>
      <c r="P163" s="317"/>
      <c r="Q163" s="315"/>
      <c r="X163" s="548">
        <v>520</v>
      </c>
      <c r="Y163" s="283">
        <v>520</v>
      </c>
      <c r="AA163" s="383">
        <f t="shared" si="16"/>
        <v>0</v>
      </c>
      <c r="AB163" s="283">
        <f t="shared" si="17"/>
        <v>0</v>
      </c>
    </row>
    <row r="164" spans="1:28" ht="52.5" customHeight="1" x14ac:dyDescent="0.3">
      <c r="A164" s="209">
        <f>'Unit Data from Audit Worksheet'!A202</f>
        <v>521</v>
      </c>
      <c r="B164" s="222" t="str">
        <f>'Unit Data from Audit Worksheet'!C202</f>
        <v>WS Capital Assets Schedule-Annual Depreciation</v>
      </c>
      <c r="C164" s="208" t="str">
        <f>'Unit Data from Audit Worksheet'!D202</f>
        <v>Infrastructure(other infrastructure) annual depreciation</v>
      </c>
      <c r="D164" s="227"/>
      <c r="E164" s="228">
        <f>'Unit Data from Audit Worksheet'!F202</f>
        <v>0</v>
      </c>
      <c r="F164" s="80"/>
      <c r="G164" s="223"/>
      <c r="H164" s="220"/>
      <c r="I164" s="32"/>
      <c r="J164" s="219">
        <v>521</v>
      </c>
      <c r="K164" s="52" t="s">
        <v>268</v>
      </c>
      <c r="L164" s="286">
        <f t="shared" si="15"/>
        <v>0</v>
      </c>
      <c r="P164" s="193"/>
      <c r="Q164" s="185"/>
      <c r="X164" s="548">
        <v>521</v>
      </c>
      <c r="Y164" s="283">
        <v>521</v>
      </c>
      <c r="AA164" s="383">
        <f t="shared" si="16"/>
        <v>0</v>
      </c>
      <c r="AB164" s="283">
        <f t="shared" si="17"/>
        <v>0</v>
      </c>
    </row>
    <row r="165" spans="1:28" ht="42.75" customHeight="1" x14ac:dyDescent="0.3">
      <c r="A165" s="209">
        <f>'Unit Data from Audit Worksheet'!A203</f>
        <v>522</v>
      </c>
      <c r="B165" s="222" t="str">
        <f>'Unit Data from Audit Worksheet'!C203</f>
        <v>WS Capital Assets Schedule-Annual Depreciation</v>
      </c>
      <c r="C165" s="208" t="str">
        <f>'Unit Data from Audit Worksheet'!D203</f>
        <v>All other depreciable capital assets annual depreciation</v>
      </c>
      <c r="D165" s="227"/>
      <c r="E165" s="228">
        <f>'Unit Data from Audit Worksheet'!F203</f>
        <v>0</v>
      </c>
      <c r="F165" s="80"/>
      <c r="G165" s="223"/>
      <c r="H165" s="220"/>
      <c r="I165" s="32"/>
      <c r="J165" s="219">
        <v>522</v>
      </c>
      <c r="K165" s="52" t="s">
        <v>269</v>
      </c>
      <c r="L165" s="286">
        <f t="shared" si="15"/>
        <v>0</v>
      </c>
      <c r="P165" s="314"/>
      <c r="S165" s="18"/>
      <c r="T165" s="18"/>
      <c r="U165" s="18"/>
      <c r="V165" s="18"/>
      <c r="X165" s="548">
        <v>522</v>
      </c>
      <c r="Y165" s="283">
        <v>522</v>
      </c>
      <c r="Z165" s="18"/>
      <c r="AA165" s="383">
        <f t="shared" si="16"/>
        <v>0</v>
      </c>
      <c r="AB165" s="283">
        <f t="shared" si="17"/>
        <v>0</v>
      </c>
    </row>
    <row r="166" spans="1:28" ht="42.75" customHeight="1" x14ac:dyDescent="0.3">
      <c r="A166" s="209">
        <f>'Unit Data from Audit Worksheet'!A206</f>
        <v>523</v>
      </c>
      <c r="B166" s="222" t="str">
        <f>'Unit Data from Audit Worksheet'!C206</f>
        <v>WS Capital Assets Schedule-Accumulated Depreciation</v>
      </c>
      <c r="C166" s="208" t="str">
        <f>'Unit Data from Audit Worksheet'!D206</f>
        <v>Building accumulated depreciation</v>
      </c>
      <c r="D166" s="227"/>
      <c r="E166" s="228">
        <f>'Unit Data from Audit Worksheet'!F206</f>
        <v>0</v>
      </c>
      <c r="F166" s="80"/>
      <c r="G166" s="223"/>
      <c r="H166" s="220"/>
      <c r="I166" s="32"/>
      <c r="J166" s="219">
        <v>523</v>
      </c>
      <c r="K166" s="52" t="s">
        <v>270</v>
      </c>
      <c r="L166" s="286">
        <f t="shared" si="15"/>
        <v>0</v>
      </c>
      <c r="P166" s="314"/>
      <c r="S166" s="18"/>
      <c r="T166" s="18"/>
      <c r="U166" s="18"/>
      <c r="V166" s="18"/>
      <c r="X166" s="548">
        <v>523</v>
      </c>
      <c r="Y166" s="283">
        <v>523</v>
      </c>
      <c r="Z166" s="18"/>
      <c r="AA166" s="383">
        <f t="shared" si="16"/>
        <v>0</v>
      </c>
      <c r="AB166" s="283">
        <f t="shared" si="17"/>
        <v>0</v>
      </c>
    </row>
    <row r="167" spans="1:28" ht="51" customHeight="1" x14ac:dyDescent="0.3">
      <c r="A167" s="209">
        <f>'Unit Data from Audit Worksheet'!A207</f>
        <v>524</v>
      </c>
      <c r="B167" s="222" t="str">
        <f>'Unit Data from Audit Worksheet'!C207</f>
        <v>WS Capital Assets Schedule-Accumulated Depreciation</v>
      </c>
      <c r="C167" s="208" t="str">
        <f>'Unit Data from Audit Worksheet'!D207</f>
        <v>Plant / distributions systems / water lines accumulated depreciation</v>
      </c>
      <c r="D167" s="227"/>
      <c r="E167" s="228">
        <f>'Unit Data from Audit Worksheet'!F207</f>
        <v>0</v>
      </c>
      <c r="F167" s="80"/>
      <c r="G167" s="223"/>
      <c r="H167" s="220"/>
      <c r="I167" s="32"/>
      <c r="J167" s="219">
        <v>524</v>
      </c>
      <c r="K167" s="52" t="s">
        <v>271</v>
      </c>
      <c r="L167" s="286">
        <f t="shared" si="15"/>
        <v>0</v>
      </c>
      <c r="P167" s="314"/>
      <c r="S167" s="18"/>
      <c r="T167" s="18"/>
      <c r="U167" s="18"/>
      <c r="V167" s="18"/>
      <c r="X167" s="548">
        <v>524</v>
      </c>
      <c r="Y167" s="283">
        <v>524</v>
      </c>
      <c r="Z167" s="18"/>
      <c r="AA167" s="383">
        <f t="shared" si="16"/>
        <v>0</v>
      </c>
      <c r="AB167" s="283">
        <f t="shared" si="17"/>
        <v>0</v>
      </c>
    </row>
    <row r="168" spans="1:28" ht="57.75" customHeight="1" x14ac:dyDescent="0.3">
      <c r="A168" s="209">
        <f>'Unit Data from Audit Worksheet'!A208</f>
        <v>525</v>
      </c>
      <c r="B168" s="222" t="str">
        <f>'Unit Data from Audit Worksheet'!C208</f>
        <v>WS Capital Assets Schedule-Accumulated Depreciation</v>
      </c>
      <c r="C168" s="208" t="str">
        <f>'Unit Data from Audit Worksheet'!D208</f>
        <v>Infrastructure(other infrastructure) accumulated depreciation</v>
      </c>
      <c r="D168" s="227"/>
      <c r="E168" s="228">
        <f>'Unit Data from Audit Worksheet'!F208</f>
        <v>0</v>
      </c>
      <c r="F168" s="80"/>
      <c r="G168" s="223"/>
      <c r="H168" s="220"/>
      <c r="I168" s="32"/>
      <c r="J168" s="219">
        <v>525</v>
      </c>
      <c r="K168" s="52" t="s">
        <v>272</v>
      </c>
      <c r="L168" s="286">
        <f t="shared" si="15"/>
        <v>0</v>
      </c>
      <c r="P168" s="199"/>
      <c r="Q168" s="315"/>
      <c r="X168" s="548">
        <v>525</v>
      </c>
      <c r="Y168" s="283">
        <v>525</v>
      </c>
      <c r="AA168" s="383">
        <f t="shared" si="16"/>
        <v>0</v>
      </c>
      <c r="AB168" s="283">
        <f t="shared" si="17"/>
        <v>0</v>
      </c>
    </row>
    <row r="169" spans="1:28" ht="48" customHeight="1" x14ac:dyDescent="0.3">
      <c r="A169" s="209">
        <f>'Unit Data from Audit Worksheet'!A209</f>
        <v>526</v>
      </c>
      <c r="B169" s="222" t="str">
        <f>'Unit Data from Audit Worksheet'!C209</f>
        <v>WS Capital Assets Schedule-Accumulated Depreciation</v>
      </c>
      <c r="C169" s="208" t="str">
        <f>'Unit Data from Audit Worksheet'!D209</f>
        <v>All other depreciable capital assets accumulated depreciation</v>
      </c>
      <c r="D169" s="227"/>
      <c r="E169" s="228">
        <f>'Unit Data from Audit Worksheet'!F209</f>
        <v>0</v>
      </c>
      <c r="F169" s="80"/>
      <c r="G169" s="223"/>
      <c r="H169" s="220"/>
      <c r="I169" s="32"/>
      <c r="J169" s="219">
        <v>526</v>
      </c>
      <c r="K169" s="52" t="s">
        <v>273</v>
      </c>
      <c r="L169" s="286">
        <f t="shared" si="15"/>
        <v>0</v>
      </c>
      <c r="P169" s="193"/>
      <c r="Q169" s="3"/>
      <c r="X169" s="548">
        <v>526</v>
      </c>
      <c r="Y169" s="283">
        <v>526</v>
      </c>
      <c r="AA169" s="383">
        <f t="shared" si="16"/>
        <v>0</v>
      </c>
      <c r="AB169" s="283">
        <f t="shared" si="17"/>
        <v>0</v>
      </c>
    </row>
    <row r="170" spans="1:28" ht="50.25" customHeight="1" x14ac:dyDescent="0.3">
      <c r="A170" s="209">
        <f>'Unit Data from Audit Worksheet'!A214</f>
        <v>527</v>
      </c>
      <c r="B170" s="222" t="str">
        <f>'Unit Data from Audit Worksheet'!C214</f>
        <v>Electric Assets</v>
      </c>
      <c r="C170" s="208" t="str">
        <f>'Unit Data from Audit Worksheet'!D214</f>
        <v>Total Assets Gross value not being depreciated for Electric Fund</v>
      </c>
      <c r="D170" s="227"/>
      <c r="E170" s="228">
        <f>'Unit Data from Audit Worksheet'!F214</f>
        <v>0</v>
      </c>
      <c r="F170" s="80"/>
      <c r="G170" s="223"/>
      <c r="H170" s="220"/>
      <c r="I170" s="32"/>
      <c r="J170" s="219">
        <v>527</v>
      </c>
      <c r="K170" s="52" t="s">
        <v>274</v>
      </c>
      <c r="L170" s="286">
        <f t="shared" si="15"/>
        <v>0</v>
      </c>
      <c r="P170" s="193"/>
      <c r="X170" s="548">
        <v>527</v>
      </c>
      <c r="Y170" s="283">
        <v>527</v>
      </c>
      <c r="AA170" s="383">
        <f t="shared" si="16"/>
        <v>0</v>
      </c>
      <c r="AB170" s="283">
        <f t="shared" si="17"/>
        <v>0</v>
      </c>
    </row>
    <row r="171" spans="1:28" ht="54.75" customHeight="1" x14ac:dyDescent="0.3">
      <c r="A171" s="209">
        <f>'Unit Data from Audit Worksheet'!A215</f>
        <v>356</v>
      </c>
      <c r="B171" s="222" t="str">
        <f>'Unit Data from Audit Worksheet'!C215</f>
        <v>Electric Assets</v>
      </c>
      <c r="C171" s="208" t="str">
        <f>'Unit Data from Audit Worksheet'!D215</f>
        <v>Total Assets Gross value of assets being depreciated for Electric Fund</v>
      </c>
      <c r="D171" s="227"/>
      <c r="E171" s="228">
        <f>'Unit Data from Audit Worksheet'!F215</f>
        <v>0</v>
      </c>
      <c r="F171" s="80"/>
      <c r="G171" s="223"/>
      <c r="H171" s="220"/>
      <c r="I171" s="32"/>
      <c r="J171" s="219">
        <v>356</v>
      </c>
      <c r="K171" s="52" t="s">
        <v>305</v>
      </c>
      <c r="L171" s="286">
        <f t="shared" si="15"/>
        <v>0</v>
      </c>
      <c r="P171" s="193"/>
      <c r="X171" s="548">
        <v>356</v>
      </c>
      <c r="Y171" s="283">
        <v>356</v>
      </c>
      <c r="AA171" s="383">
        <f t="shared" si="16"/>
        <v>0</v>
      </c>
      <c r="AB171" s="283">
        <f t="shared" si="17"/>
        <v>0</v>
      </c>
    </row>
    <row r="172" spans="1:28" ht="54.75" customHeight="1" x14ac:dyDescent="0.3">
      <c r="A172" s="209">
        <f>'Unit Data from Audit Worksheet'!A216</f>
        <v>357</v>
      </c>
      <c r="B172" s="222" t="str">
        <f>'Unit Data from Audit Worksheet'!C216</f>
        <v>Electric Accumulated Depreciation</v>
      </c>
      <c r="C172" s="208" t="str">
        <f>'Unit Data from Audit Worksheet'!D216</f>
        <v>Total accumulated depreciation for Electric Fund assets</v>
      </c>
      <c r="D172" s="227"/>
      <c r="E172" s="228">
        <f>'Unit Data from Audit Worksheet'!F216</f>
        <v>0</v>
      </c>
      <c r="F172" s="80"/>
      <c r="G172" s="223"/>
      <c r="H172" s="220"/>
      <c r="I172" s="32"/>
      <c r="J172" s="219">
        <v>357</v>
      </c>
      <c r="K172" s="52" t="s">
        <v>306</v>
      </c>
      <c r="L172" s="286">
        <f t="shared" si="15"/>
        <v>0</v>
      </c>
      <c r="P172" s="193"/>
      <c r="X172" s="548">
        <v>357</v>
      </c>
      <c r="Y172" s="283">
        <v>357</v>
      </c>
      <c r="AA172" s="383">
        <f t="shared" si="16"/>
        <v>0</v>
      </c>
      <c r="AB172" s="283">
        <f t="shared" si="17"/>
        <v>0</v>
      </c>
    </row>
    <row r="173" spans="1:28" ht="191.25" customHeight="1" x14ac:dyDescent="0.3">
      <c r="A173" s="209">
        <f>'Unit Data from Audit Worksheet'!A218</f>
        <v>337</v>
      </c>
      <c r="B173" s="222" t="str">
        <f>'Unit Data from Audit Worksheet'!C218</f>
        <v>Long-Term Liability Note - Governmental Activities</v>
      </c>
      <c r="C173" s="222"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27"/>
      <c r="E173" s="228">
        <f>'Unit Data from Audit Worksheet'!F218</f>
        <v>0</v>
      </c>
      <c r="F173" s="221">
        <f>IF(L173&lt;0,"Error: Enter as a positive.",)</f>
        <v>0</v>
      </c>
      <c r="G173" s="223"/>
      <c r="H173" s="220"/>
      <c r="I173" s="32"/>
      <c r="J173" s="219">
        <v>337</v>
      </c>
      <c r="K173" s="218" t="s">
        <v>245</v>
      </c>
      <c r="L173" s="286">
        <f t="shared" si="15"/>
        <v>0</v>
      </c>
      <c r="P173" s="193"/>
      <c r="X173" s="548">
        <v>337</v>
      </c>
      <c r="Y173" s="283">
        <v>337</v>
      </c>
      <c r="AA173" s="383">
        <f t="shared" si="16"/>
        <v>0</v>
      </c>
      <c r="AB173" s="283">
        <f t="shared" si="17"/>
        <v>0</v>
      </c>
    </row>
    <row r="174" spans="1:28" ht="76.5" customHeight="1" x14ac:dyDescent="0.3">
      <c r="A174" s="209">
        <f>'Unit Data from Audit Worksheet'!A219</f>
        <v>343</v>
      </c>
      <c r="B174" s="222" t="str">
        <f>'Unit Data from Audit Worksheet'!C219</f>
        <v>Long-Term Liability Note - Governmental Activities</v>
      </c>
      <c r="C174" s="208" t="str">
        <f>'Unit Data from Audit Worksheet'!D219</f>
        <v>Decreases made (principal paid) on Long-Term Debt in current fiscal year.  Reduce for debt refunding.</v>
      </c>
      <c r="D174" s="227"/>
      <c r="E174" s="228">
        <f>'Unit Data from Audit Worksheet'!F219</f>
        <v>0</v>
      </c>
      <c r="F174" s="221">
        <f>IF(L174&lt;0,"Error: Enter as a positive.",)</f>
        <v>0</v>
      </c>
      <c r="G174" s="223"/>
      <c r="H174" s="220"/>
      <c r="I174" s="32"/>
      <c r="J174" s="219">
        <v>343</v>
      </c>
      <c r="K174" s="218" t="s">
        <v>246</v>
      </c>
      <c r="L174" s="286">
        <f t="shared" si="15"/>
        <v>0</v>
      </c>
      <c r="P174" s="193"/>
      <c r="X174" s="548">
        <v>343</v>
      </c>
      <c r="Y174" s="291">
        <v>343</v>
      </c>
      <c r="AA174" s="383">
        <f t="shared" si="16"/>
        <v>0</v>
      </c>
      <c r="AB174" s="283">
        <f t="shared" si="17"/>
        <v>0</v>
      </c>
    </row>
    <row r="175" spans="1:28" ht="193.5" customHeight="1" x14ac:dyDescent="0.3">
      <c r="A175" s="209">
        <f>'Unit Data from Audit Worksheet'!A220</f>
        <v>82</v>
      </c>
      <c r="B175" s="222" t="str">
        <f>'Unit Data from Audit Worksheet'!C220</f>
        <v>Long-Term Liability Note - Water Sewer Activities</v>
      </c>
      <c r="C175" s="222"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27"/>
      <c r="E175" s="228">
        <f>'Unit Data from Audit Worksheet'!F220</f>
        <v>0</v>
      </c>
      <c r="F175" s="221">
        <f>IF(L175&lt;0,"Error: Enter as a positive.",)</f>
        <v>0</v>
      </c>
      <c r="G175" s="223"/>
      <c r="H175" s="220"/>
      <c r="I175" s="32"/>
      <c r="J175" s="219">
        <v>82</v>
      </c>
      <c r="K175" s="62" t="s">
        <v>307</v>
      </c>
      <c r="L175" s="286">
        <f t="shared" si="15"/>
        <v>0</v>
      </c>
      <c r="P175" s="193"/>
      <c r="X175" s="548">
        <v>82</v>
      </c>
      <c r="Y175" s="283">
        <v>82</v>
      </c>
      <c r="AA175" s="383">
        <f t="shared" si="16"/>
        <v>0</v>
      </c>
      <c r="AB175" s="283">
        <f t="shared" si="17"/>
        <v>0</v>
      </c>
    </row>
    <row r="176" spans="1:28" ht="206.25" customHeight="1" x14ac:dyDescent="0.3">
      <c r="A176" s="209">
        <f>'Unit Data from Audit Worksheet'!A221</f>
        <v>359</v>
      </c>
      <c r="B176" s="222" t="str">
        <f>'Unit Data from Audit Worksheet'!C221</f>
        <v>Long-Term Liability Note - Electric Activities</v>
      </c>
      <c r="C176" s="222"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27"/>
      <c r="E176" s="228">
        <f>'Unit Data from Audit Worksheet'!F221</f>
        <v>0</v>
      </c>
      <c r="F176" s="221">
        <f>IF(L176&lt;0,"Error: Enter as a positive.",)</f>
        <v>0</v>
      </c>
      <c r="G176" s="223"/>
      <c r="H176" s="220"/>
      <c r="I176" s="32"/>
      <c r="J176" s="219">
        <v>359</v>
      </c>
      <c r="K176" s="218" t="s">
        <v>247</v>
      </c>
      <c r="L176" s="286">
        <f t="shared" si="15"/>
        <v>0</v>
      </c>
      <c r="P176" s="193"/>
      <c r="X176" s="548">
        <v>359</v>
      </c>
      <c r="Y176" s="283">
        <v>359</v>
      </c>
      <c r="AA176" s="383">
        <f t="shared" si="16"/>
        <v>0</v>
      </c>
      <c r="AB176" s="283">
        <f t="shared" si="17"/>
        <v>0</v>
      </c>
    </row>
    <row r="177" spans="1:28" ht="87.6" customHeight="1" x14ac:dyDescent="0.3">
      <c r="A177" s="209">
        <f>'Unit Data from Audit Worksheet'!A223</f>
        <v>622</v>
      </c>
      <c r="B177" s="222" t="str">
        <f>'Unit Data from Audit Worksheet'!C223</f>
        <v>FS., Pension note or RSI</v>
      </c>
      <c r="C177" s="222"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27"/>
      <c r="E177" s="228">
        <f>'Unit Data from Audit Worksheet'!F223</f>
        <v>0</v>
      </c>
      <c r="F177" s="221"/>
      <c r="G177" s="223"/>
      <c r="H177" s="220"/>
      <c r="I177" s="32"/>
      <c r="J177" s="219">
        <v>622</v>
      </c>
      <c r="K177" s="225" t="s">
        <v>357</v>
      </c>
      <c r="L177" s="286">
        <f t="shared" si="15"/>
        <v>0</v>
      </c>
      <c r="P177" s="193"/>
      <c r="S177" s="18"/>
      <c r="T177" s="18"/>
      <c r="U177" s="18"/>
      <c r="V177" s="18"/>
      <c r="X177" s="548">
        <v>622</v>
      </c>
      <c r="Y177" s="283">
        <v>622</v>
      </c>
      <c r="Z177" s="18"/>
      <c r="AA177" s="383">
        <f t="shared" si="16"/>
        <v>0</v>
      </c>
      <c r="AB177" s="283">
        <f t="shared" si="17"/>
        <v>0</v>
      </c>
    </row>
    <row r="178" spans="1:28" ht="138.75" customHeight="1" x14ac:dyDescent="0.3">
      <c r="A178" s="209">
        <f>'Unit Data from Audit Worksheet'!A224</f>
        <v>577</v>
      </c>
      <c r="B178" s="222" t="str">
        <f>'Unit Data from Audit Worksheet'!C224</f>
        <v>Pension Notes</v>
      </c>
      <c r="C178" s="222"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27"/>
      <c r="E178" s="228">
        <f>'Unit Data from Audit Worksheet'!F224</f>
        <v>0</v>
      </c>
      <c r="F178" s="221"/>
      <c r="G178" s="223"/>
      <c r="H178" s="220"/>
      <c r="I178" s="32"/>
      <c r="J178" s="219">
        <v>577</v>
      </c>
      <c r="K178" s="225" t="s">
        <v>329</v>
      </c>
      <c r="L178" s="286">
        <f t="shared" si="15"/>
        <v>0</v>
      </c>
      <c r="P178" s="193"/>
      <c r="S178" s="18"/>
      <c r="T178" s="18"/>
      <c r="U178" s="18"/>
      <c r="V178" s="18"/>
      <c r="X178" s="548">
        <v>577</v>
      </c>
      <c r="Y178" s="283">
        <v>577</v>
      </c>
      <c r="Z178" s="18"/>
      <c r="AA178" s="383">
        <f t="shared" si="16"/>
        <v>0</v>
      </c>
      <c r="AB178" s="283">
        <f t="shared" si="17"/>
        <v>0</v>
      </c>
    </row>
    <row r="179" spans="1:28" ht="115.5" customHeight="1" x14ac:dyDescent="0.3">
      <c r="A179" s="312">
        <f>'Unit Data from Audit Worksheet'!A226</f>
        <v>598</v>
      </c>
      <c r="B179" s="222" t="str">
        <f>'Unit Data from Audit Worksheet'!C226</f>
        <v>LEO Note</v>
      </c>
      <c r="C179" s="208" t="str">
        <f>'Unit Data from Audit Worksheet'!D226</f>
        <v>Amount the unit paid out in benefits under LEO special separation allowance to retired law enforcement officers this fiscal year if you report under GASB 68 or GASB 73.</v>
      </c>
      <c r="D179" s="227"/>
      <c r="E179" s="228">
        <f>'Unit Data from Audit Worksheet'!F226</f>
        <v>0</v>
      </c>
      <c r="F179" s="221">
        <f>IF(L179&lt;0,"Error: Enter as a positive.",)</f>
        <v>0</v>
      </c>
      <c r="G179" s="223"/>
      <c r="H179" s="220"/>
      <c r="I179" s="32"/>
      <c r="J179" s="219">
        <v>598</v>
      </c>
      <c r="K179" s="87" t="s">
        <v>341</v>
      </c>
      <c r="L179" s="286">
        <f t="shared" si="15"/>
        <v>0</v>
      </c>
      <c r="P179" s="193"/>
      <c r="S179" s="18"/>
      <c r="T179" s="18"/>
      <c r="U179" s="18"/>
      <c r="V179" s="18"/>
      <c r="X179" s="548">
        <v>598</v>
      </c>
      <c r="Y179" s="283">
        <v>598</v>
      </c>
      <c r="Z179" s="18"/>
      <c r="AA179" s="383">
        <f t="shared" si="16"/>
        <v>0</v>
      </c>
      <c r="AB179" s="283">
        <f t="shared" si="17"/>
        <v>0</v>
      </c>
    </row>
    <row r="180" spans="1:28" ht="84" customHeight="1" x14ac:dyDescent="0.3">
      <c r="A180" s="209">
        <f>'Unit Data from Audit Worksheet'!A227</f>
        <v>599</v>
      </c>
      <c r="B180" s="222" t="str">
        <f>'Unit Data from Audit Worksheet'!C227</f>
        <v>LEO Note</v>
      </c>
      <c r="C180" s="208" t="str">
        <f>'Unit Data from Audit Worksheet'!D227</f>
        <v>The total LEO pension liability if you report under GASB 68 or GASB 73.</v>
      </c>
      <c r="D180" s="227"/>
      <c r="E180" s="228">
        <f>'Unit Data from Audit Worksheet'!F227</f>
        <v>0</v>
      </c>
      <c r="F180" s="221">
        <f>IF(L180&lt;0,"Error: Enter as a positive.",)</f>
        <v>0</v>
      </c>
      <c r="G180" s="223"/>
      <c r="H180" s="220"/>
      <c r="I180" s="32"/>
      <c r="J180" s="219">
        <v>599</v>
      </c>
      <c r="K180" s="86" t="s">
        <v>340</v>
      </c>
      <c r="L180" s="286">
        <f t="shared" si="15"/>
        <v>0</v>
      </c>
      <c r="P180" s="193"/>
      <c r="X180" s="548">
        <v>599</v>
      </c>
      <c r="Y180" s="283">
        <v>599</v>
      </c>
      <c r="AA180" s="383">
        <f t="shared" si="16"/>
        <v>0</v>
      </c>
      <c r="AB180" s="283">
        <f t="shared" si="17"/>
        <v>0</v>
      </c>
    </row>
    <row r="181" spans="1:28" ht="102.75" customHeight="1" x14ac:dyDescent="0.3">
      <c r="A181" s="209">
        <f>'Unit Data from Audit Worksheet'!A228</f>
        <v>602</v>
      </c>
      <c r="B181" s="222" t="str">
        <f>'Unit Data from Audit Worksheet'!C228</f>
        <v>LEO Note</v>
      </c>
      <c r="C181" s="208" t="str">
        <f>'Unit Data from Audit Worksheet'!D228</f>
        <v>If you have LEO pension assets and are reporting under GASB 68 please enter "Plan Fiduciary Net Position" which can be found on your RSI schedules and the Notes.</v>
      </c>
      <c r="D181" s="227"/>
      <c r="E181" s="228">
        <f>'Unit Data from Audit Worksheet'!F228</f>
        <v>0</v>
      </c>
      <c r="F181" s="221">
        <f>IF(L181&lt;0,"Error: Enter as a positive.",)</f>
        <v>0</v>
      </c>
      <c r="G181" s="223"/>
      <c r="H181" s="220"/>
      <c r="I181" s="32"/>
      <c r="J181" s="219">
        <v>602</v>
      </c>
      <c r="K181" s="23" t="s">
        <v>342</v>
      </c>
      <c r="L181" s="286">
        <f t="shared" si="15"/>
        <v>0</v>
      </c>
      <c r="P181" s="193"/>
      <c r="X181" s="548">
        <v>602</v>
      </c>
      <c r="Y181" s="283">
        <v>602</v>
      </c>
      <c r="AA181" s="383">
        <f t="shared" si="16"/>
        <v>0</v>
      </c>
      <c r="AB181" s="283">
        <f t="shared" si="17"/>
        <v>0</v>
      </c>
    </row>
    <row r="182" spans="1:28" ht="123" customHeight="1" x14ac:dyDescent="0.3">
      <c r="A182" s="209">
        <f>'Unit Data from Audit Worksheet'!A229</f>
        <v>619</v>
      </c>
      <c r="B182" s="222"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1" t="str">
        <f>IF(H182=L182,"","Column L does not equal Column H")</f>
        <v/>
      </c>
      <c r="G182" s="223"/>
      <c r="H182" s="95">
        <f>ROUND(IFERROR((L181/L180)*100,0),1)</f>
        <v>0</v>
      </c>
      <c r="I182" s="32"/>
      <c r="J182" s="211">
        <v>619</v>
      </c>
      <c r="K182" s="94" t="s">
        <v>446</v>
      </c>
      <c r="L182" s="717">
        <f t="shared" si="15"/>
        <v>0</v>
      </c>
      <c r="P182" s="193"/>
      <c r="X182" s="548">
        <v>619</v>
      </c>
      <c r="Y182" s="283">
        <v>619</v>
      </c>
      <c r="AA182" s="383">
        <f t="shared" si="16"/>
        <v>0</v>
      </c>
      <c r="AB182" s="283">
        <f t="shared" si="17"/>
        <v>0</v>
      </c>
    </row>
    <row r="183" spans="1:28" ht="113.25" customHeight="1" x14ac:dyDescent="0.3">
      <c r="A183" s="209">
        <v>621</v>
      </c>
      <c r="B183" s="51" t="s">
        <v>351</v>
      </c>
      <c r="C183" s="316" t="str">
        <f>'Unit Data from Audit Worksheet'!D231</f>
        <v xml:space="preserve">Unit's share of Retirement Health Benefit Fund Net OPEB Liability ($s)
- unit of government is a participating employer in the State's RHBF </v>
      </c>
      <c r="D183" s="88"/>
      <c r="E183" s="228">
        <f>'Unit Data from Audit Worksheet'!F231</f>
        <v>0</v>
      </c>
      <c r="F183" s="221">
        <f>IF(L183&lt;0,"Error: Enter as a positive.",)</f>
        <v>0</v>
      </c>
      <c r="G183" s="120"/>
      <c r="H183" s="220"/>
      <c r="I183" s="32"/>
      <c r="J183" s="317">
        <v>621</v>
      </c>
      <c r="K183" s="121" t="s">
        <v>450</v>
      </c>
      <c r="L183" s="286">
        <f t="shared" si="15"/>
        <v>0</v>
      </c>
      <c r="P183" s="194"/>
      <c r="X183" s="548">
        <v>621</v>
      </c>
      <c r="Y183" s="283">
        <v>621</v>
      </c>
      <c r="AA183" s="383">
        <f t="shared" si="16"/>
        <v>0</v>
      </c>
      <c r="AB183" s="283">
        <f t="shared" si="17"/>
        <v>0</v>
      </c>
    </row>
    <row r="184" spans="1:28" s="18" customFormat="1" ht="127.5" customHeight="1" x14ac:dyDescent="0.3">
      <c r="A184" s="312">
        <f>'Unit Data from Audit Worksheet'!A232</f>
        <v>547</v>
      </c>
      <c r="B184" s="222" t="str">
        <f>'Unit Data from Audit Worksheet'!C232</f>
        <v>OPEB Note</v>
      </c>
      <c r="C184" s="222"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27"/>
      <c r="E184" s="228">
        <f>'Unit Data from Audit Worksheet'!F232</f>
        <v>0</v>
      </c>
      <c r="F184" s="221" t="str">
        <f>IF(L187&lt;1,"Please answer this question","")</f>
        <v>Please answer this question</v>
      </c>
      <c r="G184" s="223"/>
      <c r="H184" s="220"/>
      <c r="I184" s="32"/>
      <c r="J184" s="219">
        <v>547</v>
      </c>
      <c r="K184" s="318" t="s">
        <v>295</v>
      </c>
      <c r="L184" s="286">
        <f t="shared" si="15"/>
        <v>0</v>
      </c>
      <c r="M184"/>
      <c r="P184" s="194"/>
      <c r="Q184" s="276"/>
      <c r="R184" s="3"/>
      <c r="S184" s="3"/>
      <c r="T184" s="3"/>
      <c r="U184" s="3"/>
      <c r="V184" s="3"/>
      <c r="W184" s="3"/>
      <c r="X184" s="548">
        <v>547</v>
      </c>
      <c r="Y184" s="283">
        <v>547</v>
      </c>
      <c r="Z184" s="3"/>
      <c r="AA184" s="383">
        <f t="shared" si="16"/>
        <v>0</v>
      </c>
      <c r="AB184" s="283">
        <f t="shared" si="17"/>
        <v>0</v>
      </c>
    </row>
    <row r="185" spans="1:28" s="18" customFormat="1" ht="99" customHeight="1" x14ac:dyDescent="0.3">
      <c r="A185" s="209">
        <f>'Unit Data from Audit Worksheet'!A233</f>
        <v>659</v>
      </c>
      <c r="B185" s="222" t="str">
        <f>'Unit Data from Audit Worksheet'!C233</f>
        <v>OPEB
 Note or RSI</v>
      </c>
      <c r="C185" s="208" t="str">
        <f>'Unit Data from Audit Worksheet'!D233</f>
        <v>Total OPEB benefits - total OPEB liability
If you do not provide benefit, please enter 0</v>
      </c>
      <c r="D185" s="227"/>
      <c r="E185" s="228">
        <f>'Unit Data from Audit Worksheet'!F233</f>
        <v>0</v>
      </c>
      <c r="F185" s="221">
        <f>IF(L185&lt;0,"Error: Enter as a positive.",)</f>
        <v>0</v>
      </c>
      <c r="G185" s="319" t="s">
        <v>1485</v>
      </c>
      <c r="H185" s="220"/>
      <c r="I185" s="32"/>
      <c r="J185" s="211">
        <v>659</v>
      </c>
      <c r="K185" s="210" t="s">
        <v>415</v>
      </c>
      <c r="L185" s="299">
        <f t="shared" si="15"/>
        <v>0</v>
      </c>
      <c r="M185"/>
      <c r="P185" s="194"/>
      <c r="Q185" s="276"/>
      <c r="R185" s="3"/>
      <c r="S185" s="3"/>
      <c r="T185" s="3"/>
      <c r="U185" s="3"/>
      <c r="V185" s="3"/>
      <c r="W185" s="3"/>
      <c r="X185" s="548">
        <v>659</v>
      </c>
      <c r="Y185" s="283">
        <v>659</v>
      </c>
      <c r="Z185" s="3"/>
      <c r="AA185" s="383">
        <f t="shared" si="16"/>
        <v>0</v>
      </c>
      <c r="AB185" s="283">
        <f t="shared" si="17"/>
        <v>0</v>
      </c>
    </row>
    <row r="186" spans="1:28" s="18" customFormat="1" ht="131.25" customHeight="1" x14ac:dyDescent="0.3">
      <c r="A186" s="209">
        <f>'Unit Data from Audit Worksheet'!A234</f>
        <v>660</v>
      </c>
      <c r="B186" s="222" t="str">
        <f>'Unit Data from Audit Worksheet'!C234</f>
        <v>OPEB
 Note or RSI</v>
      </c>
      <c r="C186" s="208" t="str">
        <f>'Unit Data from Audit Worksheet'!D234</f>
        <v>Total OPEB benefits- OPEB plan fiduciary net position
If no fiduciary net position, enter 0</v>
      </c>
      <c r="D186" s="227"/>
      <c r="E186" s="228">
        <f>'Unit Data from Audit Worksheet'!F234</f>
        <v>0</v>
      </c>
      <c r="F186" s="217">
        <f>IF(L186&lt;0,"Note: Number is normally positive.",)</f>
        <v>0</v>
      </c>
      <c r="G186" s="319" t="s">
        <v>1485</v>
      </c>
      <c r="H186" s="220"/>
      <c r="I186" s="32"/>
      <c r="J186" s="211">
        <v>660</v>
      </c>
      <c r="K186" s="210" t="s">
        <v>416</v>
      </c>
      <c r="L186" s="299">
        <f t="shared" si="15"/>
        <v>0</v>
      </c>
      <c r="M186"/>
      <c r="P186" s="194"/>
      <c r="Q186" s="276"/>
      <c r="R186" s="3"/>
      <c r="S186" s="3"/>
      <c r="T186" s="3"/>
      <c r="U186" s="3"/>
      <c r="V186" s="3"/>
      <c r="W186" s="3"/>
      <c r="X186" s="548">
        <v>660</v>
      </c>
      <c r="Y186" s="283">
        <v>660</v>
      </c>
      <c r="Z186" s="3"/>
      <c r="AA186" s="383">
        <f t="shared" si="16"/>
        <v>0</v>
      </c>
      <c r="AB186" s="283">
        <f t="shared" si="17"/>
        <v>0</v>
      </c>
    </row>
    <row r="187" spans="1:28" ht="134.25" customHeight="1" x14ac:dyDescent="0.3">
      <c r="A187" s="209">
        <f>'Unit Data from Audit Worksheet'!A235</f>
        <v>661</v>
      </c>
      <c r="B187" s="222" t="str">
        <f>'Unit Data from Audit Worksheet'!C235</f>
        <v>OPEB
RSI</v>
      </c>
      <c r="C187" s="208"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07">
        <f>'Unit Data from Audit Worksheet'!F235</f>
        <v>0</v>
      </c>
      <c r="F187" s="221" t="str">
        <f>IF(H187=L187,"","Column L does not equal Column H")</f>
        <v/>
      </c>
      <c r="G187" s="319" t="s">
        <v>1485</v>
      </c>
      <c r="H187" s="160">
        <f>ROUND(IFERROR((L186/L185)*100,0),1)</f>
        <v>0</v>
      </c>
      <c r="I187" s="32"/>
      <c r="J187" s="211">
        <v>661</v>
      </c>
      <c r="K187" s="225" t="s">
        <v>418</v>
      </c>
      <c r="L187" s="718">
        <f>IF(D187="",E187,D187)</f>
        <v>0</v>
      </c>
      <c r="P187" s="194"/>
      <c r="X187" s="548">
        <v>661</v>
      </c>
      <c r="Y187" s="3">
        <v>661</v>
      </c>
      <c r="AA187" s="383">
        <f t="shared" si="16"/>
        <v>0</v>
      </c>
      <c r="AB187" s="283">
        <f t="shared" si="17"/>
        <v>0</v>
      </c>
    </row>
    <row r="188" spans="1:28" ht="65.25" customHeight="1" x14ac:dyDescent="0.3">
      <c r="A188" s="209">
        <f>'Unit Data from Audit Worksheet'!A238</f>
        <v>371</v>
      </c>
      <c r="B188" s="222" t="str">
        <f>'Unit Data from Audit Worksheet'!C238</f>
        <v>Transfer Note</v>
      </c>
      <c r="C188" s="208" t="str">
        <f>'Unit Data from Audit Worksheet'!D238</f>
        <v>Amount of Transfers from the General Fund to the Debt Service Fund (Enter as positive)</v>
      </c>
      <c r="D188" s="227"/>
      <c r="E188" s="228">
        <f>'Unit Data from Audit Worksheet'!F238</f>
        <v>0</v>
      </c>
      <c r="F188" s="221">
        <f>IF(L188&lt;0,"Error: Enter as a positive.",)</f>
        <v>0</v>
      </c>
      <c r="G188" s="223"/>
      <c r="H188" s="220"/>
      <c r="I188" s="32"/>
      <c r="J188" s="33">
        <v>371</v>
      </c>
      <c r="K188" s="218" t="s">
        <v>248</v>
      </c>
      <c r="L188" s="286">
        <f t="shared" si="15"/>
        <v>0</v>
      </c>
      <c r="P188" s="196"/>
      <c r="X188" s="548">
        <v>371</v>
      </c>
      <c r="Y188" s="3">
        <v>371</v>
      </c>
      <c r="AA188" s="383">
        <f t="shared" si="16"/>
        <v>0</v>
      </c>
      <c r="AB188" s="283">
        <f t="shared" si="17"/>
        <v>0</v>
      </c>
    </row>
    <row r="189" spans="1:28" s="383" customFormat="1" ht="65.25" customHeight="1" x14ac:dyDescent="0.3">
      <c r="A189" s="301">
        <f>'Unit Data from Audit Worksheet'!A239</f>
        <v>1075</v>
      </c>
      <c r="B189" s="226" t="str">
        <f>'Unit Data from Audit Worksheet'!C239</f>
        <v>Transfer Note</v>
      </c>
      <c r="C189" s="302" t="str">
        <f>'Unit Data from Audit Worksheet'!D239</f>
        <v>Transfers from General Fund to Water and Sewer Fund.  (Enter as positive)</v>
      </c>
      <c r="D189" s="227"/>
      <c r="E189" s="229">
        <f>'Unit Data from Audit Worksheet'!F239</f>
        <v>0</v>
      </c>
      <c r="F189" s="221"/>
      <c r="G189" s="223"/>
      <c r="H189" s="220"/>
      <c r="I189" s="32"/>
      <c r="J189" s="780">
        <v>1075</v>
      </c>
      <c r="K189" s="118" t="s">
        <v>1581</v>
      </c>
      <c r="L189" s="303">
        <f t="shared" si="15"/>
        <v>0</v>
      </c>
      <c r="M189" s="180"/>
      <c r="P189" s="196"/>
      <c r="Q189" s="276"/>
      <c r="X189" s="548"/>
      <c r="AB189" s="283"/>
    </row>
    <row r="190" spans="1:28" s="383" customFormat="1" ht="65.25" customHeight="1" x14ac:dyDescent="0.3">
      <c r="A190" s="301">
        <f>'Unit Data from Audit Worksheet'!A240</f>
        <v>1076</v>
      </c>
      <c r="B190" s="226" t="str">
        <f>'Unit Data from Audit Worksheet'!C240</f>
        <v>Transfer Note</v>
      </c>
      <c r="C190" s="302" t="str">
        <f>'Unit Data from Audit Worksheet'!D240</f>
        <v>Transfers from Water and Sewer to General Fund.  (Enter as positive)</v>
      </c>
      <c r="D190" s="227"/>
      <c r="E190" s="229">
        <f>'Unit Data from Audit Worksheet'!F240</f>
        <v>0</v>
      </c>
      <c r="F190" s="221"/>
      <c r="G190" s="223"/>
      <c r="H190" s="220"/>
      <c r="I190" s="32"/>
      <c r="J190" s="780">
        <v>1076</v>
      </c>
      <c r="K190" s="118" t="s">
        <v>1582</v>
      </c>
      <c r="L190" s="303">
        <f t="shared" si="15"/>
        <v>0</v>
      </c>
      <c r="M190" s="180"/>
      <c r="P190" s="196"/>
      <c r="Q190" s="276"/>
      <c r="X190" s="548"/>
      <c r="AB190" s="283"/>
    </row>
    <row r="191" spans="1:28" s="383" customFormat="1" ht="65.25" customHeight="1" x14ac:dyDescent="0.3">
      <c r="A191" s="301">
        <f>'Unit Data from Audit Worksheet'!A241</f>
        <v>1077</v>
      </c>
      <c r="B191" s="226" t="str">
        <f>'Unit Data from Audit Worksheet'!C241</f>
        <v>Water and Sewer - Fund Revenue, Expenses &amp; Changes in Fund Net Position or Notes to Financial Statements</v>
      </c>
      <c r="C191" s="302" t="str">
        <f>'Unit Data from Audit Worksheet'!D241</f>
        <v>Amount transferred from the Water and Sewer Fund to  Water and Sewer Capital Project Funds</v>
      </c>
      <c r="D191" s="227"/>
      <c r="E191" s="229">
        <f>'Unit Data from Audit Worksheet'!F241</f>
        <v>0</v>
      </c>
      <c r="F191" s="221"/>
      <c r="G191" s="223"/>
      <c r="H191" s="220"/>
      <c r="I191" s="32"/>
      <c r="J191" s="780">
        <v>1077</v>
      </c>
      <c r="K191" s="118" t="s">
        <v>1958</v>
      </c>
      <c r="L191" s="303">
        <f t="shared" si="15"/>
        <v>0</v>
      </c>
      <c r="M191" s="180"/>
      <c r="P191" s="196"/>
      <c r="Q191" s="276"/>
      <c r="X191" s="548"/>
      <c r="AB191" s="283"/>
    </row>
    <row r="192" spans="1:28" ht="63" customHeight="1" x14ac:dyDescent="0.3">
      <c r="A192" s="209">
        <f>'Unit Data from Audit Worksheet'!A242</f>
        <v>513</v>
      </c>
      <c r="B192" s="222" t="str">
        <f>'Unit Data from Audit Worksheet'!C242</f>
        <v>Transfer Note</v>
      </c>
      <c r="C192" s="208" t="str">
        <f>'Unit Data from Audit Worksheet'!D242</f>
        <v>Amount of Transfers from the General Fund to the Electric Fund  (Enter as positive)</v>
      </c>
      <c r="D192" s="227"/>
      <c r="E192" s="228">
        <f>'Unit Data from Audit Worksheet'!F242</f>
        <v>0</v>
      </c>
      <c r="F192" s="221">
        <f>IF(L192&lt;0,"Error: Enter as a positive.",)</f>
        <v>0</v>
      </c>
      <c r="G192" s="223"/>
      <c r="H192" s="220"/>
      <c r="I192" s="32"/>
      <c r="J192" s="219">
        <v>513</v>
      </c>
      <c r="K192" s="218" t="s">
        <v>249</v>
      </c>
      <c r="L192" s="286">
        <f t="shared" si="15"/>
        <v>0</v>
      </c>
      <c r="P192" s="196"/>
      <c r="X192" s="548">
        <v>513</v>
      </c>
      <c r="Y192" s="3">
        <v>513</v>
      </c>
      <c r="AA192" s="383">
        <f t="shared" si="16"/>
        <v>0</v>
      </c>
      <c r="AB192" s="283">
        <f t="shared" si="17"/>
        <v>0</v>
      </c>
    </row>
    <row r="193" spans="1:28" ht="89.25" customHeight="1" x14ac:dyDescent="0.3">
      <c r="A193" s="209">
        <f>'Unit Data from Audit Worksheet'!A243</f>
        <v>514</v>
      </c>
      <c r="B193" s="222" t="str">
        <f>'Unit Data from Audit Worksheet'!C243</f>
        <v>Transfer Note</v>
      </c>
      <c r="C193" s="208" t="str">
        <f>'Unit Data from Audit Worksheet'!D243</f>
        <v>Amount of Transfers from the Electric Fund to the General Fund  (Enter as positive)
Include:  Payment in Lieu of Taxes (PILOT)</v>
      </c>
      <c r="D193" s="227"/>
      <c r="E193" s="228">
        <f>'Unit Data from Audit Worksheet'!F243</f>
        <v>0</v>
      </c>
      <c r="F193" s="221">
        <f>IF(L193&lt;0,"Error: Enter as a positive.",)</f>
        <v>0</v>
      </c>
      <c r="G193" s="223"/>
      <c r="H193" s="220"/>
      <c r="I193" s="32"/>
      <c r="J193" s="219">
        <v>514</v>
      </c>
      <c r="K193" s="218" t="s">
        <v>250</v>
      </c>
      <c r="L193" s="286">
        <f t="shared" si="15"/>
        <v>0</v>
      </c>
      <c r="P193" s="196"/>
      <c r="X193" s="548">
        <v>514</v>
      </c>
      <c r="Y193" s="3">
        <v>514</v>
      </c>
      <c r="AA193" s="383">
        <f t="shared" si="16"/>
        <v>0</v>
      </c>
      <c r="AB193" s="283">
        <f t="shared" si="17"/>
        <v>0</v>
      </c>
    </row>
    <row r="194" spans="1:28" ht="89.25" customHeight="1" x14ac:dyDescent="0.3">
      <c r="A194" s="209">
        <f>'Unit Data from Audit Worksheet'!A244</f>
        <v>990</v>
      </c>
      <c r="B194" s="222" t="str">
        <f>'Unit Data from Audit Worksheet'!C244</f>
        <v>Transfer Note</v>
      </c>
      <c r="C194" s="208" t="str">
        <f>'Unit Data from Audit Worksheet'!D244</f>
        <v>Amount of transfer out of the Electric to the General Fund that is for Payment in Lieu of Taxes (PILOT)</v>
      </c>
      <c r="D194" s="227"/>
      <c r="E194" s="228">
        <f>'Unit Data from Audit Worksheet'!F244</f>
        <v>0</v>
      </c>
      <c r="F194" s="221"/>
      <c r="G194" s="223"/>
      <c r="H194" s="220"/>
      <c r="I194" s="32"/>
      <c r="J194" s="219">
        <v>990</v>
      </c>
      <c r="K194" s="218" t="s">
        <v>575</v>
      </c>
      <c r="L194" s="286">
        <f t="shared" si="15"/>
        <v>0</v>
      </c>
      <c r="P194" s="196"/>
      <c r="X194" s="548">
        <v>990</v>
      </c>
      <c r="Y194" s="3">
        <v>990</v>
      </c>
      <c r="AA194" s="383">
        <f t="shared" si="16"/>
        <v>0</v>
      </c>
      <c r="AB194" s="283">
        <f t="shared" si="17"/>
        <v>0</v>
      </c>
    </row>
    <row r="195" spans="1:28" s="383" customFormat="1" ht="89.25" customHeight="1" x14ac:dyDescent="0.3">
      <c r="A195" s="209">
        <f>'Unit Data from Audit Worksheet'!A245</f>
        <v>1051</v>
      </c>
      <c r="B195" s="222" t="str">
        <f>'Unit Data from Audit Worksheet'!C245</f>
        <v>Electric Fund Revenue, Expenses &amp; Changes in Fund Net Position or Notes to Financial Statements</v>
      </c>
      <c r="C195" s="208" t="str">
        <f>'Unit Data from Audit Worksheet'!D245</f>
        <v>Transfers to Electric Capital Projects</v>
      </c>
      <c r="D195" s="227"/>
      <c r="E195" s="228">
        <f>'Unit Data from Audit Worksheet'!F245</f>
        <v>0</v>
      </c>
      <c r="F195" s="221"/>
      <c r="G195" s="223"/>
      <c r="H195" s="220"/>
      <c r="I195" s="32"/>
      <c r="J195" s="219">
        <v>1051</v>
      </c>
      <c r="K195" s="218" t="s">
        <v>1428</v>
      </c>
      <c r="L195" s="292">
        <f t="shared" si="15"/>
        <v>0</v>
      </c>
      <c r="M195"/>
      <c r="P195" s="196"/>
      <c r="Q195" s="276"/>
      <c r="X195" s="548"/>
      <c r="AB195" s="283"/>
    </row>
    <row r="196" spans="1:28" ht="84.75" customHeight="1" x14ac:dyDescent="0.3">
      <c r="A196" s="320">
        <f>'Unit Data from Audit Worksheet'!A247</f>
        <v>6</v>
      </c>
      <c r="B196" s="47" t="str">
        <f>'Unit Data from Audit Worksheet'!C247</f>
        <v>Fund Balance Note</v>
      </c>
      <c r="C196" s="295" t="str">
        <f>'Unit Data from Audit Worksheet'!D247</f>
        <v>General Fund -  Total Encumbrances.  You will probably have to refer to the note disclosure where the amount of encumbrances is listed.</v>
      </c>
      <c r="D196" s="227"/>
      <c r="E196" s="144">
        <f>'Unit Data from Audit Worksheet'!F247</f>
        <v>0</v>
      </c>
      <c r="F196" s="31">
        <f>IF(L196&lt;0,"Error: Enter as a positive.",)</f>
        <v>0</v>
      </c>
      <c r="G196" s="66"/>
      <c r="H196" s="220"/>
      <c r="I196" s="32"/>
      <c r="J196" s="35">
        <v>6</v>
      </c>
      <c r="K196" s="125" t="s">
        <v>251</v>
      </c>
      <c r="L196" s="286">
        <f t="shared" si="15"/>
        <v>0</v>
      </c>
      <c r="P196" s="196"/>
      <c r="X196" s="548">
        <v>6</v>
      </c>
      <c r="Y196" s="3">
        <v>6</v>
      </c>
      <c r="AA196" s="383">
        <f t="shared" si="16"/>
        <v>0</v>
      </c>
      <c r="AB196" s="283">
        <f t="shared" si="17"/>
        <v>0</v>
      </c>
    </row>
    <row r="197" spans="1:28" ht="117.75" customHeight="1" x14ac:dyDescent="0.3">
      <c r="A197" s="209">
        <f>'Unit Data from Audit Worksheet'!A249</f>
        <v>541</v>
      </c>
      <c r="B197" s="222" t="str">
        <f>'Unit Data from Audit Worksheet'!C249</f>
        <v>Water Sewer - Budget Actual Statement</v>
      </c>
      <c r="C197" s="222"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27"/>
      <c r="E197" s="228">
        <f>'Unit Data from Audit Worksheet'!F249</f>
        <v>0</v>
      </c>
      <c r="F197" s="221"/>
      <c r="G197" s="223"/>
      <c r="H197" s="220"/>
      <c r="I197" s="32"/>
      <c r="J197" s="219">
        <v>541</v>
      </c>
      <c r="K197" s="81" t="s">
        <v>308</v>
      </c>
      <c r="L197" s="286">
        <f t="shared" si="15"/>
        <v>0</v>
      </c>
      <c r="P197" s="196"/>
      <c r="X197" s="548">
        <v>541</v>
      </c>
      <c r="Y197" s="3">
        <v>541</v>
      </c>
      <c r="AA197" s="383">
        <f t="shared" si="16"/>
        <v>0</v>
      </c>
      <c r="AB197" s="283">
        <f t="shared" si="17"/>
        <v>0</v>
      </c>
    </row>
    <row r="198" spans="1:28" ht="94.5" customHeight="1" x14ac:dyDescent="0.3">
      <c r="A198" s="209">
        <f>'Unit Data from Audit Worksheet'!A251</f>
        <v>542</v>
      </c>
      <c r="B198" s="222" t="str">
        <f>'Unit Data from Audit Worksheet'!C251</f>
        <v>Water Sewer - Disclosed in the Notes or in the recently approved Budget for next year.</v>
      </c>
      <c r="C198" s="208" t="str">
        <f>'Unit Data from Audit Worksheet'!D251</f>
        <v>Amount of the Water Sewer Fund Balance appropriated in next year's budget?</v>
      </c>
      <c r="D198" s="227"/>
      <c r="E198" s="228">
        <f>'Unit Data from Audit Worksheet'!F251</f>
        <v>0</v>
      </c>
      <c r="F198" s="221"/>
      <c r="G198" s="223"/>
      <c r="H198" s="220"/>
      <c r="I198" s="32"/>
      <c r="J198" s="219">
        <v>542</v>
      </c>
      <c r="K198" s="218" t="s">
        <v>252</v>
      </c>
      <c r="L198" s="286">
        <f t="shared" si="15"/>
        <v>0</v>
      </c>
      <c r="N198" s="54" t="s">
        <v>299</v>
      </c>
      <c r="P198" s="196"/>
      <c r="X198" s="548">
        <v>542</v>
      </c>
      <c r="Y198" s="3">
        <v>542</v>
      </c>
      <c r="AA198" s="383">
        <f t="shared" si="16"/>
        <v>0</v>
      </c>
      <c r="AB198" s="283">
        <f t="shared" si="17"/>
        <v>0</v>
      </c>
    </row>
    <row r="199" spans="1:28" ht="93.75" customHeight="1" x14ac:dyDescent="0.3">
      <c r="A199" s="209">
        <f>'Unit Data from Audit Worksheet'!A254</f>
        <v>528</v>
      </c>
      <c r="B199" s="222" t="str">
        <f>'Unit Data from Audit Worksheet'!C254</f>
        <v>Analysis of Current Tax Levy Schedule</v>
      </c>
      <c r="C199" s="208" t="str">
        <f>'Unit Data from Audit Worksheet'!D254</f>
        <v>Please enter the Net Current year's levy for property excluding registered motor vehicles-- (after adjusting for discoveries and abatements) - 
Exclude Supplemental Taxes</v>
      </c>
      <c r="D199" s="227"/>
      <c r="E199" s="228">
        <f>'Unit Data from Audit Worksheet'!F254</f>
        <v>0</v>
      </c>
      <c r="F199" s="75" t="str">
        <f>IF(L199=0,"Must be completed if unit levys taxes","")</f>
        <v>Must be completed if unit levys taxes</v>
      </c>
      <c r="G199" s="223"/>
      <c r="H199" s="220"/>
      <c r="I199" s="32"/>
      <c r="J199" s="219">
        <v>528</v>
      </c>
      <c r="K199" s="321" t="s">
        <v>257</v>
      </c>
      <c r="L199" s="286">
        <f t="shared" si="15"/>
        <v>0</v>
      </c>
      <c r="N199" s="76"/>
      <c r="P199" s="196"/>
      <c r="X199" s="548">
        <v>528</v>
      </c>
      <c r="Y199" s="3">
        <v>528</v>
      </c>
      <c r="AA199" s="383">
        <f t="shared" si="16"/>
        <v>0</v>
      </c>
      <c r="AB199" s="283">
        <f t="shared" si="17"/>
        <v>0</v>
      </c>
    </row>
    <row r="200" spans="1:28" s="18" customFormat="1" ht="79.5" customHeight="1" x14ac:dyDescent="0.3">
      <c r="A200" s="209">
        <f>'Unit Data from Audit Worksheet'!A255</f>
        <v>529</v>
      </c>
      <c r="B200" s="222" t="str">
        <f>'Unit Data from Audit Worksheet'!C255</f>
        <v>Analysis of Current Tax Levy Schedule</v>
      </c>
      <c r="C200" s="208" t="str">
        <f>'Unit Data from Audit Worksheet'!D255</f>
        <v>Please enter the Net Current year's levy -- Motor vehicles (only) (after adjusting for discoveries and abatements)
Exclude supplemental taxes</v>
      </c>
      <c r="D200" s="227"/>
      <c r="E200" s="228">
        <f>'Unit Data from Audit Worksheet'!F255</f>
        <v>0</v>
      </c>
      <c r="F200" s="75" t="str">
        <f>IF(L200=0,"Must be completed if unit levys taxes","")</f>
        <v>Must be completed if unit levys taxes</v>
      </c>
      <c r="G200" s="223"/>
      <c r="H200" s="220"/>
      <c r="I200" s="32"/>
      <c r="J200" s="219">
        <v>529</v>
      </c>
      <c r="K200" s="321" t="s">
        <v>258</v>
      </c>
      <c r="L200" s="286">
        <f t="shared" si="15"/>
        <v>0</v>
      </c>
      <c r="M200"/>
      <c r="N200" s="76"/>
      <c r="P200" s="196"/>
      <c r="Q200" s="276"/>
      <c r="R200" s="3"/>
      <c r="S200" s="3"/>
      <c r="T200" s="3"/>
      <c r="U200" s="3"/>
      <c r="V200" s="3"/>
      <c r="W200" s="3"/>
      <c r="X200" s="548">
        <v>529</v>
      </c>
      <c r="Y200" s="3">
        <v>529</v>
      </c>
      <c r="Z200" s="3"/>
      <c r="AA200" s="383">
        <f t="shared" si="16"/>
        <v>0</v>
      </c>
      <c r="AB200" s="283">
        <f t="shared" si="17"/>
        <v>0</v>
      </c>
    </row>
    <row r="201" spans="1:28" s="18" customFormat="1" ht="75" customHeight="1" x14ac:dyDescent="0.3">
      <c r="A201" s="209">
        <f>'Unit Data from Audit Worksheet'!A256</f>
        <v>530</v>
      </c>
      <c r="B201" s="222" t="str">
        <f>'Unit Data from Audit Worksheet'!C256</f>
        <v>Analysis of Current Tax Levy Schedule</v>
      </c>
      <c r="C201" s="208" t="str">
        <f>'Unit Data from Audit Worksheet'!D256</f>
        <v>Uncollected Taxes - Curr Year's Levy Exclude Motor Vehicles
Exclude supplemental taxes</v>
      </c>
      <c r="D201" s="227"/>
      <c r="E201" s="228">
        <f>'Unit Data from Audit Worksheet'!F256</f>
        <v>0</v>
      </c>
      <c r="F201" s="75" t="str">
        <f>IF(L201=0,"Must be completed if unit levys taxes","")</f>
        <v>Must be completed if unit levys taxes</v>
      </c>
      <c r="G201" s="223"/>
      <c r="H201" s="220"/>
      <c r="I201" s="32"/>
      <c r="J201" s="219">
        <v>530</v>
      </c>
      <c r="K201" s="321" t="s">
        <v>259</v>
      </c>
      <c r="L201" s="286">
        <f t="shared" ref="L201:L207" si="18">IF(D201="",E201,D201)</f>
        <v>0</v>
      </c>
      <c r="M201"/>
      <c r="N201" s="76"/>
      <c r="P201" s="196"/>
      <c r="Q201" s="276"/>
      <c r="R201" s="3"/>
      <c r="S201" s="3"/>
      <c r="T201" s="3"/>
      <c r="U201" s="3"/>
      <c r="V201" s="3"/>
      <c r="W201" s="3"/>
      <c r="X201" s="548">
        <v>530</v>
      </c>
      <c r="Y201" s="3">
        <v>530</v>
      </c>
      <c r="Z201" s="3"/>
      <c r="AA201" s="383">
        <f t="shared" si="16"/>
        <v>0</v>
      </c>
      <c r="AB201" s="283">
        <f t="shared" si="17"/>
        <v>0</v>
      </c>
    </row>
    <row r="202" spans="1:28" s="18" customFormat="1" ht="68.25" customHeight="1" x14ac:dyDescent="0.3">
      <c r="A202" s="209">
        <f>'Unit Data from Audit Worksheet'!A257</f>
        <v>531</v>
      </c>
      <c r="B202" s="222" t="str">
        <f>'Unit Data from Audit Worksheet'!C257</f>
        <v>Analysis of Current Tax Levy Schedule</v>
      </c>
      <c r="C202" s="208" t="str">
        <f>'Unit Data from Audit Worksheet'!D257</f>
        <v>Uncollected Taxes - Curr Year's Levy Motor Vehicles
Exclude supplemental taxes</v>
      </c>
      <c r="D202" s="227"/>
      <c r="E202" s="228">
        <f>'Unit Data from Audit Worksheet'!F257</f>
        <v>0</v>
      </c>
      <c r="F202" s="75"/>
      <c r="G202" s="223"/>
      <c r="H202" s="220"/>
      <c r="I202" s="32"/>
      <c r="J202" s="219">
        <v>531</v>
      </c>
      <c r="K202" s="321" t="s">
        <v>260</v>
      </c>
      <c r="L202" s="286">
        <f t="shared" si="18"/>
        <v>0</v>
      </c>
      <c r="M202"/>
      <c r="N202" s="76" t="str">
        <f>IF(T183=0,"Must be completed if unit levys taxes, zero acceptable if Motor Vehicle collection rate is 100%","")</f>
        <v>Must be completed if unit levys taxes, zero acceptable if Motor Vehicle collection rate is 100%</v>
      </c>
      <c r="P202" s="196"/>
      <c r="Q202" s="276"/>
      <c r="R202" s="3"/>
      <c r="S202" s="3"/>
      <c r="T202" s="3"/>
      <c r="U202" s="3"/>
      <c r="V202" s="3"/>
      <c r="W202" s="3"/>
      <c r="X202" s="548">
        <v>531</v>
      </c>
      <c r="Y202" s="3">
        <v>531</v>
      </c>
      <c r="Z202" s="3"/>
      <c r="AA202" s="383">
        <f t="shared" si="16"/>
        <v>0</v>
      </c>
      <c r="AB202" s="283">
        <f t="shared" si="17"/>
        <v>0</v>
      </c>
    </row>
    <row r="203" spans="1:28" ht="90.75" customHeight="1" x14ac:dyDescent="0.3">
      <c r="A203" s="209">
        <f>'Unit Data from Audit Worksheet'!A258</f>
        <v>61</v>
      </c>
      <c r="B203" s="222" t="str">
        <f>'Unit Data from Audit Worksheet'!C258</f>
        <v>Analysis of Current Tax Levy Schedule</v>
      </c>
      <c r="C203" s="208"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3" t="str">
        <f>IF(Q180=1," Included in error count"," ")</f>
        <v xml:space="preserve"> </v>
      </c>
      <c r="H203" s="223">
        <f>ROUND(IFERROR(((L199+L200)-(L201+L202))/(L199+L200)*100,0),2)</f>
        <v>0</v>
      </c>
      <c r="I203" s="32"/>
      <c r="J203" s="219">
        <v>61</v>
      </c>
      <c r="K203" s="52" t="s">
        <v>254</v>
      </c>
      <c r="L203" s="719">
        <f t="shared" si="18"/>
        <v>0</v>
      </c>
      <c r="N203" s="76"/>
      <c r="P203" s="196"/>
      <c r="X203" s="548">
        <v>61</v>
      </c>
      <c r="Y203" s="3">
        <v>61</v>
      </c>
      <c r="AA203" s="383">
        <f t="shared" si="16"/>
        <v>0</v>
      </c>
      <c r="AB203" s="283">
        <f t="shared" si="17"/>
        <v>0</v>
      </c>
    </row>
    <row r="204" spans="1:28" ht="89.25" customHeight="1" x14ac:dyDescent="0.3">
      <c r="A204" s="209">
        <f>'Unit Data from Audit Worksheet'!A259</f>
        <v>102</v>
      </c>
      <c r="B204" s="222" t="str">
        <f>'Unit Data from Audit Worksheet'!C259</f>
        <v>Analysis of Current Tax Levy Schedule</v>
      </c>
      <c r="C204" s="208"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3" t="str">
        <f>IF(Q181=1," Included in error count"," ")</f>
        <v xml:space="preserve"> </v>
      </c>
      <c r="H204" s="223">
        <f>ROUND(IFERROR(((L199)-(L201))/(L199)*100,0),2)</f>
        <v>0</v>
      </c>
      <c r="I204" s="32"/>
      <c r="J204" s="219">
        <v>102</v>
      </c>
      <c r="K204" s="52" t="s">
        <v>255</v>
      </c>
      <c r="L204" s="719">
        <f t="shared" si="18"/>
        <v>0</v>
      </c>
      <c r="N204" s="76"/>
      <c r="P204" s="196"/>
      <c r="X204" s="548">
        <v>102</v>
      </c>
      <c r="Y204" s="3">
        <v>102</v>
      </c>
      <c r="AA204" s="383">
        <f t="shared" si="16"/>
        <v>0</v>
      </c>
      <c r="AB204" s="283">
        <f t="shared" si="17"/>
        <v>0</v>
      </c>
    </row>
    <row r="205" spans="1:28" ht="87.75" customHeight="1" x14ac:dyDescent="0.3">
      <c r="A205" s="209">
        <f>'Unit Data from Audit Worksheet'!A260</f>
        <v>103</v>
      </c>
      <c r="B205" s="222" t="str">
        <f>'Unit Data from Audit Worksheet'!C260</f>
        <v>Analysis of Current Tax Levy Schedule</v>
      </c>
      <c r="C205" s="208"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3" t="str">
        <f>IF(Q182=1," Included in error count"," ")</f>
        <v xml:space="preserve"> </v>
      </c>
      <c r="H205" s="223">
        <f>ROUND(IFERROR(((L200)-(L202))/(L200)*100,0),2)</f>
        <v>0</v>
      </c>
      <c r="I205" s="32"/>
      <c r="J205" s="219">
        <v>103</v>
      </c>
      <c r="K205" s="52" t="s">
        <v>256</v>
      </c>
      <c r="L205" s="719">
        <f t="shared" si="18"/>
        <v>0</v>
      </c>
      <c r="N205" s="76"/>
      <c r="P205" s="196"/>
      <c r="X205" s="548">
        <v>103</v>
      </c>
      <c r="Y205" s="3">
        <v>103</v>
      </c>
      <c r="AA205" s="383">
        <f t="shared" si="16"/>
        <v>0</v>
      </c>
      <c r="AB205" s="283">
        <f t="shared" si="17"/>
        <v>0</v>
      </c>
    </row>
    <row r="206" spans="1:28" ht="86.25" customHeight="1" x14ac:dyDescent="0.3">
      <c r="A206" s="209">
        <f>'Unit Data from Audit Worksheet'!A261</f>
        <v>544</v>
      </c>
      <c r="B206" s="222" t="str">
        <f>'Unit Data from Audit Worksheet'!C261</f>
        <v>Analysis of Current Tax Levy Schedule</v>
      </c>
      <c r="C206" s="208" t="str">
        <f>'Unit Data from Audit Worksheet'!D261</f>
        <v>Property Tax Increase for Year Audited- enter amount of  increase in cents per $100 - leave blank if no increase 
Exclude supplemental taxes</v>
      </c>
      <c r="D206" s="227"/>
      <c r="E206" s="138">
        <f>'Unit Data from Audit Worksheet'!F261</f>
        <v>0</v>
      </c>
      <c r="F206" s="96"/>
      <c r="G206" s="223"/>
      <c r="H206" s="220">
        <f>'Unit Data from Audit Worksheet'!I261</f>
        <v>0</v>
      </c>
      <c r="I206" s="32"/>
      <c r="J206" s="219">
        <v>544</v>
      </c>
      <c r="K206" s="52" t="s">
        <v>52</v>
      </c>
      <c r="L206" s="322">
        <f t="shared" si="18"/>
        <v>0</v>
      </c>
      <c r="N206" s="54" t="s">
        <v>299</v>
      </c>
      <c r="P206" s="196"/>
      <c r="X206" s="548">
        <v>544</v>
      </c>
      <c r="Y206" s="3">
        <v>544</v>
      </c>
      <c r="AA206" s="383">
        <f t="shared" si="16"/>
        <v>0</v>
      </c>
      <c r="AB206" s="283">
        <f t="shared" si="17"/>
        <v>0</v>
      </c>
    </row>
    <row r="207" spans="1:28" ht="93.75" customHeight="1" x14ac:dyDescent="0.3">
      <c r="A207" s="209">
        <f>'Unit Data from Audit Worksheet'!A262</f>
        <v>545</v>
      </c>
      <c r="B207" s="222" t="str">
        <f>'Unit Data from Audit Worksheet'!C262</f>
        <v>Analysis of Current Tax Levy Schedule</v>
      </c>
      <c r="C207" s="208" t="str">
        <f>'Unit Data from Audit Worksheet'!D262</f>
        <v>Property Tax Increase for budget year after fiscal year being reported - enter amount of increase in cents per $100- leave blank if no increase
Exclude supplemental taxes</v>
      </c>
      <c r="D207" s="227"/>
      <c r="E207" s="138">
        <f>'Unit Data from Audit Worksheet'!F262</f>
        <v>0</v>
      </c>
      <c r="F207" s="221"/>
      <c r="G207" s="223"/>
      <c r="H207" s="220">
        <f>'Unit Data from Audit Worksheet'!I262</f>
        <v>0</v>
      </c>
      <c r="I207" s="32"/>
      <c r="J207" s="97">
        <v>545</v>
      </c>
      <c r="K207" s="52" t="s">
        <v>53</v>
      </c>
      <c r="L207" s="322">
        <f t="shared" si="18"/>
        <v>0</v>
      </c>
      <c r="N207" s="54" t="s">
        <v>299</v>
      </c>
      <c r="O207" s="294"/>
      <c r="P207" s="196"/>
      <c r="X207" s="548">
        <v>545</v>
      </c>
      <c r="Y207" s="3">
        <v>545</v>
      </c>
      <c r="AA207" s="383">
        <f t="shared" si="16"/>
        <v>0</v>
      </c>
      <c r="AB207" s="283">
        <f t="shared" si="17"/>
        <v>0</v>
      </c>
    </row>
    <row r="208" spans="1:28" ht="72.75" customHeight="1" x14ac:dyDescent="0.3">
      <c r="A208" s="209">
        <f>'Unit Data from Audit Worksheet'!A263</f>
        <v>624</v>
      </c>
      <c r="B208" s="222"/>
      <c r="C208" s="208" t="str">
        <f>'Unit Data from Audit Worksheet'!D263</f>
        <v>Does the County collect real estate property taxes on your behalf? Select "1" for "yes and "2" for "No"</v>
      </c>
      <c r="D208" s="227"/>
      <c r="E208" s="146">
        <f>'Unit Data from Audit Worksheet'!F263</f>
        <v>0</v>
      </c>
      <c r="F208" s="221"/>
      <c r="G208" s="223"/>
      <c r="H208" s="220"/>
      <c r="I208" s="32"/>
      <c r="J208" s="97">
        <v>624</v>
      </c>
      <c r="K208" s="52" t="s">
        <v>356</v>
      </c>
      <c r="L208" s="286">
        <f t="shared" ref="L208:L226" si="19">IF(D208="",E208,D208)</f>
        <v>0</v>
      </c>
      <c r="P208" s="196"/>
      <c r="X208" s="548">
        <v>624</v>
      </c>
      <c r="Y208" s="3">
        <v>624</v>
      </c>
      <c r="AA208" s="383">
        <f t="shared" si="16"/>
        <v>0</v>
      </c>
      <c r="AB208" s="283">
        <f t="shared" si="17"/>
        <v>0</v>
      </c>
    </row>
    <row r="209" spans="1:28" ht="72.75" customHeight="1" x14ac:dyDescent="0.3">
      <c r="A209" s="209">
        <f>'Unit Data from Audit Worksheet'!A264</f>
        <v>648</v>
      </c>
      <c r="B209" s="222"/>
      <c r="C209" s="208" t="str">
        <f>'Unit Data from Audit Worksheet'!D264</f>
        <v>Please enter your tax rate for ad valorem in effect for fiscal year audited.  Example 60 cents per 100 would be entered as .60</v>
      </c>
      <c r="D209" s="227"/>
      <c r="E209" s="138">
        <f>'Unit Data from Audit Worksheet'!F264</f>
        <v>0</v>
      </c>
      <c r="F209" s="221"/>
      <c r="G209" s="223"/>
      <c r="H209" s="220"/>
      <c r="I209" s="32"/>
      <c r="J209" s="97">
        <v>648</v>
      </c>
      <c r="K209" s="323" t="s">
        <v>597</v>
      </c>
      <c r="L209" s="720">
        <f t="shared" si="19"/>
        <v>0</v>
      </c>
      <c r="P209" s="196"/>
      <c r="X209" s="548">
        <v>648</v>
      </c>
      <c r="Y209" s="3">
        <v>648</v>
      </c>
      <c r="AA209" s="383">
        <f t="shared" si="16"/>
        <v>0</v>
      </c>
      <c r="AB209" s="283">
        <f t="shared" si="17"/>
        <v>0</v>
      </c>
    </row>
    <row r="210" spans="1:28" ht="161.25" customHeight="1" x14ac:dyDescent="0.3">
      <c r="A210" s="209">
        <f>'Unit Data from Audit Worksheet'!A265</f>
        <v>991</v>
      </c>
      <c r="B210" s="222"/>
      <c r="C210" s="208" t="str">
        <f>'Unit Data from Audit Worksheet'!D265</f>
        <v>The Counties listed in cell H260 and municipalities within these counties are scheduled to revalue property listing by 1/1/2025 according to the Dept. of Revenue records.  Please indicate if you expect your revaluation to: 
Enter  "20" for increase, 
            "21" for decrease, 
            "22" for no change,
            "23" if this question is not applicable
Select from drop list.</v>
      </c>
      <c r="D210" s="227"/>
      <c r="E210" s="146">
        <f>'Unit Data from Audit Worksheet'!F265</f>
        <v>0</v>
      </c>
      <c r="F210" s="221"/>
      <c r="G210" s="223"/>
      <c r="H210" s="220" t="str">
        <f>'Unit Data from Audit Worksheet'!H265</f>
        <v xml:space="preserve">Beaufort, Buncombe, Caldwell, Carteret, Chatham, Cleveland, Cumberland, Dare, Davie, Duplin, Durham, Forsyth, Gates, Haywood, Jackson, Johnston, Lenoir, Martin, New Hanover, Orange, Person, Polk, Stanly, Stokes, Surry, Transylvania, Tyrrell, Union, Warren, Wayne, Wilkes </v>
      </c>
      <c r="I210" s="32"/>
      <c r="J210" s="97">
        <v>991</v>
      </c>
      <c r="K210" s="52" t="s">
        <v>856</v>
      </c>
      <c r="L210" s="286">
        <f t="shared" si="19"/>
        <v>0</v>
      </c>
      <c r="P210" s="196"/>
      <c r="X210" s="548">
        <v>991</v>
      </c>
      <c r="Y210" s="3">
        <v>991</v>
      </c>
      <c r="AA210" s="383">
        <f t="shared" ref="AA210:AA260" si="20">A210-J210</f>
        <v>0</v>
      </c>
      <c r="AB210" s="283">
        <f t="shared" ref="AB210:AB246" si="21">E210-L210</f>
        <v>0</v>
      </c>
    </row>
    <row r="211" spans="1:28" ht="87.75" customHeight="1" x14ac:dyDescent="0.3">
      <c r="A211" s="209">
        <f>'Unit Data from Audit Worksheet'!A267</f>
        <v>620</v>
      </c>
      <c r="B211" s="222"/>
      <c r="C211" s="208" t="str">
        <f>'Unit Data from Audit Worksheet'!D267</f>
        <v>Do you expect to issue debt requiring LGC approval within 12 months from the date that the audit is submitted - select "1" for yes and "2" for no</v>
      </c>
      <c r="D211" s="227"/>
      <c r="E211" s="146">
        <f>'Unit Data from Audit Worksheet'!F267</f>
        <v>0</v>
      </c>
      <c r="F211" s="221"/>
      <c r="G211" s="223"/>
      <c r="H211" s="220">
        <f>'Unit Data from Audit Worksheet'!I267</f>
        <v>0</v>
      </c>
      <c r="I211" s="32"/>
      <c r="J211" s="97">
        <v>620</v>
      </c>
      <c r="K211" s="52" t="s">
        <v>593</v>
      </c>
      <c r="L211" s="286">
        <f t="shared" si="19"/>
        <v>0</v>
      </c>
      <c r="N211" s="128"/>
      <c r="P211" s="196"/>
      <c r="X211" s="548">
        <v>620</v>
      </c>
      <c r="Y211" s="3">
        <v>620</v>
      </c>
      <c r="AA211" s="383">
        <f t="shared" si="20"/>
        <v>0</v>
      </c>
      <c r="AB211" s="283">
        <f t="shared" si="21"/>
        <v>0</v>
      </c>
    </row>
    <row r="212" spans="1:28" ht="87.75" customHeight="1" x14ac:dyDescent="0.3">
      <c r="A212" s="209">
        <f>'TD Info Completed by Auditor'!A11</f>
        <v>906</v>
      </c>
      <c r="B212" s="124" t="s">
        <v>590</v>
      </c>
      <c r="C212" s="209" t="str">
        <f>'TD Info Completed by Auditor'!B11</f>
        <v>Is the Independent Auditor's Report Opinion Unmodified?</v>
      </c>
      <c r="D212" s="227"/>
      <c r="E212" s="211">
        <f>IF(+'TD Info Completed by Auditor'!C11="Yes",1,IF(+'TD Info Completed by Auditor'!C11="No",2,IF(+'TD Info Completed by Auditor'!C11="N/A",3,0)))</f>
        <v>0</v>
      </c>
      <c r="F212" s="221"/>
      <c r="G212" s="223"/>
      <c r="H212" s="220"/>
      <c r="I212" s="32"/>
      <c r="J212" s="182">
        <v>906</v>
      </c>
      <c r="K212" s="52" t="s">
        <v>467</v>
      </c>
      <c r="L212" s="292">
        <f t="shared" si="19"/>
        <v>0</v>
      </c>
      <c r="N212" s="243" t="s">
        <v>644</v>
      </c>
      <c r="P212" s="192"/>
      <c r="X212" s="283" t="e">
        <v>#N/A</v>
      </c>
      <c r="AA212" s="383">
        <f t="shared" si="20"/>
        <v>0</v>
      </c>
      <c r="AB212" s="283">
        <f t="shared" si="21"/>
        <v>0</v>
      </c>
    </row>
    <row r="213" spans="1:28" ht="87.75" customHeight="1" x14ac:dyDescent="0.3">
      <c r="A213" s="209">
        <f>'TD Info Completed by Auditor'!A12</f>
        <v>907</v>
      </c>
      <c r="B213" s="124" t="s">
        <v>590</v>
      </c>
      <c r="C213" s="209" t="str">
        <f>'TD Info Completed by Auditor'!B12</f>
        <v xml:space="preserve">Is there a finding for lack of segregation of duties at this unit? </v>
      </c>
      <c r="D213" s="227"/>
      <c r="E213" s="211">
        <f>IF(+'TD Info Completed by Auditor'!C12="Yes",1,IF(+'TD Info Completed by Auditor'!C12="No",2,IF(+'TD Info Completed by Auditor'!C12="N/A",3,0)))</f>
        <v>0</v>
      </c>
      <c r="F213" s="221"/>
      <c r="G213" s="223"/>
      <c r="H213" s="220"/>
      <c r="I213" s="32"/>
      <c r="J213" s="182">
        <v>907</v>
      </c>
      <c r="K213" s="52" t="s">
        <v>468</v>
      </c>
      <c r="L213" s="292">
        <f t="shared" si="19"/>
        <v>0</v>
      </c>
      <c r="N213" s="243" t="s">
        <v>644</v>
      </c>
      <c r="P213" s="193"/>
      <c r="X213" s="283" t="e">
        <v>#N/A</v>
      </c>
      <c r="Y213" s="383"/>
      <c r="AA213" s="383">
        <f t="shared" si="20"/>
        <v>0</v>
      </c>
      <c r="AB213" s="283">
        <f t="shared" si="21"/>
        <v>0</v>
      </c>
    </row>
    <row r="214" spans="1:28" s="383" customFormat="1" ht="87.75" customHeight="1" x14ac:dyDescent="0.3">
      <c r="A214" s="209">
        <f>'TD Info Completed by Auditor'!A13</f>
        <v>1055</v>
      </c>
      <c r="B214" s="124"/>
      <c r="C214" s="209" t="str">
        <f>'TD Info Completed by Auditor'!B13</f>
        <v xml:space="preserve"> Did your audit disclose bank reconciliations or subsidiary ledger reconciliations not performed timely? (Yes or No)</v>
      </c>
      <c r="D214" s="227"/>
      <c r="E214" s="211">
        <f>IF(+'TD Info Completed by Auditor'!C13="Yes",1,IF(+'TD Info Completed by Auditor'!C13="No",2,IF(+'TD Info Completed by Auditor'!C13="N/A",3,0)))</f>
        <v>0</v>
      </c>
      <c r="F214" s="221"/>
      <c r="G214" s="223"/>
      <c r="H214" s="220"/>
      <c r="I214" s="32"/>
      <c r="J214" s="182">
        <v>1055</v>
      </c>
      <c r="K214" s="209" t="s">
        <v>1526</v>
      </c>
      <c r="L214" s="292">
        <f t="shared" si="19"/>
        <v>0</v>
      </c>
      <c r="M214"/>
      <c r="N214" s="243" t="s">
        <v>644</v>
      </c>
      <c r="P214" s="194"/>
      <c r="Q214" s="276"/>
      <c r="X214" s="283"/>
      <c r="AA214" s="383">
        <f t="shared" si="20"/>
        <v>0</v>
      </c>
      <c r="AB214" s="283"/>
    </row>
    <row r="215" spans="1:28" s="383" customFormat="1" ht="87.75" customHeight="1" x14ac:dyDescent="0.3">
      <c r="A215" s="209">
        <f>'TD Info Completed by Auditor'!A14</f>
        <v>1056</v>
      </c>
      <c r="B215" s="124"/>
      <c r="C215" s="209" t="str">
        <f>'TD Info Completed by Auditor'!B14</f>
        <v>Did your audit disclose as a finding that the unit’s records were not completed by the agreed upon time? (Yes or No)</v>
      </c>
      <c r="D215" s="227"/>
      <c r="E215" s="211">
        <f>IF(+'TD Info Completed by Auditor'!C14="Yes",1,IF(+'TD Info Completed by Auditor'!C14="No",2,IF(+'TD Info Completed by Auditor'!C14="N/A",3,0)))</f>
        <v>0</v>
      </c>
      <c r="F215" s="221"/>
      <c r="G215" s="223"/>
      <c r="H215" s="220"/>
      <c r="I215" s="32"/>
      <c r="J215" s="182">
        <v>1056</v>
      </c>
      <c r="K215" s="209" t="s">
        <v>1527</v>
      </c>
      <c r="L215" s="292">
        <f t="shared" si="19"/>
        <v>0</v>
      </c>
      <c r="M215"/>
      <c r="N215" s="243" t="s">
        <v>644</v>
      </c>
      <c r="P215" s="194"/>
      <c r="Q215" s="276"/>
      <c r="X215" s="283"/>
      <c r="AA215" s="383">
        <f t="shared" si="20"/>
        <v>0</v>
      </c>
      <c r="AB215" s="283"/>
    </row>
    <row r="216" spans="1:28" s="383" customFormat="1" ht="87.75" customHeight="1" x14ac:dyDescent="0.3">
      <c r="A216" s="209">
        <f>'TD Info Completed by Auditor'!A15</f>
        <v>1057</v>
      </c>
      <c r="B216" s="124"/>
      <c r="C216" s="209" t="str">
        <f>'TD Info Completed by Auditor'!B15</f>
        <v>Did your audit disclose any budget violations at the adopted ordinance level? (Yes or No)</v>
      </c>
      <c r="D216" s="227"/>
      <c r="E216" s="211">
        <f>IF(+'TD Info Completed by Auditor'!C15="Yes",1,IF(+'TD Info Completed by Auditor'!C15="No",2,IF(+'TD Info Completed by Auditor'!C15="N/A",3,0)))</f>
        <v>0</v>
      </c>
      <c r="F216" s="221"/>
      <c r="G216" s="223"/>
      <c r="H216" s="220"/>
      <c r="I216" s="32"/>
      <c r="J216" s="182">
        <v>1057</v>
      </c>
      <c r="K216" s="763" t="s">
        <v>1940</v>
      </c>
      <c r="L216" s="292">
        <f t="shared" si="19"/>
        <v>0</v>
      </c>
      <c r="M216"/>
      <c r="N216" s="243" t="s">
        <v>644</v>
      </c>
      <c r="P216" s="194"/>
      <c r="Q216" s="276"/>
      <c r="X216" s="283"/>
      <c r="AA216" s="383">
        <f t="shared" si="20"/>
        <v>0</v>
      </c>
      <c r="AB216" s="283"/>
    </row>
    <row r="217" spans="1:28" s="383" customFormat="1" ht="87.75" customHeight="1" x14ac:dyDescent="0.3">
      <c r="A217" s="209">
        <f>'TD Info Completed by Auditor'!A16</f>
        <v>1058</v>
      </c>
      <c r="B217" s="124"/>
      <c r="C217" s="209" t="str">
        <f>'TD Info Completed by Auditor'!B16</f>
        <v>Did your audit disclose as a finding any statutory violations? (not including budget violations) (Yes or No) If the answer  is "Yes", review whether this needs to be disclosed in the Stewardship, Compliance and Accountability Note</v>
      </c>
      <c r="D217" s="227"/>
      <c r="E217" s="211">
        <f>IF(+'TD Info Completed by Auditor'!C16="Yes",1,IF(+'TD Info Completed by Auditor'!C16="No",2,IF(+'TD Info Completed by Auditor'!C16="N/A",3,0)))</f>
        <v>0</v>
      </c>
      <c r="F217" s="221"/>
      <c r="G217" s="223"/>
      <c r="H217" s="220"/>
      <c r="I217" s="32"/>
      <c r="J217" s="182">
        <v>1058</v>
      </c>
      <c r="K217" s="179" t="s">
        <v>1528</v>
      </c>
      <c r="L217" s="292">
        <f t="shared" si="19"/>
        <v>0</v>
      </c>
      <c r="M217"/>
      <c r="N217" s="243" t="s">
        <v>644</v>
      </c>
      <c r="P217" s="194"/>
      <c r="Q217" s="276"/>
      <c r="X217" s="283"/>
      <c r="AA217" s="383">
        <f t="shared" si="20"/>
        <v>0</v>
      </c>
      <c r="AB217" s="283"/>
    </row>
    <row r="218" spans="1:28" s="383" customFormat="1" ht="159" customHeight="1" x14ac:dyDescent="0.3">
      <c r="A218" s="209">
        <f>'TD Info Completed by Auditor'!A17</f>
        <v>1059</v>
      </c>
      <c r="B218" s="124"/>
      <c r="C218" s="301"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27"/>
      <c r="E218" s="211">
        <f>IF(+'TD Info Completed by Auditor'!C17="Yes",1,IF(+'TD Info Completed by Auditor'!C17="No",2,IF(+'TD Info Completed by Auditor'!C17="N/A",3,0)))</f>
        <v>0</v>
      </c>
      <c r="F218" s="221"/>
      <c r="G218" s="223"/>
      <c r="H218" s="220"/>
      <c r="I218" s="32"/>
      <c r="J218" s="182">
        <v>1059</v>
      </c>
      <c r="K218" s="763" t="s">
        <v>1568</v>
      </c>
      <c r="L218" s="292">
        <f t="shared" si="19"/>
        <v>0</v>
      </c>
      <c r="M218"/>
      <c r="N218" s="243" t="s">
        <v>644</v>
      </c>
      <c r="P218" s="194"/>
      <c r="Q218" s="276"/>
      <c r="X218" s="283"/>
      <c r="AA218" s="383">
        <f t="shared" si="20"/>
        <v>0</v>
      </c>
      <c r="AB218" s="283"/>
    </row>
    <row r="219" spans="1:28" s="383" customFormat="1" ht="159" customHeight="1" x14ac:dyDescent="0.3">
      <c r="A219" s="301">
        <v>1078</v>
      </c>
      <c r="B219" s="206"/>
      <c r="C219" s="301"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27"/>
      <c r="E219" s="979">
        <f>IF(+'TD Info Completed by Auditor'!C18="Yes",1,IF(+'TD Info Completed by Auditor'!C18="No",2,IF(+'TD Info Completed by Auditor'!C18="N/A",3,0)))</f>
        <v>0</v>
      </c>
      <c r="F219" s="224"/>
      <c r="G219" s="223"/>
      <c r="H219" s="220"/>
      <c r="I219" s="32"/>
      <c r="J219" s="119">
        <v>1078</v>
      </c>
      <c r="K219" s="301" t="s">
        <v>1938</v>
      </c>
      <c r="L219" s="980">
        <f t="shared" si="19"/>
        <v>0</v>
      </c>
      <c r="M219" s="180"/>
      <c r="N219" s="243"/>
      <c r="P219" s="194"/>
      <c r="Q219" s="276"/>
      <c r="X219" s="283"/>
      <c r="AB219" s="283"/>
    </row>
    <row r="220" spans="1:28" s="383" customFormat="1" ht="133.19999999999999" customHeight="1" x14ac:dyDescent="0.3">
      <c r="A220" s="301">
        <v>1067</v>
      </c>
      <c r="B220" s="206"/>
      <c r="C220" s="301"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27"/>
      <c r="E220" s="211">
        <f>IF(+'TD Info Completed by Auditor'!C19="Yes",1,IF(+'TD Info Completed by Auditor'!C19="No",2,IF(+'TD Info Completed by Auditor'!C19="N/A",3,0)))</f>
        <v>0</v>
      </c>
      <c r="G220" s="221"/>
      <c r="H220" s="220"/>
      <c r="I220" s="32"/>
      <c r="J220" s="119">
        <v>1067</v>
      </c>
      <c r="K220" s="301" t="s">
        <v>1934</v>
      </c>
      <c r="L220" s="303">
        <f t="shared" si="19"/>
        <v>0</v>
      </c>
      <c r="M220" s="180"/>
      <c r="N220" s="243" t="s">
        <v>644</v>
      </c>
      <c r="P220" s="194"/>
      <c r="Q220" s="276"/>
      <c r="X220" s="283"/>
      <c r="AB220" s="283"/>
    </row>
    <row r="221" spans="1:28" s="383" customFormat="1" ht="87.75" customHeight="1" x14ac:dyDescent="0.3">
      <c r="A221" s="209">
        <f>'TD Info Completed by Auditor'!A20</f>
        <v>951</v>
      </c>
      <c r="B221" s="124" t="s">
        <v>590</v>
      </c>
      <c r="C221" s="209" t="str">
        <f>'TD Info Completed by Auditor'!B20</f>
        <v>Is there a finding for lack of technical skills, knowledge and experience (SKE) at this unit?</v>
      </c>
      <c r="D221" s="227"/>
      <c r="E221" s="211">
        <f>IF(+'TD Info Completed by Auditor'!C20="Yes",1,IF(+'TD Info Completed by Auditor'!C20="No",2,IF(+'TD Info Completed by Auditor'!C20="N/A",3,0)))</f>
        <v>0</v>
      </c>
      <c r="F221" s="221"/>
      <c r="G221" s="223"/>
      <c r="H221" s="220"/>
      <c r="I221" s="32"/>
      <c r="J221" s="182">
        <v>951</v>
      </c>
      <c r="K221" s="52" t="s">
        <v>469</v>
      </c>
      <c r="L221" s="292">
        <f>IF(D221="",E221,D221)</f>
        <v>0</v>
      </c>
      <c r="M221"/>
      <c r="N221" s="243" t="s">
        <v>644</v>
      </c>
      <c r="P221" s="194"/>
      <c r="Q221" s="276"/>
      <c r="X221" s="283"/>
      <c r="AB221" s="283"/>
    </row>
    <row r="222" spans="1:28" ht="87.75" customHeight="1" x14ac:dyDescent="0.3">
      <c r="A222" s="209">
        <f>'TD Info Completed by Auditor'!A21</f>
        <v>953</v>
      </c>
      <c r="B222" s="124" t="s">
        <v>590</v>
      </c>
      <c r="C222" s="209" t="str">
        <f>'TD Info Completed by Auditor'!B21</f>
        <v xml:space="preserve">Is there is a going concern noted in the audit report? </v>
      </c>
      <c r="D222" s="227"/>
      <c r="E222" s="211">
        <f>IF(+'TD Info Completed by Auditor'!C21="Yes",1,IF(+'TD Info Completed by Auditor'!C21="No",2,IF(+'TD Info Completed by Auditor'!C21="N/A",3,0)))</f>
        <v>0</v>
      </c>
      <c r="F222" s="221"/>
      <c r="G222" s="223"/>
      <c r="H222" s="220"/>
      <c r="I222" s="32"/>
      <c r="J222" s="182">
        <v>953</v>
      </c>
      <c r="K222" s="978" t="s">
        <v>1939</v>
      </c>
      <c r="L222" s="292">
        <f t="shared" si="19"/>
        <v>0</v>
      </c>
      <c r="N222" s="243" t="s">
        <v>644</v>
      </c>
      <c r="P222" s="194"/>
      <c r="X222" s="283" t="e">
        <v>#N/A</v>
      </c>
      <c r="Y222" s="383"/>
      <c r="AA222" s="383">
        <f t="shared" si="20"/>
        <v>0</v>
      </c>
      <c r="AB222" s="283">
        <f t="shared" si="21"/>
        <v>0</v>
      </c>
    </row>
    <row r="223" spans="1:28" ht="87.75" customHeight="1" x14ac:dyDescent="0.3">
      <c r="A223" s="209">
        <f>'TD Info Completed by Auditor'!A22</f>
        <v>955</v>
      </c>
      <c r="B223" s="124" t="s">
        <v>590</v>
      </c>
      <c r="C223" s="209" t="str">
        <f>'TD Info Completed by Auditor'!B22</f>
        <v>Number of significant deficiency findings (financial statement findings only)
Exclude findings reported in questions  907, 951</v>
      </c>
      <c r="D223" s="227"/>
      <c r="E223" s="211">
        <f>'TD Info Completed by Auditor'!C22</f>
        <v>0</v>
      </c>
      <c r="F223" s="221"/>
      <c r="G223" s="223"/>
      <c r="H223" s="220"/>
      <c r="I223" s="32"/>
      <c r="J223" s="182">
        <v>955</v>
      </c>
      <c r="K223" s="52" t="s">
        <v>594</v>
      </c>
      <c r="L223" s="292">
        <f t="shared" si="19"/>
        <v>0</v>
      </c>
      <c r="N223" s="243" t="s">
        <v>644</v>
      </c>
      <c r="P223" s="194"/>
      <c r="X223" s="283" t="e">
        <v>#N/A</v>
      </c>
      <c r="Y223" s="383"/>
      <c r="AA223" s="383">
        <f t="shared" si="20"/>
        <v>0</v>
      </c>
      <c r="AB223" s="283">
        <f t="shared" si="21"/>
        <v>0</v>
      </c>
    </row>
    <row r="224" spans="1:28" ht="87.75" customHeight="1" x14ac:dyDescent="0.3">
      <c r="A224" s="209">
        <f>'TD Info Completed by Auditor'!A23</f>
        <v>957</v>
      </c>
      <c r="B224" s="124" t="s">
        <v>590</v>
      </c>
      <c r="C224" s="209" t="str">
        <f>'TD Info Completed by Auditor'!B23</f>
        <v>Number of material weakness findings (financial statement findings only)
Exclude findings reported in questions  907, 951</v>
      </c>
      <c r="D224" s="227"/>
      <c r="E224" s="211">
        <f>'TD Info Completed by Auditor'!C23</f>
        <v>0</v>
      </c>
      <c r="F224" s="221"/>
      <c r="G224" s="223"/>
      <c r="H224" s="220"/>
      <c r="I224" s="32"/>
      <c r="J224" s="182">
        <v>957</v>
      </c>
      <c r="K224" s="52" t="s">
        <v>595</v>
      </c>
      <c r="L224" s="292">
        <f t="shared" si="19"/>
        <v>0</v>
      </c>
      <c r="N224" s="243" t="s">
        <v>644</v>
      </c>
      <c r="P224" s="194"/>
      <c r="X224" s="283" t="e">
        <v>#N/A</v>
      </c>
      <c r="Y224" s="383"/>
      <c r="AA224" s="383">
        <f t="shared" si="20"/>
        <v>0</v>
      </c>
      <c r="AB224" s="283">
        <f t="shared" si="21"/>
        <v>0</v>
      </c>
    </row>
    <row r="225" spans="1:28" ht="289.2" customHeight="1" x14ac:dyDescent="0.3">
      <c r="A225" s="209">
        <f>'TD Info Completed by Auditor'!A24</f>
        <v>973</v>
      </c>
      <c r="B225" s="124" t="s">
        <v>590</v>
      </c>
      <c r="C225" s="209"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27"/>
      <c r="E225" s="211">
        <f>IF(+'TD Info Completed by Auditor'!C24&gt;0,1,IF(+'TD Info Completed by Auditor'!C24&gt;0,2,IF(+'TD Info Completed by Auditor'!C24&gt;0,3,0)))</f>
        <v>0</v>
      </c>
      <c r="F225" s="221"/>
      <c r="G225" s="223"/>
      <c r="H225" s="220"/>
      <c r="I225" s="32"/>
      <c r="J225" s="182">
        <v>973</v>
      </c>
      <c r="K225" s="52" t="s">
        <v>1488</v>
      </c>
      <c r="L225" s="292">
        <f>IF(D225="",E225,D225)</f>
        <v>0</v>
      </c>
      <c r="N225" s="243" t="s">
        <v>644</v>
      </c>
      <c r="P225" s="200"/>
      <c r="X225" s="283" t="e">
        <v>#N/A</v>
      </c>
      <c r="Y225" s="383"/>
      <c r="AA225" s="383">
        <f>A225-J225</f>
        <v>0</v>
      </c>
      <c r="AB225" s="283">
        <f>E225-L225</f>
        <v>0</v>
      </c>
    </row>
    <row r="226" spans="1:28" ht="87.75" customHeight="1" x14ac:dyDescent="0.3">
      <c r="A226" s="209">
        <f>'TD Info Completed by Auditor'!A25</f>
        <v>959</v>
      </c>
      <c r="B226" s="124" t="s">
        <v>590</v>
      </c>
      <c r="C226" s="209" t="str">
        <f>'TD Info Completed by Auditor'!B25</f>
        <v>Did the Unit have debt service payments deferred or restructured in this fiscal year? (does not include refinancings designed to take advantage of lower interest rates)  Select Yes, No, or NA</v>
      </c>
      <c r="D226" s="227"/>
      <c r="E226" s="211">
        <f>IF(+'TD Info Completed by Auditor'!C25="Yes",1,IF(+'TD Info Completed by Auditor'!C25="No",2,IF(+'TD Info Completed by Auditor'!C25="N/A",3,0)))</f>
        <v>0</v>
      </c>
      <c r="F226" s="221"/>
      <c r="G226" s="223"/>
      <c r="H226" s="220"/>
      <c r="I226" s="32"/>
      <c r="J226" s="182">
        <v>959</v>
      </c>
      <c r="K226" s="52" t="s">
        <v>646</v>
      </c>
      <c r="L226" s="292">
        <f t="shared" si="19"/>
        <v>0</v>
      </c>
      <c r="N226" s="243" t="s">
        <v>644</v>
      </c>
      <c r="P226" s="194"/>
      <c r="X226" s="283" t="e">
        <v>#N/A</v>
      </c>
      <c r="Y226" s="383"/>
      <c r="AA226" s="383">
        <f t="shared" si="20"/>
        <v>0</v>
      </c>
      <c r="AB226" s="283">
        <f t="shared" si="21"/>
        <v>0</v>
      </c>
    </row>
    <row r="227" spans="1:28" s="383" customFormat="1" ht="177.75" customHeight="1" x14ac:dyDescent="0.3">
      <c r="A227" s="209">
        <f>'TD Info Completed by Auditor'!A26</f>
        <v>974</v>
      </c>
      <c r="B227" s="124" t="s">
        <v>590</v>
      </c>
      <c r="C227" s="209"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27"/>
      <c r="E227" s="211">
        <f>IF(+'TD Info Completed by Auditor'!C26="Yes",1,IF(+'TD Info Completed by Auditor'!C26="No",2,IF(+'TD Info Completed by Auditor'!C26="N/A",3,0)))</f>
        <v>0</v>
      </c>
      <c r="F227" s="221"/>
      <c r="G227" s="223"/>
      <c r="H227" s="220"/>
      <c r="I227" s="32"/>
      <c r="J227" s="182">
        <v>974</v>
      </c>
      <c r="K227" s="52" t="s">
        <v>793</v>
      </c>
      <c r="L227" s="292">
        <f t="shared" ref="L227" si="22">IF(D227="",E227,D227)</f>
        <v>0</v>
      </c>
      <c r="M227"/>
      <c r="N227" s="243" t="s">
        <v>644</v>
      </c>
      <c r="P227" s="200"/>
      <c r="Q227" s="276"/>
      <c r="X227" s="283"/>
      <c r="AB227" s="283"/>
    </row>
    <row r="228" spans="1:28" ht="87.75" customHeight="1" x14ac:dyDescent="0.3">
      <c r="A228" s="209">
        <f>'TD Info Completed by Auditor'!A33</f>
        <v>975</v>
      </c>
      <c r="B228" s="124" t="s">
        <v>590</v>
      </c>
      <c r="C228" s="208" t="str">
        <f>'TD Info Completed by Auditor'!B33</f>
        <v>Does the Performance Indicator Print worksheet in this workbook have a red shaded cell?</v>
      </c>
      <c r="D228" s="227"/>
      <c r="E228" s="211">
        <f>IF(+'TD Info Completed by Auditor'!C33="Yes",1,IF(+'TD Info Completed by Auditor'!C33="No",2,IF(+'TD Info Completed by Auditor'!C33="N/A",3,0)))</f>
        <v>0</v>
      </c>
      <c r="F228" s="221"/>
      <c r="G228" s="223"/>
      <c r="H228" s="220"/>
      <c r="I228" s="32"/>
      <c r="J228" s="182">
        <v>975</v>
      </c>
      <c r="K228" s="978" t="s">
        <v>1941</v>
      </c>
      <c r="L228" s="292">
        <f>IF(D228="",E228,D228)</f>
        <v>0</v>
      </c>
      <c r="N228" s="243" t="s">
        <v>644</v>
      </c>
      <c r="P228" s="200"/>
      <c r="Q228" s="315"/>
      <c r="X228" s="283" t="e">
        <v>#N/A</v>
      </c>
      <c r="Y228" s="383"/>
      <c r="AA228" s="383">
        <f t="shared" si="20"/>
        <v>0</v>
      </c>
      <c r="AB228" s="283">
        <f t="shared" si="21"/>
        <v>0</v>
      </c>
    </row>
    <row r="229" spans="1:28" s="383" customFormat="1" ht="87.75" customHeight="1" x14ac:dyDescent="0.3">
      <c r="A229" s="301">
        <v>1068</v>
      </c>
      <c r="B229" s="301" t="s">
        <v>590</v>
      </c>
      <c r="C229" s="301" t="str">
        <f>'TD Info Completed by Auditor'!B35</f>
        <v xml:space="preserve">Does the unit have a self-insurance fund? </v>
      </c>
      <c r="D229" s="227"/>
      <c r="E229" s="764">
        <f>IF(+'TD Info Completed by Auditor'!C35="Yes",1,IF(+'TD Info Completed by Auditor'!C35="No",2,IF(+'TD Info Completed by Auditor'!C35="N/A",3,0)))</f>
        <v>0</v>
      </c>
      <c r="F229" s="765"/>
      <c r="G229" s="766"/>
      <c r="H229" s="767"/>
      <c r="I229" s="32"/>
      <c r="J229" s="768">
        <v>1068</v>
      </c>
      <c r="K229" s="301" t="s">
        <v>1573</v>
      </c>
      <c r="L229" s="981">
        <f t="shared" ref="L229:L232" si="23">IF(D229="",E229,D229)</f>
        <v>0</v>
      </c>
      <c r="M229" s="180"/>
      <c r="N229" s="243" t="s">
        <v>644</v>
      </c>
      <c r="P229" s="200"/>
      <c r="Q229" s="315"/>
      <c r="X229" s="283"/>
      <c r="AB229" s="283"/>
    </row>
    <row r="230" spans="1:28" s="383" customFormat="1" ht="87.75" customHeight="1" x14ac:dyDescent="0.3">
      <c r="A230" s="301">
        <v>1069</v>
      </c>
      <c r="B230" s="301" t="s">
        <v>590</v>
      </c>
      <c r="C230" s="618" t="str">
        <f>'TD Info Completed by Auditor'!B36</f>
        <v>If the unit is self-insured for employee health care, does the unit use a qualified consultant to establish rates and appropriate reserve levels?</v>
      </c>
      <c r="D230" s="227"/>
      <c r="E230" s="764">
        <f>IF(+'TD Info Completed by Auditor'!C36="Yes",1,IF(+'TD Info Completed by Auditor'!C36="No",2,IF(+'TD Info Completed by Auditor'!C36="N/A",3,0)))</f>
        <v>0</v>
      </c>
      <c r="F230" s="765"/>
      <c r="G230" s="766"/>
      <c r="H230" s="767"/>
      <c r="I230" s="32"/>
      <c r="J230" s="768">
        <v>1069</v>
      </c>
      <c r="K230" s="618" t="s">
        <v>1579</v>
      </c>
      <c r="L230" s="981">
        <f t="shared" si="23"/>
        <v>0</v>
      </c>
      <c r="M230" s="180"/>
      <c r="N230" s="243" t="s">
        <v>644</v>
      </c>
      <c r="P230" s="200"/>
      <c r="Q230" s="315"/>
      <c r="X230" s="283"/>
      <c r="AB230" s="283"/>
    </row>
    <row r="231" spans="1:28" s="383" customFormat="1" ht="96" customHeight="1" x14ac:dyDescent="0.3">
      <c r="A231" s="301">
        <v>1070</v>
      </c>
      <c r="B231" s="301" t="s">
        <v>590</v>
      </c>
      <c r="C231" s="301" t="str">
        <f>'TD Info Completed by Auditor'!B37</f>
        <v>Does the Unit have a non-state administered pension plan?
(Note - OPEB is not a pension plan.)</v>
      </c>
      <c r="D231" s="227"/>
      <c r="E231" s="764">
        <f>IF(+'TD Info Completed by Auditor'!C37="Yes",1,IF(+'TD Info Completed by Auditor'!C37="No",2,IF(+'TD Info Completed by Auditor'!C37="N/A",3,0)))</f>
        <v>0</v>
      </c>
      <c r="F231" s="765"/>
      <c r="G231" s="766"/>
      <c r="H231" s="767"/>
      <c r="I231" s="32"/>
      <c r="J231" s="768">
        <v>1070</v>
      </c>
      <c r="K231" s="301" t="s">
        <v>1959</v>
      </c>
      <c r="L231" s="982">
        <f t="shared" si="23"/>
        <v>0</v>
      </c>
      <c r="M231" s="180"/>
      <c r="N231" s="243" t="s">
        <v>644</v>
      </c>
      <c r="P231" s="200"/>
      <c r="Q231" s="315"/>
      <c r="X231" s="283"/>
      <c r="AB231" s="283"/>
    </row>
    <row r="232" spans="1:28" s="383" customFormat="1" ht="87.75" customHeight="1" x14ac:dyDescent="0.3">
      <c r="A232" s="301">
        <v>1071</v>
      </c>
      <c r="B232" s="301" t="s">
        <v>590</v>
      </c>
      <c r="C232" s="301" t="str">
        <f>'TD Info Completed by Auditor'!B38</f>
        <v>Please list the amount of ARPA funds expended in total this fiscal year for non-capital purposes.  Enter "0" if no ARPA funds expended for this fiscal year for non-capital purposes.</v>
      </c>
      <c r="D232" s="227"/>
      <c r="E232" s="770">
        <f>'TD Info Completed by Auditor'!C38</f>
        <v>0</v>
      </c>
      <c r="F232" s="765"/>
      <c r="G232" s="766"/>
      <c r="H232" s="767"/>
      <c r="I232" s="32"/>
      <c r="J232" s="768">
        <v>1071</v>
      </c>
      <c r="K232" s="301" t="s">
        <v>1935</v>
      </c>
      <c r="L232" s="981">
        <f t="shared" si="23"/>
        <v>0</v>
      </c>
      <c r="M232" s="180"/>
      <c r="N232" s="243" t="s">
        <v>644</v>
      </c>
      <c r="P232" s="200"/>
      <c r="Q232" s="315"/>
      <c r="X232" s="283"/>
      <c r="AB232" s="283"/>
    </row>
    <row r="233" spans="1:28" ht="121.2" customHeight="1" x14ac:dyDescent="0.3">
      <c r="A233" s="324">
        <v>336</v>
      </c>
      <c r="B233" s="234"/>
      <c r="C233" s="325" t="s">
        <v>654</v>
      </c>
      <c r="D233" s="326" t="s">
        <v>622</v>
      </c>
      <c r="E233" s="327" t="s">
        <v>623</v>
      </c>
      <c r="F233" s="235" t="s">
        <v>1058</v>
      </c>
      <c r="G233" s="223"/>
      <c r="H233" s="220"/>
      <c r="I233" s="32"/>
      <c r="J233" s="236">
        <v>336</v>
      </c>
      <c r="K233" s="328" t="s">
        <v>626</v>
      </c>
      <c r="L233" s="329">
        <f>L10-L11-L12-L13-L14-L15-L16</f>
        <v>0</v>
      </c>
      <c r="N233" s="244" t="s">
        <v>624</v>
      </c>
      <c r="P233" s="200"/>
      <c r="Q233" s="315"/>
      <c r="X233" s="283" t="e">
        <v>#N/A</v>
      </c>
      <c r="Y233" s="383"/>
      <c r="AA233" s="383">
        <f t="shared" si="20"/>
        <v>0</v>
      </c>
      <c r="AB233" s="283" t="e">
        <f t="shared" si="21"/>
        <v>#VALUE!</v>
      </c>
    </row>
    <row r="234" spans="1:28" ht="129" customHeight="1" x14ac:dyDescent="0.3">
      <c r="A234" s="324">
        <v>44</v>
      </c>
      <c r="B234" s="234"/>
      <c r="C234" s="235" t="s">
        <v>655</v>
      </c>
      <c r="D234" s="326" t="s">
        <v>614</v>
      </c>
      <c r="E234" s="330" t="s">
        <v>615</v>
      </c>
      <c r="F234" s="235" t="s">
        <v>1059</v>
      </c>
      <c r="G234" s="223"/>
      <c r="H234" s="220"/>
      <c r="I234" s="32"/>
      <c r="J234" s="236">
        <v>44</v>
      </c>
      <c r="K234" s="328" t="s">
        <v>627</v>
      </c>
      <c r="L234" s="329">
        <f>L76-L77-L74</f>
        <v>0</v>
      </c>
      <c r="N234" s="244" t="s">
        <v>625</v>
      </c>
      <c r="P234" s="200"/>
      <c r="Q234" s="315"/>
      <c r="X234" s="283" t="e">
        <v>#N/A</v>
      </c>
      <c r="Y234" s="383"/>
      <c r="AA234" s="383">
        <f t="shared" si="20"/>
        <v>0</v>
      </c>
      <c r="AB234" s="283" t="e">
        <f t="shared" si="21"/>
        <v>#VALUE!</v>
      </c>
    </row>
    <row r="235" spans="1:28" ht="169.5" customHeight="1" x14ac:dyDescent="0.3">
      <c r="A235" s="324">
        <v>45</v>
      </c>
      <c r="B235" s="234"/>
      <c r="C235" s="235" t="s">
        <v>656</v>
      </c>
      <c r="D235" s="326" t="s">
        <v>616</v>
      </c>
      <c r="E235" s="327" t="s">
        <v>617</v>
      </c>
      <c r="F235" s="235" t="s">
        <v>1058</v>
      </c>
      <c r="G235" s="223"/>
      <c r="H235" s="220"/>
      <c r="I235" s="32"/>
      <c r="J235" s="236">
        <v>45</v>
      </c>
      <c r="K235" s="328" t="s">
        <v>628</v>
      </c>
      <c r="L235" s="329">
        <f>L80-L81-L82-L83-L84-L85-L79</f>
        <v>0</v>
      </c>
      <c r="N235" s="244" t="s">
        <v>636</v>
      </c>
      <c r="P235" s="200"/>
      <c r="Q235" s="315"/>
      <c r="X235" s="283" t="e">
        <v>#N/A</v>
      </c>
      <c r="Y235" s="383"/>
      <c r="AA235" s="383">
        <f t="shared" si="20"/>
        <v>0</v>
      </c>
      <c r="AB235" s="283" t="e">
        <f t="shared" si="21"/>
        <v>#VALUE!</v>
      </c>
    </row>
    <row r="236" spans="1:28" ht="87.75" customHeight="1" x14ac:dyDescent="0.3">
      <c r="A236" s="324">
        <v>47</v>
      </c>
      <c r="B236" s="234"/>
      <c r="C236" s="235" t="s">
        <v>630</v>
      </c>
      <c r="D236" s="326" t="s">
        <v>618</v>
      </c>
      <c r="E236" s="327" t="s">
        <v>620</v>
      </c>
      <c r="F236" s="235" t="s">
        <v>1058</v>
      </c>
      <c r="G236" s="223"/>
      <c r="H236" s="220"/>
      <c r="I236" s="32"/>
      <c r="J236" s="236">
        <v>47</v>
      </c>
      <c r="K236" s="328" t="s">
        <v>629</v>
      </c>
      <c r="L236" s="329">
        <f>L94-L95-L92</f>
        <v>0</v>
      </c>
      <c r="N236" s="244" t="s">
        <v>637</v>
      </c>
      <c r="P236" s="200"/>
      <c r="Q236" s="315"/>
      <c r="X236" s="283" t="e">
        <v>#N/A</v>
      </c>
      <c r="Y236" s="383"/>
      <c r="AA236" s="383">
        <f t="shared" si="20"/>
        <v>0</v>
      </c>
      <c r="AB236" s="283" t="e">
        <f t="shared" si="21"/>
        <v>#VALUE!</v>
      </c>
    </row>
    <row r="237" spans="1:28" ht="152.25" customHeight="1" x14ac:dyDescent="0.3">
      <c r="A237" s="324">
        <v>48</v>
      </c>
      <c r="B237" s="234"/>
      <c r="C237" s="235" t="s">
        <v>631</v>
      </c>
      <c r="D237" s="326" t="s">
        <v>619</v>
      </c>
      <c r="E237" s="327" t="s">
        <v>621</v>
      </c>
      <c r="F237" s="235" t="s">
        <v>1058</v>
      </c>
      <c r="G237" s="223"/>
      <c r="H237" s="220"/>
      <c r="I237" s="32"/>
      <c r="J237" s="236">
        <v>48</v>
      </c>
      <c r="K237" s="328" t="s">
        <v>115</v>
      </c>
      <c r="L237" s="329">
        <f>L99-L100-L101-L102-L103-L104-L98</f>
        <v>0</v>
      </c>
      <c r="N237" s="244" t="s">
        <v>638</v>
      </c>
      <c r="P237" s="200"/>
      <c r="Q237" s="315"/>
      <c r="X237" s="283" t="e">
        <v>#N/A</v>
      </c>
      <c r="Y237" s="383"/>
      <c r="AA237" s="383">
        <f t="shared" si="20"/>
        <v>0</v>
      </c>
      <c r="AB237" s="283" t="e">
        <f t="shared" si="21"/>
        <v>#VALUE!</v>
      </c>
    </row>
    <row r="238" spans="1:28" ht="113.4" customHeight="1" x14ac:dyDescent="0.3">
      <c r="A238" s="331"/>
      <c r="B238" s="90"/>
      <c r="C238" s="332"/>
      <c r="D238" s="129"/>
      <c r="E238" s="137"/>
      <c r="F238" s="59"/>
      <c r="G238" s="131"/>
      <c r="H238" s="132"/>
      <c r="I238" s="32"/>
      <c r="J238" s="237">
        <v>998</v>
      </c>
      <c r="K238" s="238" t="s">
        <v>277</v>
      </c>
      <c r="L238" s="333" t="e">
        <f>VLOOKUP('Unit Data from Audit Worksheet'!D2,'Unit Names(H)'!$A$2:$C$95,3,FALSE)</f>
        <v>#N/A</v>
      </c>
      <c r="N238" s="244" t="s">
        <v>632</v>
      </c>
      <c r="P238" s="200"/>
      <c r="Q238" s="315"/>
      <c r="X238" s="283" t="e">
        <v>#N/A</v>
      </c>
      <c r="Y238" s="383"/>
      <c r="AA238" s="383">
        <f t="shared" si="20"/>
        <v>-998</v>
      </c>
      <c r="AB238" s="283" t="e">
        <f t="shared" si="21"/>
        <v>#N/A</v>
      </c>
    </row>
    <row r="239" spans="1:28" ht="119.4" customHeight="1" x14ac:dyDescent="0.3">
      <c r="A239" s="331"/>
      <c r="B239" s="90"/>
      <c r="C239" s="332"/>
      <c r="D239" s="334"/>
      <c r="E239" s="335"/>
      <c r="F239" s="336"/>
      <c r="G239" s="337"/>
      <c r="H239" s="338"/>
      <c r="I239" s="32"/>
      <c r="J239" s="239">
        <v>995</v>
      </c>
      <c r="K239" s="240" t="s">
        <v>275</v>
      </c>
      <c r="L239" s="721" t="e">
        <f>INDEX('PY1 Data(H)'!$A$1:$CZ$279,MATCH('PY1 Data(H)'!$A230,'PY1 Data(H)'!$A$1:$A$279,0),MATCH('Unit Data from Audit Worksheet'!$D$2,'PY1 Data(H)'!$A$1:$CZ$1,0))</f>
        <v>#N/A</v>
      </c>
      <c r="N239" s="244" t="s">
        <v>639</v>
      </c>
      <c r="P239" s="200"/>
      <c r="Q239" s="315"/>
      <c r="X239" s="283" t="e">
        <v>#N/A</v>
      </c>
      <c r="Y239" s="383"/>
      <c r="AA239" s="383">
        <f t="shared" si="20"/>
        <v>-995</v>
      </c>
      <c r="AB239" s="569" t="e">
        <f t="shared" si="21"/>
        <v>#N/A</v>
      </c>
    </row>
    <row r="240" spans="1:28" ht="104.4" customHeight="1" x14ac:dyDescent="0.3">
      <c r="A240" s="331"/>
      <c r="B240" s="90"/>
      <c r="C240" s="332"/>
      <c r="D240" s="334"/>
      <c r="E240" s="335"/>
      <c r="F240" s="336"/>
      <c r="G240" s="337"/>
      <c r="H240" s="338"/>
      <c r="I240" s="32"/>
      <c r="J240" s="239">
        <v>996</v>
      </c>
      <c r="K240" s="240" t="s">
        <v>276</v>
      </c>
      <c r="L240" s="721" t="e">
        <f>INDEX('PY1 Data(H)'!$A$1:$CZ$279,MATCH('PY1 Data(H)'!$A231,'PY1 Data(H)'!$A$1:$A$279,0),MATCH('Unit Data from Audit Worksheet'!$D$2,'PY1 Data(H)'!$A$1:$CZ$1,0))</f>
        <v>#N/A</v>
      </c>
      <c r="N240" s="244" t="s">
        <v>640</v>
      </c>
      <c r="P240" s="200"/>
      <c r="Q240" s="315"/>
      <c r="X240" s="283" t="e">
        <v>#N/A</v>
      </c>
      <c r="Y240" s="383"/>
      <c r="AA240" s="383">
        <f t="shared" si="20"/>
        <v>-996</v>
      </c>
      <c r="AB240" s="569" t="e">
        <f t="shared" si="21"/>
        <v>#N/A</v>
      </c>
    </row>
    <row r="241" spans="1:28" ht="43.2" x14ac:dyDescent="0.3">
      <c r="A241" s="331"/>
      <c r="B241" s="90"/>
      <c r="C241" s="332"/>
      <c r="D241" s="334"/>
      <c r="E241" s="335"/>
      <c r="F241" s="336"/>
      <c r="G241" s="337"/>
      <c r="H241" s="339"/>
      <c r="I241" s="32"/>
      <c r="J241" s="158">
        <v>554</v>
      </c>
      <c r="K241" s="340" t="s">
        <v>318</v>
      </c>
      <c r="L241" s="310"/>
      <c r="N241" s="341"/>
      <c r="P241" s="200"/>
      <c r="Q241" s="315"/>
      <c r="X241" s="283" t="e">
        <v>#N/A</v>
      </c>
      <c r="Y241" s="383"/>
      <c r="AA241" s="383">
        <f t="shared" si="20"/>
        <v>-554</v>
      </c>
      <c r="AB241" s="283">
        <f t="shared" si="21"/>
        <v>0</v>
      </c>
    </row>
    <row r="242" spans="1:28" ht="43.2" x14ac:dyDescent="0.3">
      <c r="A242" s="331"/>
      <c r="B242" s="90"/>
      <c r="C242" s="332"/>
      <c r="D242" s="334"/>
      <c r="E242" s="335"/>
      <c r="F242" s="336"/>
      <c r="G242" s="337"/>
      <c r="H242" s="339"/>
      <c r="I242" s="32"/>
      <c r="J242" s="158">
        <v>555</v>
      </c>
      <c r="K242" s="340" t="s">
        <v>319</v>
      </c>
      <c r="L242" s="310"/>
      <c r="N242" s="341"/>
      <c r="P242" s="200"/>
      <c r="Q242" s="315"/>
      <c r="X242" s="283" t="e">
        <v>#N/A</v>
      </c>
      <c r="Y242" s="383"/>
      <c r="AA242" s="383">
        <f t="shared" si="20"/>
        <v>-555</v>
      </c>
      <c r="AB242" s="283">
        <f t="shared" si="21"/>
        <v>0</v>
      </c>
    </row>
    <row r="243" spans="1:28" ht="43.2" x14ac:dyDescent="0.3">
      <c r="A243" s="331"/>
      <c r="B243" s="90"/>
      <c r="C243" s="332"/>
      <c r="D243" s="334"/>
      <c r="E243" s="335"/>
      <c r="F243" s="336"/>
      <c r="G243" s="337"/>
      <c r="H243" s="339"/>
      <c r="I243" s="32"/>
      <c r="J243" s="158">
        <v>556</v>
      </c>
      <c r="K243" s="340" t="s">
        <v>320</v>
      </c>
      <c r="L243" s="310"/>
      <c r="N243" s="341"/>
      <c r="P243" s="200"/>
      <c r="Q243" s="315"/>
      <c r="X243" s="283" t="e">
        <v>#N/A</v>
      </c>
      <c r="Y243" s="383"/>
      <c r="AA243" s="383">
        <f t="shared" si="20"/>
        <v>-556</v>
      </c>
      <c r="AB243" s="283">
        <f t="shared" si="21"/>
        <v>0</v>
      </c>
    </row>
    <row r="244" spans="1:28" ht="43.2" x14ac:dyDescent="0.3">
      <c r="A244" s="331"/>
      <c r="B244" s="90"/>
      <c r="C244" s="332"/>
      <c r="D244" s="334"/>
      <c r="E244" s="335"/>
      <c r="F244" s="336"/>
      <c r="G244" s="337"/>
      <c r="H244" s="339"/>
      <c r="I244" s="32"/>
      <c r="J244" s="158">
        <v>557</v>
      </c>
      <c r="K244" s="340" t="s">
        <v>321</v>
      </c>
      <c r="L244" s="310"/>
      <c r="N244" s="341"/>
      <c r="P244" s="201"/>
      <c r="X244" s="283" t="e">
        <v>#N/A</v>
      </c>
      <c r="Y244" s="383"/>
      <c r="AA244" s="383">
        <f t="shared" si="20"/>
        <v>-557</v>
      </c>
      <c r="AB244" s="283">
        <f t="shared" si="21"/>
        <v>0</v>
      </c>
    </row>
    <row r="245" spans="1:28" ht="43.2" x14ac:dyDescent="0.3">
      <c r="A245" s="331"/>
      <c r="B245" s="90"/>
      <c r="C245" s="332"/>
      <c r="D245" s="334"/>
      <c r="E245" s="335"/>
      <c r="F245" s="336"/>
      <c r="G245" s="337"/>
      <c r="H245" s="339"/>
      <c r="I245" s="32"/>
      <c r="J245" s="158">
        <v>606</v>
      </c>
      <c r="K245" s="340" t="s">
        <v>447</v>
      </c>
      <c r="L245" s="310"/>
      <c r="N245" s="341"/>
      <c r="P245" s="201"/>
      <c r="X245" s="283" t="e">
        <v>#N/A</v>
      </c>
      <c r="Y245" s="383"/>
      <c r="AA245" s="383">
        <f t="shared" si="20"/>
        <v>-606</v>
      </c>
      <c r="AB245" s="283">
        <f t="shared" si="21"/>
        <v>0</v>
      </c>
    </row>
    <row r="246" spans="1:28" s="18" customFormat="1" ht="22.5" customHeight="1" x14ac:dyDescent="0.3">
      <c r="A246" s="331"/>
      <c r="B246" s="90"/>
      <c r="C246" s="332"/>
      <c r="D246" s="129"/>
      <c r="E246" s="130"/>
      <c r="F246" s="59"/>
      <c r="G246" s="131"/>
      <c r="H246" s="132"/>
      <c r="I246" s="32"/>
      <c r="J246" s="133"/>
      <c r="K246" s="343"/>
      <c r="L246" s="344"/>
      <c r="M246"/>
      <c r="N246" s="243"/>
      <c r="P246" s="201"/>
      <c r="Q246" s="276"/>
      <c r="R246" s="3"/>
      <c r="S246" s="3"/>
      <c r="T246" s="3"/>
      <c r="U246" s="3"/>
      <c r="V246" s="3"/>
      <c r="W246" s="3"/>
      <c r="X246" s="283" t="e">
        <v>#N/A</v>
      </c>
      <c r="Y246" s="383"/>
      <c r="Z246" s="3"/>
      <c r="AA246" s="383">
        <f t="shared" si="20"/>
        <v>0</v>
      </c>
      <c r="AB246" s="283">
        <f t="shared" si="21"/>
        <v>0</v>
      </c>
    </row>
    <row r="247" spans="1:28" ht="99" customHeight="1" x14ac:dyDescent="0.3">
      <c r="A247" s="209">
        <f>'Unit Data from Audit Worksheet'!A269</f>
        <v>947</v>
      </c>
      <c r="B247" s="124"/>
      <c r="C247" s="208" t="str">
        <f>'Unit Data from Audit Worksheet'!D269</f>
        <v>First name of finance officer or interim finance officer (please enter “vacant” for first name if the position is currently vacant)</v>
      </c>
      <c r="D247" s="230"/>
      <c r="E247" s="172">
        <f>'Unit Data from Audit Worksheet'!F269</f>
        <v>0</v>
      </c>
      <c r="F247" s="221" t="str">
        <f>'Unit Data from Audit Worksheet'!G269</f>
        <v>Please do not leave blank</v>
      </c>
      <c r="G247" s="223"/>
      <c r="H247" s="220"/>
      <c r="I247" s="32"/>
      <c r="J247" s="161">
        <v>947</v>
      </c>
      <c r="K247" s="345" t="s">
        <v>406</v>
      </c>
      <c r="L247" s="346">
        <f t="shared" ref="L247:L258" si="24">IF(D247="",E247,D247)</f>
        <v>0</v>
      </c>
      <c r="N247" s="341"/>
      <c r="P247" s="201"/>
      <c r="Q247" s="78"/>
      <c r="X247" s="283">
        <v>947</v>
      </c>
      <c r="Y247" s="3">
        <v>947</v>
      </c>
      <c r="AA247" s="383">
        <f t="shared" si="20"/>
        <v>0</v>
      </c>
      <c r="AB247" s="283" t="b">
        <f>EXACT(E247,L247)</f>
        <v>1</v>
      </c>
    </row>
    <row r="248" spans="1:28" ht="128.25" customHeight="1" x14ac:dyDescent="0.3">
      <c r="A248" s="209">
        <f>'Unit Data from Audit Worksheet'!A270</f>
        <v>948</v>
      </c>
      <c r="B248" s="124"/>
      <c r="C248" s="208" t="str">
        <f>'Unit Data from Audit Worksheet'!D270</f>
        <v>Last name of finance officer or interim finance officer (please enter “vacant” for last name if the position is currently vacant)</v>
      </c>
      <c r="D248" s="230"/>
      <c r="E248" s="347">
        <f>'Unit Data from Audit Worksheet'!F270</f>
        <v>0</v>
      </c>
      <c r="F248" s="221" t="str">
        <f>'Unit Data from Audit Worksheet'!G270</f>
        <v>Please do not leave blank</v>
      </c>
      <c r="G248" s="223"/>
      <c r="H248" s="220"/>
      <c r="I248" s="32"/>
      <c r="J248" s="161">
        <v>948</v>
      </c>
      <c r="K248" s="345" t="s">
        <v>407</v>
      </c>
      <c r="L248" s="346">
        <f t="shared" si="24"/>
        <v>0</v>
      </c>
      <c r="N248" s="341"/>
      <c r="P248" s="201"/>
      <c r="X248" s="283">
        <v>948</v>
      </c>
      <c r="Y248" s="3">
        <v>948</v>
      </c>
      <c r="AA248" s="383">
        <f t="shared" si="20"/>
        <v>0</v>
      </c>
      <c r="AB248" s="283" t="b">
        <f t="shared" ref="AB248:AB260" si="25">EXACT(E248,L248)</f>
        <v>1</v>
      </c>
    </row>
    <row r="249" spans="1:28" ht="61.5" customHeight="1" x14ac:dyDescent="0.3">
      <c r="A249" s="209">
        <f>'Unit Data from Audit Worksheet'!A271</f>
        <v>949</v>
      </c>
      <c r="B249" s="124"/>
      <c r="C249" s="208" t="str">
        <f>'Unit Data from Audit Worksheet'!D271</f>
        <v>Is the finance officer serving in a permanent role or an interim role? (select permanent/interim/vacant)</v>
      </c>
      <c r="D249" s="230"/>
      <c r="E249" s="172">
        <f>'Unit Data from Audit Worksheet'!F271</f>
        <v>0</v>
      </c>
      <c r="F249" s="221" t="str">
        <f>'Unit Data from Audit Worksheet'!G271</f>
        <v>Please do not leave blank</v>
      </c>
      <c r="G249" s="223"/>
      <c r="H249" s="220"/>
      <c r="I249" s="32"/>
      <c r="J249" s="161">
        <v>949</v>
      </c>
      <c r="K249" s="345" t="s">
        <v>430</v>
      </c>
      <c r="L249" s="346">
        <f t="shared" si="24"/>
        <v>0</v>
      </c>
      <c r="N249" s="341"/>
      <c r="P249" s="201"/>
      <c r="X249" s="283">
        <v>949</v>
      </c>
      <c r="Y249" s="3">
        <v>949</v>
      </c>
      <c r="AA249" s="383">
        <f t="shared" si="20"/>
        <v>0</v>
      </c>
      <c r="AB249" s="283" t="b">
        <f t="shared" si="25"/>
        <v>1</v>
      </c>
    </row>
    <row r="250" spans="1:28" ht="93.75" customHeight="1" x14ac:dyDescent="0.3">
      <c r="A250" s="209">
        <f>'Unit Data from Audit Worksheet'!A272</f>
        <v>950</v>
      </c>
      <c r="B250" s="124"/>
      <c r="C250" s="208" t="str">
        <f>'Unit Data from Audit Worksheet'!D272</f>
        <v>Has the finance officer or interim finance officer been formally appointed by the local government, public authority, or designated official?  (Y/N)</v>
      </c>
      <c r="D250" s="230"/>
      <c r="E250" s="172">
        <f>'Unit Data from Audit Worksheet'!F272</f>
        <v>0</v>
      </c>
      <c r="F250" s="221" t="str">
        <f>'Unit Data from Audit Worksheet'!G272</f>
        <v>Please do not leave blank</v>
      </c>
      <c r="G250" s="223"/>
      <c r="H250" s="220"/>
      <c r="I250" s="32"/>
      <c r="J250" s="161">
        <v>950</v>
      </c>
      <c r="K250" s="345" t="s">
        <v>431</v>
      </c>
      <c r="L250" s="346">
        <f t="shared" si="24"/>
        <v>0</v>
      </c>
      <c r="N250" s="341"/>
      <c r="P250" s="201"/>
      <c r="X250" s="283">
        <v>950</v>
      </c>
      <c r="Y250" s="3">
        <v>950</v>
      </c>
      <c r="AA250" s="383">
        <f t="shared" si="20"/>
        <v>0</v>
      </c>
      <c r="AB250" s="283" t="b">
        <f t="shared" si="25"/>
        <v>1</v>
      </c>
    </row>
    <row r="251" spans="1:28" ht="153.75" customHeight="1" x14ac:dyDescent="0.3">
      <c r="A251" s="209">
        <f>'Unit Data from Audit Worksheet'!A273</f>
        <v>952</v>
      </c>
      <c r="B251" s="124"/>
      <c r="C251" s="208" t="str">
        <f>'Unit Data from Audit Worksheet'!D273</f>
        <v>Date on which the local government, public authority, or designated official appointed the finance officer?      Date Format  MM/DD/YYYY</v>
      </c>
      <c r="D251" s="230"/>
      <c r="E251" s="644" t="str">
        <f>IF('Unit Data from Audit Worksheet'!F273&gt;0,'Unit Data from Audit Worksheet'!F273," ")</f>
        <v xml:space="preserve"> </v>
      </c>
      <c r="F251" s="221" t="str">
        <f>'Unit Data from Audit Worksheet'!G273</f>
        <v>Leave blank if data not available</v>
      </c>
      <c r="G251" s="223"/>
      <c r="H251" s="220"/>
      <c r="I251" s="32"/>
      <c r="J251" s="161">
        <v>952</v>
      </c>
      <c r="K251" s="345" t="s">
        <v>432</v>
      </c>
      <c r="L251" s="348" t="str">
        <f t="shared" si="24"/>
        <v xml:space="preserve"> </v>
      </c>
      <c r="N251" s="341"/>
      <c r="P251" s="201"/>
      <c r="X251" s="283">
        <v>952</v>
      </c>
      <c r="Y251" s="3">
        <v>952</v>
      </c>
      <c r="AA251" s="383">
        <f t="shared" si="20"/>
        <v>0</v>
      </c>
      <c r="AB251" s="283" t="b">
        <f t="shared" si="25"/>
        <v>1</v>
      </c>
    </row>
    <row r="252" spans="1:28" ht="30.75" customHeight="1" x14ac:dyDescent="0.3">
      <c r="A252" s="349">
        <f>'Unit Data from Audit Worksheet'!A281</f>
        <v>960</v>
      </c>
      <c r="B252" s="168"/>
      <c r="C252" s="169" t="str">
        <f>'Unit Data from Audit Worksheet'!B281</f>
        <v>Name of Finance Officer</v>
      </c>
      <c r="D252" s="230"/>
      <c r="E252" s="350">
        <f>'Unit Data from Audit Worksheet'!D281</f>
        <v>0</v>
      </c>
      <c r="F252" s="351" t="str">
        <f>'Unit Data from Audit Worksheet'!F281</f>
        <v>Required</v>
      </c>
      <c r="G252" s="223"/>
      <c r="H252" s="220"/>
      <c r="I252" s="32"/>
      <c r="J252" s="171">
        <v>960</v>
      </c>
      <c r="K252" s="352" t="s">
        <v>426</v>
      </c>
      <c r="L252" s="353">
        <f t="shared" si="24"/>
        <v>0</v>
      </c>
      <c r="N252" s="308"/>
      <c r="P252" s="201"/>
      <c r="X252" s="283">
        <v>960</v>
      </c>
      <c r="Y252" s="3">
        <v>960</v>
      </c>
      <c r="AA252" s="383">
        <f t="shared" si="20"/>
        <v>0</v>
      </c>
      <c r="AB252" s="283" t="b">
        <f t="shared" si="25"/>
        <v>1</v>
      </c>
    </row>
    <row r="253" spans="1:28" ht="30.75" customHeight="1" x14ac:dyDescent="0.3">
      <c r="A253" s="349">
        <f>'Unit Data from Audit Worksheet'!A282</f>
        <v>962</v>
      </c>
      <c r="B253" s="168"/>
      <c r="C253" s="169" t="str">
        <f>'Unit Data from Audit Worksheet'!B282</f>
        <v>Title of Official</v>
      </c>
      <c r="D253" s="230"/>
      <c r="E253" s="350">
        <f>'Unit Data from Audit Worksheet'!D282</f>
        <v>0</v>
      </c>
      <c r="F253" s="351" t="str">
        <f>'Unit Data from Audit Worksheet'!F282</f>
        <v>Required</v>
      </c>
      <c r="G253" s="223"/>
      <c r="H253" s="220"/>
      <c r="I253" s="32"/>
      <c r="J253" s="171">
        <v>962</v>
      </c>
      <c r="K253" s="352" t="s">
        <v>402</v>
      </c>
      <c r="L253" s="353">
        <f t="shared" si="24"/>
        <v>0</v>
      </c>
      <c r="N253" s="308"/>
      <c r="P253" s="201"/>
      <c r="X253" s="283">
        <v>962</v>
      </c>
      <c r="Y253" s="3">
        <v>962</v>
      </c>
      <c r="AA253" s="383">
        <f t="shared" si="20"/>
        <v>0</v>
      </c>
      <c r="AB253" s="283" t="b">
        <f t="shared" si="25"/>
        <v>1</v>
      </c>
    </row>
    <row r="254" spans="1:28" ht="30.75" customHeight="1" x14ac:dyDescent="0.3">
      <c r="A254" s="349">
        <f>'Unit Data from Audit Worksheet'!A283</f>
        <v>964</v>
      </c>
      <c r="B254" s="168"/>
      <c r="C254" s="170" t="str">
        <f>'Unit Data from Audit Worksheet'!B283</f>
        <v>Date                        (Enter as "MM/DD/YYYY")</v>
      </c>
      <c r="D254" s="230"/>
      <c r="E254" s="354">
        <f>'Unit Data from Audit Worksheet'!D283</f>
        <v>0</v>
      </c>
      <c r="F254" s="351" t="str">
        <f>'Unit Data from Audit Worksheet'!F283</f>
        <v>Required</v>
      </c>
      <c r="G254" s="571"/>
      <c r="H254" s="220"/>
      <c r="I254" s="32"/>
      <c r="J254" s="171">
        <v>964</v>
      </c>
      <c r="K254" s="352" t="s">
        <v>457</v>
      </c>
      <c r="L254" s="355">
        <f t="shared" si="24"/>
        <v>0</v>
      </c>
      <c r="N254" s="308"/>
      <c r="P254" s="201"/>
      <c r="X254" s="283">
        <v>964</v>
      </c>
      <c r="Y254" s="3">
        <v>964</v>
      </c>
      <c r="AA254" s="383">
        <f t="shared" si="20"/>
        <v>0</v>
      </c>
      <c r="AB254" s="283" t="b">
        <f t="shared" si="25"/>
        <v>1</v>
      </c>
    </row>
    <row r="255" spans="1:28" ht="30.75" customHeight="1" x14ac:dyDescent="0.3">
      <c r="A255" s="349">
        <f>'Unit Data from Audit Worksheet'!A284</f>
        <v>966</v>
      </c>
      <c r="B255" s="168"/>
      <c r="C255" s="169" t="s">
        <v>1060</v>
      </c>
      <c r="D255" s="230"/>
      <c r="E255" s="570" t="str">
        <f>_xlfn.TEXTJOIN(",",,TEXT('Unit Data from Audit Worksheet'!D284,"###-###-####")," "&amp;'Unit Data from Audit Worksheet'!D285)</f>
        <v xml:space="preserve">--, </v>
      </c>
      <c r="F255" s="351" t="str">
        <f>'Unit Data from Audit Worksheet'!F284</f>
        <v>Required</v>
      </c>
      <c r="G255" s="223"/>
      <c r="H255" s="220"/>
      <c r="I255" s="32"/>
      <c r="J255" s="171">
        <v>966</v>
      </c>
      <c r="K255" s="352" t="s">
        <v>404</v>
      </c>
      <c r="L255" s="353" t="str">
        <f t="shared" si="24"/>
        <v xml:space="preserve">--, </v>
      </c>
      <c r="N255" s="308"/>
      <c r="P255" s="201"/>
      <c r="X255" s="283">
        <v>966</v>
      </c>
      <c r="Y255" s="3">
        <v>966</v>
      </c>
      <c r="AA255" s="383">
        <f t="shared" si="20"/>
        <v>0</v>
      </c>
      <c r="AB255" s="283" t="b">
        <f t="shared" si="25"/>
        <v>1</v>
      </c>
    </row>
    <row r="256" spans="1:28" ht="30.75" customHeight="1" x14ac:dyDescent="0.3">
      <c r="A256" s="349">
        <f>'Unit Data from Audit Worksheet'!A286</f>
        <v>968</v>
      </c>
      <c r="B256" s="168"/>
      <c r="C256" s="169" t="str">
        <f>'Unit Data from Audit Worksheet'!B286</f>
        <v>E-mail address</v>
      </c>
      <c r="D256" s="230"/>
      <c r="E256" s="350">
        <f>'Unit Data from Audit Worksheet'!D286</f>
        <v>0</v>
      </c>
      <c r="F256" s="351" t="str">
        <f>'Unit Data from Audit Worksheet'!F286</f>
        <v>Required</v>
      </c>
      <c r="G256" s="223"/>
      <c r="H256" s="220"/>
      <c r="I256" s="32"/>
      <c r="J256" s="171">
        <v>968</v>
      </c>
      <c r="K256" s="352" t="s">
        <v>405</v>
      </c>
      <c r="L256" s="353">
        <f t="shared" si="24"/>
        <v>0</v>
      </c>
      <c r="N256" s="308"/>
      <c r="P256" s="201"/>
      <c r="X256" s="283">
        <v>968</v>
      </c>
      <c r="Y256" s="3">
        <v>968</v>
      </c>
      <c r="AA256" s="383">
        <f t="shared" si="20"/>
        <v>0</v>
      </c>
      <c r="AB256" s="283" t="b">
        <f t="shared" si="25"/>
        <v>1</v>
      </c>
    </row>
    <row r="257" spans="1:28" ht="111" customHeight="1" x14ac:dyDescent="0.3">
      <c r="A257" s="356">
        <v>980</v>
      </c>
      <c r="B257" s="234" t="s">
        <v>590</v>
      </c>
      <c r="C257" s="245" t="str">
        <f>'TD Info Completed by Auditor'!B32</f>
        <v>Date the auditor presented or plans to present Financial Performance Indicators of Concern (FPIC) to the Governing Board.  If there are no FPICs to present to the governing board,  enter "7/1/2024" to indicate that an FPIC response is not required.</v>
      </c>
      <c r="D257" s="230"/>
      <c r="E257" s="624" t="str">
        <f>IF('TD Info Completed by Auditor'!C32&gt;0,'TD Info Completed by Auditor'!C32," ")</f>
        <v xml:space="preserve"> </v>
      </c>
      <c r="F257" s="357" t="s">
        <v>643</v>
      </c>
      <c r="G257" s="223"/>
      <c r="H257" s="220"/>
      <c r="I257" s="32"/>
      <c r="J257" s="246">
        <v>980</v>
      </c>
      <c r="K257" s="247" t="s">
        <v>583</v>
      </c>
      <c r="L257" s="358" t="str">
        <f t="shared" si="24"/>
        <v xml:space="preserve"> </v>
      </c>
      <c r="N257" s="386" t="s">
        <v>644</v>
      </c>
      <c r="P257" s="201"/>
      <c r="X257" s="283" t="e">
        <v>#N/A</v>
      </c>
      <c r="AA257" s="383">
        <f t="shared" si="20"/>
        <v>0</v>
      </c>
      <c r="AB257" s="283" t="b">
        <f t="shared" si="25"/>
        <v>1</v>
      </c>
    </row>
    <row r="258" spans="1:28" s="383" customFormat="1" ht="135.6" customHeight="1" x14ac:dyDescent="0.3">
      <c r="A258" s="209">
        <f>'Unit Data from Audit Worksheet'!A77</f>
        <v>590</v>
      </c>
      <c r="B258" s="209" t="str">
        <f>'Unit Data from Audit Worksheet'!B77</f>
        <v>Fiscal Review, UAL Determination, Financial Performance Indicator</v>
      </c>
      <c r="C258" s="74" t="str">
        <f>'Unit Data from Audit Worksheet'!D77</f>
        <v>If you appropriated General Fund Balance in your 2024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0"/>
      <c r="E258" s="652" t="str">
        <f>CONCATENATE('Unit Data from Audit Worksheet'!F77," - ",'Unit Data from Audit Worksheet'!G77)</f>
        <v xml:space="preserve"> - </v>
      </c>
      <c r="F258" s="648"/>
      <c r="G258" s="223"/>
      <c r="H258" s="220"/>
      <c r="I258" s="32"/>
      <c r="J258" s="246">
        <v>590</v>
      </c>
      <c r="K258" s="247" t="s">
        <v>1474</v>
      </c>
      <c r="L258" s="653" t="str">
        <f t="shared" si="24"/>
        <v xml:space="preserve"> - </v>
      </c>
      <c r="M258"/>
      <c r="N258" s="386"/>
      <c r="P258" s="201"/>
      <c r="Q258" s="276"/>
      <c r="X258" s="283"/>
      <c r="AB258" s="283"/>
    </row>
    <row r="259" spans="1:28" s="383" customFormat="1" ht="135.6" customHeight="1" x14ac:dyDescent="0.3">
      <c r="A259" s="301">
        <f>'TD Info Completed by Auditor'!A31</f>
        <v>1079</v>
      </c>
      <c r="B259" s="301"/>
      <c r="C259" s="988" t="str">
        <f>'TD Info Completed by Auditor'!B31</f>
        <v>What date was the audit report submitted to the LGC?  (Note audit reports are due four months after fiscal year end regardless of the contract submission date.)  Enter as "MM/DD/YYYY"</v>
      </c>
      <c r="D259" s="230"/>
      <c r="E259" s="991">
        <f>'TD Info Completed by Auditor'!C31</f>
        <v>0</v>
      </c>
      <c r="F259" s="648"/>
      <c r="G259" s="223"/>
      <c r="H259" s="220"/>
      <c r="I259" s="32"/>
      <c r="J259" s="246">
        <v>1079</v>
      </c>
      <c r="K259" s="247" t="s">
        <v>1949</v>
      </c>
      <c r="L259" s="989">
        <f>E259</f>
        <v>0</v>
      </c>
      <c r="M259" s="180"/>
      <c r="N259" s="386"/>
      <c r="P259" s="201"/>
      <c r="Q259" s="276"/>
      <c r="X259" s="283"/>
      <c r="AB259" s="283"/>
    </row>
    <row r="260" spans="1:28" ht="83.4" customHeight="1" x14ac:dyDescent="0.3">
      <c r="A260" s="331"/>
      <c r="B260" s="90"/>
      <c r="C260" s="332"/>
      <c r="D260" s="334"/>
      <c r="E260" s="335"/>
      <c r="F260" s="336"/>
      <c r="G260" s="337"/>
      <c r="H260" s="338"/>
      <c r="I260" s="32"/>
      <c r="J260" s="161">
        <v>999</v>
      </c>
      <c r="K260" s="345" t="s">
        <v>278</v>
      </c>
      <c r="L260" s="359" t="e">
        <f>'Unit Data from Audit Worksheet'!D3</f>
        <v>#N/A</v>
      </c>
      <c r="N260" s="360" t="s">
        <v>642</v>
      </c>
      <c r="O260" s="360" t="s">
        <v>641</v>
      </c>
      <c r="P260" s="201"/>
      <c r="X260" s="283" t="e">
        <v>#N/A</v>
      </c>
      <c r="AA260" s="383">
        <f t="shared" si="20"/>
        <v>-999</v>
      </c>
      <c r="AB260" s="283" t="e">
        <f t="shared" si="25"/>
        <v>#N/A</v>
      </c>
    </row>
    <row r="261" spans="1:28" x14ac:dyDescent="0.3">
      <c r="A261" s="185"/>
      <c r="B261" s="185"/>
      <c r="C261" s="185"/>
      <c r="D261" s="185"/>
      <c r="E261" s="185"/>
      <c r="F261" s="185"/>
      <c r="G261" s="185"/>
      <c r="H261" s="185"/>
      <c r="I261" s="185"/>
      <c r="J261" s="3"/>
      <c r="K261" s="3"/>
      <c r="L261" s="3"/>
      <c r="N261" s="4"/>
      <c r="P261" s="201"/>
      <c r="AA261" s="383"/>
    </row>
    <row r="262" spans="1:28" s="383" customFormat="1" x14ac:dyDescent="0.3">
      <c r="A262" s="185"/>
      <c r="B262" s="185"/>
      <c r="C262" s="185"/>
      <c r="D262" s="185"/>
      <c r="E262" s="185"/>
      <c r="F262" s="185"/>
      <c r="G262" s="185"/>
      <c r="H262" s="185"/>
      <c r="I262" s="185"/>
      <c r="M262"/>
      <c r="N262" s="4"/>
      <c r="P262" s="201"/>
      <c r="Q262" s="276"/>
    </row>
    <row r="263" spans="1:28" x14ac:dyDescent="0.3">
      <c r="C263" s="635"/>
      <c r="D263" s="362"/>
      <c r="E263" s="363"/>
      <c r="F263" s="363"/>
      <c r="G263" s="364"/>
      <c r="H263" s="363"/>
      <c r="I263" s="365"/>
      <c r="K263" s="714" t="s">
        <v>1475</v>
      </c>
      <c r="L263" s="716" t="e">
        <f>SUM(L4:L245)</f>
        <v>#N/A</v>
      </c>
      <c r="N263" s="4"/>
      <c r="P263" s="201"/>
      <c r="AA263" s="383"/>
    </row>
    <row r="264" spans="1:28" ht="19.2" customHeight="1" x14ac:dyDescent="0.3">
      <c r="A264"/>
      <c r="B264"/>
      <c r="C264"/>
      <c r="D264"/>
      <c r="E264"/>
      <c r="F264"/>
      <c r="G264" s="364"/>
      <c r="H264" s="363"/>
      <c r="I264" s="365"/>
      <c r="K264" s="715" t="s">
        <v>1459</v>
      </c>
      <c r="L264" s="716"/>
      <c r="N264" s="4"/>
      <c r="P264" s="201"/>
      <c r="AA264" s="383"/>
    </row>
    <row r="265" spans="1:28" ht="21.6" customHeight="1" x14ac:dyDescent="0.7">
      <c r="B265" s="3"/>
      <c r="C265" s="3"/>
      <c r="D265" s="73"/>
      <c r="E265" s="96"/>
      <c r="F265" s="73"/>
      <c r="G265" s="364"/>
      <c r="H265" s="363"/>
      <c r="I265" s="365"/>
      <c r="J265" s="148"/>
      <c r="K265" s="147"/>
      <c r="L265" s="716" t="e">
        <f>L263-L264</f>
        <v>#N/A</v>
      </c>
      <c r="N265" s="4"/>
      <c r="P265" s="201"/>
      <c r="Y265" s="383">
        <v>590</v>
      </c>
      <c r="AA265" s="383"/>
    </row>
    <row r="266" spans="1:28" ht="25.2" customHeight="1" x14ac:dyDescent="0.3">
      <c r="A266" s="185"/>
      <c r="B266" s="185"/>
      <c r="C266" s="185"/>
      <c r="D266" s="185"/>
      <c r="E266" s="185"/>
      <c r="F266" s="363"/>
      <c r="G266" s="364"/>
      <c r="H266" s="363"/>
      <c r="I266" s="365"/>
      <c r="K266" s="10"/>
      <c r="L266" s="366"/>
      <c r="P266" s="201"/>
      <c r="X266" s="283">
        <f>SUM(X5:X211)</f>
        <v>83710</v>
      </c>
      <c r="Y266" s="3">
        <v>96734</v>
      </c>
      <c r="AA266" s="383"/>
    </row>
    <row r="267" spans="1:28" x14ac:dyDescent="0.3">
      <c r="A267" s="185"/>
      <c r="B267" s="185"/>
      <c r="C267" s="185"/>
      <c r="D267" s="185"/>
      <c r="E267" s="185"/>
      <c r="F267" s="363"/>
      <c r="G267" s="364"/>
      <c r="H267" s="363"/>
      <c r="I267" s="365"/>
      <c r="K267" s="10"/>
      <c r="P267" s="201"/>
      <c r="X267" s="283">
        <f>SUM(X247:X256)</f>
        <v>9566</v>
      </c>
      <c r="AA267" s="383"/>
    </row>
    <row r="268" spans="1:28" ht="18.75" customHeight="1" x14ac:dyDescent="0.3">
      <c r="A268" s="185"/>
      <c r="B268" s="185"/>
      <c r="C268" s="185"/>
      <c r="D268" s="185"/>
      <c r="E268" s="185"/>
      <c r="F268" s="363"/>
      <c r="G268" s="364"/>
      <c r="H268" s="363"/>
      <c r="I268" s="365"/>
      <c r="K268" s="10"/>
      <c r="L268"/>
      <c r="P268" s="201"/>
      <c r="Y268" s="3" t="s">
        <v>874</v>
      </c>
      <c r="AA268" s="383"/>
    </row>
    <row r="269" spans="1:28" ht="30.75" customHeight="1" x14ac:dyDescent="0.3">
      <c r="A269" s="185"/>
      <c r="B269" s="185"/>
      <c r="C269" s="185"/>
      <c r="D269" s="185"/>
      <c r="E269" s="185"/>
      <c r="F269" s="363"/>
      <c r="G269" s="364"/>
      <c r="H269" s="363"/>
      <c r="I269" s="365"/>
      <c r="K269" s="10"/>
      <c r="L269" s="366"/>
      <c r="P269" s="201"/>
      <c r="X269" s="283">
        <f>SUM(X266:X268)</f>
        <v>93276</v>
      </c>
      <c r="Y269" s="3">
        <f>Y266</f>
        <v>96734</v>
      </c>
      <c r="Z269" s="283">
        <f>X269-Y269</f>
        <v>-3458</v>
      </c>
      <c r="AA269" s="383"/>
    </row>
    <row r="270" spans="1:28" ht="30.75" customHeight="1" x14ac:dyDescent="0.3">
      <c r="A270" s="185"/>
      <c r="B270" s="185"/>
      <c r="C270" s="185"/>
      <c r="D270" s="185"/>
      <c r="E270" s="185"/>
      <c r="F270" s="363"/>
      <c r="G270" s="364"/>
      <c r="H270" s="363"/>
      <c r="I270" s="365"/>
      <c r="K270" s="10"/>
      <c r="L270" s="366"/>
      <c r="P270" s="201"/>
      <c r="AA270" s="383"/>
    </row>
    <row r="271" spans="1:28" ht="30.75" customHeight="1" x14ac:dyDescent="0.3">
      <c r="A271" s="185"/>
      <c r="B271" s="185"/>
      <c r="C271" s="185"/>
      <c r="D271" s="185"/>
      <c r="E271" s="185"/>
      <c r="F271" s="363"/>
      <c r="G271" s="364"/>
      <c r="H271" s="363"/>
      <c r="I271" s="365"/>
      <c r="K271" s="10"/>
      <c r="L271" s="366"/>
      <c r="P271" s="201"/>
      <c r="AA271" s="383"/>
    </row>
    <row r="272" spans="1:28" ht="30.75" customHeight="1" x14ac:dyDescent="0.3">
      <c r="A272" s="185"/>
      <c r="B272" s="185"/>
      <c r="C272" s="185"/>
      <c r="D272" s="185"/>
      <c r="E272" s="185"/>
      <c r="F272" s="363"/>
      <c r="G272" s="364"/>
      <c r="H272" s="363"/>
      <c r="I272" s="365"/>
      <c r="K272" s="10"/>
      <c r="L272" s="366"/>
      <c r="P272" s="201"/>
      <c r="AA272" s="383"/>
    </row>
    <row r="273" spans="1:27" ht="30.75" customHeight="1" x14ac:dyDescent="0.3">
      <c r="A273" s="185"/>
      <c r="B273" s="185"/>
      <c r="C273" s="185"/>
      <c r="D273" s="185"/>
      <c r="E273" s="185"/>
      <c r="F273" s="363"/>
      <c r="G273" s="364"/>
      <c r="H273" s="363"/>
      <c r="I273" s="365"/>
      <c r="K273" s="10"/>
      <c r="L273" s="366"/>
      <c r="P273" s="201"/>
      <c r="AA273" s="383"/>
    </row>
    <row r="274" spans="1:27" x14ac:dyDescent="0.3">
      <c r="A274" s="185"/>
      <c r="B274" s="185"/>
      <c r="C274" s="185"/>
      <c r="D274" s="185"/>
      <c r="E274" s="185"/>
      <c r="I274" s="365"/>
      <c r="K274" s="10"/>
      <c r="L274" s="366"/>
      <c r="P274" s="201"/>
      <c r="AA274" s="383"/>
    </row>
    <row r="275" spans="1:27" x14ac:dyDescent="0.3">
      <c r="A275" s="185"/>
      <c r="B275" s="185"/>
      <c r="C275" s="185"/>
      <c r="D275" s="185"/>
      <c r="E275" s="185"/>
      <c r="I275" s="365"/>
      <c r="L275" s="366"/>
      <c r="P275" s="201"/>
      <c r="AA275" s="383"/>
    </row>
    <row r="276" spans="1:27" x14ac:dyDescent="0.3">
      <c r="A276" s="5"/>
      <c r="B276" s="367"/>
      <c r="C276" s="23"/>
      <c r="D276" s="72"/>
      <c r="I276" s="365"/>
      <c r="L276" s="366"/>
      <c r="P276" s="201"/>
      <c r="AA276" s="383"/>
    </row>
    <row r="277" spans="1:27" x14ac:dyDescent="0.3">
      <c r="A277" s="5"/>
      <c r="B277" s="367"/>
      <c r="C277" s="23"/>
      <c r="D277" s="72"/>
      <c r="L277" s="366"/>
      <c r="P277" s="201"/>
      <c r="AA277" s="383"/>
    </row>
    <row r="278" spans="1:27" x14ac:dyDescent="0.3">
      <c r="D278" s="72"/>
      <c r="P278" s="201"/>
      <c r="AA278" s="383"/>
    </row>
    <row r="279" spans="1:27" x14ac:dyDescent="0.3">
      <c r="D279" s="72"/>
      <c r="P279" s="201"/>
      <c r="AA279" s="383"/>
    </row>
    <row r="280" spans="1:27" x14ac:dyDescent="0.3">
      <c r="D280" s="72"/>
      <c r="P280" s="201"/>
      <c r="AA280" s="383"/>
    </row>
    <row r="281" spans="1:27" x14ac:dyDescent="0.3">
      <c r="D281" s="72"/>
      <c r="P281" s="201"/>
      <c r="AA281" s="383"/>
    </row>
    <row r="282" spans="1:27" x14ac:dyDescent="0.3">
      <c r="A282" s="5"/>
      <c r="B282" s="367"/>
      <c r="C282" s="23"/>
      <c r="D282" s="72"/>
      <c r="P282" s="201"/>
      <c r="AA282" s="383"/>
    </row>
    <row r="283" spans="1:27" x14ac:dyDescent="0.3">
      <c r="A283" s="5"/>
      <c r="B283" s="367"/>
      <c r="C283" s="23"/>
      <c r="D283" s="72"/>
      <c r="P283" s="201"/>
      <c r="AA283" s="383"/>
    </row>
    <row r="284" spans="1:27" x14ac:dyDescent="0.3">
      <c r="D284" s="72"/>
      <c r="P284" s="201"/>
      <c r="AA284" s="383"/>
    </row>
    <row r="285" spans="1:27" x14ac:dyDescent="0.3">
      <c r="D285" s="72"/>
      <c r="P285" s="201"/>
      <c r="AA285" s="383"/>
    </row>
    <row r="286" spans="1:27" x14ac:dyDescent="0.3">
      <c r="D286" s="72"/>
      <c r="P286" s="201"/>
      <c r="AA286" s="383"/>
    </row>
    <row r="287" spans="1:27" x14ac:dyDescent="0.3">
      <c r="D287" s="72"/>
      <c r="P287" s="201"/>
      <c r="AA287" s="383"/>
    </row>
    <row r="288" spans="1:27" x14ac:dyDescent="0.3">
      <c r="A288" s="5"/>
      <c r="B288" s="367"/>
      <c r="C288" s="23"/>
      <c r="D288" s="72"/>
      <c r="P288" s="201"/>
      <c r="AA288" s="383"/>
    </row>
    <row r="289" spans="1:27" x14ac:dyDescent="0.3">
      <c r="A289" s="5"/>
      <c r="B289" s="367"/>
      <c r="C289" s="23"/>
      <c r="D289" s="72"/>
      <c r="P289" s="201"/>
      <c r="AA289" s="383"/>
    </row>
    <row r="290" spans="1:27" x14ac:dyDescent="0.3">
      <c r="D290" s="72"/>
      <c r="P290" s="201"/>
      <c r="AA290" s="383"/>
    </row>
    <row r="291" spans="1:27" x14ac:dyDescent="0.3">
      <c r="D291" s="72"/>
      <c r="P291" s="201"/>
      <c r="AA291" s="383"/>
    </row>
    <row r="292" spans="1:27" x14ac:dyDescent="0.3">
      <c r="D292" s="72"/>
      <c r="P292" s="201"/>
      <c r="AA292" s="383"/>
    </row>
    <row r="293" spans="1:27" x14ac:dyDescent="0.3">
      <c r="D293" s="72"/>
      <c r="P293" s="201"/>
      <c r="AA293" s="383"/>
    </row>
    <row r="294" spans="1:27" x14ac:dyDescent="0.3">
      <c r="A294" s="5"/>
      <c r="B294" s="367"/>
      <c r="C294" s="23"/>
      <c r="D294" s="72"/>
      <c r="P294" s="201"/>
      <c r="AA294" s="383"/>
    </row>
    <row r="295" spans="1:27" x14ac:dyDescent="0.3">
      <c r="A295" s="5"/>
      <c r="B295" s="367"/>
      <c r="C295" s="23"/>
      <c r="D295" s="72"/>
      <c r="P295" s="201"/>
      <c r="AA295" s="383"/>
    </row>
    <row r="296" spans="1:27" x14ac:dyDescent="0.3">
      <c r="A296" s="5"/>
      <c r="B296" s="367"/>
      <c r="C296" s="23"/>
      <c r="D296" s="72"/>
      <c r="P296" s="201"/>
      <c r="AA296" s="383"/>
    </row>
    <row r="297" spans="1:27" x14ac:dyDescent="0.3">
      <c r="A297" s="5"/>
      <c r="B297" s="367"/>
      <c r="C297" s="23"/>
      <c r="D297" s="72"/>
      <c r="P297" s="201"/>
      <c r="AA297" s="383"/>
    </row>
    <row r="298" spans="1:27" x14ac:dyDescent="0.3">
      <c r="D298" s="72"/>
      <c r="P298" s="201"/>
      <c r="AA298" s="383"/>
    </row>
    <row r="299" spans="1:27" x14ac:dyDescent="0.3">
      <c r="D299" s="72"/>
      <c r="P299" s="201"/>
      <c r="AA299" s="383"/>
    </row>
    <row r="300" spans="1:27" x14ac:dyDescent="0.3">
      <c r="D300" s="72"/>
      <c r="P300" s="201"/>
      <c r="AA300" s="383"/>
    </row>
    <row r="301" spans="1:27" x14ac:dyDescent="0.3">
      <c r="A301" s="5"/>
      <c r="B301" s="367"/>
      <c r="C301" s="23"/>
      <c r="D301" s="72"/>
      <c r="P301" s="201"/>
      <c r="AA301" s="383"/>
    </row>
    <row r="302" spans="1:27" x14ac:dyDescent="0.3">
      <c r="A302" s="5"/>
      <c r="B302" s="367"/>
      <c r="C302" s="23"/>
      <c r="D302" s="72"/>
      <c r="P302" s="201"/>
      <c r="AA302" s="383"/>
    </row>
    <row r="303" spans="1:27" x14ac:dyDescent="0.3">
      <c r="A303" s="5"/>
      <c r="B303" s="367"/>
      <c r="C303" s="23"/>
      <c r="D303" s="72"/>
      <c r="P303" s="201"/>
      <c r="AA303" s="383"/>
    </row>
    <row r="304" spans="1:27" x14ac:dyDescent="0.3">
      <c r="A304" s="5"/>
      <c r="B304" s="367"/>
      <c r="C304" s="23"/>
      <c r="D304" s="72"/>
      <c r="P304" s="201"/>
      <c r="AA304" s="383"/>
    </row>
    <row r="305" spans="1:27" x14ac:dyDescent="0.3">
      <c r="A305" s="5"/>
      <c r="B305" s="367"/>
      <c r="C305" s="23"/>
      <c r="D305" s="72"/>
      <c r="P305" s="201"/>
      <c r="AA305" s="383"/>
    </row>
    <row r="306" spans="1:27" x14ac:dyDescent="0.3">
      <c r="A306" s="5"/>
      <c r="B306" s="367"/>
      <c r="C306" s="23"/>
      <c r="D306" s="72"/>
      <c r="P306" s="201"/>
      <c r="AA306" s="383"/>
    </row>
    <row r="307" spans="1:27" x14ac:dyDescent="0.3">
      <c r="A307" s="5"/>
      <c r="B307" s="367"/>
      <c r="C307" s="23"/>
      <c r="D307" s="72"/>
      <c r="P307" s="201"/>
      <c r="AA307" s="383"/>
    </row>
    <row r="308" spans="1:27" x14ac:dyDescent="0.3">
      <c r="A308" s="5"/>
      <c r="B308" s="367"/>
      <c r="C308" s="23"/>
      <c r="D308" s="72"/>
      <c r="P308" s="201"/>
      <c r="AA308" s="383"/>
    </row>
    <row r="309" spans="1:27" x14ac:dyDescent="0.3">
      <c r="A309" s="5"/>
      <c r="B309" s="367"/>
      <c r="C309" s="23"/>
      <c r="D309" s="72"/>
      <c r="P309" s="201"/>
      <c r="AA309" s="383"/>
    </row>
    <row r="310" spans="1:27" x14ac:dyDescent="0.3">
      <c r="A310" s="5"/>
      <c r="B310" s="367"/>
      <c r="C310" s="23"/>
      <c r="D310" s="72"/>
      <c r="P310" s="201"/>
      <c r="AA310" s="383"/>
    </row>
    <row r="311" spans="1:27" x14ac:dyDescent="0.3">
      <c r="A311" s="5"/>
      <c r="B311" s="367"/>
      <c r="C311" s="23"/>
      <c r="D311" s="72"/>
      <c r="P311" s="201"/>
      <c r="AA311" s="383"/>
    </row>
    <row r="312" spans="1:27" x14ac:dyDescent="0.3">
      <c r="A312" s="5"/>
      <c r="B312" s="367"/>
      <c r="C312" s="23"/>
      <c r="D312" s="72"/>
      <c r="P312" s="201"/>
      <c r="AA312" s="383"/>
    </row>
    <row r="313" spans="1:27" x14ac:dyDescent="0.3">
      <c r="A313" s="5"/>
      <c r="B313" s="367"/>
      <c r="C313" s="23"/>
      <c r="D313" s="72"/>
      <c r="P313" s="201"/>
      <c r="AA313" s="383"/>
    </row>
    <row r="314" spans="1:27" x14ac:dyDescent="0.3">
      <c r="A314" s="5"/>
      <c r="B314" s="367"/>
      <c r="C314" s="23"/>
      <c r="D314" s="72"/>
      <c r="P314" s="201"/>
      <c r="AA314" s="383"/>
    </row>
    <row r="315" spans="1:27" x14ac:dyDescent="0.3">
      <c r="A315" s="5"/>
      <c r="B315" s="367"/>
      <c r="C315" s="23"/>
      <c r="D315" s="72"/>
      <c r="P315" s="201"/>
      <c r="AA315" s="383"/>
    </row>
    <row r="316" spans="1:27" x14ac:dyDescent="0.3">
      <c r="A316" s="5"/>
      <c r="B316" s="367"/>
      <c r="C316" s="23"/>
      <c r="D316" s="72"/>
      <c r="P316" s="201"/>
      <c r="AA316" s="383"/>
    </row>
    <row r="317" spans="1:27" x14ac:dyDescent="0.3">
      <c r="A317" s="5"/>
      <c r="B317" s="367"/>
      <c r="C317" s="23"/>
      <c r="D317" s="72"/>
      <c r="P317" s="201"/>
      <c r="AA317" s="383"/>
    </row>
    <row r="318" spans="1:27" x14ac:dyDescent="0.3">
      <c r="A318" s="5"/>
      <c r="B318" s="367"/>
      <c r="C318" s="23"/>
      <c r="D318" s="72"/>
      <c r="P318" s="201"/>
      <c r="AA318" s="383"/>
    </row>
    <row r="319" spans="1:27" x14ac:dyDescent="0.3">
      <c r="A319" s="5"/>
      <c r="B319" s="367"/>
      <c r="C319" s="23"/>
      <c r="D319" s="72"/>
      <c r="P319" s="201"/>
      <c r="AA319" s="383"/>
    </row>
    <row r="320" spans="1:27" x14ac:dyDescent="0.3">
      <c r="A320" s="5"/>
      <c r="B320" s="367"/>
      <c r="C320" s="23"/>
      <c r="D320" s="72"/>
      <c r="P320" s="201"/>
    </row>
    <row r="321" spans="1:16" x14ac:dyDescent="0.3">
      <c r="A321" s="5"/>
      <c r="B321" s="367"/>
      <c r="C321" s="23"/>
      <c r="D321" s="72"/>
      <c r="P321" s="201"/>
    </row>
    <row r="322" spans="1:16" x14ac:dyDescent="0.3">
      <c r="A322" s="5"/>
      <c r="B322" s="367"/>
      <c r="C322" s="23"/>
      <c r="D322" s="72"/>
      <c r="P322" s="201"/>
    </row>
    <row r="323" spans="1:16" x14ac:dyDescent="0.3">
      <c r="A323" s="5"/>
      <c r="B323" s="367"/>
      <c r="C323" s="23"/>
      <c r="D323" s="72"/>
      <c r="P323" s="201"/>
    </row>
    <row r="324" spans="1:16" x14ac:dyDescent="0.3">
      <c r="A324" s="5"/>
      <c r="B324" s="367"/>
      <c r="C324" s="23"/>
      <c r="D324" s="72"/>
      <c r="P324" s="201"/>
    </row>
    <row r="325" spans="1:16" x14ac:dyDescent="0.3">
      <c r="A325" s="5"/>
      <c r="B325" s="367"/>
      <c r="C325" s="23"/>
      <c r="D325" s="72"/>
      <c r="P325" s="201"/>
    </row>
    <row r="326" spans="1:16" x14ac:dyDescent="0.3">
      <c r="A326" s="5"/>
      <c r="B326" s="367"/>
      <c r="C326" s="23"/>
      <c r="D326" s="72"/>
      <c r="P326" s="201"/>
    </row>
    <row r="327" spans="1:16" x14ac:dyDescent="0.3">
      <c r="A327" s="5"/>
      <c r="B327" s="367"/>
      <c r="C327" s="23"/>
      <c r="D327" s="72"/>
      <c r="P327" s="201"/>
    </row>
    <row r="328" spans="1:16" x14ac:dyDescent="0.3">
      <c r="A328" s="5"/>
      <c r="B328" s="367"/>
      <c r="C328" s="23"/>
      <c r="D328" s="72"/>
      <c r="P328" s="201"/>
    </row>
    <row r="329" spans="1:16" x14ac:dyDescent="0.3">
      <c r="A329" s="5"/>
      <c r="B329" s="367"/>
      <c r="C329" s="23"/>
      <c r="D329" s="72"/>
      <c r="P329" s="201"/>
    </row>
    <row r="330" spans="1:16" x14ac:dyDescent="0.3">
      <c r="A330" s="5"/>
      <c r="B330" s="367"/>
      <c r="C330" s="23"/>
      <c r="D330" s="72"/>
      <c r="P330" s="201"/>
    </row>
    <row r="331" spans="1:16" x14ac:dyDescent="0.3">
      <c r="A331" s="5"/>
      <c r="B331" s="367"/>
      <c r="C331" s="23"/>
      <c r="D331" s="72"/>
      <c r="P331" s="201"/>
    </row>
    <row r="332" spans="1:16" x14ac:dyDescent="0.3">
      <c r="A332" s="5"/>
      <c r="B332" s="367"/>
      <c r="C332" s="23"/>
      <c r="D332" s="72"/>
      <c r="P332" s="201"/>
    </row>
    <row r="333" spans="1:16" x14ac:dyDescent="0.3">
      <c r="A333" s="5"/>
      <c r="B333" s="367"/>
      <c r="C333" s="23"/>
      <c r="D333" s="72"/>
      <c r="P333" s="201"/>
    </row>
    <row r="334" spans="1:16" x14ac:dyDescent="0.3">
      <c r="A334" s="5"/>
      <c r="B334" s="367"/>
      <c r="C334" s="23"/>
      <c r="D334" s="72"/>
      <c r="P334" s="201"/>
    </row>
    <row r="335" spans="1:16" x14ac:dyDescent="0.3">
      <c r="A335" s="5"/>
      <c r="B335" s="367"/>
      <c r="C335" s="23"/>
      <c r="D335" s="72"/>
      <c r="P335" s="201"/>
    </row>
    <row r="336" spans="1:16" x14ac:dyDescent="0.3">
      <c r="A336" s="5"/>
      <c r="B336" s="367"/>
      <c r="C336" s="23"/>
      <c r="D336" s="72"/>
      <c r="P336" s="201"/>
    </row>
    <row r="337" spans="1:16" x14ac:dyDescent="0.3">
      <c r="A337" s="5"/>
      <c r="B337" s="367"/>
      <c r="C337" s="23"/>
      <c r="D337" s="72"/>
      <c r="P337" s="201"/>
    </row>
    <row r="338" spans="1:16" x14ac:dyDescent="0.3">
      <c r="A338" s="5"/>
      <c r="B338" s="367"/>
      <c r="C338" s="23"/>
      <c r="D338" s="72"/>
      <c r="P338" s="201"/>
    </row>
    <row r="339" spans="1:16" x14ac:dyDescent="0.3">
      <c r="A339" s="5"/>
      <c r="B339" s="367"/>
      <c r="C339" s="23"/>
      <c r="D339" s="72"/>
      <c r="P339" s="201"/>
    </row>
    <row r="340" spans="1:16" x14ac:dyDescent="0.3">
      <c r="A340" s="5"/>
      <c r="B340" s="367"/>
      <c r="C340" s="23"/>
      <c r="D340" s="72"/>
      <c r="P340" s="201"/>
    </row>
    <row r="341" spans="1:16" x14ac:dyDescent="0.3">
      <c r="A341" s="5"/>
      <c r="B341" s="367"/>
      <c r="C341" s="23"/>
      <c r="D341" s="72"/>
      <c r="P341" s="201"/>
    </row>
    <row r="342" spans="1:16" x14ac:dyDescent="0.3">
      <c r="A342" s="5"/>
      <c r="B342" s="367"/>
      <c r="C342" s="23"/>
      <c r="D342" s="72"/>
      <c r="P342" s="201"/>
    </row>
    <row r="343" spans="1:16" x14ac:dyDescent="0.3">
      <c r="A343" s="5"/>
      <c r="B343" s="367"/>
      <c r="C343" s="23"/>
      <c r="D343" s="72"/>
      <c r="P343" s="201"/>
    </row>
    <row r="344" spans="1:16" x14ac:dyDescent="0.3">
      <c r="A344" s="5"/>
      <c r="B344" s="367"/>
      <c r="C344" s="23"/>
      <c r="D344" s="72"/>
      <c r="P344" s="201"/>
    </row>
    <row r="345" spans="1:16" x14ac:dyDescent="0.3">
      <c r="A345" s="5"/>
      <c r="B345" s="367"/>
      <c r="C345" s="23"/>
      <c r="D345" s="72"/>
      <c r="P345" s="201"/>
    </row>
    <row r="346" spans="1:16" x14ac:dyDescent="0.3">
      <c r="A346" s="5"/>
      <c r="B346" s="367"/>
      <c r="C346" s="23"/>
      <c r="D346" s="72"/>
      <c r="P346" s="201"/>
    </row>
    <row r="347" spans="1:16" x14ac:dyDescent="0.3">
      <c r="A347" s="5"/>
      <c r="B347" s="367"/>
      <c r="C347" s="23"/>
      <c r="D347" s="72"/>
      <c r="P347" s="201"/>
    </row>
    <row r="348" spans="1:16" x14ac:dyDescent="0.3">
      <c r="A348" s="5"/>
      <c r="B348" s="367"/>
      <c r="C348" s="23"/>
      <c r="D348" s="72"/>
      <c r="P348" s="201"/>
    </row>
    <row r="349" spans="1:16" x14ac:dyDescent="0.3">
      <c r="A349" s="5"/>
      <c r="B349" s="367"/>
      <c r="C349" s="23"/>
      <c r="D349" s="72"/>
      <c r="P349" s="201"/>
    </row>
    <row r="350" spans="1:16" x14ac:dyDescent="0.3">
      <c r="A350" s="5"/>
      <c r="B350" s="367"/>
      <c r="C350" s="23"/>
      <c r="D350" s="72"/>
      <c r="P350" s="201"/>
    </row>
    <row r="351" spans="1:16" x14ac:dyDescent="0.3">
      <c r="A351" s="5"/>
      <c r="B351" s="367"/>
      <c r="C351" s="23"/>
      <c r="D351" s="72"/>
      <c r="P351" s="201"/>
    </row>
    <row r="352" spans="1:16" x14ac:dyDescent="0.3">
      <c r="A352" s="5"/>
      <c r="B352" s="367"/>
      <c r="C352" s="23"/>
      <c r="D352" s="72"/>
      <c r="P352" s="201"/>
    </row>
    <row r="353" spans="1:16" x14ac:dyDescent="0.3">
      <c r="A353" s="5"/>
      <c r="B353" s="367"/>
      <c r="C353" s="23"/>
      <c r="D353" s="72"/>
      <c r="P353" s="201"/>
    </row>
    <row r="354" spans="1:16" x14ac:dyDescent="0.3">
      <c r="A354" s="5"/>
      <c r="B354" s="367"/>
      <c r="C354" s="23"/>
      <c r="D354" s="72"/>
      <c r="P354" s="201"/>
    </row>
    <row r="355" spans="1:16" x14ac:dyDescent="0.3">
      <c r="A355" s="5"/>
      <c r="B355" s="367"/>
      <c r="C355" s="23"/>
      <c r="D355" s="72"/>
      <c r="P355" s="201"/>
    </row>
    <row r="356" spans="1:16" x14ac:dyDescent="0.3">
      <c r="A356" s="5"/>
      <c r="B356" s="367"/>
      <c r="C356" s="23"/>
      <c r="D356" s="72"/>
      <c r="P356" s="201"/>
    </row>
    <row r="357" spans="1:16" x14ac:dyDescent="0.3">
      <c r="A357" s="5"/>
      <c r="B357" s="367"/>
      <c r="C357" s="23"/>
      <c r="D357" s="72"/>
      <c r="P357" s="201"/>
    </row>
    <row r="358" spans="1:16" x14ac:dyDescent="0.3">
      <c r="A358" s="5"/>
      <c r="B358" s="367"/>
      <c r="C358" s="23"/>
      <c r="D358" s="72"/>
      <c r="P358" s="201"/>
    </row>
    <row r="359" spans="1:16" x14ac:dyDescent="0.3">
      <c r="A359" s="5"/>
      <c r="B359" s="367"/>
      <c r="C359" s="23"/>
      <c r="D359" s="72"/>
      <c r="P359" s="201"/>
    </row>
    <row r="360" spans="1:16" x14ac:dyDescent="0.3">
      <c r="A360" s="5"/>
      <c r="B360" s="367"/>
      <c r="C360" s="23"/>
      <c r="D360" s="72"/>
      <c r="P360" s="201"/>
    </row>
    <row r="361" spans="1:16" x14ac:dyDescent="0.3">
      <c r="A361" s="5"/>
      <c r="B361" s="367"/>
      <c r="C361" s="23"/>
      <c r="D361" s="72"/>
      <c r="P361" s="201"/>
    </row>
    <row r="362" spans="1:16" x14ac:dyDescent="0.3">
      <c r="A362" s="5"/>
      <c r="B362" s="367"/>
      <c r="C362" s="23"/>
      <c r="D362" s="72"/>
      <c r="P362" s="201"/>
    </row>
    <row r="363" spans="1:16" x14ac:dyDescent="0.3">
      <c r="A363" s="5"/>
      <c r="B363" s="367"/>
      <c r="C363" s="23"/>
      <c r="D363" s="72"/>
      <c r="P363" s="201"/>
    </row>
    <row r="364" spans="1:16" x14ac:dyDescent="0.3">
      <c r="A364" s="5"/>
      <c r="B364" s="367"/>
      <c r="C364" s="23"/>
      <c r="D364" s="72"/>
      <c r="P364" s="201"/>
    </row>
    <row r="365" spans="1:16" x14ac:dyDescent="0.3">
      <c r="A365" s="5"/>
      <c r="B365" s="367"/>
      <c r="C365" s="23"/>
      <c r="D365" s="72"/>
      <c r="P365" s="201"/>
    </row>
    <row r="366" spans="1:16" x14ac:dyDescent="0.3">
      <c r="A366" s="5"/>
      <c r="B366" s="367"/>
      <c r="C366" s="23"/>
      <c r="D366" s="72"/>
      <c r="P366" s="201"/>
    </row>
    <row r="367" spans="1:16" x14ac:dyDescent="0.3">
      <c r="A367" s="5"/>
      <c r="B367" s="367"/>
      <c r="C367" s="23"/>
      <c r="D367" s="72"/>
      <c r="P367" s="201"/>
    </row>
    <row r="368" spans="1:16" x14ac:dyDescent="0.3">
      <c r="A368" s="5"/>
      <c r="B368" s="367"/>
      <c r="C368" s="23"/>
      <c r="D368" s="72"/>
      <c r="P368" s="201"/>
    </row>
    <row r="369" spans="1:16" x14ac:dyDescent="0.3">
      <c r="A369" s="5"/>
      <c r="B369" s="367"/>
      <c r="C369" s="23"/>
      <c r="D369" s="72"/>
      <c r="P369" s="201"/>
    </row>
    <row r="370" spans="1:16" x14ac:dyDescent="0.3">
      <c r="A370" s="5"/>
      <c r="B370" s="367"/>
      <c r="C370" s="23"/>
      <c r="D370" s="72"/>
      <c r="P370" s="201"/>
    </row>
    <row r="371" spans="1:16" x14ac:dyDescent="0.3">
      <c r="A371" s="5"/>
      <c r="B371" s="367"/>
      <c r="C371" s="23"/>
      <c r="D371" s="72"/>
      <c r="P371" s="201"/>
    </row>
    <row r="372" spans="1:16" x14ac:dyDescent="0.3">
      <c r="A372" s="5"/>
      <c r="B372" s="367"/>
      <c r="C372" s="23"/>
      <c r="D372" s="72"/>
      <c r="P372" s="201"/>
    </row>
    <row r="373" spans="1:16" x14ac:dyDescent="0.3">
      <c r="A373" s="5"/>
      <c r="B373" s="367"/>
      <c r="C373" s="23"/>
      <c r="D373" s="72"/>
      <c r="P373" s="201"/>
    </row>
    <row r="374" spans="1:16" x14ac:dyDescent="0.3">
      <c r="A374" s="5"/>
      <c r="B374" s="367"/>
      <c r="C374" s="23"/>
      <c r="D374" s="72"/>
      <c r="P374" s="201"/>
    </row>
    <row r="375" spans="1:16" x14ac:dyDescent="0.3">
      <c r="A375" s="5"/>
      <c r="B375" s="367"/>
      <c r="C375" s="23"/>
      <c r="D375" s="72"/>
      <c r="P375" s="201"/>
    </row>
    <row r="376" spans="1:16" x14ac:dyDescent="0.3">
      <c r="A376" s="5"/>
      <c r="B376" s="367"/>
      <c r="C376" s="23"/>
      <c r="D376" s="72"/>
      <c r="P376" s="201"/>
    </row>
    <row r="377" spans="1:16" x14ac:dyDescent="0.3">
      <c r="A377" s="5"/>
      <c r="B377" s="367"/>
      <c r="C377" s="23"/>
      <c r="D377" s="72"/>
      <c r="P377" s="201"/>
    </row>
    <row r="378" spans="1:16" x14ac:dyDescent="0.3">
      <c r="A378" s="5"/>
      <c r="B378" s="367"/>
      <c r="C378" s="23"/>
      <c r="D378" s="72"/>
      <c r="P378" s="201"/>
    </row>
    <row r="379" spans="1:16" x14ac:dyDescent="0.3">
      <c r="A379" s="5"/>
      <c r="B379" s="367"/>
      <c r="C379" s="23"/>
      <c r="D379" s="72"/>
    </row>
    <row r="380" spans="1:16" x14ac:dyDescent="0.3">
      <c r="A380" s="5"/>
      <c r="B380" s="367"/>
      <c r="C380" s="23"/>
      <c r="D380" s="72"/>
      <c r="P380" s="201"/>
    </row>
    <row r="381" spans="1:16" x14ac:dyDescent="0.3">
      <c r="A381" s="5"/>
      <c r="B381" s="367"/>
      <c r="C381" s="23"/>
      <c r="D381" s="72"/>
    </row>
    <row r="382" spans="1:16" x14ac:dyDescent="0.3">
      <c r="A382" s="5"/>
      <c r="B382" s="367"/>
      <c r="C382" s="23"/>
      <c r="D382" s="72"/>
    </row>
    <row r="383" spans="1:16" x14ac:dyDescent="0.3">
      <c r="A383" s="5"/>
      <c r="B383" s="367"/>
      <c r="C383" s="23"/>
      <c r="D383" s="72"/>
    </row>
    <row r="384" spans="1:16" x14ac:dyDescent="0.3">
      <c r="A384" s="5"/>
      <c r="B384" s="367"/>
      <c r="C384" s="23"/>
      <c r="D384" s="72"/>
    </row>
    <row r="385" spans="1:4" x14ac:dyDescent="0.3">
      <c r="A385" s="5"/>
      <c r="B385" s="367"/>
      <c r="C385" s="23"/>
      <c r="D385" s="72"/>
    </row>
    <row r="386" spans="1:4" x14ac:dyDescent="0.3">
      <c r="A386" s="5"/>
      <c r="B386" s="367"/>
      <c r="C386" s="23"/>
      <c r="D386" s="72"/>
    </row>
    <row r="387" spans="1:4" x14ac:dyDescent="0.3">
      <c r="A387" s="5"/>
      <c r="B387" s="367"/>
      <c r="C387" s="23"/>
      <c r="D387" s="72"/>
    </row>
    <row r="388" spans="1:4" x14ac:dyDescent="0.3">
      <c r="A388" s="5"/>
      <c r="B388" s="367"/>
      <c r="C388" s="23"/>
      <c r="D388" s="72"/>
    </row>
    <row r="389" spans="1:4" x14ac:dyDescent="0.3">
      <c r="A389" s="5"/>
      <c r="B389" s="367"/>
      <c r="C389" s="23"/>
      <c r="D389" s="72"/>
    </row>
    <row r="390" spans="1:4" x14ac:dyDescent="0.3">
      <c r="A390" s="5"/>
      <c r="B390" s="367"/>
      <c r="C390" s="23"/>
      <c r="D390" s="72"/>
    </row>
    <row r="391" spans="1:4" x14ac:dyDescent="0.3">
      <c r="A391" s="5"/>
      <c r="B391" s="367"/>
      <c r="C391" s="23"/>
      <c r="D391" s="72"/>
    </row>
    <row r="392" spans="1:4" x14ac:dyDescent="0.3">
      <c r="A392" s="5"/>
      <c r="B392" s="367"/>
      <c r="C392" s="23"/>
      <c r="D392" s="72"/>
    </row>
    <row r="393" spans="1:4" x14ac:dyDescent="0.3">
      <c r="A393" s="5"/>
      <c r="B393" s="367"/>
      <c r="C393" s="23"/>
      <c r="D393" s="72"/>
    </row>
    <row r="394" spans="1:4" x14ac:dyDescent="0.3">
      <c r="A394" s="5"/>
      <c r="B394" s="367"/>
      <c r="C394" s="23"/>
      <c r="D394" s="72"/>
    </row>
    <row r="395" spans="1:4" x14ac:dyDescent="0.3">
      <c r="A395" s="5"/>
      <c r="B395" s="367"/>
      <c r="C395" s="23"/>
      <c r="D395" s="72"/>
    </row>
    <row r="396" spans="1:4" x14ac:dyDescent="0.3">
      <c r="A396" s="5"/>
      <c r="B396" s="367"/>
      <c r="C396" s="23"/>
      <c r="D396" s="72"/>
    </row>
    <row r="397" spans="1:4" x14ac:dyDescent="0.3">
      <c r="A397" s="5"/>
      <c r="B397" s="367"/>
      <c r="C397" s="23"/>
      <c r="D397" s="72"/>
    </row>
    <row r="398" spans="1:4" x14ac:dyDescent="0.3">
      <c r="A398" s="5"/>
      <c r="B398" s="367"/>
      <c r="C398" s="23"/>
      <c r="D398" s="72"/>
    </row>
    <row r="399" spans="1:4" x14ac:dyDescent="0.3">
      <c r="A399" s="5"/>
      <c r="B399" s="367"/>
      <c r="C399" s="23"/>
      <c r="D399" s="72"/>
    </row>
    <row r="400" spans="1:4" x14ac:dyDescent="0.3">
      <c r="A400" s="5"/>
      <c r="B400" s="367"/>
      <c r="C400" s="23"/>
      <c r="D400" s="72"/>
    </row>
    <row r="401" spans="1:4" x14ac:dyDescent="0.3">
      <c r="A401" s="5"/>
      <c r="B401" s="367"/>
      <c r="C401" s="23"/>
      <c r="D401" s="72"/>
    </row>
    <row r="402" spans="1:4" x14ac:dyDescent="0.3">
      <c r="A402" s="5"/>
      <c r="B402" s="367"/>
      <c r="C402" s="23"/>
      <c r="D402" s="72"/>
    </row>
    <row r="403" spans="1:4" x14ac:dyDescent="0.3">
      <c r="A403" s="5"/>
      <c r="B403" s="367"/>
      <c r="C403" s="23"/>
      <c r="D403" s="72"/>
    </row>
    <row r="404" spans="1:4" x14ac:dyDescent="0.3">
      <c r="A404" s="5"/>
      <c r="B404" s="367"/>
      <c r="C404" s="23"/>
      <c r="D404" s="72"/>
    </row>
    <row r="405" spans="1:4" x14ac:dyDescent="0.3">
      <c r="A405" s="5"/>
      <c r="B405" s="367"/>
      <c r="C405" s="23"/>
      <c r="D405" s="72"/>
    </row>
    <row r="406" spans="1:4" x14ac:dyDescent="0.3">
      <c r="A406" s="5"/>
      <c r="B406" s="367"/>
      <c r="C406" s="23"/>
      <c r="D406" s="72"/>
    </row>
    <row r="407" spans="1:4" x14ac:dyDescent="0.3">
      <c r="A407" s="5"/>
      <c r="B407" s="367"/>
      <c r="C407" s="23"/>
      <c r="D407" s="72"/>
    </row>
    <row r="408" spans="1:4" x14ac:dyDescent="0.3">
      <c r="A408" s="5"/>
      <c r="B408" s="367"/>
      <c r="C408" s="23"/>
      <c r="D408" s="72"/>
    </row>
    <row r="409" spans="1:4" x14ac:dyDescent="0.3">
      <c r="A409" s="5"/>
      <c r="B409" s="367"/>
      <c r="C409" s="23"/>
      <c r="D409" s="72"/>
    </row>
    <row r="410" spans="1:4" x14ac:dyDescent="0.3">
      <c r="A410" s="5"/>
      <c r="B410" s="367"/>
      <c r="C410" s="23"/>
      <c r="D410" s="72"/>
    </row>
    <row r="411" spans="1:4" x14ac:dyDescent="0.3">
      <c r="A411" s="5"/>
      <c r="B411" s="367"/>
      <c r="C411" s="23"/>
      <c r="D411" s="72"/>
    </row>
    <row r="412" spans="1:4" x14ac:dyDescent="0.3">
      <c r="A412" s="5"/>
      <c r="B412" s="367"/>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1">
    <cfRule type="cellIs" dxfId="33" priority="91" stopIfTrue="1" operator="notEqual">
      <formula>0</formula>
    </cfRule>
  </conditionalFormatting>
  <conditionalFormatting sqref="G67">
    <cfRule type="cellIs" dxfId="32" priority="90" stopIfTrue="1" operator="notEqual">
      <formula>0</formula>
    </cfRule>
  </conditionalFormatting>
  <conditionalFormatting sqref="G89">
    <cfRule type="cellIs" dxfId="31" priority="88" stopIfTrue="1" operator="notEqual">
      <formula>0</formula>
    </cfRule>
  </conditionalFormatting>
  <conditionalFormatting sqref="G107">
    <cfRule type="cellIs" dxfId="30" priority="87" stopIfTrue="1" operator="notEqual">
      <formula>0</formula>
    </cfRule>
  </conditionalFormatting>
  <conditionalFormatting sqref="G120">
    <cfRule type="cellIs" dxfId="29" priority="86" stopIfTrue="1" operator="notEqual">
      <formula>0</formula>
    </cfRule>
  </conditionalFormatting>
  <conditionalFormatting sqref="G121">
    <cfRule type="cellIs" dxfId="28" priority="85" stopIfTrue="1" operator="notEqual">
      <formula>0</formula>
    </cfRule>
  </conditionalFormatting>
  <conditionalFormatting sqref="G136">
    <cfRule type="cellIs" dxfId="27" priority="84" stopIfTrue="1" operator="notEqual">
      <formula>0</formula>
    </cfRule>
  </conditionalFormatting>
  <conditionalFormatting sqref="G137">
    <cfRule type="cellIs" dxfId="26" priority="83" stopIfTrue="1" operator="notEqual">
      <formula>0</formula>
    </cfRule>
  </conditionalFormatting>
  <conditionalFormatting sqref="H203:H205">
    <cfRule type="cellIs" priority="79" stopIfTrue="1" operator="equal">
      <formula>";;;"</formula>
    </cfRule>
  </conditionalFormatting>
  <conditionalFormatting sqref="H203">
    <cfRule type="cellIs" dxfId="25" priority="78" stopIfTrue="1" operator="equal">
      <formula>0</formula>
    </cfRule>
  </conditionalFormatting>
  <conditionalFormatting sqref="H204">
    <cfRule type="cellIs" dxfId="24" priority="77" stopIfTrue="1" operator="equal">
      <formula>0</formula>
    </cfRule>
  </conditionalFormatting>
  <conditionalFormatting sqref="H205">
    <cfRule type="cellIs" dxfId="23" priority="76" stopIfTrue="1" operator="equal">
      <formula>0</formula>
    </cfRule>
  </conditionalFormatting>
  <conditionalFormatting sqref="H205">
    <cfRule type="cellIs" dxfId="22" priority="75" stopIfTrue="1" operator="equal">
      <formula>0</formula>
    </cfRule>
  </conditionalFormatting>
  <conditionalFormatting sqref="H203">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6:G77">
    <cfRule type="containsText" dxfId="15" priority="67" stopIfTrue="1" operator="containsText" text="Included in error count">
      <formula>NOT(ISERROR(SEARCH("Included in error count",G76)))</formula>
    </cfRule>
    <cfRule type="cellIs" dxfId="14" priority="68" stopIfTrue="1" operator="equal">
      <formula>1</formula>
    </cfRule>
  </conditionalFormatting>
  <conditionalFormatting sqref="G78">
    <cfRule type="containsText" dxfId="13" priority="65" stopIfTrue="1" operator="containsText" text="Included in error count">
      <formula>NOT(ISERROR(SEARCH("Included in error count",G78)))</formula>
    </cfRule>
    <cfRule type="cellIs" dxfId="12" priority="66" stopIfTrue="1" operator="equal">
      <formula>1</formula>
    </cfRule>
  </conditionalFormatting>
  <conditionalFormatting sqref="G87">
    <cfRule type="containsText" dxfId="11" priority="61" stopIfTrue="1" operator="containsText" text="Included in error count">
      <formula>NOT(ISERROR(SEARCH("Included in error count",G87)))</formula>
    </cfRule>
    <cfRule type="cellIs" dxfId="10" priority="62" stopIfTrue="1" operator="equal">
      <formula>1</formula>
    </cfRule>
  </conditionalFormatting>
  <conditionalFormatting sqref="G109">
    <cfRule type="containsText" dxfId="9" priority="57" stopIfTrue="1" operator="containsText" text="Included in error count">
      <formula>NOT(ISERROR(SEARCH("Included in error count",G109)))</formula>
    </cfRule>
    <cfRule type="cellIs" dxfId="8" priority="58" stopIfTrue="1" operator="equal">
      <formula>1</formula>
    </cfRule>
  </conditionalFormatting>
  <conditionalFormatting sqref="G203">
    <cfRule type="containsText" dxfId="7" priority="46" stopIfTrue="1" operator="containsText" text="Included in error count">
      <formula>NOT(ISERROR(SEARCH("Included in error count",G203)))</formula>
    </cfRule>
    <cfRule type="cellIs" dxfId="6" priority="47" stopIfTrue="1" operator="equal">
      <formula>1</formula>
    </cfRule>
  </conditionalFormatting>
  <conditionalFormatting sqref="G204">
    <cfRule type="containsText" dxfId="5" priority="44" stopIfTrue="1" operator="containsText" text="Included in error count">
      <formula>NOT(ISERROR(SEARCH("Included in error count",G204)))</formula>
    </cfRule>
    <cfRule type="cellIs" dxfId="4" priority="45" stopIfTrue="1" operator="equal">
      <formula>1</formula>
    </cfRule>
  </conditionalFormatting>
  <conditionalFormatting sqref="G205">
    <cfRule type="containsText" dxfId="3" priority="42" stopIfTrue="1" operator="containsText" text="Included in error count">
      <formula>NOT(ISERROR(SEARCH("Included in error count",G205)))</formula>
    </cfRule>
    <cfRule type="cellIs" dxfId="2" priority="43" stopIfTrue="1" operator="equal">
      <formula>1</formula>
    </cfRule>
  </conditionalFormatting>
  <conditionalFormatting sqref="G125">
    <cfRule type="containsText" dxfId="1" priority="40" stopIfTrue="1" operator="containsText" text="Included in error count">
      <formula>NOT(ISERROR(SEARCH("Included in error count",G125)))</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3"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696" t="s">
        <v>1521</v>
      </c>
      <c r="C1" s="696"/>
      <c r="D1" s="696"/>
    </row>
    <row r="2" spans="2:8" ht="27" customHeight="1" x14ac:dyDescent="0.3">
      <c r="B2" s="1157"/>
      <c r="C2" s="1157"/>
      <c r="D2" s="1157"/>
    </row>
    <row r="3" spans="2:8" ht="26.4" customHeight="1" x14ac:dyDescent="0.35">
      <c r="B3" s="685" t="str">
        <f>'Unit Data from Audit Worksheet'!D2</f>
        <v>Select Unit Name from Drop Down List</v>
      </c>
      <c r="C3" s="562"/>
      <c r="D3" s="686">
        <v>2024</v>
      </c>
      <c r="F3" s="699" t="s">
        <v>1522</v>
      </c>
      <c r="G3" s="700" t="s">
        <v>41</v>
      </c>
    </row>
    <row r="4" spans="2:8" ht="18.600000000000001" customHeight="1" x14ac:dyDescent="0.3">
      <c r="B4" s="687" t="s">
        <v>71</v>
      </c>
      <c r="C4" s="262"/>
    </row>
    <row r="5" spans="2:8" ht="19.2" customHeight="1" x14ac:dyDescent="0.3">
      <c r="B5" s="598" t="s">
        <v>1500</v>
      </c>
      <c r="C5" s="598"/>
      <c r="D5" s="265"/>
    </row>
    <row r="6" spans="2:8" ht="19.95" customHeight="1" x14ac:dyDescent="0.3">
      <c r="B6" s="673" t="s">
        <v>1516</v>
      </c>
      <c r="C6" s="673"/>
      <c r="D6" s="689">
        <f>Import!L38</f>
        <v>0</v>
      </c>
      <c r="F6" s="669">
        <v>506</v>
      </c>
      <c r="G6" s="523" t="s">
        <v>189</v>
      </c>
    </row>
    <row r="7" spans="2:8" ht="19.95" customHeight="1" x14ac:dyDescent="0.3">
      <c r="B7" s="673" t="s">
        <v>1501</v>
      </c>
      <c r="C7" s="673"/>
      <c r="D7" s="690">
        <f>Import!L39</f>
        <v>0</v>
      </c>
      <c r="F7" s="669">
        <v>536</v>
      </c>
      <c r="G7" s="523" t="s">
        <v>190</v>
      </c>
    </row>
    <row r="8" spans="2:8" ht="19.95" customHeight="1" x14ac:dyDescent="0.3">
      <c r="B8" s="673" t="s">
        <v>1502</v>
      </c>
      <c r="C8" s="673"/>
      <c r="D8" s="690">
        <f>Import!L69</f>
        <v>0</v>
      </c>
      <c r="F8" s="555">
        <v>647</v>
      </c>
      <c r="G8" s="615" t="s">
        <v>792</v>
      </c>
    </row>
    <row r="9" spans="2:8" ht="19.95" customHeight="1" x14ac:dyDescent="0.3">
      <c r="B9" s="679" t="s">
        <v>1520</v>
      </c>
      <c r="C9" s="680"/>
      <c r="D9" s="690">
        <f>-Import!L48</f>
        <v>0</v>
      </c>
      <c r="F9" s="681">
        <v>11</v>
      </c>
      <c r="G9" s="682" t="s">
        <v>194</v>
      </c>
    </row>
    <row r="10" spans="2:8" ht="19.95" customHeight="1" x14ac:dyDescent="0.3">
      <c r="B10" s="599" t="s">
        <v>1419</v>
      </c>
      <c r="C10" s="599"/>
      <c r="D10" s="691"/>
    </row>
    <row r="11" spans="2:8" ht="19.95" customHeight="1" x14ac:dyDescent="0.3">
      <c r="B11" s="673" t="s">
        <v>1503</v>
      </c>
      <c r="C11" s="673"/>
      <c r="D11" s="692">
        <f>Import!L43</f>
        <v>0</v>
      </c>
      <c r="F11" s="155">
        <v>4</v>
      </c>
      <c r="G11" s="523" t="s">
        <v>1504</v>
      </c>
    </row>
    <row r="12" spans="2:8" ht="19.95" customHeight="1" x14ac:dyDescent="0.3">
      <c r="B12" s="673" t="s">
        <v>1420</v>
      </c>
      <c r="C12" s="673"/>
      <c r="D12" s="692">
        <f>Import!L196</f>
        <v>0</v>
      </c>
      <c r="F12" s="155">
        <v>6</v>
      </c>
      <c r="G12" s="523" t="s">
        <v>251</v>
      </c>
    </row>
    <row r="13" spans="2:8" ht="19.95" customHeight="1" x14ac:dyDescent="0.3">
      <c r="B13" s="673" t="s">
        <v>1505</v>
      </c>
      <c r="C13" s="673"/>
      <c r="D13" s="693">
        <f>Import!L44</f>
        <v>0</v>
      </c>
      <c r="F13" s="155">
        <v>5</v>
      </c>
      <c r="G13" s="523" t="s">
        <v>1506</v>
      </c>
    </row>
    <row r="14" spans="2:8" ht="24.6" customHeight="1" thickBot="1" x14ac:dyDescent="0.35">
      <c r="B14" s="674" t="s">
        <v>1518</v>
      </c>
      <c r="C14" s="673"/>
      <c r="D14" s="697">
        <f>SUM(D6:D9)-SUM(D11:D13)</f>
        <v>0</v>
      </c>
      <c r="E14" s="675"/>
      <c r="F14" s="155" t="s">
        <v>1492</v>
      </c>
      <c r="G14" s="683" t="s">
        <v>1885</v>
      </c>
      <c r="H14" s="712"/>
    </row>
    <row r="15" spans="2:8" ht="19.95" customHeight="1" thickTop="1" x14ac:dyDescent="0.3">
      <c r="B15" s="19"/>
      <c r="C15" s="19"/>
      <c r="D15" s="601"/>
    </row>
    <row r="16" spans="2:8" ht="19.95" customHeight="1" x14ac:dyDescent="0.3">
      <c r="B16" s="598"/>
      <c r="C16" s="598"/>
      <c r="D16" s="602"/>
    </row>
    <row r="17" spans="2:18" ht="19.95" customHeight="1" x14ac:dyDescent="0.3">
      <c r="B17" s="19" t="s">
        <v>1421</v>
      </c>
      <c r="C17" s="19"/>
      <c r="D17" s="265"/>
    </row>
    <row r="18" spans="2:18" ht="19.95" customHeight="1" x14ac:dyDescent="0.3">
      <c r="B18" s="673" t="s">
        <v>1507</v>
      </c>
      <c r="C18" s="673"/>
      <c r="D18" s="694">
        <f>Import!L59</f>
        <v>0</v>
      </c>
      <c r="F18" s="155">
        <v>532</v>
      </c>
      <c r="G18" s="523" t="s">
        <v>887</v>
      </c>
    </row>
    <row r="19" spans="2:18" ht="13.95" customHeight="1" x14ac:dyDescent="0.3">
      <c r="C19" s="19"/>
      <c r="D19" s="692"/>
    </row>
    <row r="20" spans="2:18" ht="16.95" customHeight="1" x14ac:dyDescent="0.3">
      <c r="B20" s="19" t="s">
        <v>1422</v>
      </c>
      <c r="C20" s="19"/>
      <c r="D20" s="692"/>
    </row>
    <row r="21" spans="2:18" ht="19.95" customHeight="1" x14ac:dyDescent="0.3">
      <c r="B21" s="673" t="s">
        <v>1508</v>
      </c>
      <c r="C21" s="673"/>
      <c r="D21" s="695">
        <f>Import!L62</f>
        <v>0</v>
      </c>
      <c r="F21" s="155">
        <v>20</v>
      </c>
      <c r="G21" s="523" t="s">
        <v>1509</v>
      </c>
    </row>
    <row r="22" spans="2:18" ht="33.6" customHeight="1" x14ac:dyDescent="0.3">
      <c r="B22" s="673" t="s">
        <v>1510</v>
      </c>
      <c r="C22" s="673"/>
      <c r="D22" s="692">
        <f>Import!L65</f>
        <v>0</v>
      </c>
      <c r="F22" s="155">
        <v>509</v>
      </c>
      <c r="G22" s="523" t="s">
        <v>288</v>
      </c>
    </row>
    <row r="23" spans="2:18" ht="28.95" customHeight="1" x14ac:dyDescent="0.3">
      <c r="B23" s="673" t="s">
        <v>1511</v>
      </c>
      <c r="C23" s="673"/>
      <c r="D23" s="695">
        <f>Import!L63</f>
        <v>0</v>
      </c>
      <c r="F23" s="155">
        <v>533</v>
      </c>
      <c r="G23" s="523" t="s">
        <v>888</v>
      </c>
    </row>
    <row r="24" spans="2:18" ht="38.4" customHeight="1" x14ac:dyDescent="0.3">
      <c r="B24" s="673" t="s">
        <v>1512</v>
      </c>
      <c r="C24" s="673"/>
      <c r="D24" s="695">
        <f>Import!L64</f>
        <v>0</v>
      </c>
      <c r="F24" s="155">
        <v>508</v>
      </c>
      <c r="G24" s="523" t="s">
        <v>290</v>
      </c>
    </row>
    <row r="25" spans="2:18" ht="39" customHeight="1" x14ac:dyDescent="0.3">
      <c r="B25" s="679" t="s">
        <v>1517</v>
      </c>
      <c r="C25" s="673"/>
      <c r="D25" s="711">
        <f>Import!L60</f>
        <v>0</v>
      </c>
      <c r="F25" s="681">
        <v>1050</v>
      </c>
      <c r="G25" s="688" t="s">
        <v>1435</v>
      </c>
    </row>
    <row r="26" spans="2:18" ht="25.95" customHeight="1" thickBot="1" x14ac:dyDescent="0.35">
      <c r="B26" s="674" t="s">
        <v>1513</v>
      </c>
      <c r="C26" s="676"/>
      <c r="D26" s="698">
        <f>D18+D21+D22-D23-D24-D25</f>
        <v>0</v>
      </c>
      <c r="F26" s="155" t="s">
        <v>1492</v>
      </c>
      <c r="G26" s="683" t="s">
        <v>1519</v>
      </c>
    </row>
    <row r="27" spans="2:18" ht="19.95" customHeight="1" thickTop="1" x14ac:dyDescent="0.3">
      <c r="B27" s="265"/>
      <c r="C27" s="265"/>
      <c r="D27" s="265"/>
    </row>
    <row r="28" spans="2:18" s="524" customFormat="1" ht="40.950000000000003" customHeight="1" thickBot="1" x14ac:dyDescent="0.35">
      <c r="B28" s="674" t="s">
        <v>1514</v>
      </c>
      <c r="C28" s="676"/>
      <c r="D28" s="603" t="e">
        <f>D14/D26</f>
        <v>#DIV/0!</v>
      </c>
      <c r="F28" s="155" t="s">
        <v>1492</v>
      </c>
      <c r="G28" s="684" t="s">
        <v>1515</v>
      </c>
      <c r="I28" s="180"/>
      <c r="J28" s="180"/>
      <c r="K28" s="180"/>
      <c r="L28" s="180"/>
      <c r="M28" s="180"/>
      <c r="N28" s="180"/>
      <c r="O28" s="180"/>
      <c r="P28" s="180"/>
      <c r="Q28" s="180"/>
      <c r="R28" s="180"/>
    </row>
    <row r="29" spans="2:18" s="524" customFormat="1" ht="15" thickTop="1" x14ac:dyDescent="0.3">
      <c r="B29" s="599"/>
      <c r="C29" s="599"/>
      <c r="D29" s="677"/>
      <c r="F29" s="155"/>
      <c r="G29" s="684"/>
      <c r="I29" s="180"/>
      <c r="J29" s="180"/>
      <c r="K29" s="180"/>
      <c r="L29" s="180"/>
      <c r="M29" s="180"/>
      <c r="N29" s="180"/>
      <c r="O29" s="180"/>
      <c r="P29" s="180"/>
      <c r="Q29" s="180"/>
      <c r="R29" s="180"/>
    </row>
    <row r="30" spans="2:18" s="524" customFormat="1" x14ac:dyDescent="0.3">
      <c r="B30" s="599"/>
      <c r="C30" s="599"/>
      <c r="D30" s="677"/>
      <c r="F30" s="155"/>
      <c r="G30" s="684"/>
      <c r="I30" s="180"/>
      <c r="J30" s="180"/>
      <c r="K30" s="180"/>
      <c r="L30" s="180"/>
      <c r="M30" s="180"/>
      <c r="N30" s="180"/>
      <c r="O30" s="180"/>
      <c r="P30" s="180"/>
      <c r="Q30" s="180"/>
      <c r="R30" s="180"/>
    </row>
    <row r="31" spans="2:18" s="524" customFormat="1" x14ac:dyDescent="0.3">
      <c r="B31" s="678"/>
      <c r="C31" s="678"/>
      <c r="D31" s="677"/>
      <c r="F31" s="155"/>
      <c r="G31" s="684"/>
      <c r="I31" s="180"/>
      <c r="J31" s="180"/>
      <c r="K31" s="180"/>
      <c r="L31" s="180"/>
      <c r="M31" s="180"/>
      <c r="N31" s="180"/>
      <c r="O31" s="180"/>
      <c r="P31" s="180"/>
      <c r="Q31" s="180"/>
      <c r="R31" s="180"/>
    </row>
    <row r="32" spans="2:18" x14ac:dyDescent="0.3">
      <c r="B32" s="575"/>
      <c r="C32" s="575"/>
      <c r="D32" s="600"/>
    </row>
  </sheetData>
  <sheetProtection algorithmName="SHA-512" hashValue="7P8Ak6NvN9rweevc0IGXjIzY530/Bm4pWul+aASASZzPXDNpQdFIUPrQIW8O/Nj6xf3KyosPjW2d9lT7rseypg==" saltValue="gArMGXj2mAbCcw7mRFThjQ==" spinCount="100000" sheet="1" formatCells="0" formatColumns="0" formatRows="0"/>
  <mergeCells count="1">
    <mergeCell ref="B2:D2"/>
  </mergeCells>
  <pageMargins left="0.7" right="0.7" top="0.75" bottom="0.75" header="0.3" footer="0.3"/>
  <pageSetup scale="3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B3" sqref="B3"/>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58" t="s">
        <v>104</v>
      </c>
      <c r="C2" s="1158"/>
      <c r="D2" s="1158"/>
      <c r="E2" s="1158"/>
      <c r="F2" s="597"/>
      <c r="G2" s="258"/>
    </row>
    <row r="4" spans="1:11" ht="15.6" x14ac:dyDescent="0.3">
      <c r="A4" s="258"/>
      <c r="B4" s="259" t="str">
        <f>'Unit Data from Audit Worksheet'!D2</f>
        <v>Select Unit Name from Drop Down List</v>
      </c>
      <c r="C4" s="671">
        <f>'Unit Data from Audit Worksheet'!F5</f>
        <v>2024</v>
      </c>
      <c r="E4" s="661">
        <f>'Unit Data from Audit Worksheet'!F5</f>
        <v>2024</v>
      </c>
    </row>
    <row r="5" spans="1:11" ht="27.6" x14ac:dyDescent="0.4">
      <c r="A5" s="261"/>
      <c r="B5" s="262" t="s">
        <v>71</v>
      </c>
      <c r="C5" s="260" t="s">
        <v>72</v>
      </c>
      <c r="D5" s="261"/>
      <c r="E5" s="263" t="s">
        <v>73</v>
      </c>
      <c r="G5" s="155"/>
      <c r="I5" s="180"/>
    </row>
    <row r="6" spans="1:11" x14ac:dyDescent="0.3">
      <c r="A6" s="258"/>
      <c r="B6" s="264" t="s">
        <v>74</v>
      </c>
      <c r="C6" s="265"/>
      <c r="D6" s="265"/>
      <c r="E6" s="265"/>
      <c r="G6" s="155"/>
      <c r="I6" s="180"/>
    </row>
    <row r="7" spans="1:11" x14ac:dyDescent="0.3">
      <c r="A7" s="258"/>
      <c r="B7" s="662" t="s">
        <v>1489</v>
      </c>
      <c r="C7" s="689">
        <f>Import!L38</f>
        <v>0</v>
      </c>
      <c r="D7" s="266"/>
      <c r="E7" s="689">
        <f>C7</f>
        <v>0</v>
      </c>
      <c r="G7" s="663">
        <v>506</v>
      </c>
      <c r="H7" s="664" t="s">
        <v>189</v>
      </c>
      <c r="I7" s="180"/>
    </row>
    <row r="8" spans="1:11" x14ac:dyDescent="0.3">
      <c r="A8" s="258"/>
      <c r="B8" s="662" t="s">
        <v>1490</v>
      </c>
      <c r="C8" s="691">
        <f>Import!L39</f>
        <v>0</v>
      </c>
      <c r="D8" s="267"/>
      <c r="E8" s="267"/>
      <c r="G8" s="663">
        <v>536</v>
      </c>
      <c r="H8" s="664" t="s">
        <v>190</v>
      </c>
      <c r="I8" s="180"/>
    </row>
    <row r="9" spans="1:11" x14ac:dyDescent="0.3">
      <c r="A9" s="258"/>
      <c r="B9" s="662" t="s">
        <v>173</v>
      </c>
      <c r="C9" s="726">
        <f>Import!L43</f>
        <v>0</v>
      </c>
      <c r="D9" s="267"/>
      <c r="E9" s="726">
        <f>C9</f>
        <v>0</v>
      </c>
      <c r="G9" s="663">
        <v>4</v>
      </c>
      <c r="H9" s="664" t="s">
        <v>111</v>
      </c>
      <c r="I9" s="180"/>
    </row>
    <row r="10" spans="1:11" x14ac:dyDescent="0.3">
      <c r="A10" s="258"/>
      <c r="B10" s="662" t="s">
        <v>75</v>
      </c>
      <c r="C10" s="692">
        <f>Import!L196</f>
        <v>0</v>
      </c>
      <c r="D10" s="267"/>
      <c r="E10" s="726">
        <f>C10</f>
        <v>0</v>
      </c>
      <c r="G10" s="663">
        <v>6</v>
      </c>
      <c r="H10" s="664" t="s">
        <v>251</v>
      </c>
      <c r="I10" s="180"/>
    </row>
    <row r="11" spans="1:11" x14ac:dyDescent="0.3">
      <c r="A11" s="258"/>
      <c r="B11" s="662" t="s">
        <v>76</v>
      </c>
      <c r="C11" s="693">
        <f>Import!L44</f>
        <v>0</v>
      </c>
      <c r="D11" s="268"/>
      <c r="E11" s="726">
        <f>C11</f>
        <v>0</v>
      </c>
      <c r="G11" s="663">
        <v>5</v>
      </c>
      <c r="H11" s="664" t="s">
        <v>112</v>
      </c>
      <c r="I11" s="180"/>
    </row>
    <row r="12" spans="1:11" x14ac:dyDescent="0.3">
      <c r="A12" s="19"/>
      <c r="B12" s="662" t="s">
        <v>77</v>
      </c>
      <c r="C12" s="727">
        <f>C7+C8-SUM(C9:C11)</f>
        <v>0</v>
      </c>
      <c r="E12" s="727">
        <f>E7-SUM(E9:E11)</f>
        <v>0</v>
      </c>
      <c r="G12" s="663" t="s">
        <v>1499</v>
      </c>
      <c r="H12" s="665" t="s">
        <v>1534</v>
      </c>
      <c r="I12" s="664" t="s">
        <v>1537</v>
      </c>
      <c r="J12" s="665" t="s">
        <v>1538</v>
      </c>
      <c r="K12" s="666"/>
    </row>
    <row r="13" spans="1:11" x14ac:dyDescent="0.3">
      <c r="A13" s="258"/>
      <c r="B13" s="258"/>
      <c r="C13" s="265"/>
      <c r="D13" s="265"/>
      <c r="E13" s="265"/>
      <c r="G13" s="663"/>
      <c r="H13" s="664"/>
      <c r="I13" s="180"/>
    </row>
    <row r="14" spans="1:11" x14ac:dyDescent="0.3">
      <c r="A14" s="258"/>
      <c r="B14" s="662" t="s">
        <v>1491</v>
      </c>
      <c r="C14" s="728">
        <f>Import!L51</f>
        <v>0</v>
      </c>
      <c r="D14" s="265"/>
      <c r="E14" s="265"/>
      <c r="G14" s="663">
        <v>9</v>
      </c>
      <c r="H14" s="664" t="s">
        <v>195</v>
      </c>
      <c r="I14" s="180"/>
    </row>
    <row r="15" spans="1:11" x14ac:dyDescent="0.3">
      <c r="A15" s="258"/>
      <c r="B15" s="662" t="s">
        <v>78</v>
      </c>
      <c r="C15" s="729">
        <f>C14-C12</f>
        <v>0</v>
      </c>
      <c r="D15" s="265"/>
      <c r="E15" s="265"/>
      <c r="G15" s="663" t="s">
        <v>1499</v>
      </c>
      <c r="H15" s="665" t="s">
        <v>1535</v>
      </c>
      <c r="I15" s="667"/>
    </row>
    <row r="16" spans="1:11" x14ac:dyDescent="0.3">
      <c r="A16" s="258"/>
      <c r="B16" s="269" t="s">
        <v>79</v>
      </c>
      <c r="C16" s="265"/>
      <c r="D16" s="265"/>
      <c r="E16" s="265"/>
      <c r="G16" s="663"/>
      <c r="H16" s="664"/>
      <c r="I16" s="180"/>
    </row>
    <row r="17" spans="1:9" x14ac:dyDescent="0.3">
      <c r="A17" s="270" t="s">
        <v>80</v>
      </c>
      <c r="B17" s="662" t="s">
        <v>1493</v>
      </c>
      <c r="C17" s="729">
        <f>Import!L47</f>
        <v>0</v>
      </c>
      <c r="D17" s="265"/>
      <c r="E17" s="265"/>
      <c r="G17" s="663">
        <v>7</v>
      </c>
      <c r="H17" s="664" t="s">
        <v>193</v>
      </c>
      <c r="I17" s="180"/>
    </row>
    <row r="18" spans="1:9" ht="15" thickBot="1" x14ac:dyDescent="0.35">
      <c r="B18" s="662" t="s">
        <v>81</v>
      </c>
      <c r="C18" s="730">
        <f>(C15-SUM(C17:C17))</f>
        <v>0</v>
      </c>
      <c r="D18" s="265"/>
      <c r="E18" s="265"/>
      <c r="G18" s="663" t="s">
        <v>1499</v>
      </c>
      <c r="H18" s="665" t="s">
        <v>1536</v>
      </c>
      <c r="I18" s="180"/>
    </row>
    <row r="19" spans="1:9" ht="15" thickTop="1" x14ac:dyDescent="0.3">
      <c r="B19" s="258"/>
      <c r="C19" s="265"/>
      <c r="D19" s="265"/>
      <c r="E19" s="265"/>
      <c r="G19" s="663"/>
      <c r="H19" s="664"/>
      <c r="I19" s="180"/>
    </row>
    <row r="20" spans="1:9" ht="15" thickBot="1" x14ac:dyDescent="0.35">
      <c r="B20" s="662" t="s">
        <v>1494</v>
      </c>
      <c r="C20" s="731">
        <f>Import!L46</f>
        <v>0</v>
      </c>
      <c r="D20" s="265"/>
      <c r="E20" s="265"/>
      <c r="G20" s="663">
        <v>391</v>
      </c>
      <c r="H20" s="664" t="s">
        <v>192</v>
      </c>
      <c r="I20" s="180"/>
    </row>
    <row r="21" spans="1:9" ht="15.6" thickTop="1" thickBot="1" x14ac:dyDescent="0.35">
      <c r="B21" s="271"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32">
        <f>ABS(C18-C20)</f>
        <v>0</v>
      </c>
      <c r="D21" s="265"/>
      <c r="E21" s="265"/>
      <c r="G21" s="155"/>
      <c r="I21" s="180"/>
    </row>
    <row r="22" spans="1:9" ht="15" thickTop="1" x14ac:dyDescent="0.3">
      <c r="B22" s="668" t="str">
        <f>IF(C18&gt;C20,"Since Restricted-Stabilization by State Statute was understated, verfiy that the unit did not appropriate fund balance in excess of legal amount available in row 12 above.","")</f>
        <v/>
      </c>
      <c r="C22" s="668"/>
      <c r="D22" s="668"/>
      <c r="E22" s="668"/>
      <c r="F22" s="265"/>
      <c r="G22" s="265"/>
    </row>
    <row r="23" spans="1:9" x14ac:dyDescent="0.3">
      <c r="B23" s="269" t="s">
        <v>82</v>
      </c>
      <c r="C23" s="265"/>
      <c r="D23" s="265"/>
      <c r="E23" s="272" t="s">
        <v>83</v>
      </c>
      <c r="G23" s="155"/>
      <c r="I23" s="180"/>
    </row>
    <row r="24" spans="1:9" x14ac:dyDescent="0.3">
      <c r="B24" s="269"/>
      <c r="C24" s="260" t="s">
        <v>84</v>
      </c>
      <c r="D24" s="265"/>
      <c r="E24" s="260" t="s">
        <v>91</v>
      </c>
      <c r="G24" s="155"/>
      <c r="I24" s="180"/>
    </row>
    <row r="25" spans="1:9" x14ac:dyDescent="0.3">
      <c r="B25" s="264" t="s">
        <v>85</v>
      </c>
      <c r="C25" s="265"/>
      <c r="D25" s="265"/>
      <c r="E25" s="265"/>
      <c r="G25" s="155"/>
      <c r="I25" s="180"/>
    </row>
    <row r="26" spans="1:9" x14ac:dyDescent="0.3">
      <c r="B26" s="662" t="s">
        <v>86</v>
      </c>
      <c r="C26" s="689">
        <f>Import!L59</f>
        <v>0</v>
      </c>
      <c r="D26" s="266"/>
      <c r="E26" s="689">
        <f>C26</f>
        <v>0</v>
      </c>
      <c r="G26" s="669">
        <v>532</v>
      </c>
      <c r="H26" s="672" t="s">
        <v>199</v>
      </c>
      <c r="I26" s="180"/>
    </row>
    <row r="27" spans="1:9" x14ac:dyDescent="0.3">
      <c r="B27" s="264" t="s">
        <v>87</v>
      </c>
      <c r="C27" s="265"/>
      <c r="D27" s="265"/>
      <c r="E27" s="265"/>
      <c r="G27" s="155"/>
      <c r="H27" s="664"/>
      <c r="I27" s="180"/>
    </row>
    <row r="28" spans="1:9" x14ac:dyDescent="0.3">
      <c r="B28" s="662" t="s">
        <v>88</v>
      </c>
      <c r="C28" s="691">
        <f>Import!L62</f>
        <v>0</v>
      </c>
      <c r="D28" s="267"/>
      <c r="E28" s="691">
        <f>C28</f>
        <v>0</v>
      </c>
      <c r="G28" s="669">
        <v>20</v>
      </c>
      <c r="H28" s="664" t="s">
        <v>201</v>
      </c>
      <c r="I28" s="180"/>
    </row>
    <row r="29" spans="1:9" ht="41.4" x14ac:dyDescent="0.3">
      <c r="B29" s="662" t="s">
        <v>1495</v>
      </c>
      <c r="C29" s="691">
        <f>Import!L65</f>
        <v>0</v>
      </c>
      <c r="D29" s="267"/>
      <c r="E29" s="691">
        <f>C29</f>
        <v>0</v>
      </c>
      <c r="G29" s="925">
        <v>509</v>
      </c>
      <c r="H29" s="926" t="s">
        <v>288</v>
      </c>
      <c r="I29" s="180"/>
    </row>
    <row r="30" spans="1:9" ht="21" customHeight="1" x14ac:dyDescent="0.3">
      <c r="B30" s="662" t="s">
        <v>89</v>
      </c>
      <c r="C30" s="691">
        <f>Import!L63</f>
        <v>0</v>
      </c>
      <c r="D30" s="267"/>
      <c r="E30" s="691">
        <f>C30</f>
        <v>0</v>
      </c>
      <c r="G30" s="925">
        <v>533</v>
      </c>
      <c r="H30" s="926" t="s">
        <v>888</v>
      </c>
      <c r="I30" s="180"/>
    </row>
    <row r="31" spans="1:9" ht="41.4" x14ac:dyDescent="0.3">
      <c r="B31" s="662" t="s">
        <v>1496</v>
      </c>
      <c r="C31" s="691">
        <f>Import!L64</f>
        <v>0</v>
      </c>
      <c r="D31" s="267"/>
      <c r="E31" s="691">
        <f>C31</f>
        <v>0</v>
      </c>
      <c r="G31" s="925">
        <v>508</v>
      </c>
      <c r="H31" s="926" t="s">
        <v>290</v>
      </c>
      <c r="I31" s="180"/>
    </row>
    <row r="32" spans="1:9" ht="16.95" customHeight="1" thickBot="1" x14ac:dyDescent="0.35">
      <c r="B32" s="670" t="s">
        <v>1497</v>
      </c>
      <c r="C32" s="733">
        <f>C26+C28+C29-C30-C31</f>
        <v>0</v>
      </c>
      <c r="D32" s="266"/>
      <c r="E32" s="733">
        <f>E26+E28+E29-E30-E31</f>
        <v>0</v>
      </c>
      <c r="G32" s="663" t="s">
        <v>1499</v>
      </c>
      <c r="H32" s="666" t="s">
        <v>1498</v>
      </c>
      <c r="I32" s="180"/>
    </row>
    <row r="33" spans="1:9" ht="15" thickTop="1" x14ac:dyDescent="0.3">
      <c r="B33" s="265"/>
      <c r="C33" s="265"/>
      <c r="D33" s="265"/>
      <c r="E33" s="265"/>
      <c r="G33" s="155"/>
      <c r="I33" s="180"/>
    </row>
    <row r="34" spans="1:9" ht="15" thickBot="1" x14ac:dyDescent="0.35">
      <c r="B34" s="670" t="s">
        <v>90</v>
      </c>
      <c r="C34" s="273" t="e">
        <f>C12/C32</f>
        <v>#DIV/0!</v>
      </c>
      <c r="D34" s="265"/>
      <c r="E34" s="273" t="e">
        <f>E12/E32</f>
        <v>#DIV/0!</v>
      </c>
      <c r="G34" s="155"/>
      <c r="I34" s="180"/>
    </row>
    <row r="35" spans="1:9" ht="15" thickTop="1" x14ac:dyDescent="0.3">
      <c r="C35" s="265"/>
      <c r="D35" s="265"/>
      <c r="E35" s="265"/>
      <c r="G35" s="155"/>
      <c r="I35" s="180"/>
    </row>
    <row r="36" spans="1:9" ht="15.6" x14ac:dyDescent="0.3">
      <c r="A36" s="20"/>
    </row>
    <row r="38" spans="1:9" x14ac:dyDescent="0.3">
      <c r="E38" s="526"/>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dLTOdwCmG0uusFLrErQs5Qhp4YJvUlcGYC5qs6AsTsdGUdRJdbDdKspxoNzKsam7e8tSrZM4lIwvGHQpbNaG1A==" saltValue="KRScpB7Nq+elqGOcTyGZaw==" spinCount="100000" sheet="1" objects="1" scenarios="1"/>
  <mergeCells count="1">
    <mergeCell ref="B2:E2"/>
  </mergeCells>
  <pageMargins left="0.7" right="0.7" top="0.75" bottom="0.75" header="0.3" footer="0.3"/>
  <pageSetup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C2" sqref="C2"/>
    </sheetView>
  </sheetViews>
  <sheetFormatPr defaultColWidth="9.109375" defaultRowHeight="14.4" x14ac:dyDescent="0.3"/>
  <cols>
    <col min="1" max="1" width="45.109375" style="575" customWidth="1"/>
    <col min="2" max="2" width="36.44140625" style="575" customWidth="1"/>
    <col min="3" max="3" width="12.33203125" style="575" customWidth="1"/>
    <col min="4" max="4" width="1.33203125" style="575" customWidth="1"/>
    <col min="5" max="5" width="42.44140625" style="575" customWidth="1"/>
    <col min="6" max="6" width="19.88671875" style="575" customWidth="1"/>
    <col min="7" max="7" width="21.6640625" style="575" customWidth="1"/>
    <col min="8" max="8" width="6.6640625" style="575" customWidth="1"/>
    <col min="9" max="9" width="6.33203125" style="604" customWidth="1"/>
    <col min="10" max="10" width="11.6640625" style="604" hidden="1" customWidth="1"/>
    <col min="11" max="11" width="12" style="604" hidden="1" customWidth="1"/>
    <col min="12" max="12" width="17.109375" style="604" hidden="1" customWidth="1"/>
    <col min="13" max="13" width="15.109375" style="604" hidden="1" customWidth="1"/>
    <col min="14" max="14" width="15.5546875" style="604" hidden="1" customWidth="1"/>
    <col min="15" max="15" width="37.88671875" style="613" hidden="1" customWidth="1"/>
    <col min="16" max="16" width="15.109375" style="613" hidden="1" customWidth="1"/>
    <col min="17" max="17" width="26.6640625" style="604" customWidth="1"/>
    <col min="18" max="18" width="9.109375" style="604"/>
    <col min="19" max="19" width="11.44140625" style="604" customWidth="1"/>
    <col min="20" max="47" width="9.109375" style="604"/>
    <col min="48" max="16384" width="9.109375" style="575"/>
  </cols>
  <sheetData>
    <row r="1" spans="1:569" x14ac:dyDescent="0.3">
      <c r="A1" s="573"/>
      <c r="B1" s="587" t="str">
        <f>+'Unit Data from Audit Worksheet'!D2</f>
        <v>Select Unit Name from Drop Down List</v>
      </c>
      <c r="C1" s="574"/>
      <c r="D1" s="574"/>
      <c r="E1" s="628" t="s">
        <v>1454</v>
      </c>
      <c r="H1" s="574"/>
      <c r="J1" s="604" t="s">
        <v>1426</v>
      </c>
      <c r="K1" s="604" t="s">
        <v>1427</v>
      </c>
      <c r="M1" s="609" t="s">
        <v>1429</v>
      </c>
      <c r="N1" s="609" t="s">
        <v>1429</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73" t="s">
        <v>1448</v>
      </c>
      <c r="B2" s="573" t="e">
        <f>+'Unit Data from Audit Worksheet'!D3</f>
        <v>#N/A</v>
      </c>
      <c r="C2" s="574"/>
      <c r="D2" s="574"/>
      <c r="E2" s="629" t="s">
        <v>1453</v>
      </c>
      <c r="H2" s="574"/>
      <c r="M2" s="610" t="s">
        <v>1430</v>
      </c>
      <c r="N2" s="610" t="s">
        <v>1434</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73" t="e">
        <f>IF(LEN(VLOOKUP(B1,$L$4:$O$555,4,FALSE))=0,"",(VLOOKUP(B1,$L$4:$O$555,4,FALSE)))</f>
        <v>#N/A</v>
      </c>
      <c r="B3" s="573" t="s">
        <v>1449</v>
      </c>
      <c r="C3" s="574"/>
      <c r="D3" s="574"/>
      <c r="H3" s="574"/>
      <c r="J3" s="604" t="s">
        <v>383</v>
      </c>
      <c r="K3" s="604" t="s">
        <v>383</v>
      </c>
      <c r="M3" s="611" t="s">
        <v>1431</v>
      </c>
      <c r="N3" s="611" t="s">
        <v>1433</v>
      </c>
    </row>
    <row r="4" spans="1:569" x14ac:dyDescent="0.3">
      <c r="A4" s="1168" t="s">
        <v>557</v>
      </c>
      <c r="B4" s="1168"/>
      <c r="C4" s="1168"/>
      <c r="D4" s="574"/>
      <c r="E4" s="1169" t="s">
        <v>558</v>
      </c>
      <c r="F4" s="1169"/>
      <c r="G4" s="574"/>
      <c r="H4" s="574"/>
      <c r="L4" s="604" t="s">
        <v>470</v>
      </c>
      <c r="M4" s="604" t="s">
        <v>461</v>
      </c>
      <c r="N4" s="604" t="s">
        <v>461</v>
      </c>
      <c r="O4" s="604"/>
    </row>
    <row r="5" spans="1:569" ht="15" thickBot="1" x14ac:dyDescent="0.35">
      <c r="A5" s="576"/>
      <c r="B5" s="577"/>
      <c r="C5" s="576"/>
      <c r="D5" s="578"/>
      <c r="E5" s="576"/>
      <c r="F5" s="577"/>
      <c r="G5" s="577"/>
      <c r="H5" s="574"/>
      <c r="K5" s="613"/>
      <c r="L5" s="604" t="s">
        <v>1082</v>
      </c>
      <c r="M5" s="604" t="s">
        <v>461</v>
      </c>
      <c r="N5" s="604" t="s">
        <v>461</v>
      </c>
      <c r="O5" s="604"/>
    </row>
    <row r="6" spans="1:569" ht="15" thickBot="1" x14ac:dyDescent="0.35">
      <c r="A6" s="579" t="s">
        <v>559</v>
      </c>
      <c r="B6" s="580" t="e">
        <f>VLOOKUP(B1,$L$4:$M$555,2,FALSE)</f>
        <v>#N/A</v>
      </c>
      <c r="C6" s="580"/>
      <c r="D6" s="580"/>
      <c r="H6" s="580"/>
      <c r="L6" s="604" t="s">
        <v>1083</v>
      </c>
      <c r="M6" s="604" t="s">
        <v>461</v>
      </c>
      <c r="N6" s="604" t="s">
        <v>461</v>
      </c>
      <c r="O6" s="604"/>
    </row>
    <row r="7" spans="1:569" ht="15" thickBot="1" x14ac:dyDescent="0.35">
      <c r="A7" s="574" t="s">
        <v>652</v>
      </c>
      <c r="B7" s="251" t="e">
        <f>HLOOKUP(B1,'PY1 Data(H)'!D1:CZ277,127,FALSE)+HLOOKUP(B1,'PY1 Data(H)'!D1:CZ277,70,FALSE)</f>
        <v>#N/A</v>
      </c>
      <c r="C7" s="252"/>
      <c r="D7" s="252"/>
      <c r="E7" s="574" t="s">
        <v>563</v>
      </c>
      <c r="F7" s="631">
        <f>Import!L135</f>
        <v>0</v>
      </c>
      <c r="G7" s="580"/>
      <c r="H7" s="574"/>
      <c r="J7" s="604">
        <v>527</v>
      </c>
      <c r="K7" s="613">
        <v>366</v>
      </c>
      <c r="L7" s="607" t="s">
        <v>1084</v>
      </c>
      <c r="M7" s="607" t="s">
        <v>461</v>
      </c>
      <c r="N7" s="607">
        <v>0.05</v>
      </c>
      <c r="O7" s="604" t="s">
        <v>1450</v>
      </c>
    </row>
    <row r="8" spans="1:569" ht="15" thickBot="1" x14ac:dyDescent="0.35">
      <c r="A8" s="574" t="s">
        <v>561</v>
      </c>
      <c r="B8" s="625" t="e">
        <f>IF(B6="N/A","N/A",B6*B7)</f>
        <v>#N/A</v>
      </c>
      <c r="C8" s="253"/>
      <c r="D8" s="253"/>
      <c r="E8" s="627" t="s">
        <v>1086</v>
      </c>
      <c r="F8" s="631">
        <f>Import!L195</f>
        <v>0</v>
      </c>
      <c r="G8" s="573"/>
      <c r="H8" s="574"/>
      <c r="J8" s="612">
        <v>356</v>
      </c>
      <c r="K8" s="604">
        <v>1051</v>
      </c>
      <c r="L8" s="604" t="s">
        <v>1085</v>
      </c>
      <c r="M8" s="604" t="s">
        <v>461</v>
      </c>
      <c r="N8" s="604" t="s">
        <v>461</v>
      </c>
      <c r="O8" s="604"/>
    </row>
    <row r="9" spans="1:569" ht="15" thickBot="1" x14ac:dyDescent="0.35">
      <c r="A9" s="574"/>
      <c r="B9" s="574"/>
      <c r="C9" s="574"/>
      <c r="D9" s="574"/>
      <c r="E9" s="574"/>
      <c r="F9" s="574"/>
      <c r="G9" s="574"/>
      <c r="H9" s="574"/>
      <c r="L9" s="604" t="s">
        <v>471</v>
      </c>
      <c r="M9" s="604" t="s">
        <v>461</v>
      </c>
      <c r="N9" s="604" t="s">
        <v>461</v>
      </c>
      <c r="O9" s="604"/>
    </row>
    <row r="10" spans="1:569" ht="15" thickBot="1" x14ac:dyDescent="0.35">
      <c r="A10" s="579" t="s">
        <v>562</v>
      </c>
      <c r="B10" s="580" t="e">
        <f>VLOOKUP(B1,$L$4:$N$555,3,FALSE)</f>
        <v>#N/A</v>
      </c>
      <c r="C10" s="580"/>
      <c r="D10" s="580"/>
      <c r="E10" s="580"/>
      <c r="F10" s="580"/>
      <c r="G10" s="580"/>
      <c r="H10" s="580"/>
      <c r="L10" s="604" t="s">
        <v>1087</v>
      </c>
      <c r="M10" s="604" t="s">
        <v>461</v>
      </c>
      <c r="N10" s="604" t="s">
        <v>461</v>
      </c>
      <c r="O10" s="604"/>
    </row>
    <row r="11" spans="1:569" ht="15" thickBot="1" x14ac:dyDescent="0.35">
      <c r="A11" s="574" t="s">
        <v>653</v>
      </c>
      <c r="B11" s="581" t="e">
        <f>HLOOKUP(B1,'PY1 Data(H)'!D1:CZ277,35,FALSE)</f>
        <v>#N/A</v>
      </c>
      <c r="C11" s="582"/>
      <c r="D11" s="582"/>
      <c r="E11" s="626" t="s">
        <v>1452</v>
      </c>
      <c r="F11" s="625">
        <f>F7-F8</f>
        <v>0</v>
      </c>
      <c r="G11" s="574"/>
      <c r="H11" s="574"/>
      <c r="J11" s="604">
        <v>93</v>
      </c>
      <c r="L11" s="604" t="s">
        <v>1088</v>
      </c>
      <c r="M11" s="604" t="s">
        <v>461</v>
      </c>
      <c r="N11" s="604" t="s">
        <v>461</v>
      </c>
      <c r="O11" s="604"/>
    </row>
    <row r="12" spans="1:569" ht="15" thickBot="1" x14ac:dyDescent="0.35">
      <c r="A12" s="574" t="s">
        <v>561</v>
      </c>
      <c r="B12" s="625" t="e">
        <f>IF(B10="N/A","N/A",B10*B11)</f>
        <v>#N/A</v>
      </c>
      <c r="C12" s="253"/>
      <c r="D12" s="253"/>
      <c r="G12" s="574"/>
      <c r="H12" s="574"/>
      <c r="L12" s="606" t="s">
        <v>1089</v>
      </c>
      <c r="M12" s="606">
        <v>0.03</v>
      </c>
      <c r="N12" s="606">
        <v>0.05</v>
      </c>
      <c r="O12" s="604" t="s">
        <v>1455</v>
      </c>
      <c r="P12" s="613" t="s">
        <v>1451</v>
      </c>
    </row>
    <row r="13" spans="1:569" x14ac:dyDescent="0.3">
      <c r="A13" s="574"/>
      <c r="B13" s="583"/>
      <c r="C13" s="574"/>
      <c r="D13" s="574"/>
      <c r="E13" s="574"/>
      <c r="F13" s="574"/>
      <c r="G13" s="574"/>
      <c r="H13" s="574"/>
      <c r="L13" s="604" t="s">
        <v>1090</v>
      </c>
      <c r="M13" s="604" t="s">
        <v>461</v>
      </c>
      <c r="N13" s="604" t="s">
        <v>461</v>
      </c>
      <c r="O13" s="604"/>
    </row>
    <row r="14" spans="1:569" x14ac:dyDescent="0.3">
      <c r="A14" s="576"/>
      <c r="B14" s="577"/>
      <c r="C14" s="576"/>
      <c r="D14" s="578"/>
      <c r="E14" s="576"/>
      <c r="F14" s="577"/>
      <c r="G14" s="577"/>
      <c r="H14" s="254"/>
      <c r="L14" s="604" t="s">
        <v>1091</v>
      </c>
      <c r="M14" s="604" t="s">
        <v>461</v>
      </c>
      <c r="N14" s="604" t="s">
        <v>461</v>
      </c>
      <c r="O14" s="604"/>
    </row>
    <row r="15" spans="1:569" ht="15" thickBot="1" x14ac:dyDescent="0.35">
      <c r="A15" s="584" t="s">
        <v>564</v>
      </c>
      <c r="B15" s="574"/>
      <c r="C15" s="574"/>
      <c r="D15" s="574"/>
      <c r="E15" s="584" t="s">
        <v>564</v>
      </c>
      <c r="F15" s="573" t="s">
        <v>565</v>
      </c>
      <c r="G15" s="573" t="s">
        <v>566</v>
      </c>
      <c r="H15" s="574"/>
      <c r="L15" s="604" t="s">
        <v>1092</v>
      </c>
      <c r="M15" s="604" t="s">
        <v>461</v>
      </c>
      <c r="N15" s="604" t="s">
        <v>461</v>
      </c>
      <c r="O15" s="604"/>
    </row>
    <row r="16" spans="1:569" ht="15" thickBot="1" x14ac:dyDescent="0.35">
      <c r="A16" s="574" t="s">
        <v>560</v>
      </c>
      <c r="B16" s="251" t="e">
        <f>+B7</f>
        <v>#N/A</v>
      </c>
      <c r="C16" s="252"/>
      <c r="D16" s="252"/>
      <c r="E16" s="574" t="s">
        <v>567</v>
      </c>
      <c r="F16" s="632">
        <f>Import!L194</f>
        <v>0</v>
      </c>
      <c r="G16" s="592" t="e">
        <f>+B18</f>
        <v>#N/A</v>
      </c>
      <c r="H16" s="574"/>
      <c r="K16" s="604">
        <v>990</v>
      </c>
      <c r="L16" s="604" t="s">
        <v>1093</v>
      </c>
      <c r="M16" s="604" t="s">
        <v>461</v>
      </c>
      <c r="N16" s="604" t="s">
        <v>461</v>
      </c>
      <c r="O16" s="604"/>
    </row>
    <row r="17" spans="1:16" ht="15" thickBot="1" x14ac:dyDescent="0.35">
      <c r="A17" s="574" t="s">
        <v>568</v>
      </c>
      <c r="B17" s="660">
        <f>Import!L209</f>
        <v>0</v>
      </c>
      <c r="C17" s="574"/>
      <c r="D17" s="574"/>
      <c r="E17" s="574"/>
      <c r="F17" s="593"/>
      <c r="G17" s="593"/>
      <c r="H17" s="574"/>
      <c r="J17" s="604">
        <v>648</v>
      </c>
      <c r="L17" s="604" t="s">
        <v>1094</v>
      </c>
      <c r="M17" s="604" t="s">
        <v>461</v>
      </c>
      <c r="N17" s="604" t="s">
        <v>461</v>
      </c>
      <c r="O17" s="604"/>
    </row>
    <row r="18" spans="1:16" ht="29.4" thickBot="1" x14ac:dyDescent="0.35">
      <c r="A18" s="574" t="s">
        <v>561</v>
      </c>
      <c r="B18" s="591" t="e">
        <f>ROUND((B16/100)*B17,0)</f>
        <v>#N/A</v>
      </c>
      <c r="C18" s="255"/>
      <c r="D18" s="253"/>
      <c r="E18" s="585" t="s">
        <v>1096</v>
      </c>
      <c r="F18" s="591">
        <f>IF(F16=0,F11-F16,F11-MAX(F16,G16))</f>
        <v>0</v>
      </c>
      <c r="G18" s="593"/>
      <c r="H18" s="574"/>
      <c r="L18" s="604" t="s">
        <v>473</v>
      </c>
      <c r="M18" s="604" t="s">
        <v>461</v>
      </c>
      <c r="N18" s="604" t="s">
        <v>461</v>
      </c>
      <c r="O18" s="604"/>
    </row>
    <row r="19" spans="1:16" x14ac:dyDescent="0.3">
      <c r="A19" s="574"/>
      <c r="B19" s="574"/>
      <c r="C19" s="574"/>
      <c r="D19" s="586"/>
      <c r="E19" s="574"/>
      <c r="F19" s="525"/>
      <c r="G19" s="255"/>
      <c r="H19" s="574"/>
      <c r="L19" s="604" t="s">
        <v>1095</v>
      </c>
      <c r="M19" s="604" t="s">
        <v>461</v>
      </c>
      <c r="N19" s="604" t="s">
        <v>461</v>
      </c>
      <c r="O19" s="604"/>
    </row>
    <row r="20" spans="1:16" x14ac:dyDescent="0.3">
      <c r="A20" s="576"/>
      <c r="B20" s="577"/>
      <c r="C20" s="576"/>
      <c r="D20" s="574"/>
      <c r="E20" s="576"/>
      <c r="F20" s="577"/>
      <c r="G20" s="577"/>
      <c r="H20" s="574"/>
      <c r="L20" s="604" t="s">
        <v>1097</v>
      </c>
      <c r="M20" s="604" t="s">
        <v>461</v>
      </c>
      <c r="N20" s="604" t="s">
        <v>461</v>
      </c>
      <c r="O20" s="604"/>
    </row>
    <row r="21" spans="1:16" ht="15" thickBot="1" x14ac:dyDescent="0.35">
      <c r="A21" s="574"/>
      <c r="B21" s="574"/>
      <c r="C21" s="574"/>
      <c r="D21" s="574"/>
      <c r="E21" s="584" t="s">
        <v>569</v>
      </c>
      <c r="F21" s="584"/>
      <c r="G21" s="584"/>
      <c r="H21" s="574"/>
      <c r="L21" s="604" t="s">
        <v>800</v>
      </c>
      <c r="M21" s="604" t="s">
        <v>461</v>
      </c>
      <c r="N21" s="604" t="s">
        <v>461</v>
      </c>
      <c r="O21" s="604"/>
    </row>
    <row r="22" spans="1:16" ht="15" thickBot="1" x14ac:dyDescent="0.35">
      <c r="A22" s="574"/>
      <c r="B22" s="633"/>
      <c r="C22" s="574"/>
      <c r="D22" s="578"/>
      <c r="E22" s="574" t="s">
        <v>570</v>
      </c>
      <c r="F22" s="594" t="e">
        <f>MAX(B8,B12)</f>
        <v>#N/A</v>
      </c>
      <c r="G22" s="586"/>
      <c r="H22" s="253"/>
      <c r="L22" s="604" t="s">
        <v>1098</v>
      </c>
      <c r="M22" s="604" t="s">
        <v>461</v>
      </c>
      <c r="N22" s="604" t="s">
        <v>461</v>
      </c>
      <c r="O22" s="604"/>
    </row>
    <row r="23" spans="1:16" ht="15" thickBot="1" x14ac:dyDescent="0.35">
      <c r="A23" s="574"/>
      <c r="B23" s="633"/>
      <c r="C23" s="574"/>
      <c r="D23" s="584"/>
      <c r="E23" s="574"/>
      <c r="F23" s="645"/>
      <c r="G23" s="586"/>
      <c r="H23" s="253"/>
      <c r="L23" s="604" t="s">
        <v>1099</v>
      </c>
      <c r="M23" s="604" t="s">
        <v>461</v>
      </c>
      <c r="N23" s="604" t="s">
        <v>461</v>
      </c>
      <c r="O23" s="604"/>
    </row>
    <row r="24" spans="1:16" ht="15" thickBot="1" x14ac:dyDescent="0.35">
      <c r="B24" s="630"/>
      <c r="D24" s="586"/>
      <c r="E24" s="574" t="s">
        <v>571</v>
      </c>
      <c r="F24" s="595">
        <f>IF(F7=0,0,IF(F18&lt;=F22,"Yes", "No, unit exceeds limit by:"))</f>
        <v>0</v>
      </c>
      <c r="G24" s="574"/>
      <c r="H24" s="574"/>
      <c r="L24" s="606" t="s">
        <v>801</v>
      </c>
      <c r="M24" s="606">
        <v>0.03</v>
      </c>
      <c r="N24" s="606">
        <v>0.05</v>
      </c>
      <c r="O24" s="604" t="s">
        <v>1455</v>
      </c>
      <c r="P24" s="613" t="s">
        <v>1451</v>
      </c>
    </row>
    <row r="25" spans="1:16" ht="15" thickBot="1" x14ac:dyDescent="0.35">
      <c r="B25" s="630"/>
      <c r="C25" s="574"/>
      <c r="D25" s="586"/>
      <c r="E25" s="574"/>
      <c r="F25" s="595" t="e">
        <f>IF(F18-F22&lt;=0,0,F18-F22)</f>
        <v>#N/A</v>
      </c>
      <c r="G25" s="256"/>
      <c r="H25" s="584"/>
      <c r="L25" s="604" t="s">
        <v>474</v>
      </c>
      <c r="M25" s="604" t="s">
        <v>461</v>
      </c>
      <c r="N25" s="604" t="s">
        <v>461</v>
      </c>
      <c r="O25" s="604"/>
    </row>
    <row r="26" spans="1:16" ht="15" thickBot="1" x14ac:dyDescent="0.35">
      <c r="B26" s="630"/>
      <c r="C26" s="574"/>
      <c r="D26" s="587"/>
      <c r="E26" s="574"/>
      <c r="F26" s="593"/>
      <c r="G26" s="574"/>
      <c r="H26" s="574"/>
      <c r="L26" s="604" t="s">
        <v>802</v>
      </c>
      <c r="M26" s="604" t="s">
        <v>461</v>
      </c>
      <c r="N26" s="604" t="s">
        <v>461</v>
      </c>
      <c r="O26" s="604"/>
    </row>
    <row r="27" spans="1:16" x14ac:dyDescent="0.3">
      <c r="A27" s="574"/>
      <c r="B27" s="633"/>
      <c r="C27" s="574"/>
      <c r="D27" s="587"/>
      <c r="E27" s="588" t="s">
        <v>572</v>
      </c>
      <c r="F27" s="596">
        <f>IF(F16=0,0,F16-G16)</f>
        <v>0</v>
      </c>
      <c r="G27" s="574"/>
      <c r="H27" s="574"/>
      <c r="L27" s="604" t="s">
        <v>1100</v>
      </c>
      <c r="M27" s="604" t="s">
        <v>461</v>
      </c>
      <c r="N27" s="604" t="s">
        <v>461</v>
      </c>
      <c r="O27" s="604"/>
    </row>
    <row r="28" spans="1:16" ht="33.75" customHeight="1" thickBot="1" x14ac:dyDescent="0.35">
      <c r="A28" s="574"/>
      <c r="B28" s="633"/>
      <c r="C28" s="574"/>
      <c r="D28" s="574"/>
      <c r="E28" s="574"/>
      <c r="F28" s="257" t="str">
        <f>IF(F27=0,"","Investigate")</f>
        <v/>
      </c>
      <c r="G28" s="574"/>
      <c r="H28" s="574"/>
      <c r="L28" s="604" t="s">
        <v>1101</v>
      </c>
      <c r="M28" s="604" t="s">
        <v>461</v>
      </c>
      <c r="N28" s="604" t="s">
        <v>461</v>
      </c>
      <c r="O28" s="604"/>
    </row>
    <row r="29" spans="1:16" x14ac:dyDescent="0.3">
      <c r="A29" s="578"/>
      <c r="B29" s="574"/>
      <c r="C29" s="574"/>
      <c r="D29" s="574"/>
      <c r="E29" s="578" t="s">
        <v>573</v>
      </c>
      <c r="F29" s="574"/>
      <c r="G29" s="574"/>
      <c r="H29" s="574"/>
      <c r="L29" s="604" t="s">
        <v>1102</v>
      </c>
      <c r="M29" s="604" t="s">
        <v>461</v>
      </c>
      <c r="N29" s="604" t="s">
        <v>461</v>
      </c>
      <c r="O29" s="604"/>
    </row>
    <row r="30" spans="1:16" ht="14.4" customHeight="1" x14ac:dyDescent="0.3">
      <c r="A30" s="589"/>
      <c r="B30" s="589"/>
      <c r="C30" s="589"/>
      <c r="D30" s="574"/>
      <c r="E30" s="1170" t="s">
        <v>1487</v>
      </c>
      <c r="F30" s="1171"/>
      <c r="G30" s="1172"/>
      <c r="H30" s="574"/>
      <c r="L30" s="604" t="s">
        <v>475</v>
      </c>
      <c r="M30" s="604" t="s">
        <v>461</v>
      </c>
      <c r="N30" s="604" t="s">
        <v>461</v>
      </c>
      <c r="O30" s="604"/>
    </row>
    <row r="31" spans="1:16" x14ac:dyDescent="0.3">
      <c r="A31" s="574"/>
      <c r="B31" s="574"/>
      <c r="C31" s="589"/>
      <c r="D31" s="574"/>
      <c r="E31" s="1173"/>
      <c r="F31" s="1174"/>
      <c r="G31" s="1175"/>
      <c r="H31" s="574"/>
      <c r="L31" s="604" t="s">
        <v>1103</v>
      </c>
      <c r="M31" s="604" t="s">
        <v>461</v>
      </c>
      <c r="N31" s="604" t="s">
        <v>461</v>
      </c>
      <c r="O31" s="604"/>
    </row>
    <row r="32" spans="1:16" x14ac:dyDescent="0.3">
      <c r="A32" s="589"/>
      <c r="B32" s="589"/>
      <c r="C32" s="589"/>
      <c r="D32" s="574"/>
      <c r="E32" s="1173"/>
      <c r="F32" s="1174"/>
      <c r="G32" s="1175"/>
      <c r="L32" s="604" t="s">
        <v>1104</v>
      </c>
      <c r="M32" s="604" t="s">
        <v>461</v>
      </c>
      <c r="N32" s="604" t="s">
        <v>461</v>
      </c>
      <c r="O32" s="604"/>
    </row>
    <row r="33" spans="1:16" ht="30" customHeight="1" x14ac:dyDescent="0.3">
      <c r="A33" s="589"/>
      <c r="B33" s="589"/>
      <c r="C33" s="589"/>
      <c r="D33" s="574"/>
      <c r="E33" s="1176"/>
      <c r="F33" s="1177"/>
      <c r="G33" s="1178"/>
      <c r="L33" s="604" t="s">
        <v>1105</v>
      </c>
      <c r="M33" s="604" t="s">
        <v>461</v>
      </c>
      <c r="N33" s="604" t="s">
        <v>461</v>
      </c>
      <c r="O33" s="604"/>
    </row>
    <row r="34" spans="1:16" x14ac:dyDescent="0.3">
      <c r="A34" s="589"/>
      <c r="B34" s="589"/>
      <c r="C34" s="589"/>
      <c r="D34" s="574"/>
      <c r="E34" s="590"/>
      <c r="F34" s="590"/>
      <c r="G34" s="590"/>
      <c r="L34" s="604" t="s">
        <v>1106</v>
      </c>
      <c r="M34" s="604" t="s">
        <v>461</v>
      </c>
      <c r="N34" s="604" t="s">
        <v>461</v>
      </c>
      <c r="O34" s="604"/>
    </row>
    <row r="35" spans="1:16" x14ac:dyDescent="0.3">
      <c r="A35" s="589"/>
      <c r="B35" s="589"/>
      <c r="C35" s="589"/>
      <c r="D35" s="574"/>
      <c r="E35" s="1170" t="s">
        <v>1418</v>
      </c>
      <c r="F35" s="1171"/>
      <c r="G35" s="1172"/>
      <c r="L35" s="606" t="s">
        <v>476</v>
      </c>
      <c r="M35" s="606">
        <v>0.03</v>
      </c>
      <c r="N35" s="606">
        <v>0.05</v>
      </c>
      <c r="O35" s="604" t="s">
        <v>1455</v>
      </c>
      <c r="P35" s="613" t="s">
        <v>1451</v>
      </c>
    </row>
    <row r="36" spans="1:16" x14ac:dyDescent="0.3">
      <c r="A36" s="574"/>
      <c r="B36" s="574"/>
      <c r="C36" s="574"/>
      <c r="D36" s="574"/>
      <c r="E36" s="1173"/>
      <c r="F36" s="1179"/>
      <c r="G36" s="1175"/>
      <c r="L36" s="604" t="s">
        <v>803</v>
      </c>
      <c r="M36" s="604" t="s">
        <v>461</v>
      </c>
      <c r="N36" s="604" t="s">
        <v>461</v>
      </c>
      <c r="O36" s="604"/>
    </row>
    <row r="37" spans="1:16" x14ac:dyDescent="0.3">
      <c r="A37" s="574"/>
      <c r="B37" s="574"/>
      <c r="C37" s="574"/>
      <c r="D37" s="574"/>
      <c r="E37" s="1176"/>
      <c r="F37" s="1177"/>
      <c r="G37" s="1178"/>
      <c r="L37" s="604" t="s">
        <v>477</v>
      </c>
      <c r="M37" s="604" t="s">
        <v>461</v>
      </c>
      <c r="N37" s="604" t="s">
        <v>461</v>
      </c>
      <c r="O37" s="604"/>
    </row>
    <row r="38" spans="1:16" x14ac:dyDescent="0.3">
      <c r="A38" s="574"/>
      <c r="B38" s="574"/>
      <c r="C38" s="574"/>
      <c r="D38" s="574"/>
      <c r="E38" s="574"/>
      <c r="F38" s="574"/>
      <c r="G38" s="574"/>
      <c r="L38" s="604" t="s">
        <v>1108</v>
      </c>
      <c r="M38" s="604" t="s">
        <v>461</v>
      </c>
      <c r="N38" s="604" t="s">
        <v>461</v>
      </c>
      <c r="O38" s="604"/>
    </row>
    <row r="39" spans="1:16" ht="15" thickBot="1" x14ac:dyDescent="0.35">
      <c r="C39" s="574"/>
      <c r="D39" s="574"/>
      <c r="E39" s="1180" t="s">
        <v>574</v>
      </c>
      <c r="F39" s="1180"/>
      <c r="G39" s="1180"/>
      <c r="L39" s="606" t="s">
        <v>1109</v>
      </c>
      <c r="M39" s="606">
        <v>0.03</v>
      </c>
      <c r="N39" s="606">
        <v>0.05</v>
      </c>
      <c r="O39" s="604" t="s">
        <v>1455</v>
      </c>
      <c r="P39" s="613" t="s">
        <v>1451</v>
      </c>
    </row>
    <row r="40" spans="1:16" x14ac:dyDescent="0.3">
      <c r="A40" s="574"/>
      <c r="B40" s="574"/>
      <c r="C40" s="574"/>
      <c r="D40" s="574"/>
      <c r="E40" s="1159"/>
      <c r="F40" s="1160"/>
      <c r="G40" s="1161"/>
      <c r="L40" s="604" t="s">
        <v>1110</v>
      </c>
      <c r="M40" s="604" t="s">
        <v>461</v>
      </c>
      <c r="N40" s="604" t="s">
        <v>461</v>
      </c>
      <c r="O40" s="604"/>
    </row>
    <row r="41" spans="1:16" x14ac:dyDescent="0.3">
      <c r="A41" s="574"/>
      <c r="B41" s="574"/>
      <c r="C41" s="574"/>
      <c r="D41" s="574"/>
      <c r="E41" s="1162"/>
      <c r="F41" s="1163"/>
      <c r="G41" s="1164"/>
      <c r="L41" s="604" t="s">
        <v>1111</v>
      </c>
      <c r="M41" s="604" t="s">
        <v>461</v>
      </c>
      <c r="N41" s="604" t="s">
        <v>461</v>
      </c>
      <c r="O41" s="604"/>
    </row>
    <row r="42" spans="1:16" x14ac:dyDescent="0.3">
      <c r="A42" s="574"/>
      <c r="B42" s="574"/>
      <c r="C42" s="574"/>
      <c r="D42" s="574"/>
      <c r="E42" s="1162"/>
      <c r="F42" s="1163"/>
      <c r="G42" s="1164"/>
      <c r="L42" s="604" t="s">
        <v>1107</v>
      </c>
      <c r="M42" s="604" t="s">
        <v>461</v>
      </c>
      <c r="N42" s="604" t="s">
        <v>461</v>
      </c>
      <c r="O42" s="604"/>
    </row>
    <row r="43" spans="1:16" x14ac:dyDescent="0.3">
      <c r="A43" s="574"/>
      <c r="B43" s="574"/>
      <c r="C43" s="574"/>
      <c r="D43" s="574"/>
      <c r="E43" s="1162"/>
      <c r="F43" s="1163"/>
      <c r="G43" s="1164"/>
      <c r="L43" s="604" t="s">
        <v>479</v>
      </c>
      <c r="M43" s="604" t="s">
        <v>461</v>
      </c>
      <c r="N43" s="604" t="s">
        <v>461</v>
      </c>
      <c r="O43" s="604"/>
    </row>
    <row r="44" spans="1:16" x14ac:dyDescent="0.3">
      <c r="D44" s="574"/>
      <c r="E44" s="1162"/>
      <c r="F44" s="1163"/>
      <c r="G44" s="1164"/>
      <c r="L44" s="604" t="s">
        <v>1112</v>
      </c>
      <c r="M44" s="604" t="s">
        <v>461</v>
      </c>
      <c r="N44" s="604" t="s">
        <v>461</v>
      </c>
      <c r="O44" s="604"/>
    </row>
    <row r="45" spans="1:16" x14ac:dyDescent="0.3">
      <c r="D45" s="574"/>
      <c r="E45" s="1162"/>
      <c r="F45" s="1163"/>
      <c r="G45" s="1164"/>
      <c r="L45" s="604" t="s">
        <v>1113</v>
      </c>
      <c r="M45" s="604" t="s">
        <v>461</v>
      </c>
      <c r="N45" s="604" t="s">
        <v>461</v>
      </c>
      <c r="O45" s="604"/>
    </row>
    <row r="46" spans="1:16" x14ac:dyDescent="0.3">
      <c r="E46" s="1162"/>
      <c r="F46" s="1163"/>
      <c r="G46" s="1164"/>
      <c r="L46" s="604" t="s">
        <v>1114</v>
      </c>
      <c r="M46" s="604" t="s">
        <v>461</v>
      </c>
      <c r="N46" s="604" t="s">
        <v>461</v>
      </c>
      <c r="O46" s="604"/>
    </row>
    <row r="47" spans="1:16" x14ac:dyDescent="0.3">
      <c r="E47" s="1162"/>
      <c r="F47" s="1163"/>
      <c r="G47" s="1164"/>
      <c r="L47" s="604" t="s">
        <v>480</v>
      </c>
      <c r="M47" s="604" t="s">
        <v>461</v>
      </c>
      <c r="N47" s="604" t="s">
        <v>461</v>
      </c>
      <c r="O47" s="604" t="s">
        <v>1546</v>
      </c>
    </row>
    <row r="48" spans="1:16" x14ac:dyDescent="0.3">
      <c r="E48" s="1162"/>
      <c r="F48" s="1163"/>
      <c r="G48" s="1164"/>
      <c r="L48" s="604" t="s">
        <v>1115</v>
      </c>
      <c r="M48" s="604" t="s">
        <v>461</v>
      </c>
      <c r="N48" s="604" t="s">
        <v>461</v>
      </c>
      <c r="O48" s="604"/>
    </row>
    <row r="49" spans="5:15" x14ac:dyDescent="0.3">
      <c r="E49" s="1162"/>
      <c r="F49" s="1163"/>
      <c r="G49" s="1164"/>
      <c r="L49" s="604" t="s">
        <v>1116</v>
      </c>
      <c r="M49" s="604" t="s">
        <v>461</v>
      </c>
      <c r="N49" s="604" t="s">
        <v>461</v>
      </c>
      <c r="O49" s="604"/>
    </row>
    <row r="50" spans="5:15" x14ac:dyDescent="0.3">
      <c r="E50" s="1162"/>
      <c r="F50" s="1163"/>
      <c r="G50" s="1164"/>
      <c r="L50" s="604" t="s">
        <v>1117</v>
      </c>
      <c r="M50" s="604" t="s">
        <v>461</v>
      </c>
      <c r="N50" s="604" t="s">
        <v>461</v>
      </c>
      <c r="O50" s="604"/>
    </row>
    <row r="51" spans="5:15" ht="15" thickBot="1" x14ac:dyDescent="0.35">
      <c r="E51" s="1165"/>
      <c r="F51" s="1166"/>
      <c r="G51" s="1167"/>
      <c r="L51" s="604" t="s">
        <v>481</v>
      </c>
      <c r="M51" s="604" t="s">
        <v>461</v>
      </c>
      <c r="N51" s="604" t="s">
        <v>461</v>
      </c>
      <c r="O51" s="604"/>
    </row>
    <row r="52" spans="5:15" x14ac:dyDescent="0.3">
      <c r="L52" s="604" t="s">
        <v>1118</v>
      </c>
      <c r="M52" s="604" t="s">
        <v>461</v>
      </c>
      <c r="N52" s="604" t="s">
        <v>461</v>
      </c>
      <c r="O52" s="604"/>
    </row>
    <row r="53" spans="5:15" x14ac:dyDescent="0.3">
      <c r="L53" s="604" t="s">
        <v>1120</v>
      </c>
      <c r="M53" s="604" t="s">
        <v>461</v>
      </c>
      <c r="N53" s="604" t="s">
        <v>461</v>
      </c>
      <c r="O53" s="604"/>
    </row>
    <row r="54" spans="5:15" x14ac:dyDescent="0.3">
      <c r="L54" s="604" t="s">
        <v>1119</v>
      </c>
      <c r="M54" s="604" t="s">
        <v>461</v>
      </c>
      <c r="N54" s="604" t="s">
        <v>461</v>
      </c>
      <c r="O54" s="604"/>
    </row>
    <row r="55" spans="5:15" x14ac:dyDescent="0.3">
      <c r="L55" s="604" t="s">
        <v>1121</v>
      </c>
      <c r="M55" s="604" t="s">
        <v>461</v>
      </c>
      <c r="N55" s="604" t="s">
        <v>461</v>
      </c>
      <c r="O55" s="604"/>
    </row>
    <row r="56" spans="5:15" x14ac:dyDescent="0.3">
      <c r="L56" s="604" t="s">
        <v>482</v>
      </c>
      <c r="M56" s="604" t="s">
        <v>461</v>
      </c>
      <c r="N56" s="604" t="s">
        <v>461</v>
      </c>
      <c r="O56" s="604"/>
    </row>
    <row r="57" spans="5:15" x14ac:dyDescent="0.3">
      <c r="L57" s="604" t="s">
        <v>1122</v>
      </c>
      <c r="M57" s="604" t="s">
        <v>461</v>
      </c>
      <c r="N57" s="604" t="s">
        <v>461</v>
      </c>
      <c r="O57" s="604"/>
    </row>
    <row r="58" spans="5:15" x14ac:dyDescent="0.3">
      <c r="L58" s="604" t="s">
        <v>1123</v>
      </c>
      <c r="M58" s="604" t="s">
        <v>461</v>
      </c>
      <c r="N58" s="604" t="s">
        <v>461</v>
      </c>
      <c r="O58" s="604"/>
    </row>
    <row r="59" spans="5:15" x14ac:dyDescent="0.3">
      <c r="L59" s="607" t="s">
        <v>1124</v>
      </c>
      <c r="M59" s="607">
        <v>0.15</v>
      </c>
      <c r="N59" s="607" t="s">
        <v>461</v>
      </c>
      <c r="O59" s="604" t="s">
        <v>1450</v>
      </c>
    </row>
    <row r="60" spans="5:15" x14ac:dyDescent="0.3">
      <c r="L60" s="604" t="s">
        <v>483</v>
      </c>
      <c r="M60" s="604" t="s">
        <v>461</v>
      </c>
      <c r="N60" s="604" t="s">
        <v>461</v>
      </c>
      <c r="O60" s="604"/>
    </row>
    <row r="61" spans="5:15" x14ac:dyDescent="0.3">
      <c r="L61" s="604" t="s">
        <v>1125</v>
      </c>
      <c r="M61" s="604" t="s">
        <v>461</v>
      </c>
      <c r="N61" s="604" t="s">
        <v>461</v>
      </c>
      <c r="O61" s="604"/>
    </row>
    <row r="62" spans="5:15" x14ac:dyDescent="0.3">
      <c r="L62" s="604" t="s">
        <v>1126</v>
      </c>
      <c r="M62" s="604" t="s">
        <v>461</v>
      </c>
      <c r="N62" s="604" t="s">
        <v>461</v>
      </c>
      <c r="O62" s="604"/>
    </row>
    <row r="63" spans="5:15" x14ac:dyDescent="0.3">
      <c r="L63" s="604" t="s">
        <v>1127</v>
      </c>
      <c r="M63" s="604" t="s">
        <v>461</v>
      </c>
      <c r="N63" s="604" t="s">
        <v>461</v>
      </c>
      <c r="O63" s="604"/>
    </row>
    <row r="64" spans="5:15" x14ac:dyDescent="0.3">
      <c r="L64" s="604" t="s">
        <v>1128</v>
      </c>
      <c r="M64" s="604" t="s">
        <v>461</v>
      </c>
      <c r="N64" s="604" t="s">
        <v>461</v>
      </c>
      <c r="O64" s="604"/>
    </row>
    <row r="65" spans="12:15" x14ac:dyDescent="0.3">
      <c r="L65" s="604" t="s">
        <v>1129</v>
      </c>
      <c r="M65" s="604" t="s">
        <v>461</v>
      </c>
      <c r="N65" s="604" t="s">
        <v>461</v>
      </c>
      <c r="O65" s="604"/>
    </row>
    <row r="66" spans="12:15" x14ac:dyDescent="0.3">
      <c r="L66" s="604" t="s">
        <v>804</v>
      </c>
      <c r="M66" s="604" t="s">
        <v>461</v>
      </c>
      <c r="N66" s="604" t="s">
        <v>461</v>
      </c>
      <c r="O66" s="604"/>
    </row>
    <row r="67" spans="12:15" x14ac:dyDescent="0.3">
      <c r="L67" s="604" t="s">
        <v>1130</v>
      </c>
      <c r="M67" s="604" t="s">
        <v>461</v>
      </c>
      <c r="N67" s="604" t="s">
        <v>461</v>
      </c>
      <c r="O67" s="604"/>
    </row>
    <row r="68" spans="12:15" x14ac:dyDescent="0.3">
      <c r="L68" s="604" t="s">
        <v>1131</v>
      </c>
      <c r="M68" s="604" t="s">
        <v>461</v>
      </c>
      <c r="N68" s="604" t="s">
        <v>461</v>
      </c>
      <c r="O68" s="604"/>
    </row>
    <row r="69" spans="12:15" x14ac:dyDescent="0.3">
      <c r="L69" s="604" t="s">
        <v>1132</v>
      </c>
      <c r="M69" s="604" t="s">
        <v>461</v>
      </c>
      <c r="N69" s="604" t="s">
        <v>461</v>
      </c>
      <c r="O69" s="604"/>
    </row>
    <row r="70" spans="12:15" x14ac:dyDescent="0.3">
      <c r="L70" s="604" t="s">
        <v>1133</v>
      </c>
      <c r="M70" s="604" t="s">
        <v>461</v>
      </c>
      <c r="N70" s="604" t="s">
        <v>461</v>
      </c>
      <c r="O70" s="604"/>
    </row>
    <row r="71" spans="12:15" x14ac:dyDescent="0.3">
      <c r="L71" s="604" t="s">
        <v>1134</v>
      </c>
      <c r="M71" s="604" t="s">
        <v>461</v>
      </c>
      <c r="N71" s="604" t="s">
        <v>461</v>
      </c>
      <c r="O71" s="604"/>
    </row>
    <row r="72" spans="12:15" x14ac:dyDescent="0.3">
      <c r="L72" s="604" t="s">
        <v>1135</v>
      </c>
      <c r="M72" s="604" t="s">
        <v>461</v>
      </c>
      <c r="N72" s="604" t="s">
        <v>461</v>
      </c>
      <c r="O72" s="604"/>
    </row>
    <row r="73" spans="12:15" x14ac:dyDescent="0.3">
      <c r="L73" s="604" t="s">
        <v>1136</v>
      </c>
      <c r="M73" s="604" t="s">
        <v>461</v>
      </c>
      <c r="N73" s="604" t="s">
        <v>461</v>
      </c>
      <c r="O73" s="604"/>
    </row>
    <row r="74" spans="12:15" x14ac:dyDescent="0.3">
      <c r="L74" s="604" t="s">
        <v>1137</v>
      </c>
      <c r="M74" s="604" t="s">
        <v>461</v>
      </c>
      <c r="N74" s="604" t="s">
        <v>461</v>
      </c>
      <c r="O74" s="604"/>
    </row>
    <row r="75" spans="12:15" x14ac:dyDescent="0.3">
      <c r="L75" s="604" t="s">
        <v>1138</v>
      </c>
      <c r="M75" s="604" t="s">
        <v>461</v>
      </c>
      <c r="N75" s="604" t="s">
        <v>461</v>
      </c>
      <c r="O75" s="604"/>
    </row>
    <row r="76" spans="12:15" x14ac:dyDescent="0.3">
      <c r="L76" s="604" t="s">
        <v>1139</v>
      </c>
      <c r="M76" s="604" t="s">
        <v>461</v>
      </c>
      <c r="N76" s="604" t="s">
        <v>461</v>
      </c>
      <c r="O76" s="604"/>
    </row>
    <row r="77" spans="12:15" x14ac:dyDescent="0.3">
      <c r="L77" s="604" t="s">
        <v>1140</v>
      </c>
      <c r="M77" s="604" t="s">
        <v>461</v>
      </c>
      <c r="N77" s="604" t="s">
        <v>461</v>
      </c>
      <c r="O77" s="604"/>
    </row>
    <row r="78" spans="12:15" x14ac:dyDescent="0.3">
      <c r="L78" s="604" t="s">
        <v>1141</v>
      </c>
      <c r="M78" s="604" t="s">
        <v>461</v>
      </c>
      <c r="N78" s="604" t="s">
        <v>461</v>
      </c>
      <c r="O78" s="604"/>
    </row>
    <row r="79" spans="12:15" x14ac:dyDescent="0.3">
      <c r="L79" s="604" t="s">
        <v>1142</v>
      </c>
      <c r="M79" s="604" t="s">
        <v>461</v>
      </c>
      <c r="N79" s="604" t="s">
        <v>461</v>
      </c>
      <c r="O79" s="604"/>
    </row>
    <row r="80" spans="12:15" x14ac:dyDescent="0.3">
      <c r="L80" s="604" t="s">
        <v>1143</v>
      </c>
      <c r="M80" s="604" t="s">
        <v>461</v>
      </c>
      <c r="N80" s="604" t="s">
        <v>461</v>
      </c>
      <c r="O80" s="604"/>
    </row>
    <row r="81" spans="12:15" x14ac:dyDescent="0.3">
      <c r="L81" s="604" t="s">
        <v>1144</v>
      </c>
      <c r="M81" s="604" t="s">
        <v>461</v>
      </c>
      <c r="N81" s="604" t="s">
        <v>461</v>
      </c>
      <c r="O81" s="604"/>
    </row>
    <row r="82" spans="12:15" x14ac:dyDescent="0.3">
      <c r="L82" s="604" t="s">
        <v>1145</v>
      </c>
      <c r="M82" s="604" t="s">
        <v>461</v>
      </c>
      <c r="N82" s="604" t="s">
        <v>461</v>
      </c>
      <c r="O82" s="604"/>
    </row>
    <row r="83" spans="12:15" x14ac:dyDescent="0.3">
      <c r="L83" s="604" t="s">
        <v>805</v>
      </c>
      <c r="M83" s="604" t="s">
        <v>461</v>
      </c>
      <c r="N83" s="604" t="s">
        <v>461</v>
      </c>
      <c r="O83" s="604"/>
    </row>
    <row r="84" spans="12:15" x14ac:dyDescent="0.3">
      <c r="L84" s="604" t="s">
        <v>484</v>
      </c>
      <c r="M84" s="604" t="s">
        <v>461</v>
      </c>
      <c r="N84" s="604" t="s">
        <v>461</v>
      </c>
      <c r="O84" s="604"/>
    </row>
    <row r="85" spans="12:15" x14ac:dyDescent="0.3">
      <c r="L85" s="604" t="s">
        <v>1146</v>
      </c>
      <c r="M85" s="604" t="s">
        <v>461</v>
      </c>
      <c r="N85" s="604" t="s">
        <v>461</v>
      </c>
      <c r="O85" s="604"/>
    </row>
    <row r="86" spans="12:15" x14ac:dyDescent="0.3">
      <c r="L86" s="604" t="s">
        <v>1147</v>
      </c>
      <c r="M86" s="604" t="s">
        <v>461</v>
      </c>
      <c r="N86" s="604" t="s">
        <v>461</v>
      </c>
      <c r="O86" s="604"/>
    </row>
    <row r="87" spans="12:15" x14ac:dyDescent="0.3">
      <c r="L87" s="604" t="s">
        <v>1148</v>
      </c>
      <c r="M87" s="604" t="s">
        <v>461</v>
      </c>
      <c r="N87" s="604" t="s">
        <v>461</v>
      </c>
      <c r="O87" s="604"/>
    </row>
    <row r="88" spans="12:15" x14ac:dyDescent="0.3">
      <c r="L88" s="604" t="s">
        <v>1149</v>
      </c>
      <c r="M88" s="604" t="s">
        <v>461</v>
      </c>
      <c r="N88" s="604" t="s">
        <v>461</v>
      </c>
      <c r="O88" s="604"/>
    </row>
    <row r="89" spans="12:15" x14ac:dyDescent="0.3">
      <c r="L89" s="604" t="s">
        <v>485</v>
      </c>
      <c r="M89" s="604" t="s">
        <v>461</v>
      </c>
      <c r="N89" s="604" t="s">
        <v>461</v>
      </c>
      <c r="O89" s="604"/>
    </row>
    <row r="90" spans="12:15" x14ac:dyDescent="0.3">
      <c r="L90" s="604" t="s">
        <v>1150</v>
      </c>
      <c r="M90" s="604" t="s">
        <v>461</v>
      </c>
      <c r="N90" s="604" t="s">
        <v>461</v>
      </c>
      <c r="O90" s="604"/>
    </row>
    <row r="91" spans="12:15" x14ac:dyDescent="0.3">
      <c r="L91" s="604" t="s">
        <v>392</v>
      </c>
      <c r="M91" s="604" t="s">
        <v>461</v>
      </c>
      <c r="N91" s="604" t="s">
        <v>461</v>
      </c>
      <c r="O91" s="604"/>
    </row>
    <row r="92" spans="12:15" x14ac:dyDescent="0.3">
      <c r="L92" s="604" t="s">
        <v>393</v>
      </c>
      <c r="M92" s="604" t="s">
        <v>461</v>
      </c>
      <c r="N92" s="604" t="s">
        <v>461</v>
      </c>
      <c r="O92" s="604"/>
    </row>
    <row r="93" spans="12:15" x14ac:dyDescent="0.3">
      <c r="L93" s="607" t="s">
        <v>1151</v>
      </c>
      <c r="M93" s="607">
        <v>0.05</v>
      </c>
      <c r="N93" s="607" t="s">
        <v>461</v>
      </c>
      <c r="O93" s="604" t="s">
        <v>1450</v>
      </c>
    </row>
    <row r="94" spans="12:15" x14ac:dyDescent="0.3">
      <c r="L94" s="604" t="s">
        <v>486</v>
      </c>
      <c r="M94" s="604" t="s">
        <v>461</v>
      </c>
      <c r="N94" s="604" t="s">
        <v>461</v>
      </c>
      <c r="O94" s="604"/>
    </row>
    <row r="95" spans="12:15" x14ac:dyDescent="0.3">
      <c r="L95" s="604" t="s">
        <v>1152</v>
      </c>
      <c r="M95" s="604" t="s">
        <v>461</v>
      </c>
      <c r="N95" s="604" t="s">
        <v>461</v>
      </c>
      <c r="O95" s="604"/>
    </row>
    <row r="96" spans="12:15" x14ac:dyDescent="0.3">
      <c r="L96" s="604" t="s">
        <v>806</v>
      </c>
      <c r="M96" s="604" t="s">
        <v>461</v>
      </c>
      <c r="N96" s="604" t="s">
        <v>461</v>
      </c>
      <c r="O96" s="604"/>
    </row>
    <row r="97" spans="12:16" x14ac:dyDescent="0.3">
      <c r="L97" s="604" t="s">
        <v>1153</v>
      </c>
      <c r="M97" s="604" t="s">
        <v>461</v>
      </c>
      <c r="N97" s="604" t="s">
        <v>461</v>
      </c>
      <c r="O97" s="604"/>
    </row>
    <row r="98" spans="12:16" x14ac:dyDescent="0.3">
      <c r="L98" s="604" t="s">
        <v>807</v>
      </c>
      <c r="M98" s="604" t="s">
        <v>461</v>
      </c>
      <c r="N98" s="604" t="s">
        <v>461</v>
      </c>
      <c r="O98" s="604"/>
    </row>
    <row r="99" spans="12:16" x14ac:dyDescent="0.3">
      <c r="L99" s="606" t="s">
        <v>1154</v>
      </c>
      <c r="M99" s="606">
        <v>0.03</v>
      </c>
      <c r="N99" s="606">
        <v>0.05</v>
      </c>
      <c r="O99" s="604" t="s">
        <v>1455</v>
      </c>
      <c r="P99" s="613" t="s">
        <v>1451</v>
      </c>
    </row>
    <row r="100" spans="12:16" x14ac:dyDescent="0.3">
      <c r="L100" s="604" t="s">
        <v>1155</v>
      </c>
      <c r="M100" s="604" t="s">
        <v>461</v>
      </c>
      <c r="N100" s="604" t="s">
        <v>461</v>
      </c>
      <c r="O100" s="604"/>
    </row>
    <row r="101" spans="12:16" x14ac:dyDescent="0.3">
      <c r="L101" s="604" t="s">
        <v>1156</v>
      </c>
      <c r="M101" s="604" t="s">
        <v>461</v>
      </c>
      <c r="N101" s="604" t="s">
        <v>461</v>
      </c>
      <c r="O101" s="604"/>
    </row>
    <row r="102" spans="12:16" x14ac:dyDescent="0.3">
      <c r="L102" s="604" t="s">
        <v>1157</v>
      </c>
      <c r="M102" s="604" t="s">
        <v>461</v>
      </c>
      <c r="N102" s="604" t="s">
        <v>461</v>
      </c>
      <c r="O102" s="604"/>
    </row>
    <row r="103" spans="12:16" x14ac:dyDescent="0.3">
      <c r="L103" s="604" t="s">
        <v>1158</v>
      </c>
      <c r="M103" s="604" t="s">
        <v>461</v>
      </c>
      <c r="N103" s="604" t="s">
        <v>461</v>
      </c>
      <c r="O103" s="604"/>
    </row>
    <row r="104" spans="12:16" x14ac:dyDescent="0.3">
      <c r="L104" s="604" t="s">
        <v>1159</v>
      </c>
      <c r="M104" s="604" t="s">
        <v>461</v>
      </c>
      <c r="N104" s="604" t="s">
        <v>461</v>
      </c>
      <c r="O104" s="604"/>
    </row>
    <row r="105" spans="12:16" x14ac:dyDescent="0.3">
      <c r="L105" s="604" t="s">
        <v>808</v>
      </c>
      <c r="M105" s="604" t="s">
        <v>461</v>
      </c>
      <c r="N105" s="604" t="s">
        <v>461</v>
      </c>
      <c r="O105" s="604"/>
    </row>
    <row r="106" spans="12:16" x14ac:dyDescent="0.3">
      <c r="L106" s="604" t="s">
        <v>487</v>
      </c>
      <c r="M106" s="604" t="s">
        <v>461</v>
      </c>
      <c r="N106" s="604" t="s">
        <v>461</v>
      </c>
      <c r="O106" s="604"/>
    </row>
    <row r="107" spans="12:16" x14ac:dyDescent="0.3">
      <c r="L107" s="604" t="s">
        <v>488</v>
      </c>
      <c r="M107" s="604" t="s">
        <v>461</v>
      </c>
      <c r="N107" s="604" t="s">
        <v>461</v>
      </c>
      <c r="O107" s="604"/>
    </row>
    <row r="108" spans="12:16" x14ac:dyDescent="0.3">
      <c r="L108" s="604" t="s">
        <v>1160</v>
      </c>
      <c r="M108" s="604" t="s">
        <v>461</v>
      </c>
      <c r="N108" s="604" t="s">
        <v>461</v>
      </c>
      <c r="O108" s="604"/>
    </row>
    <row r="109" spans="12:16" x14ac:dyDescent="0.3">
      <c r="L109" s="604" t="s">
        <v>1161</v>
      </c>
      <c r="M109" s="604" t="s">
        <v>461</v>
      </c>
      <c r="N109" s="604" t="s">
        <v>461</v>
      </c>
      <c r="O109" s="604"/>
    </row>
    <row r="110" spans="12:16" x14ac:dyDescent="0.3">
      <c r="L110" s="604" t="s">
        <v>1162</v>
      </c>
      <c r="M110" s="604" t="s">
        <v>461</v>
      </c>
      <c r="N110" s="604" t="s">
        <v>461</v>
      </c>
      <c r="O110" s="604" t="s">
        <v>1546</v>
      </c>
    </row>
    <row r="111" spans="12:16" x14ac:dyDescent="0.3">
      <c r="L111" s="604" t="s">
        <v>809</v>
      </c>
      <c r="M111" s="604" t="s">
        <v>461</v>
      </c>
      <c r="N111" s="604" t="s">
        <v>461</v>
      </c>
      <c r="O111" s="604"/>
    </row>
    <row r="112" spans="12:16" x14ac:dyDescent="0.3">
      <c r="L112" s="604" t="s">
        <v>1163</v>
      </c>
      <c r="M112" s="604" t="s">
        <v>461</v>
      </c>
      <c r="N112" s="604" t="s">
        <v>461</v>
      </c>
      <c r="O112" s="604"/>
    </row>
    <row r="113" spans="12:15" x14ac:dyDescent="0.3">
      <c r="L113" s="604" t="s">
        <v>1164</v>
      </c>
      <c r="M113" s="604" t="s">
        <v>461</v>
      </c>
      <c r="N113" s="604" t="s">
        <v>461</v>
      </c>
      <c r="O113" s="604"/>
    </row>
    <row r="114" spans="12:15" x14ac:dyDescent="0.3">
      <c r="L114" s="604" t="s">
        <v>1165</v>
      </c>
      <c r="M114" s="604" t="s">
        <v>461</v>
      </c>
      <c r="N114" s="604" t="s">
        <v>461</v>
      </c>
      <c r="O114" s="604"/>
    </row>
    <row r="115" spans="12:15" x14ac:dyDescent="0.3">
      <c r="L115" s="604" t="s">
        <v>1166</v>
      </c>
      <c r="M115" s="604" t="s">
        <v>461</v>
      </c>
      <c r="N115" s="604" t="s">
        <v>461</v>
      </c>
      <c r="O115" s="604"/>
    </row>
    <row r="116" spans="12:15" x14ac:dyDescent="0.3">
      <c r="L116" s="607" t="s">
        <v>1167</v>
      </c>
      <c r="M116" s="607">
        <v>0.03</v>
      </c>
      <c r="N116" s="607" t="s">
        <v>461</v>
      </c>
      <c r="O116" s="604" t="s">
        <v>1450</v>
      </c>
    </row>
    <row r="117" spans="12:15" x14ac:dyDescent="0.3">
      <c r="L117" s="604" t="s">
        <v>1168</v>
      </c>
      <c r="M117" s="604" t="s">
        <v>461</v>
      </c>
      <c r="N117" s="604" t="s">
        <v>461</v>
      </c>
      <c r="O117" s="604"/>
    </row>
    <row r="118" spans="12:15" x14ac:dyDescent="0.3">
      <c r="L118" s="604" t="s">
        <v>1169</v>
      </c>
      <c r="M118" s="604" t="s">
        <v>461</v>
      </c>
      <c r="N118" s="604" t="s">
        <v>461</v>
      </c>
      <c r="O118" s="604"/>
    </row>
    <row r="119" spans="12:15" x14ac:dyDescent="0.3">
      <c r="L119" s="604" t="s">
        <v>1170</v>
      </c>
      <c r="M119" s="604" t="s">
        <v>461</v>
      </c>
      <c r="N119" s="604" t="s">
        <v>461</v>
      </c>
      <c r="O119" s="604"/>
    </row>
    <row r="120" spans="12:15" x14ac:dyDescent="0.3">
      <c r="L120" s="604" t="s">
        <v>810</v>
      </c>
      <c r="M120" s="604" t="s">
        <v>461</v>
      </c>
      <c r="N120" s="604" t="s">
        <v>461</v>
      </c>
      <c r="O120" s="604"/>
    </row>
    <row r="121" spans="12:15" x14ac:dyDescent="0.3">
      <c r="L121" s="604" t="s">
        <v>1171</v>
      </c>
      <c r="M121" s="604" t="s">
        <v>461</v>
      </c>
      <c r="N121" s="604" t="s">
        <v>461</v>
      </c>
      <c r="O121" s="604"/>
    </row>
    <row r="122" spans="12:15" x14ac:dyDescent="0.3">
      <c r="L122" s="604" t="s">
        <v>811</v>
      </c>
      <c r="M122" s="604" t="s">
        <v>461</v>
      </c>
      <c r="N122" s="604" t="s">
        <v>461</v>
      </c>
      <c r="O122" s="604" t="s">
        <v>1546</v>
      </c>
    </row>
    <row r="123" spans="12:15" x14ac:dyDescent="0.3">
      <c r="L123" s="604" t="s">
        <v>1172</v>
      </c>
      <c r="M123" s="604" t="s">
        <v>461</v>
      </c>
      <c r="N123" s="604" t="s">
        <v>461</v>
      </c>
      <c r="O123" s="604"/>
    </row>
    <row r="124" spans="12:15" x14ac:dyDescent="0.3">
      <c r="L124" s="604" t="s">
        <v>1173</v>
      </c>
      <c r="M124" s="604" t="s">
        <v>461</v>
      </c>
      <c r="N124" s="604" t="s">
        <v>461</v>
      </c>
      <c r="O124" s="604"/>
    </row>
    <row r="125" spans="12:15" x14ac:dyDescent="0.3">
      <c r="L125" s="604" t="s">
        <v>1174</v>
      </c>
      <c r="M125" s="604" t="s">
        <v>461</v>
      </c>
      <c r="N125" s="604" t="s">
        <v>461</v>
      </c>
      <c r="O125" s="604"/>
    </row>
    <row r="126" spans="12:15" x14ac:dyDescent="0.3">
      <c r="L126" s="604" t="s">
        <v>1175</v>
      </c>
      <c r="M126" s="604" t="s">
        <v>461</v>
      </c>
      <c r="N126" s="604" t="s">
        <v>461</v>
      </c>
      <c r="O126" s="604"/>
    </row>
    <row r="127" spans="12:15" x14ac:dyDescent="0.3">
      <c r="L127" s="604" t="s">
        <v>489</v>
      </c>
      <c r="M127" s="604" t="s">
        <v>461</v>
      </c>
      <c r="N127" s="604" t="s">
        <v>461</v>
      </c>
      <c r="O127" s="604"/>
    </row>
    <row r="128" spans="12:15" x14ac:dyDescent="0.3">
      <c r="L128" s="604" t="s">
        <v>1176</v>
      </c>
      <c r="M128" s="604" t="s">
        <v>461</v>
      </c>
      <c r="N128" s="604" t="s">
        <v>461</v>
      </c>
      <c r="O128" s="604"/>
    </row>
    <row r="129" spans="12:16" x14ac:dyDescent="0.3">
      <c r="L129" s="604" t="s">
        <v>1177</v>
      </c>
      <c r="M129" s="604" t="s">
        <v>461</v>
      </c>
      <c r="N129" s="604" t="s">
        <v>461</v>
      </c>
      <c r="O129" s="604"/>
    </row>
    <row r="130" spans="12:16" x14ac:dyDescent="0.3">
      <c r="L130" s="604" t="s">
        <v>490</v>
      </c>
      <c r="M130" s="604" t="s">
        <v>461</v>
      </c>
      <c r="N130" s="604" t="s">
        <v>461</v>
      </c>
      <c r="O130" s="604"/>
    </row>
    <row r="131" spans="12:16" x14ac:dyDescent="0.3">
      <c r="L131" s="607" t="s">
        <v>1178</v>
      </c>
      <c r="M131" s="607">
        <v>0.03</v>
      </c>
      <c r="N131" s="607" t="s">
        <v>461</v>
      </c>
      <c r="O131" s="604" t="s">
        <v>1450</v>
      </c>
    </row>
    <row r="132" spans="12:16" x14ac:dyDescent="0.3">
      <c r="L132" s="604" t="s">
        <v>1179</v>
      </c>
      <c r="M132" s="604" t="s">
        <v>461</v>
      </c>
      <c r="N132" s="604" t="s">
        <v>461</v>
      </c>
      <c r="O132" s="604"/>
    </row>
    <row r="133" spans="12:16" x14ac:dyDescent="0.3">
      <c r="L133" s="604" t="s">
        <v>1180</v>
      </c>
      <c r="M133" s="604" t="s">
        <v>461</v>
      </c>
      <c r="N133" s="604" t="s">
        <v>461</v>
      </c>
      <c r="O133" s="604"/>
    </row>
    <row r="134" spans="12:16" x14ac:dyDescent="0.3">
      <c r="L134" s="604" t="s">
        <v>1181</v>
      </c>
      <c r="M134" s="604" t="s">
        <v>461</v>
      </c>
      <c r="N134" s="604" t="s">
        <v>461</v>
      </c>
      <c r="O134" s="604"/>
    </row>
    <row r="135" spans="12:16" x14ac:dyDescent="0.3">
      <c r="L135" s="604" t="s">
        <v>387</v>
      </c>
      <c r="M135" s="604" t="s">
        <v>461</v>
      </c>
      <c r="N135" s="604" t="s">
        <v>461</v>
      </c>
      <c r="O135" s="604"/>
    </row>
    <row r="136" spans="12:16" x14ac:dyDescent="0.3">
      <c r="L136" s="604" t="s">
        <v>491</v>
      </c>
      <c r="M136" s="604" t="s">
        <v>461</v>
      </c>
      <c r="N136" s="604" t="s">
        <v>461</v>
      </c>
      <c r="O136" s="604"/>
    </row>
    <row r="137" spans="12:16" x14ac:dyDescent="0.3">
      <c r="L137" s="604" t="s">
        <v>1182</v>
      </c>
      <c r="M137" s="604" t="s">
        <v>461</v>
      </c>
      <c r="N137" s="604" t="s">
        <v>461</v>
      </c>
      <c r="O137" s="604"/>
    </row>
    <row r="138" spans="12:16" x14ac:dyDescent="0.3">
      <c r="L138" s="604" t="s">
        <v>1183</v>
      </c>
      <c r="M138" s="604" t="s">
        <v>461</v>
      </c>
      <c r="N138" s="604" t="s">
        <v>461</v>
      </c>
      <c r="O138" s="604"/>
    </row>
    <row r="139" spans="12:16" x14ac:dyDescent="0.3">
      <c r="L139" s="604" t="s">
        <v>492</v>
      </c>
      <c r="M139" s="604" t="s">
        <v>461</v>
      </c>
      <c r="N139" s="604" t="s">
        <v>461</v>
      </c>
      <c r="O139" s="604"/>
    </row>
    <row r="140" spans="12:16" x14ac:dyDescent="0.3">
      <c r="L140" s="604" t="s">
        <v>493</v>
      </c>
      <c r="M140" s="604" t="s">
        <v>461</v>
      </c>
      <c r="N140" s="604" t="s">
        <v>461</v>
      </c>
      <c r="O140" s="604"/>
    </row>
    <row r="141" spans="12:16" x14ac:dyDescent="0.3">
      <c r="L141" s="604" t="s">
        <v>1184</v>
      </c>
      <c r="M141" s="604" t="s">
        <v>461</v>
      </c>
      <c r="N141" s="604" t="s">
        <v>461</v>
      </c>
      <c r="O141" s="604"/>
    </row>
    <row r="142" spans="12:16" x14ac:dyDescent="0.3">
      <c r="L142" s="604" t="s">
        <v>1185</v>
      </c>
      <c r="M142" s="604" t="s">
        <v>461</v>
      </c>
      <c r="N142" s="604" t="s">
        <v>461</v>
      </c>
      <c r="O142" s="604"/>
    </row>
    <row r="143" spans="12:16" x14ac:dyDescent="0.3">
      <c r="L143" s="606" t="s">
        <v>1186</v>
      </c>
      <c r="M143" s="606">
        <v>0.03</v>
      </c>
      <c r="N143" s="606">
        <v>0.05</v>
      </c>
      <c r="O143" s="604" t="s">
        <v>1455</v>
      </c>
      <c r="P143" s="613" t="s">
        <v>1451</v>
      </c>
    </row>
    <row r="144" spans="12:16" x14ac:dyDescent="0.3">
      <c r="L144" s="606" t="s">
        <v>812</v>
      </c>
      <c r="M144" s="606">
        <v>0.03</v>
      </c>
      <c r="N144" s="606">
        <v>0.05</v>
      </c>
      <c r="O144" s="604" t="s">
        <v>1455</v>
      </c>
      <c r="P144" s="613" t="s">
        <v>1451</v>
      </c>
    </row>
    <row r="145" spans="12:15" x14ac:dyDescent="0.3">
      <c r="L145" s="604" t="s">
        <v>1187</v>
      </c>
      <c r="M145" s="604" t="s">
        <v>461</v>
      </c>
      <c r="N145" s="604" t="s">
        <v>461</v>
      </c>
      <c r="O145" s="604"/>
    </row>
    <row r="146" spans="12:15" x14ac:dyDescent="0.3">
      <c r="L146" s="604" t="s">
        <v>1188</v>
      </c>
      <c r="M146" s="604" t="s">
        <v>461</v>
      </c>
      <c r="N146" s="604" t="s">
        <v>461</v>
      </c>
      <c r="O146" s="604"/>
    </row>
    <row r="147" spans="12:15" x14ac:dyDescent="0.3">
      <c r="L147" s="604" t="s">
        <v>1189</v>
      </c>
      <c r="M147" s="604" t="s">
        <v>461</v>
      </c>
      <c r="N147" s="604" t="s">
        <v>461</v>
      </c>
      <c r="O147" s="604"/>
    </row>
    <row r="148" spans="12:15" x14ac:dyDescent="0.3">
      <c r="L148" s="604" t="s">
        <v>1190</v>
      </c>
      <c r="M148" s="604" t="s">
        <v>461</v>
      </c>
      <c r="N148" s="604" t="s">
        <v>461</v>
      </c>
      <c r="O148" s="604"/>
    </row>
    <row r="149" spans="12:15" x14ac:dyDescent="0.3">
      <c r="L149" s="604" t="s">
        <v>495</v>
      </c>
      <c r="M149" s="604" t="s">
        <v>461</v>
      </c>
      <c r="N149" s="604" t="s">
        <v>461</v>
      </c>
      <c r="O149" s="604"/>
    </row>
    <row r="150" spans="12:15" x14ac:dyDescent="0.3">
      <c r="L150" s="604" t="s">
        <v>496</v>
      </c>
      <c r="M150" s="604" t="s">
        <v>461</v>
      </c>
      <c r="N150" s="604" t="s">
        <v>461</v>
      </c>
      <c r="O150" s="604"/>
    </row>
    <row r="151" spans="12:15" x14ac:dyDescent="0.3">
      <c r="L151" s="604" t="s">
        <v>1191</v>
      </c>
      <c r="M151" s="604" t="s">
        <v>461</v>
      </c>
      <c r="N151" s="604" t="s">
        <v>461</v>
      </c>
      <c r="O151" s="604"/>
    </row>
    <row r="152" spans="12:15" x14ac:dyDescent="0.3">
      <c r="L152" s="604" t="s">
        <v>1192</v>
      </c>
      <c r="M152" s="604" t="s">
        <v>461</v>
      </c>
      <c r="N152" s="604" t="s">
        <v>461</v>
      </c>
      <c r="O152" s="604"/>
    </row>
    <row r="153" spans="12:15" x14ac:dyDescent="0.3">
      <c r="L153" s="604" t="s">
        <v>497</v>
      </c>
      <c r="M153" s="604" t="s">
        <v>461</v>
      </c>
      <c r="N153" s="604" t="s">
        <v>461</v>
      </c>
      <c r="O153" s="604" t="s">
        <v>1546</v>
      </c>
    </row>
    <row r="154" spans="12:15" x14ac:dyDescent="0.3">
      <c r="L154" s="604" t="s">
        <v>813</v>
      </c>
      <c r="M154" s="604" t="s">
        <v>461</v>
      </c>
      <c r="N154" s="604" t="s">
        <v>461</v>
      </c>
      <c r="O154" s="604"/>
    </row>
    <row r="155" spans="12:15" x14ac:dyDescent="0.3">
      <c r="L155" s="604" t="s">
        <v>814</v>
      </c>
      <c r="M155" s="604" t="s">
        <v>461</v>
      </c>
      <c r="N155" s="604" t="s">
        <v>461</v>
      </c>
      <c r="O155" s="604"/>
    </row>
    <row r="156" spans="12:15" x14ac:dyDescent="0.3">
      <c r="L156" s="604" t="s">
        <v>498</v>
      </c>
      <c r="M156" s="604" t="s">
        <v>461</v>
      </c>
      <c r="N156" s="604" t="s">
        <v>461</v>
      </c>
      <c r="O156" s="604"/>
    </row>
    <row r="157" spans="12:15" x14ac:dyDescent="0.3">
      <c r="L157" s="604" t="s">
        <v>499</v>
      </c>
      <c r="M157" s="604" t="s">
        <v>461</v>
      </c>
      <c r="N157" s="604" t="s">
        <v>461</v>
      </c>
      <c r="O157" s="604"/>
    </row>
    <row r="158" spans="12:15" x14ac:dyDescent="0.3">
      <c r="L158" s="604" t="s">
        <v>500</v>
      </c>
      <c r="M158" s="604" t="s">
        <v>461</v>
      </c>
      <c r="N158" s="604" t="s">
        <v>461</v>
      </c>
      <c r="O158" s="604"/>
    </row>
    <row r="159" spans="12:15" x14ac:dyDescent="0.3">
      <c r="L159" s="604" t="s">
        <v>1193</v>
      </c>
      <c r="M159" s="604" t="s">
        <v>461</v>
      </c>
      <c r="N159" s="604" t="s">
        <v>461</v>
      </c>
      <c r="O159" s="604"/>
    </row>
    <row r="160" spans="12:15" x14ac:dyDescent="0.3">
      <c r="L160" s="604" t="s">
        <v>1194</v>
      </c>
      <c r="M160" s="604" t="s">
        <v>461</v>
      </c>
      <c r="N160" s="604" t="s">
        <v>461</v>
      </c>
      <c r="O160" s="604"/>
    </row>
    <row r="161" spans="12:16" x14ac:dyDescent="0.3">
      <c r="L161" s="604" t="s">
        <v>1195</v>
      </c>
      <c r="M161" s="604" t="s">
        <v>461</v>
      </c>
      <c r="N161" s="604" t="s">
        <v>461</v>
      </c>
      <c r="O161" s="604"/>
    </row>
    <row r="162" spans="12:16" x14ac:dyDescent="0.3">
      <c r="L162" s="604" t="s">
        <v>1196</v>
      </c>
      <c r="M162" s="604" t="s">
        <v>461</v>
      </c>
      <c r="N162" s="604" t="s">
        <v>461</v>
      </c>
      <c r="O162" s="604"/>
    </row>
    <row r="163" spans="12:16" x14ac:dyDescent="0.3">
      <c r="L163" s="604" t="s">
        <v>1197</v>
      </c>
      <c r="M163" s="604" t="s">
        <v>461</v>
      </c>
      <c r="N163" s="604" t="s">
        <v>461</v>
      </c>
      <c r="O163" s="604"/>
    </row>
    <row r="164" spans="12:16" x14ac:dyDescent="0.3">
      <c r="L164" s="604" t="s">
        <v>1198</v>
      </c>
      <c r="M164" s="604" t="s">
        <v>461</v>
      </c>
      <c r="N164" s="604" t="s">
        <v>461</v>
      </c>
      <c r="O164" s="604"/>
    </row>
    <row r="165" spans="12:16" x14ac:dyDescent="0.3">
      <c r="L165" s="606" t="s">
        <v>1199</v>
      </c>
      <c r="M165" s="606">
        <v>0.03</v>
      </c>
      <c r="N165" s="606">
        <v>0.05</v>
      </c>
      <c r="O165" s="604" t="s">
        <v>1455</v>
      </c>
      <c r="P165" s="613" t="s">
        <v>1451</v>
      </c>
    </row>
    <row r="166" spans="12:16" x14ac:dyDescent="0.3">
      <c r="L166" s="604" t="s">
        <v>1200</v>
      </c>
      <c r="M166" s="604" t="s">
        <v>461</v>
      </c>
      <c r="N166" s="604" t="s">
        <v>461</v>
      </c>
      <c r="O166" s="604" t="s">
        <v>1546</v>
      </c>
    </row>
    <row r="167" spans="12:16" x14ac:dyDescent="0.3">
      <c r="L167" s="604" t="s">
        <v>1201</v>
      </c>
      <c r="M167" s="604" t="s">
        <v>461</v>
      </c>
      <c r="N167" s="604" t="s">
        <v>461</v>
      </c>
      <c r="O167" s="604"/>
    </row>
    <row r="168" spans="12:16" x14ac:dyDescent="0.3">
      <c r="L168" s="604" t="s">
        <v>1202</v>
      </c>
      <c r="M168" s="604" t="s">
        <v>461</v>
      </c>
      <c r="N168" s="604" t="s">
        <v>461</v>
      </c>
      <c r="O168" s="604"/>
    </row>
    <row r="169" spans="12:16" x14ac:dyDescent="0.3">
      <c r="L169" s="604" t="s">
        <v>501</v>
      </c>
      <c r="M169" s="604" t="s">
        <v>461</v>
      </c>
      <c r="N169" s="604" t="s">
        <v>461</v>
      </c>
      <c r="O169" s="604"/>
    </row>
    <row r="170" spans="12:16" x14ac:dyDescent="0.3">
      <c r="L170" s="604" t="s">
        <v>1203</v>
      </c>
      <c r="M170" s="604" t="s">
        <v>461</v>
      </c>
      <c r="N170" s="604" t="s">
        <v>461</v>
      </c>
      <c r="O170" s="604" t="s">
        <v>1546</v>
      </c>
    </row>
    <row r="171" spans="12:16" x14ac:dyDescent="0.3">
      <c r="L171" s="604" t="s">
        <v>1204</v>
      </c>
      <c r="M171" s="604" t="s">
        <v>461</v>
      </c>
      <c r="N171" s="604" t="s">
        <v>461</v>
      </c>
      <c r="O171" s="604"/>
    </row>
    <row r="172" spans="12:16" x14ac:dyDescent="0.3">
      <c r="L172" s="604" t="s">
        <v>1205</v>
      </c>
      <c r="M172" s="604" t="s">
        <v>461</v>
      </c>
      <c r="N172" s="604" t="s">
        <v>461</v>
      </c>
      <c r="O172" s="604" t="s">
        <v>1546</v>
      </c>
    </row>
    <row r="173" spans="12:16" x14ac:dyDescent="0.3">
      <c r="L173" s="604" t="s">
        <v>502</v>
      </c>
      <c r="M173" s="604" t="s">
        <v>461</v>
      </c>
      <c r="N173" s="604" t="s">
        <v>461</v>
      </c>
      <c r="O173" s="604"/>
    </row>
    <row r="174" spans="12:16" x14ac:dyDescent="0.3">
      <c r="L174" s="604" t="s">
        <v>1206</v>
      </c>
      <c r="M174" s="604" t="s">
        <v>461</v>
      </c>
      <c r="N174" s="604" t="s">
        <v>461</v>
      </c>
      <c r="O174" s="604"/>
    </row>
    <row r="175" spans="12:16" x14ac:dyDescent="0.3">
      <c r="L175" s="604" t="s">
        <v>1207</v>
      </c>
      <c r="M175" s="604" t="s">
        <v>461</v>
      </c>
      <c r="N175" s="604" t="s">
        <v>461</v>
      </c>
      <c r="O175" s="604"/>
    </row>
    <row r="176" spans="12:16" x14ac:dyDescent="0.3">
      <c r="L176" s="604" t="s">
        <v>1208</v>
      </c>
      <c r="M176" s="604" t="s">
        <v>461</v>
      </c>
      <c r="N176" s="604" t="s">
        <v>461</v>
      </c>
      <c r="O176" s="604"/>
    </row>
    <row r="177" spans="12:16" x14ac:dyDescent="0.3">
      <c r="L177" s="604" t="s">
        <v>503</v>
      </c>
      <c r="M177" s="604" t="s">
        <v>461</v>
      </c>
      <c r="N177" s="604" t="s">
        <v>461</v>
      </c>
      <c r="O177" s="604"/>
    </row>
    <row r="178" spans="12:16" x14ac:dyDescent="0.3">
      <c r="L178" s="606" t="s">
        <v>504</v>
      </c>
      <c r="M178" s="606">
        <v>0.03</v>
      </c>
      <c r="N178" s="606">
        <v>0.05</v>
      </c>
      <c r="O178" s="604" t="s">
        <v>1455</v>
      </c>
      <c r="P178" s="613" t="s">
        <v>1451</v>
      </c>
    </row>
    <row r="179" spans="12:16" x14ac:dyDescent="0.3">
      <c r="L179" s="604" t="s">
        <v>1209</v>
      </c>
      <c r="M179" s="604" t="s">
        <v>461</v>
      </c>
      <c r="N179" s="604" t="s">
        <v>461</v>
      </c>
      <c r="O179" s="604"/>
    </row>
    <row r="180" spans="12:16" x14ac:dyDescent="0.3">
      <c r="L180" s="604" t="s">
        <v>1210</v>
      </c>
      <c r="M180" s="604" t="s">
        <v>461</v>
      </c>
      <c r="N180" s="604" t="s">
        <v>461</v>
      </c>
      <c r="O180" s="604"/>
    </row>
    <row r="181" spans="12:16" x14ac:dyDescent="0.3">
      <c r="L181" s="604" t="s">
        <v>1211</v>
      </c>
      <c r="M181" s="604" t="s">
        <v>461</v>
      </c>
      <c r="N181" s="604" t="s">
        <v>461</v>
      </c>
      <c r="O181" s="604"/>
    </row>
    <row r="182" spans="12:16" x14ac:dyDescent="0.3">
      <c r="L182" s="604" t="s">
        <v>1212</v>
      </c>
      <c r="M182" s="604" t="s">
        <v>461</v>
      </c>
      <c r="N182" s="604" t="s">
        <v>461</v>
      </c>
      <c r="O182" s="604"/>
    </row>
    <row r="183" spans="12:16" x14ac:dyDescent="0.3">
      <c r="L183" s="604" t="s">
        <v>1213</v>
      </c>
      <c r="M183" s="604" t="s">
        <v>461</v>
      </c>
      <c r="N183" s="604" t="s">
        <v>461</v>
      </c>
      <c r="O183" s="604"/>
    </row>
    <row r="184" spans="12:16" x14ac:dyDescent="0.3">
      <c r="L184" s="604" t="s">
        <v>388</v>
      </c>
      <c r="M184" s="604" t="s">
        <v>461</v>
      </c>
      <c r="N184" s="604" t="s">
        <v>461</v>
      </c>
      <c r="O184" s="604"/>
    </row>
    <row r="185" spans="12:16" x14ac:dyDescent="0.3">
      <c r="L185" s="607" t="s">
        <v>1214</v>
      </c>
      <c r="M185" s="607">
        <v>0.03</v>
      </c>
      <c r="N185" s="607" t="s">
        <v>461</v>
      </c>
      <c r="O185" s="604" t="s">
        <v>1450</v>
      </c>
    </row>
    <row r="186" spans="12:16" x14ac:dyDescent="0.3">
      <c r="L186" s="604" t="s">
        <v>1215</v>
      </c>
      <c r="M186" s="604" t="s">
        <v>461</v>
      </c>
      <c r="N186" s="604" t="s">
        <v>461</v>
      </c>
      <c r="O186" s="604"/>
    </row>
    <row r="187" spans="12:16" x14ac:dyDescent="0.3">
      <c r="L187" s="604" t="s">
        <v>815</v>
      </c>
      <c r="M187" s="604" t="s">
        <v>461</v>
      </c>
      <c r="N187" s="604" t="s">
        <v>461</v>
      </c>
      <c r="O187" s="604"/>
    </row>
    <row r="188" spans="12:16" x14ac:dyDescent="0.3">
      <c r="L188" s="604" t="s">
        <v>1216</v>
      </c>
      <c r="M188" s="604" t="s">
        <v>461</v>
      </c>
      <c r="N188" s="604" t="s">
        <v>461</v>
      </c>
      <c r="O188" s="604"/>
    </row>
    <row r="189" spans="12:16" x14ac:dyDescent="0.3">
      <c r="L189" s="604" t="s">
        <v>505</v>
      </c>
      <c r="M189" s="604" t="s">
        <v>461</v>
      </c>
      <c r="N189" s="604" t="s">
        <v>461</v>
      </c>
      <c r="O189" s="604"/>
    </row>
    <row r="190" spans="12:16" x14ac:dyDescent="0.3">
      <c r="L190" s="604" t="s">
        <v>1217</v>
      </c>
      <c r="M190" s="604" t="s">
        <v>461</v>
      </c>
      <c r="N190" s="604" t="s">
        <v>461</v>
      </c>
      <c r="O190" s="604"/>
    </row>
    <row r="191" spans="12:16" x14ac:dyDescent="0.3">
      <c r="L191" s="604" t="s">
        <v>506</v>
      </c>
      <c r="M191" s="604" t="s">
        <v>461</v>
      </c>
      <c r="N191" s="604" t="s">
        <v>461</v>
      </c>
      <c r="O191" s="604"/>
    </row>
    <row r="192" spans="12:16" x14ac:dyDescent="0.3">
      <c r="L192" s="604" t="s">
        <v>1218</v>
      </c>
      <c r="M192" s="604" t="s">
        <v>461</v>
      </c>
      <c r="N192" s="604" t="s">
        <v>461</v>
      </c>
      <c r="O192" s="604"/>
    </row>
    <row r="193" spans="12:16" x14ac:dyDescent="0.3">
      <c r="L193" s="604" t="s">
        <v>1055</v>
      </c>
      <c r="M193" s="604" t="s">
        <v>461</v>
      </c>
      <c r="N193" s="604" t="s">
        <v>461</v>
      </c>
      <c r="O193" s="604"/>
    </row>
    <row r="194" spans="12:16" x14ac:dyDescent="0.3">
      <c r="L194" s="604" t="s">
        <v>1219</v>
      </c>
      <c r="M194" s="604" t="s">
        <v>461</v>
      </c>
      <c r="N194" s="604" t="s">
        <v>461</v>
      </c>
      <c r="O194" s="604"/>
    </row>
    <row r="195" spans="12:16" x14ac:dyDescent="0.3">
      <c r="L195" s="607" t="s">
        <v>1220</v>
      </c>
      <c r="M195" s="607">
        <v>0.03</v>
      </c>
      <c r="N195" s="607" t="s">
        <v>461</v>
      </c>
      <c r="O195" s="604" t="s">
        <v>1450</v>
      </c>
    </row>
    <row r="196" spans="12:16" x14ac:dyDescent="0.3">
      <c r="L196" s="604" t="s">
        <v>1221</v>
      </c>
      <c r="M196" s="604" t="s">
        <v>461</v>
      </c>
      <c r="N196" s="604" t="s">
        <v>461</v>
      </c>
      <c r="O196" s="604"/>
    </row>
    <row r="197" spans="12:16" x14ac:dyDescent="0.3">
      <c r="L197" s="604" t="s">
        <v>1222</v>
      </c>
      <c r="M197" s="604" t="s">
        <v>461</v>
      </c>
      <c r="N197" s="604" t="s">
        <v>461</v>
      </c>
      <c r="O197" s="604"/>
    </row>
    <row r="198" spans="12:16" x14ac:dyDescent="0.3">
      <c r="L198" s="604" t="s">
        <v>816</v>
      </c>
      <c r="M198" s="604" t="s">
        <v>461</v>
      </c>
      <c r="N198" s="604" t="s">
        <v>461</v>
      </c>
      <c r="O198" s="604"/>
    </row>
    <row r="199" spans="12:16" x14ac:dyDescent="0.3">
      <c r="L199" s="604" t="s">
        <v>507</v>
      </c>
      <c r="M199" s="604" t="s">
        <v>461</v>
      </c>
      <c r="N199" s="604" t="s">
        <v>461</v>
      </c>
      <c r="O199" s="604"/>
    </row>
    <row r="200" spans="12:16" x14ac:dyDescent="0.3">
      <c r="L200" s="604" t="s">
        <v>394</v>
      </c>
      <c r="M200" s="604" t="s">
        <v>461</v>
      </c>
      <c r="N200" s="604" t="s">
        <v>461</v>
      </c>
      <c r="O200" s="604"/>
    </row>
    <row r="201" spans="12:16" x14ac:dyDescent="0.3">
      <c r="L201" s="606" t="s">
        <v>395</v>
      </c>
      <c r="M201" s="606">
        <v>0.03</v>
      </c>
      <c r="N201" s="606">
        <v>0.05</v>
      </c>
      <c r="O201" s="604" t="s">
        <v>1455</v>
      </c>
      <c r="P201" s="613" t="s">
        <v>1451</v>
      </c>
    </row>
    <row r="202" spans="12:16" x14ac:dyDescent="0.3">
      <c r="L202" s="604" t="s">
        <v>1223</v>
      </c>
      <c r="M202" s="604" t="s">
        <v>461</v>
      </c>
      <c r="N202" s="604" t="s">
        <v>461</v>
      </c>
      <c r="O202" s="604"/>
    </row>
    <row r="203" spans="12:16" x14ac:dyDescent="0.3">
      <c r="L203" s="604" t="s">
        <v>1224</v>
      </c>
      <c r="M203" s="604" t="s">
        <v>461</v>
      </c>
      <c r="N203" s="604" t="s">
        <v>461</v>
      </c>
      <c r="O203" s="604"/>
    </row>
    <row r="204" spans="12:16" x14ac:dyDescent="0.3">
      <c r="L204" s="604" t="s">
        <v>508</v>
      </c>
      <c r="M204" s="604" t="s">
        <v>461</v>
      </c>
      <c r="N204" s="604" t="s">
        <v>461</v>
      </c>
      <c r="O204" s="604"/>
    </row>
    <row r="205" spans="12:16" x14ac:dyDescent="0.3">
      <c r="L205" s="604" t="s">
        <v>509</v>
      </c>
      <c r="M205" s="604" t="s">
        <v>461</v>
      </c>
      <c r="N205" s="604" t="s">
        <v>461</v>
      </c>
      <c r="O205" s="604"/>
    </row>
    <row r="206" spans="12:16" x14ac:dyDescent="0.3">
      <c r="L206" s="606" t="s">
        <v>510</v>
      </c>
      <c r="M206" s="606">
        <v>0.03</v>
      </c>
      <c r="N206" s="606">
        <v>0.05</v>
      </c>
      <c r="O206" s="604" t="s">
        <v>1455</v>
      </c>
      <c r="P206" s="613" t="s">
        <v>1451</v>
      </c>
    </row>
    <row r="207" spans="12:16" x14ac:dyDescent="0.3">
      <c r="L207" s="604" t="s">
        <v>511</v>
      </c>
      <c r="M207" s="604" t="s">
        <v>461</v>
      </c>
      <c r="N207" s="604" t="s">
        <v>461</v>
      </c>
      <c r="O207" s="604"/>
    </row>
    <row r="208" spans="12:16" x14ac:dyDescent="0.3">
      <c r="L208" s="604" t="s">
        <v>1225</v>
      </c>
      <c r="M208" s="604" t="s">
        <v>461</v>
      </c>
      <c r="N208" s="604" t="s">
        <v>461</v>
      </c>
      <c r="O208" s="604"/>
    </row>
    <row r="209" spans="12:16" x14ac:dyDescent="0.3">
      <c r="L209" s="604" t="s">
        <v>1226</v>
      </c>
      <c r="M209" s="604" t="s">
        <v>461</v>
      </c>
      <c r="N209" s="604" t="s">
        <v>461</v>
      </c>
      <c r="O209" s="604"/>
    </row>
    <row r="210" spans="12:16" x14ac:dyDescent="0.3">
      <c r="L210" s="604" t="s">
        <v>1227</v>
      </c>
      <c r="M210" s="604" t="s">
        <v>461</v>
      </c>
      <c r="N210" s="604" t="s">
        <v>461</v>
      </c>
      <c r="O210" s="604"/>
    </row>
    <row r="211" spans="12:16" x14ac:dyDescent="0.3">
      <c r="L211" s="604" t="s">
        <v>1228</v>
      </c>
      <c r="M211" s="604" t="s">
        <v>461</v>
      </c>
      <c r="N211" s="604" t="s">
        <v>461</v>
      </c>
      <c r="O211" s="604"/>
    </row>
    <row r="212" spans="12:16" x14ac:dyDescent="0.3">
      <c r="L212" s="604" t="s">
        <v>817</v>
      </c>
      <c r="M212" s="604" t="s">
        <v>461</v>
      </c>
      <c r="N212" s="604" t="s">
        <v>461</v>
      </c>
      <c r="O212" s="604"/>
    </row>
    <row r="213" spans="12:16" x14ac:dyDescent="0.3">
      <c r="L213" s="604" t="s">
        <v>1229</v>
      </c>
      <c r="M213" s="604" t="s">
        <v>461</v>
      </c>
      <c r="N213" s="604" t="s">
        <v>461</v>
      </c>
      <c r="O213" s="604"/>
    </row>
    <row r="214" spans="12:16" x14ac:dyDescent="0.3">
      <c r="L214" s="604" t="s">
        <v>818</v>
      </c>
      <c r="M214" s="604" t="s">
        <v>461</v>
      </c>
      <c r="N214" s="604" t="s">
        <v>461</v>
      </c>
      <c r="O214" s="604"/>
    </row>
    <row r="215" spans="12:16" x14ac:dyDescent="0.3">
      <c r="L215" s="604" t="s">
        <v>1230</v>
      </c>
      <c r="M215" s="604" t="s">
        <v>461</v>
      </c>
      <c r="N215" s="604" t="s">
        <v>461</v>
      </c>
      <c r="O215" s="604"/>
    </row>
    <row r="216" spans="12:16" x14ac:dyDescent="0.3">
      <c r="L216" s="604" t="s">
        <v>1231</v>
      </c>
      <c r="M216" s="604" t="s">
        <v>461</v>
      </c>
      <c r="N216" s="604" t="s">
        <v>461</v>
      </c>
      <c r="O216" s="604"/>
    </row>
    <row r="217" spans="12:16" x14ac:dyDescent="0.3">
      <c r="L217" s="604" t="s">
        <v>389</v>
      </c>
      <c r="M217" s="604" t="s">
        <v>461</v>
      </c>
      <c r="N217" s="604" t="s">
        <v>461</v>
      </c>
      <c r="O217" s="604"/>
    </row>
    <row r="218" spans="12:16" x14ac:dyDescent="0.3">
      <c r="L218" s="604" t="s">
        <v>1232</v>
      </c>
      <c r="M218" s="604" t="s">
        <v>461</v>
      </c>
      <c r="N218" s="604" t="s">
        <v>461</v>
      </c>
      <c r="O218" s="604"/>
    </row>
    <row r="219" spans="12:16" x14ac:dyDescent="0.3">
      <c r="L219" s="606" t="s">
        <v>819</v>
      </c>
      <c r="M219" s="606">
        <v>0.03</v>
      </c>
      <c r="N219" s="606">
        <v>0.05</v>
      </c>
      <c r="O219" s="604" t="s">
        <v>1455</v>
      </c>
      <c r="P219" s="613" t="s">
        <v>1451</v>
      </c>
    </row>
    <row r="220" spans="12:16" x14ac:dyDescent="0.3">
      <c r="L220" s="604" t="s">
        <v>1233</v>
      </c>
      <c r="M220" s="604" t="s">
        <v>461</v>
      </c>
      <c r="N220" s="604" t="s">
        <v>461</v>
      </c>
      <c r="O220" s="604"/>
    </row>
    <row r="221" spans="12:16" x14ac:dyDescent="0.3">
      <c r="L221" s="607" t="s">
        <v>396</v>
      </c>
      <c r="M221" s="607" t="s">
        <v>461</v>
      </c>
      <c r="N221" s="607" t="s">
        <v>461</v>
      </c>
      <c r="O221" s="604" t="s">
        <v>1450</v>
      </c>
    </row>
    <row r="222" spans="12:16" x14ac:dyDescent="0.3">
      <c r="L222" s="604" t="s">
        <v>1234</v>
      </c>
      <c r="M222" s="604" t="s">
        <v>461</v>
      </c>
      <c r="N222" s="604" t="s">
        <v>461</v>
      </c>
      <c r="O222" s="604"/>
    </row>
    <row r="223" spans="12:16" x14ac:dyDescent="0.3">
      <c r="L223" s="604" t="s">
        <v>1235</v>
      </c>
      <c r="M223" s="604" t="s">
        <v>461</v>
      </c>
      <c r="N223" s="604" t="s">
        <v>461</v>
      </c>
      <c r="O223" s="604" t="s">
        <v>1546</v>
      </c>
    </row>
    <row r="224" spans="12:16" x14ac:dyDescent="0.3">
      <c r="L224" s="604" t="s">
        <v>1236</v>
      </c>
      <c r="M224" s="604" t="s">
        <v>461</v>
      </c>
      <c r="N224" s="604" t="s">
        <v>461</v>
      </c>
      <c r="O224" s="604"/>
    </row>
    <row r="225" spans="12:16" x14ac:dyDescent="0.3">
      <c r="L225" s="604" t="s">
        <v>1237</v>
      </c>
      <c r="M225" s="604" t="s">
        <v>461</v>
      </c>
      <c r="N225" s="604" t="s">
        <v>461</v>
      </c>
      <c r="O225" s="604"/>
    </row>
    <row r="226" spans="12:16" x14ac:dyDescent="0.3">
      <c r="L226" s="606" t="s">
        <v>1238</v>
      </c>
      <c r="M226" s="606">
        <v>0.03</v>
      </c>
      <c r="N226" s="606">
        <v>0.05</v>
      </c>
      <c r="O226" s="604" t="s">
        <v>1455</v>
      </c>
      <c r="P226" s="613" t="s">
        <v>1451</v>
      </c>
    </row>
    <row r="227" spans="12:16" x14ac:dyDescent="0.3">
      <c r="L227" s="604" t="s">
        <v>512</v>
      </c>
      <c r="M227" s="604" t="s">
        <v>461</v>
      </c>
      <c r="N227" s="604" t="s">
        <v>461</v>
      </c>
      <c r="O227" s="604"/>
    </row>
    <row r="228" spans="12:16" x14ac:dyDescent="0.3">
      <c r="L228" s="604" t="s">
        <v>1239</v>
      </c>
      <c r="M228" s="604" t="s">
        <v>461</v>
      </c>
      <c r="N228" s="604" t="s">
        <v>461</v>
      </c>
      <c r="O228" s="604"/>
    </row>
    <row r="229" spans="12:16" x14ac:dyDescent="0.3">
      <c r="L229" s="604" t="s">
        <v>513</v>
      </c>
      <c r="M229" s="604" t="s">
        <v>461</v>
      </c>
      <c r="N229" s="604" t="s">
        <v>461</v>
      </c>
      <c r="O229" s="604"/>
    </row>
    <row r="230" spans="12:16" x14ac:dyDescent="0.3">
      <c r="L230" s="604" t="s">
        <v>1240</v>
      </c>
      <c r="M230" s="604" t="s">
        <v>461</v>
      </c>
      <c r="N230" s="604" t="s">
        <v>461</v>
      </c>
      <c r="O230" s="604"/>
    </row>
    <row r="231" spans="12:16" x14ac:dyDescent="0.3">
      <c r="L231" s="606" t="s">
        <v>514</v>
      </c>
      <c r="M231" s="606">
        <v>0.03</v>
      </c>
      <c r="N231" s="606">
        <v>0.05</v>
      </c>
      <c r="O231" s="604" t="s">
        <v>1455</v>
      </c>
      <c r="P231" s="613" t="s">
        <v>1451</v>
      </c>
    </row>
    <row r="232" spans="12:16" x14ac:dyDescent="0.3">
      <c r="L232" s="604" t="s">
        <v>1241</v>
      </c>
      <c r="M232" s="604" t="s">
        <v>461</v>
      </c>
      <c r="N232" s="604" t="s">
        <v>461</v>
      </c>
      <c r="O232" s="604"/>
    </row>
    <row r="233" spans="12:16" x14ac:dyDescent="0.3">
      <c r="L233" s="604" t="s">
        <v>1242</v>
      </c>
      <c r="M233" s="604" t="s">
        <v>461</v>
      </c>
      <c r="N233" s="604" t="s">
        <v>461</v>
      </c>
      <c r="O233" s="604"/>
    </row>
    <row r="234" spans="12:16" x14ac:dyDescent="0.3">
      <c r="L234" s="604" t="s">
        <v>1056</v>
      </c>
      <c r="M234" s="604" t="s">
        <v>461</v>
      </c>
      <c r="N234" s="604" t="s">
        <v>461</v>
      </c>
      <c r="O234" s="604"/>
    </row>
    <row r="235" spans="12:16" x14ac:dyDescent="0.3">
      <c r="L235" s="607" t="s">
        <v>1243</v>
      </c>
      <c r="M235" s="607" t="s">
        <v>461</v>
      </c>
      <c r="N235" s="607" t="s">
        <v>461</v>
      </c>
      <c r="O235" s="604" t="s">
        <v>1450</v>
      </c>
    </row>
    <row r="236" spans="12:16" x14ac:dyDescent="0.3">
      <c r="L236" s="604" t="s">
        <v>433</v>
      </c>
      <c r="M236" s="604" t="s">
        <v>461</v>
      </c>
      <c r="N236" s="604" t="s">
        <v>461</v>
      </c>
      <c r="O236" s="604"/>
    </row>
    <row r="237" spans="12:16" x14ac:dyDescent="0.3">
      <c r="L237" s="604" t="s">
        <v>1244</v>
      </c>
      <c r="M237" s="604" t="s">
        <v>461</v>
      </c>
      <c r="N237" s="604" t="s">
        <v>461</v>
      </c>
      <c r="O237" s="604"/>
    </row>
    <row r="238" spans="12:16" x14ac:dyDescent="0.3">
      <c r="L238" s="604" t="s">
        <v>434</v>
      </c>
      <c r="M238" s="604" t="s">
        <v>461</v>
      </c>
      <c r="N238" s="604" t="s">
        <v>461</v>
      </c>
      <c r="O238" s="604"/>
    </row>
    <row r="239" spans="12:16" x14ac:dyDescent="0.3">
      <c r="L239" s="604" t="s">
        <v>1245</v>
      </c>
      <c r="M239" s="604" t="s">
        <v>461</v>
      </c>
      <c r="N239" s="604" t="s">
        <v>461</v>
      </c>
      <c r="O239" s="604"/>
    </row>
    <row r="240" spans="12:16" x14ac:dyDescent="0.3">
      <c r="L240" s="604" t="s">
        <v>1246</v>
      </c>
      <c r="M240" s="604" t="s">
        <v>461</v>
      </c>
      <c r="N240" s="604" t="s">
        <v>461</v>
      </c>
      <c r="O240" s="604"/>
    </row>
    <row r="241" spans="12:16" x14ac:dyDescent="0.3">
      <c r="L241" s="604" t="s">
        <v>1247</v>
      </c>
      <c r="M241" s="604" t="s">
        <v>461</v>
      </c>
      <c r="N241" s="604" t="s">
        <v>461</v>
      </c>
      <c r="O241" s="604"/>
    </row>
    <row r="242" spans="12:16" x14ac:dyDescent="0.3">
      <c r="L242" s="604" t="s">
        <v>1248</v>
      </c>
      <c r="M242" s="604" t="s">
        <v>461</v>
      </c>
      <c r="N242" s="604" t="s">
        <v>461</v>
      </c>
      <c r="O242" s="604"/>
    </row>
    <row r="243" spans="12:16" x14ac:dyDescent="0.3">
      <c r="L243" s="604" t="s">
        <v>1249</v>
      </c>
      <c r="M243" s="604" t="s">
        <v>461</v>
      </c>
      <c r="N243" s="604" t="s">
        <v>461</v>
      </c>
      <c r="O243" s="604"/>
    </row>
    <row r="244" spans="12:16" x14ac:dyDescent="0.3">
      <c r="L244" s="604" t="s">
        <v>1250</v>
      </c>
      <c r="M244" s="604" t="s">
        <v>461</v>
      </c>
      <c r="N244" s="604" t="s">
        <v>461</v>
      </c>
      <c r="O244" s="604"/>
    </row>
    <row r="245" spans="12:16" x14ac:dyDescent="0.3">
      <c r="L245" s="604" t="s">
        <v>1251</v>
      </c>
      <c r="M245" s="604" t="s">
        <v>461</v>
      </c>
      <c r="N245" s="604" t="s">
        <v>461</v>
      </c>
      <c r="O245" s="604"/>
    </row>
    <row r="246" spans="12:16" x14ac:dyDescent="0.3">
      <c r="L246" s="604" t="s">
        <v>1252</v>
      </c>
      <c r="M246" s="604" t="s">
        <v>461</v>
      </c>
      <c r="N246" s="604" t="s">
        <v>461</v>
      </c>
      <c r="O246" s="604"/>
    </row>
    <row r="247" spans="12:16" x14ac:dyDescent="0.3">
      <c r="L247" s="604" t="s">
        <v>1253</v>
      </c>
      <c r="M247" s="604" t="s">
        <v>461</v>
      </c>
      <c r="N247" s="604" t="s">
        <v>461</v>
      </c>
      <c r="O247" s="604"/>
    </row>
    <row r="248" spans="12:16" x14ac:dyDescent="0.3">
      <c r="L248" s="604" t="s">
        <v>1254</v>
      </c>
      <c r="M248" s="604" t="s">
        <v>461</v>
      </c>
      <c r="N248" s="604" t="s">
        <v>461</v>
      </c>
      <c r="O248" s="604"/>
    </row>
    <row r="249" spans="12:16" x14ac:dyDescent="0.3">
      <c r="L249" s="604" t="s">
        <v>1255</v>
      </c>
      <c r="M249" s="604" t="s">
        <v>461</v>
      </c>
      <c r="N249" s="604" t="s">
        <v>461</v>
      </c>
      <c r="O249" s="604"/>
    </row>
    <row r="250" spans="12:16" x14ac:dyDescent="0.3">
      <c r="L250" s="604" t="s">
        <v>1256</v>
      </c>
      <c r="M250" s="604" t="s">
        <v>461</v>
      </c>
      <c r="N250" s="604" t="s">
        <v>461</v>
      </c>
      <c r="O250" s="604"/>
    </row>
    <row r="251" spans="12:16" x14ac:dyDescent="0.3">
      <c r="L251" s="604" t="s">
        <v>1257</v>
      </c>
      <c r="M251" s="604" t="s">
        <v>461</v>
      </c>
      <c r="N251" s="604" t="s">
        <v>461</v>
      </c>
      <c r="O251" s="604" t="s">
        <v>1546</v>
      </c>
    </row>
    <row r="252" spans="12:16" x14ac:dyDescent="0.3">
      <c r="L252" s="604" t="s">
        <v>435</v>
      </c>
      <c r="M252" s="604" t="s">
        <v>461</v>
      </c>
      <c r="N252" s="604" t="s">
        <v>461</v>
      </c>
      <c r="O252" s="604"/>
    </row>
    <row r="253" spans="12:16" x14ac:dyDescent="0.3">
      <c r="L253" s="606" t="s">
        <v>1258</v>
      </c>
      <c r="M253" s="606">
        <v>0.03</v>
      </c>
      <c r="N253" s="606">
        <v>0.05</v>
      </c>
      <c r="O253" s="604" t="s">
        <v>1455</v>
      </c>
      <c r="P253" s="613" t="s">
        <v>1451</v>
      </c>
    </row>
    <row r="254" spans="12:16" x14ac:dyDescent="0.3">
      <c r="L254" s="604" t="s">
        <v>1259</v>
      </c>
      <c r="M254" s="604" t="s">
        <v>461</v>
      </c>
      <c r="N254" s="604" t="s">
        <v>461</v>
      </c>
      <c r="O254" s="604"/>
    </row>
    <row r="255" spans="12:16" x14ac:dyDescent="0.3">
      <c r="L255" s="604" t="s">
        <v>1260</v>
      </c>
      <c r="M255" s="604" t="s">
        <v>461</v>
      </c>
      <c r="N255" s="604" t="s">
        <v>461</v>
      </c>
      <c r="O255" s="604"/>
    </row>
    <row r="256" spans="12:16" x14ac:dyDescent="0.3">
      <c r="L256" s="604" t="s">
        <v>1261</v>
      </c>
      <c r="M256" s="604" t="s">
        <v>461</v>
      </c>
      <c r="N256" s="604" t="s">
        <v>461</v>
      </c>
      <c r="O256" s="604"/>
    </row>
    <row r="257" spans="12:16" x14ac:dyDescent="0.3">
      <c r="L257" s="604" t="s">
        <v>1262</v>
      </c>
      <c r="M257" s="604" t="s">
        <v>461</v>
      </c>
      <c r="N257" s="604" t="s">
        <v>461</v>
      </c>
      <c r="O257" s="604"/>
    </row>
    <row r="258" spans="12:16" x14ac:dyDescent="0.3">
      <c r="L258" s="606" t="s">
        <v>1263</v>
      </c>
      <c r="M258" s="606">
        <v>0.03</v>
      </c>
      <c r="N258" s="606">
        <v>0.05</v>
      </c>
      <c r="O258" s="604" t="s">
        <v>1455</v>
      </c>
      <c r="P258" s="613" t="s">
        <v>1451</v>
      </c>
    </row>
    <row r="259" spans="12:16" x14ac:dyDescent="0.3">
      <c r="L259" s="604" t="s">
        <v>1264</v>
      </c>
      <c r="M259" s="604" t="s">
        <v>461</v>
      </c>
      <c r="N259" s="604" t="s">
        <v>461</v>
      </c>
      <c r="O259" s="604"/>
    </row>
    <row r="260" spans="12:16" x14ac:dyDescent="0.3">
      <c r="L260" s="604" t="s">
        <v>1265</v>
      </c>
      <c r="M260" s="604" t="s">
        <v>461</v>
      </c>
      <c r="N260" s="604" t="s">
        <v>461</v>
      </c>
      <c r="O260" s="604"/>
    </row>
    <row r="261" spans="12:16" x14ac:dyDescent="0.3">
      <c r="L261" s="604" t="s">
        <v>1266</v>
      </c>
      <c r="M261" s="604" t="s">
        <v>461</v>
      </c>
      <c r="N261" s="604" t="s">
        <v>461</v>
      </c>
      <c r="O261" s="604"/>
    </row>
    <row r="262" spans="12:16" x14ac:dyDescent="0.3">
      <c r="L262" s="604" t="s">
        <v>1267</v>
      </c>
      <c r="M262" s="604" t="s">
        <v>461</v>
      </c>
      <c r="N262" s="604" t="s">
        <v>461</v>
      </c>
      <c r="O262" s="604"/>
    </row>
    <row r="263" spans="12:16" x14ac:dyDescent="0.3">
      <c r="L263" s="607" t="s">
        <v>1268</v>
      </c>
      <c r="M263" s="607" t="s">
        <v>461</v>
      </c>
      <c r="N263" s="607" t="s">
        <v>461</v>
      </c>
      <c r="O263" s="604" t="s">
        <v>1450</v>
      </c>
    </row>
    <row r="264" spans="12:16" x14ac:dyDescent="0.3">
      <c r="L264" s="604" t="s">
        <v>1269</v>
      </c>
      <c r="M264" s="604" t="s">
        <v>461</v>
      </c>
      <c r="N264" s="604" t="s">
        <v>461</v>
      </c>
      <c r="O264" s="604"/>
    </row>
    <row r="265" spans="12:16" x14ac:dyDescent="0.3">
      <c r="L265" s="604" t="s">
        <v>1270</v>
      </c>
      <c r="M265" s="604" t="s">
        <v>461</v>
      </c>
      <c r="N265" s="604" t="s">
        <v>461</v>
      </c>
      <c r="O265" s="604"/>
    </row>
    <row r="266" spans="12:16" x14ac:dyDescent="0.3">
      <c r="L266" s="604" t="s">
        <v>1271</v>
      </c>
      <c r="M266" s="604" t="s">
        <v>461</v>
      </c>
      <c r="N266" s="604" t="s">
        <v>461</v>
      </c>
      <c r="O266" s="604"/>
    </row>
    <row r="267" spans="12:16" x14ac:dyDescent="0.3">
      <c r="L267" s="604" t="s">
        <v>1272</v>
      </c>
      <c r="M267" s="604" t="s">
        <v>461</v>
      </c>
      <c r="N267" s="604" t="s">
        <v>461</v>
      </c>
      <c r="O267" s="604"/>
    </row>
    <row r="268" spans="12:16" x14ac:dyDescent="0.3">
      <c r="L268" s="606" t="s">
        <v>1273</v>
      </c>
      <c r="M268" s="606">
        <v>0.03</v>
      </c>
      <c r="N268" s="606">
        <v>0.05</v>
      </c>
      <c r="O268" s="604" t="s">
        <v>1455</v>
      </c>
      <c r="P268" s="613" t="s">
        <v>1451</v>
      </c>
    </row>
    <row r="269" spans="12:16" x14ac:dyDescent="0.3">
      <c r="L269" s="604" t="s">
        <v>1274</v>
      </c>
      <c r="M269" s="604" t="s">
        <v>461</v>
      </c>
      <c r="N269" s="604" t="s">
        <v>461</v>
      </c>
      <c r="O269" s="604"/>
    </row>
    <row r="270" spans="12:16" x14ac:dyDescent="0.3">
      <c r="L270" s="604" t="s">
        <v>1275</v>
      </c>
      <c r="M270" s="604" t="s">
        <v>461</v>
      </c>
      <c r="N270" s="604" t="s">
        <v>461</v>
      </c>
      <c r="O270" s="604"/>
    </row>
    <row r="271" spans="12:16" x14ac:dyDescent="0.3">
      <c r="L271" s="604" t="s">
        <v>1276</v>
      </c>
      <c r="M271" s="604" t="s">
        <v>461</v>
      </c>
      <c r="N271" s="604" t="s">
        <v>461</v>
      </c>
      <c r="O271" s="604"/>
    </row>
    <row r="272" spans="12:16" x14ac:dyDescent="0.3">
      <c r="L272" s="604" t="s">
        <v>1277</v>
      </c>
      <c r="M272" s="604" t="s">
        <v>461</v>
      </c>
      <c r="N272" s="604" t="s">
        <v>461</v>
      </c>
      <c r="O272" s="604"/>
    </row>
    <row r="273" spans="12:16" x14ac:dyDescent="0.3">
      <c r="L273" s="604" t="s">
        <v>1278</v>
      </c>
      <c r="M273" s="604" t="s">
        <v>461</v>
      </c>
      <c r="N273" s="604" t="s">
        <v>461</v>
      </c>
      <c r="O273" s="604"/>
    </row>
    <row r="274" spans="12:16" x14ac:dyDescent="0.3">
      <c r="L274" s="604" t="s">
        <v>1279</v>
      </c>
      <c r="M274" s="604" t="s">
        <v>461</v>
      </c>
      <c r="N274" s="604" t="s">
        <v>461</v>
      </c>
      <c r="O274" s="604"/>
    </row>
    <row r="275" spans="12:16" x14ac:dyDescent="0.3">
      <c r="L275" s="607" t="s">
        <v>1280</v>
      </c>
      <c r="M275" s="607">
        <v>0.03</v>
      </c>
      <c r="N275" s="607">
        <v>0.03</v>
      </c>
      <c r="O275" s="604" t="s">
        <v>1450</v>
      </c>
    </row>
    <row r="276" spans="12:16" x14ac:dyDescent="0.3">
      <c r="L276" s="604" t="s">
        <v>1281</v>
      </c>
      <c r="M276" s="604" t="s">
        <v>461</v>
      </c>
      <c r="N276" s="604" t="s">
        <v>461</v>
      </c>
      <c r="O276" s="604"/>
    </row>
    <row r="277" spans="12:16" x14ac:dyDescent="0.3">
      <c r="L277" s="604" t="s">
        <v>1282</v>
      </c>
      <c r="M277" s="604" t="s">
        <v>461</v>
      </c>
      <c r="N277" s="604" t="s">
        <v>461</v>
      </c>
      <c r="O277" s="604"/>
    </row>
    <row r="278" spans="12:16" x14ac:dyDescent="0.3">
      <c r="L278" s="604" t="s">
        <v>1283</v>
      </c>
      <c r="M278" s="604" t="s">
        <v>461</v>
      </c>
      <c r="N278" s="604" t="s">
        <v>461</v>
      </c>
      <c r="O278" s="604"/>
    </row>
    <row r="279" spans="12:16" x14ac:dyDescent="0.3">
      <c r="L279" s="607" t="s">
        <v>1284</v>
      </c>
      <c r="M279" s="607" t="s">
        <v>461</v>
      </c>
      <c r="N279" s="607" t="s">
        <v>461</v>
      </c>
      <c r="O279" s="604" t="s">
        <v>1450</v>
      </c>
    </row>
    <row r="280" spans="12:16" x14ac:dyDescent="0.3">
      <c r="L280" s="604" t="s">
        <v>1285</v>
      </c>
      <c r="M280" s="604" t="s">
        <v>461</v>
      </c>
      <c r="N280" s="604" t="s">
        <v>461</v>
      </c>
      <c r="O280" s="604"/>
    </row>
    <row r="281" spans="12:16" x14ac:dyDescent="0.3">
      <c r="L281" s="604" t="s">
        <v>1286</v>
      </c>
      <c r="M281" s="604" t="s">
        <v>461</v>
      </c>
      <c r="N281" s="604" t="s">
        <v>461</v>
      </c>
      <c r="O281" s="604"/>
    </row>
    <row r="282" spans="12:16" x14ac:dyDescent="0.3">
      <c r="L282" s="604" t="s">
        <v>1287</v>
      </c>
      <c r="M282" s="604" t="s">
        <v>461</v>
      </c>
      <c r="N282" s="604" t="s">
        <v>461</v>
      </c>
      <c r="O282" s="604"/>
    </row>
    <row r="283" spans="12:16" x14ac:dyDescent="0.3">
      <c r="L283" s="604" t="s">
        <v>1288</v>
      </c>
      <c r="M283" s="604" t="s">
        <v>461</v>
      </c>
      <c r="N283" s="604" t="s">
        <v>461</v>
      </c>
      <c r="O283" s="604"/>
    </row>
    <row r="284" spans="12:16" x14ac:dyDescent="0.3">
      <c r="L284" s="606" t="s">
        <v>1289</v>
      </c>
      <c r="M284" s="606">
        <v>0.03</v>
      </c>
      <c r="N284" s="606">
        <v>0.05</v>
      </c>
      <c r="O284" s="604" t="s">
        <v>1455</v>
      </c>
      <c r="P284" s="613" t="s">
        <v>1451</v>
      </c>
    </row>
    <row r="285" spans="12:16" x14ac:dyDescent="0.3">
      <c r="L285" s="604" t="s">
        <v>436</v>
      </c>
      <c r="M285" s="604" t="s">
        <v>461</v>
      </c>
      <c r="N285" s="604" t="s">
        <v>461</v>
      </c>
      <c r="O285" s="604"/>
    </row>
    <row r="286" spans="12:16" x14ac:dyDescent="0.3">
      <c r="L286" s="604" t="s">
        <v>1290</v>
      </c>
      <c r="M286" s="604" t="s">
        <v>461</v>
      </c>
      <c r="N286" s="604" t="s">
        <v>461</v>
      </c>
    </row>
    <row r="287" spans="12:16" x14ac:dyDescent="0.3">
      <c r="L287" s="604" t="s">
        <v>437</v>
      </c>
      <c r="M287" s="604" t="s">
        <v>461</v>
      </c>
      <c r="N287" s="604" t="s">
        <v>461</v>
      </c>
      <c r="O287" s="604" t="s">
        <v>1546</v>
      </c>
    </row>
    <row r="288" spans="12:16" x14ac:dyDescent="0.3">
      <c r="L288" s="604" t="s">
        <v>1291</v>
      </c>
      <c r="M288" s="604" t="s">
        <v>461</v>
      </c>
      <c r="N288" s="604" t="s">
        <v>461</v>
      </c>
      <c r="O288" s="604"/>
    </row>
    <row r="289" spans="12:16" x14ac:dyDescent="0.3">
      <c r="L289" s="606" t="s">
        <v>438</v>
      </c>
      <c r="M289" s="606">
        <v>0.03</v>
      </c>
      <c r="N289" s="606">
        <v>0.05</v>
      </c>
      <c r="O289" s="604" t="s">
        <v>1455</v>
      </c>
      <c r="P289" s="613" t="s">
        <v>1451</v>
      </c>
    </row>
    <row r="290" spans="12:16" x14ac:dyDescent="0.3">
      <c r="L290" s="604" t="s">
        <v>439</v>
      </c>
      <c r="M290" s="604" t="s">
        <v>461</v>
      </c>
      <c r="N290" s="604" t="s">
        <v>461</v>
      </c>
      <c r="O290" s="604" t="s">
        <v>1546</v>
      </c>
    </row>
    <row r="291" spans="12:16" x14ac:dyDescent="0.3">
      <c r="L291" s="604" t="s">
        <v>390</v>
      </c>
      <c r="M291" s="604" t="s">
        <v>461</v>
      </c>
      <c r="N291" s="604" t="s">
        <v>461</v>
      </c>
      <c r="O291" s="604"/>
    </row>
    <row r="292" spans="12:16" x14ac:dyDescent="0.3">
      <c r="L292" s="604" t="s">
        <v>1292</v>
      </c>
      <c r="M292" s="604" t="s">
        <v>461</v>
      </c>
      <c r="N292" s="604" t="s">
        <v>461</v>
      </c>
      <c r="O292" s="604"/>
    </row>
    <row r="293" spans="12:16" x14ac:dyDescent="0.3">
      <c r="L293" s="604" t="s">
        <v>1293</v>
      </c>
      <c r="M293" s="604" t="s">
        <v>461</v>
      </c>
      <c r="N293" s="604" t="s">
        <v>461</v>
      </c>
      <c r="O293" s="604"/>
    </row>
    <row r="294" spans="12:16" x14ac:dyDescent="0.3">
      <c r="L294" s="604" t="s">
        <v>440</v>
      </c>
      <c r="M294" s="604" t="s">
        <v>461</v>
      </c>
      <c r="N294" s="604" t="s">
        <v>461</v>
      </c>
      <c r="O294" s="604"/>
    </row>
    <row r="295" spans="12:16" x14ac:dyDescent="0.3">
      <c r="L295" s="607" t="s">
        <v>1294</v>
      </c>
      <c r="M295" s="607">
        <v>0.03</v>
      </c>
      <c r="N295" s="607" t="s">
        <v>461</v>
      </c>
      <c r="O295" s="604" t="s">
        <v>1450</v>
      </c>
    </row>
    <row r="296" spans="12:16" x14ac:dyDescent="0.3">
      <c r="L296" s="604" t="s">
        <v>1295</v>
      </c>
      <c r="M296" s="604" t="s">
        <v>461</v>
      </c>
      <c r="N296" s="604" t="s">
        <v>461</v>
      </c>
      <c r="O296" s="604"/>
    </row>
    <row r="297" spans="12:16" x14ac:dyDescent="0.3">
      <c r="L297" s="604" t="s">
        <v>1296</v>
      </c>
      <c r="M297" s="604" t="s">
        <v>461</v>
      </c>
      <c r="N297" s="604" t="s">
        <v>461</v>
      </c>
      <c r="O297" s="604"/>
    </row>
    <row r="298" spans="12:16" x14ac:dyDescent="0.3">
      <c r="L298" s="604" t="s">
        <v>1297</v>
      </c>
      <c r="M298" s="604" t="s">
        <v>461</v>
      </c>
      <c r="N298" s="604" t="s">
        <v>461</v>
      </c>
      <c r="O298" s="604"/>
    </row>
    <row r="299" spans="12:16" x14ac:dyDescent="0.3">
      <c r="L299" s="604" t="s">
        <v>1298</v>
      </c>
      <c r="M299" s="604" t="s">
        <v>461</v>
      </c>
      <c r="N299" s="604" t="s">
        <v>461</v>
      </c>
      <c r="O299" s="604"/>
    </row>
    <row r="300" spans="12:16" x14ac:dyDescent="0.3">
      <c r="L300" s="604" t="s">
        <v>1299</v>
      </c>
      <c r="M300" s="604" t="s">
        <v>461</v>
      </c>
      <c r="N300" s="604" t="s">
        <v>461</v>
      </c>
      <c r="O300" s="604"/>
    </row>
    <row r="301" spans="12:16" x14ac:dyDescent="0.3">
      <c r="L301" s="604" t="s">
        <v>1300</v>
      </c>
      <c r="M301" s="604" t="s">
        <v>461</v>
      </c>
      <c r="N301" s="604" t="s">
        <v>461</v>
      </c>
      <c r="O301" s="604"/>
    </row>
    <row r="302" spans="12:16" x14ac:dyDescent="0.3">
      <c r="L302" s="604" t="s">
        <v>1301</v>
      </c>
      <c r="M302" s="604" t="s">
        <v>461</v>
      </c>
      <c r="N302" s="604" t="s">
        <v>461</v>
      </c>
      <c r="O302" s="604"/>
    </row>
    <row r="303" spans="12:16" x14ac:dyDescent="0.3">
      <c r="L303" s="604" t="s">
        <v>1302</v>
      </c>
      <c r="M303" s="604" t="s">
        <v>461</v>
      </c>
      <c r="N303" s="604" t="s">
        <v>461</v>
      </c>
      <c r="O303" s="604"/>
    </row>
    <row r="304" spans="12:16" x14ac:dyDescent="0.3">
      <c r="L304" s="604" t="s">
        <v>1303</v>
      </c>
      <c r="M304" s="604" t="s">
        <v>461</v>
      </c>
      <c r="N304" s="604" t="s">
        <v>461</v>
      </c>
      <c r="O304" s="604"/>
    </row>
    <row r="305" spans="12:15" x14ac:dyDescent="0.3">
      <c r="L305" s="604" t="s">
        <v>1304</v>
      </c>
      <c r="M305" s="604" t="s">
        <v>461</v>
      </c>
      <c r="N305" s="604" t="s">
        <v>461</v>
      </c>
      <c r="O305" s="604"/>
    </row>
    <row r="306" spans="12:15" x14ac:dyDescent="0.3">
      <c r="L306" s="604" t="s">
        <v>441</v>
      </c>
      <c r="M306" s="604" t="s">
        <v>461</v>
      </c>
      <c r="N306" s="604" t="s">
        <v>461</v>
      </c>
      <c r="O306" s="604"/>
    </row>
    <row r="307" spans="12:15" x14ac:dyDescent="0.3">
      <c r="L307" s="604" t="s">
        <v>1305</v>
      </c>
      <c r="M307" s="604" t="s">
        <v>461</v>
      </c>
      <c r="N307" s="604" t="s">
        <v>461</v>
      </c>
      <c r="O307" s="604"/>
    </row>
    <row r="308" spans="12:15" x14ac:dyDescent="0.3">
      <c r="L308" s="604" t="s">
        <v>1306</v>
      </c>
      <c r="M308" s="604" t="s">
        <v>461</v>
      </c>
      <c r="N308" s="604" t="s">
        <v>461</v>
      </c>
      <c r="O308" s="604"/>
    </row>
    <row r="309" spans="12:15" x14ac:dyDescent="0.3">
      <c r="L309" s="604" t="s">
        <v>1307</v>
      </c>
      <c r="M309" s="604" t="s">
        <v>461</v>
      </c>
      <c r="N309" s="604" t="s">
        <v>461</v>
      </c>
      <c r="O309" s="604"/>
    </row>
    <row r="310" spans="12:15" x14ac:dyDescent="0.3">
      <c r="L310" s="604" t="s">
        <v>1308</v>
      </c>
      <c r="M310" s="604" t="s">
        <v>461</v>
      </c>
      <c r="N310" s="604" t="s">
        <v>461</v>
      </c>
      <c r="O310" s="604"/>
    </row>
    <row r="311" spans="12:15" x14ac:dyDescent="0.3">
      <c r="L311" s="604" t="s">
        <v>1309</v>
      </c>
      <c r="M311" s="604" t="s">
        <v>461</v>
      </c>
      <c r="N311" s="604" t="s">
        <v>461</v>
      </c>
      <c r="O311" s="604"/>
    </row>
    <row r="312" spans="12:15" x14ac:dyDescent="0.3">
      <c r="L312" s="604" t="s">
        <v>820</v>
      </c>
      <c r="M312" s="604" t="s">
        <v>461</v>
      </c>
      <c r="N312" s="604" t="s">
        <v>461</v>
      </c>
      <c r="O312" s="604"/>
    </row>
    <row r="313" spans="12:15" x14ac:dyDescent="0.3">
      <c r="L313" s="604" t="s">
        <v>821</v>
      </c>
      <c r="M313" s="604" t="s">
        <v>461</v>
      </c>
      <c r="N313" s="604" t="s">
        <v>461</v>
      </c>
      <c r="O313" s="604"/>
    </row>
    <row r="314" spans="12:15" x14ac:dyDescent="0.3">
      <c r="L314" s="604" t="s">
        <v>1310</v>
      </c>
      <c r="M314" s="604" t="s">
        <v>461</v>
      </c>
      <c r="N314" s="604" t="s">
        <v>461</v>
      </c>
      <c r="O314" s="604"/>
    </row>
    <row r="315" spans="12:15" x14ac:dyDescent="0.3">
      <c r="L315" s="604" t="s">
        <v>1311</v>
      </c>
      <c r="M315" s="604" t="s">
        <v>461</v>
      </c>
      <c r="N315" s="604" t="s">
        <v>461</v>
      </c>
      <c r="O315" s="604"/>
    </row>
    <row r="316" spans="12:15" x14ac:dyDescent="0.3">
      <c r="L316" s="604" t="s">
        <v>1312</v>
      </c>
      <c r="M316" s="604" t="s">
        <v>461</v>
      </c>
      <c r="N316" s="604" t="s">
        <v>461</v>
      </c>
      <c r="O316" s="604"/>
    </row>
    <row r="317" spans="12:15" x14ac:dyDescent="0.3">
      <c r="L317" s="604" t="s">
        <v>1313</v>
      </c>
      <c r="M317" s="604" t="s">
        <v>461</v>
      </c>
      <c r="N317" s="604" t="s">
        <v>461</v>
      </c>
      <c r="O317" s="604"/>
    </row>
    <row r="318" spans="12:15" x14ac:dyDescent="0.3">
      <c r="L318" s="604" t="s">
        <v>516</v>
      </c>
      <c r="M318" s="604" t="s">
        <v>461</v>
      </c>
      <c r="N318" s="604" t="s">
        <v>461</v>
      </c>
      <c r="O318" s="604"/>
    </row>
    <row r="319" spans="12:15" x14ac:dyDescent="0.3">
      <c r="L319" s="604" t="s">
        <v>1314</v>
      </c>
      <c r="M319" s="604" t="s">
        <v>461</v>
      </c>
      <c r="N319" s="604" t="s">
        <v>461</v>
      </c>
      <c r="O319" s="604"/>
    </row>
    <row r="320" spans="12:15" x14ac:dyDescent="0.3">
      <c r="L320" s="604" t="s">
        <v>1315</v>
      </c>
      <c r="M320" s="604" t="s">
        <v>461</v>
      </c>
      <c r="N320" s="604" t="s">
        <v>461</v>
      </c>
      <c r="O320" s="604"/>
    </row>
    <row r="321" spans="12:15" x14ac:dyDescent="0.3">
      <c r="L321" s="604" t="s">
        <v>822</v>
      </c>
      <c r="M321" s="604" t="s">
        <v>461</v>
      </c>
      <c r="N321" s="604" t="s">
        <v>461</v>
      </c>
      <c r="O321" s="604"/>
    </row>
    <row r="322" spans="12:15" x14ac:dyDescent="0.3">
      <c r="L322" s="604" t="s">
        <v>1316</v>
      </c>
      <c r="M322" s="604" t="s">
        <v>461</v>
      </c>
      <c r="N322" s="604" t="s">
        <v>461</v>
      </c>
      <c r="O322" s="604"/>
    </row>
    <row r="323" spans="12:15" x14ac:dyDescent="0.3">
      <c r="L323" s="604" t="s">
        <v>1317</v>
      </c>
      <c r="M323" s="604" t="s">
        <v>461</v>
      </c>
      <c r="N323" s="604" t="s">
        <v>461</v>
      </c>
      <c r="O323" s="604"/>
    </row>
    <row r="324" spans="12:15" x14ac:dyDescent="0.3">
      <c r="L324" s="604" t="s">
        <v>1318</v>
      </c>
      <c r="M324" s="604" t="s">
        <v>461</v>
      </c>
      <c r="N324" s="604" t="s">
        <v>461</v>
      </c>
      <c r="O324" s="604"/>
    </row>
    <row r="325" spans="12:15" x14ac:dyDescent="0.3">
      <c r="L325" s="607" t="s">
        <v>1319</v>
      </c>
      <c r="M325" s="607">
        <v>0.01</v>
      </c>
      <c r="N325" s="607" t="s">
        <v>461</v>
      </c>
      <c r="O325" s="604" t="s">
        <v>1450</v>
      </c>
    </row>
    <row r="326" spans="12:15" x14ac:dyDescent="0.3">
      <c r="L326" s="604" t="s">
        <v>517</v>
      </c>
      <c r="M326" s="604" t="s">
        <v>461</v>
      </c>
      <c r="N326" s="604" t="s">
        <v>461</v>
      </c>
      <c r="O326" s="604"/>
    </row>
    <row r="327" spans="12:15" x14ac:dyDescent="0.3">
      <c r="L327" s="604" t="s">
        <v>1320</v>
      </c>
      <c r="M327" s="604" t="s">
        <v>461</v>
      </c>
      <c r="N327" s="604" t="s">
        <v>461</v>
      </c>
      <c r="O327" s="604"/>
    </row>
    <row r="328" spans="12:15" x14ac:dyDescent="0.3">
      <c r="L328" s="604" t="s">
        <v>1321</v>
      </c>
      <c r="M328" s="604" t="s">
        <v>461</v>
      </c>
      <c r="N328" s="604" t="s">
        <v>461</v>
      </c>
      <c r="O328" s="604"/>
    </row>
    <row r="329" spans="12:15" x14ac:dyDescent="0.3">
      <c r="L329" s="604" t="s">
        <v>1322</v>
      </c>
      <c r="M329" s="604" t="s">
        <v>461</v>
      </c>
      <c r="N329" s="604" t="s">
        <v>461</v>
      </c>
      <c r="O329" s="604"/>
    </row>
    <row r="330" spans="12:15" x14ac:dyDescent="0.3">
      <c r="L330" s="607" t="s">
        <v>1323</v>
      </c>
      <c r="M330" s="607">
        <v>0.05</v>
      </c>
      <c r="N330" s="607" t="s">
        <v>461</v>
      </c>
      <c r="O330" s="604" t="s">
        <v>1450</v>
      </c>
    </row>
    <row r="331" spans="12:15" x14ac:dyDescent="0.3">
      <c r="L331" s="604" t="s">
        <v>1324</v>
      </c>
      <c r="M331" s="604" t="s">
        <v>461</v>
      </c>
      <c r="N331" s="604" t="s">
        <v>461</v>
      </c>
      <c r="O331" s="604"/>
    </row>
    <row r="332" spans="12:15" x14ac:dyDescent="0.3">
      <c r="L332" s="604" t="s">
        <v>1325</v>
      </c>
      <c r="M332" s="604" t="s">
        <v>461</v>
      </c>
      <c r="N332" s="604" t="s">
        <v>461</v>
      </c>
      <c r="O332" s="604"/>
    </row>
    <row r="333" spans="12:15" x14ac:dyDescent="0.3">
      <c r="L333" s="604" t="s">
        <v>1326</v>
      </c>
      <c r="M333" s="604" t="s">
        <v>461</v>
      </c>
      <c r="N333" s="604" t="s">
        <v>461</v>
      </c>
      <c r="O333" s="604"/>
    </row>
    <row r="334" spans="12:15" x14ac:dyDescent="0.3">
      <c r="L334" s="604" t="s">
        <v>1327</v>
      </c>
      <c r="M334" s="604" t="s">
        <v>461</v>
      </c>
      <c r="N334" s="604" t="s">
        <v>461</v>
      </c>
      <c r="O334" s="604"/>
    </row>
    <row r="335" spans="12:15" x14ac:dyDescent="0.3">
      <c r="L335" s="604" t="s">
        <v>823</v>
      </c>
      <c r="M335" s="604" t="s">
        <v>461</v>
      </c>
      <c r="N335" s="604" t="s">
        <v>461</v>
      </c>
      <c r="O335" s="604"/>
    </row>
    <row r="336" spans="12:15" x14ac:dyDescent="0.3">
      <c r="L336" s="604" t="s">
        <v>518</v>
      </c>
      <c r="M336" s="604" t="s">
        <v>461</v>
      </c>
      <c r="N336" s="604" t="s">
        <v>461</v>
      </c>
      <c r="O336" s="604"/>
    </row>
    <row r="337" spans="12:16" x14ac:dyDescent="0.3">
      <c r="L337" s="604" t="s">
        <v>1328</v>
      </c>
      <c r="M337" s="604" t="s">
        <v>461</v>
      </c>
      <c r="N337" s="604" t="s">
        <v>461</v>
      </c>
      <c r="O337" s="604"/>
    </row>
    <row r="338" spans="12:16" x14ac:dyDescent="0.3">
      <c r="L338" s="604" t="s">
        <v>1329</v>
      </c>
      <c r="M338" s="604" t="s">
        <v>461</v>
      </c>
      <c r="N338" s="604" t="s">
        <v>461</v>
      </c>
      <c r="O338" s="604"/>
    </row>
    <row r="339" spans="12:16" x14ac:dyDescent="0.3">
      <c r="L339" s="604" t="s">
        <v>1330</v>
      </c>
      <c r="M339" s="604" t="s">
        <v>461</v>
      </c>
      <c r="N339" s="604" t="s">
        <v>461</v>
      </c>
      <c r="O339" s="604"/>
    </row>
    <row r="340" spans="12:16" x14ac:dyDescent="0.3">
      <c r="L340" s="604" t="s">
        <v>1331</v>
      </c>
      <c r="M340" s="604" t="s">
        <v>461</v>
      </c>
      <c r="N340" s="604" t="s">
        <v>461</v>
      </c>
      <c r="O340" s="604"/>
    </row>
    <row r="341" spans="12:16" x14ac:dyDescent="0.3">
      <c r="L341" s="604" t="s">
        <v>1332</v>
      </c>
      <c r="M341" s="604" t="s">
        <v>461</v>
      </c>
      <c r="N341" s="604" t="s">
        <v>461</v>
      </c>
      <c r="O341" s="604"/>
    </row>
    <row r="342" spans="12:16" x14ac:dyDescent="0.3">
      <c r="L342" s="604" t="s">
        <v>519</v>
      </c>
      <c r="M342" s="604" t="s">
        <v>461</v>
      </c>
      <c r="N342" s="604" t="s">
        <v>461</v>
      </c>
      <c r="O342" s="604"/>
    </row>
    <row r="343" spans="12:16" x14ac:dyDescent="0.3">
      <c r="L343" s="606" t="s">
        <v>1333</v>
      </c>
      <c r="M343" s="606">
        <v>0.03</v>
      </c>
      <c r="N343" s="606">
        <v>0.05</v>
      </c>
      <c r="O343" s="604" t="s">
        <v>1455</v>
      </c>
      <c r="P343" s="613" t="s">
        <v>1451</v>
      </c>
    </row>
    <row r="344" spans="12:16" x14ac:dyDescent="0.3">
      <c r="L344" s="604" t="s">
        <v>1334</v>
      </c>
      <c r="M344" s="604" t="s">
        <v>461</v>
      </c>
      <c r="N344" s="604" t="s">
        <v>461</v>
      </c>
      <c r="O344" s="604"/>
    </row>
    <row r="345" spans="12:16" x14ac:dyDescent="0.3">
      <c r="L345" s="604" t="s">
        <v>1335</v>
      </c>
      <c r="M345" s="604" t="s">
        <v>461</v>
      </c>
      <c r="N345" s="604" t="s">
        <v>461</v>
      </c>
      <c r="O345" s="604"/>
    </row>
    <row r="346" spans="12:16" x14ac:dyDescent="0.3">
      <c r="L346" s="604" t="s">
        <v>520</v>
      </c>
      <c r="M346" s="604" t="s">
        <v>461</v>
      </c>
      <c r="N346" s="604" t="s">
        <v>461</v>
      </c>
      <c r="O346" s="604"/>
    </row>
    <row r="347" spans="12:16" x14ac:dyDescent="0.3">
      <c r="L347" s="607" t="s">
        <v>1336</v>
      </c>
      <c r="M347" s="607">
        <v>0.03</v>
      </c>
      <c r="N347" s="607">
        <v>0.05</v>
      </c>
      <c r="O347" s="604" t="s">
        <v>1450</v>
      </c>
    </row>
    <row r="348" spans="12:16" x14ac:dyDescent="0.3">
      <c r="L348" s="604" t="s">
        <v>521</v>
      </c>
      <c r="M348" s="604" t="s">
        <v>461</v>
      </c>
      <c r="N348" s="604" t="s">
        <v>461</v>
      </c>
      <c r="O348" s="604"/>
    </row>
    <row r="349" spans="12:16" x14ac:dyDescent="0.3">
      <c r="L349" s="604" t="s">
        <v>522</v>
      </c>
      <c r="M349" s="604" t="s">
        <v>461</v>
      </c>
      <c r="N349" s="604" t="s">
        <v>461</v>
      </c>
      <c r="O349" s="604"/>
    </row>
    <row r="350" spans="12:16" x14ac:dyDescent="0.3">
      <c r="L350" s="604" t="s">
        <v>523</v>
      </c>
      <c r="M350" s="604" t="s">
        <v>461</v>
      </c>
      <c r="N350" s="604" t="s">
        <v>461</v>
      </c>
      <c r="O350" s="604"/>
    </row>
    <row r="351" spans="12:16" x14ac:dyDescent="0.3">
      <c r="L351" s="604" t="s">
        <v>1337</v>
      </c>
      <c r="M351" s="604" t="s">
        <v>461</v>
      </c>
      <c r="N351" s="604" t="s">
        <v>461</v>
      </c>
      <c r="O351" s="604"/>
    </row>
    <row r="352" spans="12:16" x14ac:dyDescent="0.3">
      <c r="L352" s="604" t="s">
        <v>1338</v>
      </c>
      <c r="M352" s="604" t="s">
        <v>461</v>
      </c>
      <c r="N352" s="604" t="s">
        <v>461</v>
      </c>
      <c r="O352" s="604"/>
    </row>
    <row r="353" spans="12:15" x14ac:dyDescent="0.3">
      <c r="L353" s="604" t="s">
        <v>1339</v>
      </c>
      <c r="M353" s="604" t="s">
        <v>461</v>
      </c>
      <c r="N353" s="604" t="s">
        <v>461</v>
      </c>
      <c r="O353" s="604"/>
    </row>
    <row r="354" spans="12:15" x14ac:dyDescent="0.3">
      <c r="L354" s="604" t="s">
        <v>525</v>
      </c>
      <c r="M354" s="604" t="s">
        <v>461</v>
      </c>
      <c r="N354" s="604" t="s">
        <v>461</v>
      </c>
      <c r="O354" s="604"/>
    </row>
    <row r="355" spans="12:15" x14ac:dyDescent="0.3">
      <c r="L355" s="604" t="s">
        <v>526</v>
      </c>
      <c r="M355" s="604" t="s">
        <v>461</v>
      </c>
      <c r="N355" s="604" t="s">
        <v>461</v>
      </c>
      <c r="O355" s="604" t="s">
        <v>1546</v>
      </c>
    </row>
    <row r="356" spans="12:15" x14ac:dyDescent="0.3">
      <c r="L356" s="604" t="s">
        <v>1340</v>
      </c>
      <c r="M356" s="604" t="s">
        <v>461</v>
      </c>
      <c r="N356" s="604" t="s">
        <v>461</v>
      </c>
      <c r="O356" s="604"/>
    </row>
    <row r="357" spans="12:15" x14ac:dyDescent="0.3">
      <c r="L357" s="604" t="s">
        <v>1341</v>
      </c>
      <c r="M357" s="604" t="s">
        <v>461</v>
      </c>
      <c r="N357" s="604" t="s">
        <v>461</v>
      </c>
      <c r="O357" s="604"/>
    </row>
    <row r="358" spans="12:15" x14ac:dyDescent="0.3">
      <c r="L358" s="604" t="s">
        <v>1342</v>
      </c>
      <c r="M358" s="604" t="s">
        <v>461</v>
      </c>
      <c r="N358" s="604" t="s">
        <v>461</v>
      </c>
      <c r="O358" s="604"/>
    </row>
    <row r="359" spans="12:15" x14ac:dyDescent="0.3">
      <c r="L359" s="604" t="s">
        <v>1343</v>
      </c>
      <c r="M359" s="604" t="s">
        <v>461</v>
      </c>
      <c r="N359" s="604" t="s">
        <v>461</v>
      </c>
      <c r="O359" s="604"/>
    </row>
    <row r="360" spans="12:15" x14ac:dyDescent="0.3">
      <c r="L360" s="604" t="s">
        <v>1344</v>
      </c>
      <c r="M360" s="604" t="s">
        <v>461</v>
      </c>
      <c r="N360" s="604" t="s">
        <v>461</v>
      </c>
      <c r="O360" s="604"/>
    </row>
    <row r="361" spans="12:15" x14ac:dyDescent="0.3">
      <c r="L361" s="604" t="s">
        <v>1345</v>
      </c>
      <c r="M361" s="604" t="s">
        <v>461</v>
      </c>
      <c r="N361" s="604" t="s">
        <v>461</v>
      </c>
      <c r="O361" s="604"/>
    </row>
    <row r="362" spans="12:15" x14ac:dyDescent="0.3">
      <c r="L362" s="604" t="s">
        <v>1346</v>
      </c>
      <c r="M362" s="604" t="s">
        <v>461</v>
      </c>
      <c r="N362" s="604" t="s">
        <v>461</v>
      </c>
      <c r="O362" s="604"/>
    </row>
    <row r="363" spans="12:15" x14ac:dyDescent="0.3">
      <c r="L363" s="604" t="s">
        <v>1347</v>
      </c>
      <c r="M363" s="604" t="s">
        <v>461</v>
      </c>
      <c r="N363" s="604" t="s">
        <v>461</v>
      </c>
      <c r="O363" s="604"/>
    </row>
    <row r="364" spans="12:15" x14ac:dyDescent="0.3">
      <c r="L364" s="604" t="s">
        <v>1348</v>
      </c>
      <c r="M364" s="604" t="s">
        <v>461</v>
      </c>
      <c r="N364" s="604" t="s">
        <v>461</v>
      </c>
      <c r="O364" s="604"/>
    </row>
    <row r="365" spans="12:15" x14ac:dyDescent="0.3">
      <c r="L365" s="604" t="s">
        <v>1349</v>
      </c>
      <c r="M365" s="604" t="s">
        <v>461</v>
      </c>
      <c r="N365" s="604" t="s">
        <v>461</v>
      </c>
      <c r="O365" s="604"/>
    </row>
    <row r="366" spans="12:15" x14ac:dyDescent="0.3">
      <c r="L366" s="604" t="s">
        <v>1350</v>
      </c>
      <c r="M366" s="604" t="s">
        <v>461</v>
      </c>
      <c r="N366" s="604" t="s">
        <v>461</v>
      </c>
      <c r="O366" s="604"/>
    </row>
    <row r="367" spans="12:15" x14ac:dyDescent="0.3">
      <c r="L367" s="604" t="s">
        <v>1351</v>
      </c>
      <c r="M367" s="604" t="s">
        <v>461</v>
      </c>
      <c r="N367" s="604" t="s">
        <v>461</v>
      </c>
      <c r="O367" s="604"/>
    </row>
    <row r="368" spans="12:15" x14ac:dyDescent="0.3">
      <c r="L368" s="604" t="s">
        <v>1352</v>
      </c>
      <c r="M368" s="604" t="s">
        <v>461</v>
      </c>
      <c r="N368" s="604" t="s">
        <v>461</v>
      </c>
      <c r="O368" s="604"/>
    </row>
    <row r="369" spans="12:16" x14ac:dyDescent="0.3">
      <c r="L369" s="604" t="s">
        <v>1353</v>
      </c>
      <c r="M369" s="604" t="s">
        <v>461</v>
      </c>
      <c r="N369" s="604" t="s">
        <v>461</v>
      </c>
      <c r="O369" s="604"/>
    </row>
    <row r="370" spans="12:16" x14ac:dyDescent="0.3">
      <c r="L370" s="604" t="s">
        <v>1354</v>
      </c>
      <c r="M370" s="604" t="s">
        <v>461</v>
      </c>
      <c r="N370" s="604" t="s">
        <v>461</v>
      </c>
      <c r="O370" s="604"/>
    </row>
    <row r="371" spans="12:16" x14ac:dyDescent="0.3">
      <c r="L371" s="604" t="s">
        <v>1355</v>
      </c>
      <c r="M371" s="604" t="s">
        <v>461</v>
      </c>
      <c r="N371" s="604" t="s">
        <v>461</v>
      </c>
      <c r="O371" s="604"/>
    </row>
    <row r="372" spans="12:16" x14ac:dyDescent="0.3">
      <c r="L372" s="606" t="s">
        <v>528</v>
      </c>
      <c r="M372" s="606">
        <v>0.03</v>
      </c>
      <c r="N372" s="606">
        <v>0.05</v>
      </c>
      <c r="O372" s="604" t="s">
        <v>1455</v>
      </c>
      <c r="P372" s="613" t="s">
        <v>1451</v>
      </c>
    </row>
    <row r="373" spans="12:16" x14ac:dyDescent="0.3">
      <c r="L373" s="604" t="s">
        <v>529</v>
      </c>
      <c r="M373" s="604" t="s">
        <v>461</v>
      </c>
      <c r="N373" s="604" t="s">
        <v>461</v>
      </c>
      <c r="O373" s="604"/>
    </row>
    <row r="374" spans="12:16" x14ac:dyDescent="0.3">
      <c r="L374" s="604" t="s">
        <v>1356</v>
      </c>
      <c r="M374" s="604" t="s">
        <v>461</v>
      </c>
      <c r="N374" s="604" t="s">
        <v>461</v>
      </c>
      <c r="O374" s="604"/>
    </row>
    <row r="375" spans="12:16" x14ac:dyDescent="0.3">
      <c r="L375" s="604" t="s">
        <v>1357</v>
      </c>
      <c r="M375" s="604" t="s">
        <v>461</v>
      </c>
      <c r="N375" s="604" t="s">
        <v>461</v>
      </c>
      <c r="O375" s="604"/>
    </row>
    <row r="376" spans="12:16" x14ac:dyDescent="0.3">
      <c r="L376" s="604" t="s">
        <v>1358</v>
      </c>
      <c r="M376" s="604" t="s">
        <v>461</v>
      </c>
      <c r="N376" s="604" t="s">
        <v>461</v>
      </c>
      <c r="O376" s="604"/>
    </row>
    <row r="377" spans="12:16" x14ac:dyDescent="0.3">
      <c r="L377" s="604" t="s">
        <v>1359</v>
      </c>
      <c r="M377" s="604" t="s">
        <v>461</v>
      </c>
      <c r="N377" s="604" t="s">
        <v>461</v>
      </c>
      <c r="O377" s="604"/>
    </row>
    <row r="378" spans="12:16" x14ac:dyDescent="0.3">
      <c r="L378" s="604" t="s">
        <v>1360</v>
      </c>
      <c r="M378" s="604" t="s">
        <v>461</v>
      </c>
      <c r="N378" s="604" t="s">
        <v>461</v>
      </c>
      <c r="O378" s="604" t="s">
        <v>1546</v>
      </c>
    </row>
    <row r="379" spans="12:16" x14ac:dyDescent="0.3">
      <c r="L379" s="607" t="s">
        <v>1361</v>
      </c>
      <c r="M379" s="607" t="s">
        <v>461</v>
      </c>
      <c r="N379" s="607" t="s">
        <v>461</v>
      </c>
      <c r="O379" s="604" t="s">
        <v>1450</v>
      </c>
    </row>
    <row r="380" spans="12:16" x14ac:dyDescent="0.3">
      <c r="L380" s="604" t="s">
        <v>1362</v>
      </c>
      <c r="M380" s="604" t="s">
        <v>461</v>
      </c>
      <c r="N380" s="604" t="s">
        <v>461</v>
      </c>
      <c r="O380" s="604"/>
    </row>
    <row r="381" spans="12:16" x14ac:dyDescent="0.3">
      <c r="L381" s="604" t="s">
        <v>1363</v>
      </c>
      <c r="M381" s="604" t="s">
        <v>461</v>
      </c>
      <c r="N381" s="604" t="s">
        <v>461</v>
      </c>
      <c r="O381" s="604"/>
    </row>
    <row r="382" spans="12:16" x14ac:dyDescent="0.3">
      <c r="L382" s="604" t="s">
        <v>1364</v>
      </c>
      <c r="M382" s="604" t="s">
        <v>461</v>
      </c>
      <c r="N382" s="604" t="s">
        <v>461</v>
      </c>
      <c r="O382" s="604"/>
    </row>
    <row r="383" spans="12:16" x14ac:dyDescent="0.3">
      <c r="L383" s="604" t="s">
        <v>824</v>
      </c>
      <c r="M383" s="604" t="s">
        <v>461</v>
      </c>
      <c r="N383" s="604" t="s">
        <v>461</v>
      </c>
      <c r="O383" s="604"/>
    </row>
    <row r="384" spans="12:16" x14ac:dyDescent="0.3">
      <c r="L384" s="604" t="s">
        <v>1365</v>
      </c>
      <c r="M384" s="604" t="s">
        <v>461</v>
      </c>
      <c r="N384" s="604" t="s">
        <v>461</v>
      </c>
      <c r="O384" s="604"/>
    </row>
    <row r="385" spans="12:16" x14ac:dyDescent="0.3">
      <c r="L385" s="604" t="s">
        <v>530</v>
      </c>
      <c r="M385" s="604" t="s">
        <v>461</v>
      </c>
      <c r="N385" s="604" t="s">
        <v>461</v>
      </c>
      <c r="O385" s="604"/>
    </row>
    <row r="386" spans="12:16" x14ac:dyDescent="0.3">
      <c r="L386" s="604" t="s">
        <v>531</v>
      </c>
      <c r="M386" s="604" t="s">
        <v>461</v>
      </c>
      <c r="N386" s="604" t="s">
        <v>461</v>
      </c>
      <c r="O386" s="604"/>
    </row>
    <row r="387" spans="12:16" x14ac:dyDescent="0.3">
      <c r="L387" s="604" t="s">
        <v>1366</v>
      </c>
      <c r="M387" s="604" t="s">
        <v>461</v>
      </c>
      <c r="N387" s="604" t="s">
        <v>461</v>
      </c>
      <c r="O387" s="604"/>
    </row>
    <row r="388" spans="12:16" x14ac:dyDescent="0.3">
      <c r="L388" s="604" t="s">
        <v>1367</v>
      </c>
      <c r="M388" s="604" t="s">
        <v>461</v>
      </c>
      <c r="N388" s="604" t="s">
        <v>461</v>
      </c>
      <c r="O388" s="604"/>
    </row>
    <row r="389" spans="12:16" x14ac:dyDescent="0.3">
      <c r="L389" s="604" t="s">
        <v>532</v>
      </c>
      <c r="M389" s="604" t="s">
        <v>461</v>
      </c>
      <c r="N389" s="604" t="s">
        <v>461</v>
      </c>
      <c r="O389" s="604"/>
    </row>
    <row r="390" spans="12:16" x14ac:dyDescent="0.3">
      <c r="L390" s="604" t="s">
        <v>533</v>
      </c>
      <c r="M390" s="604" t="s">
        <v>461</v>
      </c>
      <c r="N390" s="604" t="s">
        <v>461</v>
      </c>
      <c r="O390" s="604"/>
    </row>
    <row r="391" spans="12:16" x14ac:dyDescent="0.3">
      <c r="L391" s="604" t="s">
        <v>1368</v>
      </c>
      <c r="M391" s="604" t="s">
        <v>461</v>
      </c>
      <c r="N391" s="604" t="s">
        <v>461</v>
      </c>
      <c r="O391" s="604"/>
    </row>
    <row r="392" spans="12:16" x14ac:dyDescent="0.3">
      <c r="L392" s="604" t="s">
        <v>1369</v>
      </c>
      <c r="M392" s="604" t="s">
        <v>461</v>
      </c>
      <c r="N392" s="604" t="s">
        <v>461</v>
      </c>
      <c r="O392" s="604"/>
    </row>
    <row r="393" spans="12:16" x14ac:dyDescent="0.3">
      <c r="L393" s="604" t="s">
        <v>534</v>
      </c>
      <c r="M393" s="604" t="s">
        <v>461</v>
      </c>
      <c r="N393" s="604" t="s">
        <v>461</v>
      </c>
      <c r="O393" s="604"/>
    </row>
    <row r="394" spans="12:16" x14ac:dyDescent="0.3">
      <c r="L394" s="604" t="s">
        <v>1370</v>
      </c>
      <c r="M394" s="604" t="s">
        <v>461</v>
      </c>
      <c r="N394" s="604" t="s">
        <v>461</v>
      </c>
      <c r="O394" s="604"/>
    </row>
    <row r="395" spans="12:16" x14ac:dyDescent="0.3">
      <c r="L395" s="604" t="s">
        <v>535</v>
      </c>
      <c r="M395" s="604" t="s">
        <v>461</v>
      </c>
      <c r="N395" s="604" t="s">
        <v>461</v>
      </c>
      <c r="O395" s="604"/>
    </row>
    <row r="396" spans="12:16" x14ac:dyDescent="0.3">
      <c r="L396" s="604" t="s">
        <v>1371</v>
      </c>
      <c r="M396" s="604" t="s">
        <v>461</v>
      </c>
      <c r="N396" s="604" t="s">
        <v>461</v>
      </c>
      <c r="O396" s="604"/>
    </row>
    <row r="397" spans="12:16" x14ac:dyDescent="0.3">
      <c r="L397" s="604" t="s">
        <v>1372</v>
      </c>
      <c r="M397" s="604" t="s">
        <v>461</v>
      </c>
      <c r="N397" s="604" t="s">
        <v>461</v>
      </c>
      <c r="O397" s="604"/>
    </row>
    <row r="398" spans="12:16" x14ac:dyDescent="0.3">
      <c r="L398" s="604" t="s">
        <v>1373</v>
      </c>
      <c r="M398" s="604" t="s">
        <v>461</v>
      </c>
      <c r="N398" s="604" t="s">
        <v>461</v>
      </c>
      <c r="O398" s="604"/>
    </row>
    <row r="399" spans="12:16" x14ac:dyDescent="0.3">
      <c r="L399" s="606" t="s">
        <v>536</v>
      </c>
      <c r="M399" s="606">
        <v>0.03</v>
      </c>
      <c r="N399" s="606">
        <v>0.05</v>
      </c>
      <c r="O399" s="604" t="s">
        <v>1455</v>
      </c>
      <c r="P399" s="613" t="s">
        <v>1451</v>
      </c>
    </row>
    <row r="400" spans="12:16" x14ac:dyDescent="0.3">
      <c r="L400" s="604" t="s">
        <v>1374</v>
      </c>
      <c r="M400" s="604" t="s">
        <v>461</v>
      </c>
      <c r="N400" s="604" t="s">
        <v>461</v>
      </c>
      <c r="O400" s="604"/>
    </row>
    <row r="401" spans="12:16" x14ac:dyDescent="0.3">
      <c r="L401" s="604" t="s">
        <v>1375</v>
      </c>
      <c r="M401" s="604" t="s">
        <v>461</v>
      </c>
      <c r="N401" s="604" t="s">
        <v>461</v>
      </c>
      <c r="O401" s="604"/>
    </row>
    <row r="402" spans="12:16" x14ac:dyDescent="0.3">
      <c r="L402" s="604" t="s">
        <v>1376</v>
      </c>
      <c r="M402" s="604" t="s">
        <v>461</v>
      </c>
      <c r="N402" s="604" t="s">
        <v>461</v>
      </c>
      <c r="O402" s="604"/>
    </row>
    <row r="403" spans="12:16" x14ac:dyDescent="0.3">
      <c r="L403" s="604" t="s">
        <v>537</v>
      </c>
      <c r="M403" s="604" t="s">
        <v>461</v>
      </c>
      <c r="N403" s="604" t="s">
        <v>461</v>
      </c>
      <c r="O403" s="604"/>
    </row>
    <row r="404" spans="12:16" x14ac:dyDescent="0.3">
      <c r="L404" s="604" t="s">
        <v>825</v>
      </c>
      <c r="M404" s="604" t="s">
        <v>461</v>
      </c>
      <c r="N404" s="604" t="s">
        <v>461</v>
      </c>
      <c r="O404" s="604"/>
    </row>
    <row r="405" spans="12:16" x14ac:dyDescent="0.3">
      <c r="L405" s="604" t="s">
        <v>1377</v>
      </c>
      <c r="M405" s="604" t="s">
        <v>461</v>
      </c>
      <c r="N405" s="604" t="s">
        <v>461</v>
      </c>
      <c r="O405" s="604"/>
    </row>
    <row r="406" spans="12:16" x14ac:dyDescent="0.3">
      <c r="L406" s="604" t="s">
        <v>1378</v>
      </c>
      <c r="M406" s="604" t="s">
        <v>461</v>
      </c>
      <c r="N406" s="604" t="s">
        <v>461</v>
      </c>
      <c r="O406" s="604"/>
    </row>
    <row r="407" spans="12:16" x14ac:dyDescent="0.3">
      <c r="L407" s="604" t="s">
        <v>1379</v>
      </c>
      <c r="M407" s="604" t="s">
        <v>461</v>
      </c>
      <c r="N407" s="604" t="s">
        <v>461</v>
      </c>
      <c r="O407" s="604"/>
    </row>
    <row r="408" spans="12:16" x14ac:dyDescent="0.3">
      <c r="L408" s="604" t="s">
        <v>538</v>
      </c>
      <c r="M408" s="604" t="s">
        <v>461</v>
      </c>
      <c r="N408" s="604" t="s">
        <v>461</v>
      </c>
      <c r="O408" s="604"/>
    </row>
    <row r="409" spans="12:16" x14ac:dyDescent="0.3">
      <c r="L409" s="604" t="s">
        <v>1380</v>
      </c>
      <c r="M409" s="604" t="s">
        <v>461</v>
      </c>
      <c r="N409" s="604" t="s">
        <v>461</v>
      </c>
      <c r="O409" s="604"/>
    </row>
    <row r="410" spans="12:16" x14ac:dyDescent="0.3">
      <c r="L410" s="606" t="s">
        <v>539</v>
      </c>
      <c r="M410" s="606">
        <v>0.03</v>
      </c>
      <c r="N410" s="606">
        <v>0.05</v>
      </c>
      <c r="O410" s="604" t="s">
        <v>1455</v>
      </c>
      <c r="P410" s="613" t="s">
        <v>1451</v>
      </c>
    </row>
    <row r="411" spans="12:16" x14ac:dyDescent="0.3">
      <c r="L411" s="604" t="s">
        <v>391</v>
      </c>
      <c r="M411" s="604" t="s">
        <v>461</v>
      </c>
      <c r="N411" s="604" t="s">
        <v>461</v>
      </c>
      <c r="O411" s="604"/>
    </row>
    <row r="412" spans="12:16" x14ac:dyDescent="0.3">
      <c r="L412" s="604" t="s">
        <v>1381</v>
      </c>
      <c r="M412" s="604" t="s">
        <v>461</v>
      </c>
      <c r="N412" s="604" t="s">
        <v>461</v>
      </c>
      <c r="O412" s="604"/>
    </row>
    <row r="413" spans="12:16" x14ac:dyDescent="0.3">
      <c r="L413" s="606" t="s">
        <v>1382</v>
      </c>
      <c r="M413" s="606">
        <v>0.03</v>
      </c>
      <c r="N413" s="606">
        <v>0.05</v>
      </c>
      <c r="O413" s="604" t="s">
        <v>1455</v>
      </c>
      <c r="P413" s="613" t="s">
        <v>1451</v>
      </c>
    </row>
    <row r="414" spans="12:16" x14ac:dyDescent="0.3">
      <c r="L414" s="604" t="s">
        <v>1383</v>
      </c>
      <c r="M414" s="604" t="s">
        <v>461</v>
      </c>
      <c r="N414" s="604" t="s">
        <v>461</v>
      </c>
      <c r="O414" s="604"/>
    </row>
    <row r="415" spans="12:16" x14ac:dyDescent="0.3">
      <c r="L415" s="604" t="s">
        <v>540</v>
      </c>
      <c r="M415" s="604" t="s">
        <v>461</v>
      </c>
      <c r="N415" s="604" t="s">
        <v>461</v>
      </c>
      <c r="O415" s="604"/>
    </row>
    <row r="416" spans="12:16" x14ac:dyDescent="0.3">
      <c r="L416" s="604" t="s">
        <v>1384</v>
      </c>
      <c r="M416" s="604" t="s">
        <v>461</v>
      </c>
      <c r="N416" s="604" t="s">
        <v>461</v>
      </c>
      <c r="O416" s="604"/>
    </row>
    <row r="417" spans="12:15" x14ac:dyDescent="0.3">
      <c r="L417" s="604" t="s">
        <v>1385</v>
      </c>
      <c r="M417" s="604" t="s">
        <v>461</v>
      </c>
      <c r="N417" s="604" t="s">
        <v>461</v>
      </c>
      <c r="O417" s="604"/>
    </row>
    <row r="418" spans="12:15" x14ac:dyDescent="0.3">
      <c r="L418" s="604" t="s">
        <v>826</v>
      </c>
      <c r="M418" s="604" t="s">
        <v>461</v>
      </c>
      <c r="N418" s="604" t="s">
        <v>461</v>
      </c>
      <c r="O418" s="604"/>
    </row>
    <row r="419" spans="12:15" x14ac:dyDescent="0.3">
      <c r="L419" s="604" t="s">
        <v>827</v>
      </c>
      <c r="M419" s="604" t="s">
        <v>461</v>
      </c>
      <c r="N419" s="604" t="s">
        <v>461</v>
      </c>
      <c r="O419" s="604"/>
    </row>
    <row r="420" spans="12:15" x14ac:dyDescent="0.3">
      <c r="L420" s="604" t="s">
        <v>828</v>
      </c>
      <c r="M420" s="604" t="s">
        <v>461</v>
      </c>
      <c r="N420" s="604" t="s">
        <v>461</v>
      </c>
      <c r="O420" s="604"/>
    </row>
    <row r="421" spans="12:15" x14ac:dyDescent="0.3">
      <c r="L421" s="604" t="s">
        <v>829</v>
      </c>
      <c r="M421" s="604" t="s">
        <v>461</v>
      </c>
      <c r="N421" s="604" t="s">
        <v>461</v>
      </c>
      <c r="O421" s="604"/>
    </row>
    <row r="422" spans="12:15" x14ac:dyDescent="0.3">
      <c r="L422" s="604" t="s">
        <v>1386</v>
      </c>
      <c r="M422" s="604" t="s">
        <v>461</v>
      </c>
      <c r="N422" s="604" t="s">
        <v>461</v>
      </c>
      <c r="O422" s="604"/>
    </row>
    <row r="423" spans="12:15" x14ac:dyDescent="0.3">
      <c r="L423" s="604" t="s">
        <v>1387</v>
      </c>
      <c r="M423" s="604" t="s">
        <v>461</v>
      </c>
      <c r="N423" s="604" t="s">
        <v>461</v>
      </c>
      <c r="O423" s="604"/>
    </row>
    <row r="424" spans="12:15" x14ac:dyDescent="0.3">
      <c r="L424" s="604" t="s">
        <v>830</v>
      </c>
      <c r="M424" s="604" t="s">
        <v>461</v>
      </c>
      <c r="N424" s="604" t="s">
        <v>461</v>
      </c>
      <c r="O424" s="604"/>
    </row>
    <row r="425" spans="12:15" x14ac:dyDescent="0.3">
      <c r="L425" s="604" t="s">
        <v>1388</v>
      </c>
      <c r="M425" s="604" t="s">
        <v>461</v>
      </c>
      <c r="N425" s="604" t="s">
        <v>461</v>
      </c>
      <c r="O425" s="604"/>
    </row>
    <row r="426" spans="12:15" x14ac:dyDescent="0.3">
      <c r="L426" s="604" t="s">
        <v>1389</v>
      </c>
      <c r="M426" s="604" t="s">
        <v>461</v>
      </c>
      <c r="N426" s="604" t="s">
        <v>461</v>
      </c>
      <c r="O426" s="604"/>
    </row>
    <row r="427" spans="12:15" x14ac:dyDescent="0.3">
      <c r="L427" s="604" t="s">
        <v>1390</v>
      </c>
      <c r="M427" s="604" t="s">
        <v>461</v>
      </c>
      <c r="N427" s="604" t="s">
        <v>461</v>
      </c>
      <c r="O427" s="604"/>
    </row>
    <row r="428" spans="12:15" x14ac:dyDescent="0.3">
      <c r="L428" s="604" t="s">
        <v>1391</v>
      </c>
      <c r="M428" s="604" t="s">
        <v>461</v>
      </c>
      <c r="N428" s="604" t="s">
        <v>461</v>
      </c>
      <c r="O428" s="604"/>
    </row>
    <row r="429" spans="12:15" x14ac:dyDescent="0.3">
      <c r="L429" s="604" t="s">
        <v>1392</v>
      </c>
      <c r="M429" s="604" t="s">
        <v>461</v>
      </c>
      <c r="N429" s="604" t="s">
        <v>461</v>
      </c>
      <c r="O429" s="604"/>
    </row>
    <row r="430" spans="12:15" x14ac:dyDescent="0.3">
      <c r="L430" s="604" t="s">
        <v>1393</v>
      </c>
      <c r="M430" s="604" t="s">
        <v>461</v>
      </c>
      <c r="N430" s="604" t="s">
        <v>461</v>
      </c>
      <c r="O430" s="604"/>
    </row>
    <row r="431" spans="12:15" x14ac:dyDescent="0.3">
      <c r="L431" s="604" t="s">
        <v>1394</v>
      </c>
      <c r="M431" s="604" t="s">
        <v>461</v>
      </c>
      <c r="N431" s="604" t="s">
        <v>461</v>
      </c>
      <c r="O431" s="604"/>
    </row>
    <row r="432" spans="12:15" x14ac:dyDescent="0.3">
      <c r="L432" s="604" t="s">
        <v>1395</v>
      </c>
      <c r="M432" s="604" t="s">
        <v>461</v>
      </c>
      <c r="N432" s="604" t="s">
        <v>461</v>
      </c>
      <c r="O432" s="604"/>
    </row>
    <row r="433" spans="12:16" x14ac:dyDescent="0.3">
      <c r="L433" s="604" t="s">
        <v>1396</v>
      </c>
      <c r="M433" s="604" t="s">
        <v>461</v>
      </c>
      <c r="N433" s="604" t="s">
        <v>461</v>
      </c>
      <c r="O433" s="604"/>
    </row>
    <row r="434" spans="12:16" x14ac:dyDescent="0.3">
      <c r="L434" s="604" t="s">
        <v>1397</v>
      </c>
      <c r="M434" s="604" t="s">
        <v>461</v>
      </c>
      <c r="N434" s="604" t="s">
        <v>461</v>
      </c>
      <c r="O434" s="604"/>
    </row>
    <row r="435" spans="12:16" x14ac:dyDescent="0.3">
      <c r="L435" s="606" t="s">
        <v>542</v>
      </c>
      <c r="M435" s="606">
        <v>0.03</v>
      </c>
      <c r="N435" s="606">
        <v>0.05</v>
      </c>
      <c r="O435" s="604" t="s">
        <v>1455</v>
      </c>
      <c r="P435" s="613" t="s">
        <v>1451</v>
      </c>
    </row>
    <row r="436" spans="12:16" x14ac:dyDescent="0.3">
      <c r="L436" s="604" t="s">
        <v>1398</v>
      </c>
      <c r="M436" s="604" t="s">
        <v>461</v>
      </c>
      <c r="N436" s="604" t="s">
        <v>461</v>
      </c>
      <c r="O436" s="604"/>
    </row>
    <row r="437" spans="12:16" x14ac:dyDescent="0.3">
      <c r="L437" s="604" t="s">
        <v>1399</v>
      </c>
      <c r="M437" s="604" t="s">
        <v>461</v>
      </c>
      <c r="N437" s="604" t="s">
        <v>461</v>
      </c>
      <c r="O437" s="604"/>
    </row>
    <row r="438" spans="12:16" x14ac:dyDescent="0.3">
      <c r="L438" s="604" t="s">
        <v>543</v>
      </c>
      <c r="M438" s="604" t="s">
        <v>461</v>
      </c>
      <c r="N438" s="604" t="s">
        <v>461</v>
      </c>
      <c r="O438" s="604"/>
    </row>
    <row r="439" spans="12:16" x14ac:dyDescent="0.3">
      <c r="L439" s="606" t="s">
        <v>1400</v>
      </c>
      <c r="M439" s="606">
        <v>0.03</v>
      </c>
      <c r="N439" s="606">
        <v>0.05</v>
      </c>
      <c r="O439" s="604" t="s">
        <v>1455</v>
      </c>
      <c r="P439" s="613" t="s">
        <v>1451</v>
      </c>
    </row>
    <row r="440" spans="12:16" x14ac:dyDescent="0.3">
      <c r="L440" s="604" t="s">
        <v>1401</v>
      </c>
      <c r="M440" s="604" t="s">
        <v>461</v>
      </c>
      <c r="N440" s="604" t="s">
        <v>461</v>
      </c>
      <c r="O440" s="604"/>
    </row>
    <row r="441" spans="12:16" x14ac:dyDescent="0.3">
      <c r="L441" s="604" t="s">
        <v>1402</v>
      </c>
      <c r="M441" s="604" t="s">
        <v>461</v>
      </c>
      <c r="N441" s="604" t="s">
        <v>461</v>
      </c>
      <c r="O441" s="604"/>
    </row>
    <row r="442" spans="12:16" x14ac:dyDescent="0.3">
      <c r="L442" s="604" t="s">
        <v>1403</v>
      </c>
      <c r="M442" s="604" t="s">
        <v>461</v>
      </c>
      <c r="N442" s="604" t="s">
        <v>461</v>
      </c>
      <c r="O442" s="604"/>
    </row>
    <row r="443" spans="12:16" x14ac:dyDescent="0.3">
      <c r="L443" s="604" t="s">
        <v>1404</v>
      </c>
      <c r="M443" s="604" t="s">
        <v>461</v>
      </c>
      <c r="N443" s="604" t="s">
        <v>461</v>
      </c>
      <c r="O443" s="604"/>
    </row>
    <row r="444" spans="12:16" x14ac:dyDescent="0.3">
      <c r="L444" s="604" t="s">
        <v>544</v>
      </c>
      <c r="M444" s="604" t="s">
        <v>461</v>
      </c>
      <c r="N444" s="604" t="s">
        <v>461</v>
      </c>
      <c r="O444" s="604" t="s">
        <v>1546</v>
      </c>
    </row>
    <row r="445" spans="12:16" x14ac:dyDescent="0.3">
      <c r="L445" s="607" t="s">
        <v>1405</v>
      </c>
      <c r="M445" s="607">
        <v>0.03</v>
      </c>
      <c r="N445" s="608" t="s">
        <v>461</v>
      </c>
      <c r="O445" s="604" t="s">
        <v>1450</v>
      </c>
    </row>
    <row r="446" spans="12:16" x14ac:dyDescent="0.3">
      <c r="L446" s="604" t="s">
        <v>831</v>
      </c>
      <c r="M446" s="604" t="s">
        <v>461</v>
      </c>
      <c r="N446" s="604" t="s">
        <v>461</v>
      </c>
      <c r="O446" s="604"/>
    </row>
    <row r="447" spans="12:16" x14ac:dyDescent="0.3">
      <c r="L447" s="604" t="s">
        <v>1406</v>
      </c>
      <c r="M447" s="604" t="s">
        <v>461</v>
      </c>
      <c r="N447" s="604" t="s">
        <v>461</v>
      </c>
      <c r="O447" s="604"/>
    </row>
    <row r="448" spans="12:16" x14ac:dyDescent="0.3">
      <c r="L448" s="604" t="s">
        <v>1407</v>
      </c>
      <c r="M448" s="604" t="s">
        <v>461</v>
      </c>
      <c r="N448" s="604" t="s">
        <v>461</v>
      </c>
      <c r="O448" s="604"/>
    </row>
    <row r="449" spans="12:16" x14ac:dyDescent="0.3">
      <c r="L449" s="606" t="s">
        <v>1408</v>
      </c>
      <c r="M449" s="606">
        <v>0.03</v>
      </c>
      <c r="N449" s="606">
        <v>0.05</v>
      </c>
      <c r="O449" s="604" t="s">
        <v>1455</v>
      </c>
      <c r="P449" s="613" t="s">
        <v>1451</v>
      </c>
    </row>
    <row r="450" spans="12:16" x14ac:dyDescent="0.3">
      <c r="L450" s="604" t="s">
        <v>545</v>
      </c>
      <c r="M450" s="604" t="s">
        <v>461</v>
      </c>
      <c r="N450" s="604" t="s">
        <v>461</v>
      </c>
      <c r="O450" s="604"/>
    </row>
    <row r="451" spans="12:16" x14ac:dyDescent="0.3">
      <c r="L451" s="604" t="s">
        <v>1409</v>
      </c>
      <c r="M451" s="604" t="s">
        <v>461</v>
      </c>
      <c r="N451" s="604" t="s">
        <v>461</v>
      </c>
      <c r="O451" s="604"/>
    </row>
    <row r="452" spans="12:16" x14ac:dyDescent="0.3">
      <c r="L452" s="604" t="s">
        <v>1410</v>
      </c>
      <c r="M452" s="604" t="s">
        <v>461</v>
      </c>
      <c r="N452" s="604" t="s">
        <v>461</v>
      </c>
      <c r="O452" s="604"/>
    </row>
    <row r="453" spans="12:16" x14ac:dyDescent="0.3">
      <c r="L453" s="606" t="s">
        <v>1411</v>
      </c>
      <c r="M453" s="606">
        <v>0.03</v>
      </c>
      <c r="N453" s="606">
        <v>0.05</v>
      </c>
      <c r="O453" s="604" t="s">
        <v>1455</v>
      </c>
      <c r="P453" s="613" t="s">
        <v>1451</v>
      </c>
    </row>
    <row r="454" spans="12:16" x14ac:dyDescent="0.3">
      <c r="L454" s="604" t="s">
        <v>1412</v>
      </c>
      <c r="M454" s="604" t="s">
        <v>461</v>
      </c>
      <c r="N454" s="604" t="s">
        <v>461</v>
      </c>
      <c r="O454" s="604"/>
    </row>
    <row r="455" spans="12:16" x14ac:dyDescent="0.3">
      <c r="L455" s="604" t="s">
        <v>1413</v>
      </c>
      <c r="M455" s="604" t="s">
        <v>461</v>
      </c>
      <c r="N455" s="604" t="s">
        <v>461</v>
      </c>
      <c r="O455" s="604"/>
    </row>
    <row r="456" spans="12:16" x14ac:dyDescent="0.3">
      <c r="L456" s="604" t="s">
        <v>1414</v>
      </c>
      <c r="M456" s="604" t="s">
        <v>461</v>
      </c>
      <c r="N456" s="604" t="s">
        <v>461</v>
      </c>
      <c r="O456" s="604"/>
    </row>
    <row r="457" spans="12:16" x14ac:dyDescent="0.3">
      <c r="L457" s="604" t="s">
        <v>1425</v>
      </c>
      <c r="M457" s="604" t="s">
        <v>461</v>
      </c>
      <c r="N457" s="604" t="s">
        <v>461</v>
      </c>
      <c r="O457" s="604"/>
    </row>
    <row r="458" spans="12:16" x14ac:dyDescent="0.3">
      <c r="L458" s="604" t="s">
        <v>1415</v>
      </c>
      <c r="M458" s="604" t="s">
        <v>461</v>
      </c>
      <c r="N458" s="604" t="s">
        <v>461</v>
      </c>
      <c r="O458" s="604"/>
    </row>
    <row r="459" spans="12:16" x14ac:dyDescent="0.3">
      <c r="L459" s="604" t="s">
        <v>1416</v>
      </c>
      <c r="M459" s="604" t="s">
        <v>461</v>
      </c>
      <c r="N459" s="604" t="s">
        <v>461</v>
      </c>
      <c r="O459" s="604"/>
    </row>
    <row r="460" spans="12:16" x14ac:dyDescent="0.3">
      <c r="L460" s="604" t="s">
        <v>546</v>
      </c>
      <c r="M460" s="604" t="s">
        <v>461</v>
      </c>
      <c r="N460" s="604" t="s">
        <v>461</v>
      </c>
      <c r="O460" s="604"/>
    </row>
    <row r="461" spans="12:16" x14ac:dyDescent="0.3">
      <c r="L461" s="604" t="s">
        <v>1417</v>
      </c>
      <c r="M461" s="604" t="s">
        <v>461</v>
      </c>
      <c r="N461" s="604" t="s">
        <v>461</v>
      </c>
      <c r="O461" s="604"/>
    </row>
    <row r="462" spans="12:16" x14ac:dyDescent="0.3">
      <c r="L462" s="604" t="s">
        <v>981</v>
      </c>
      <c r="M462" s="604" t="s">
        <v>461</v>
      </c>
      <c r="N462" s="604" t="s">
        <v>461</v>
      </c>
      <c r="O462" s="604"/>
    </row>
    <row r="463" spans="12:16" x14ac:dyDescent="0.3">
      <c r="L463" s="604" t="s">
        <v>982</v>
      </c>
      <c r="M463" s="604" t="s">
        <v>461</v>
      </c>
      <c r="N463" s="604" t="s">
        <v>461</v>
      </c>
      <c r="O463" s="604"/>
    </row>
    <row r="464" spans="12:16" x14ac:dyDescent="0.3">
      <c r="L464" s="604" t="s">
        <v>983</v>
      </c>
      <c r="M464" s="604" t="s">
        <v>461</v>
      </c>
      <c r="N464" s="604" t="s">
        <v>461</v>
      </c>
      <c r="O464" s="604"/>
    </row>
    <row r="465" spans="12:15" x14ac:dyDescent="0.3">
      <c r="L465" s="604" t="s">
        <v>984</v>
      </c>
      <c r="M465" s="604" t="s">
        <v>461</v>
      </c>
      <c r="N465" s="604" t="s">
        <v>461</v>
      </c>
      <c r="O465" s="604"/>
    </row>
    <row r="466" spans="12:15" x14ac:dyDescent="0.3">
      <c r="L466" s="604" t="s">
        <v>985</v>
      </c>
      <c r="M466" s="604" t="s">
        <v>461</v>
      </c>
      <c r="N466" s="604" t="s">
        <v>461</v>
      </c>
      <c r="O466" s="604"/>
    </row>
    <row r="467" spans="12:15" x14ac:dyDescent="0.3">
      <c r="L467" s="604" t="s">
        <v>986</v>
      </c>
      <c r="M467" s="604" t="s">
        <v>461</v>
      </c>
      <c r="N467" s="604" t="s">
        <v>461</v>
      </c>
      <c r="O467" s="604"/>
    </row>
    <row r="468" spans="12:15" x14ac:dyDescent="0.3">
      <c r="L468" s="604" t="s">
        <v>832</v>
      </c>
      <c r="M468" s="604" t="s">
        <v>461</v>
      </c>
      <c r="N468" s="604" t="s">
        <v>461</v>
      </c>
      <c r="O468" s="604"/>
    </row>
    <row r="469" spans="12:15" x14ac:dyDescent="0.3">
      <c r="L469" s="604" t="s">
        <v>987</v>
      </c>
      <c r="M469" s="604" t="s">
        <v>461</v>
      </c>
      <c r="N469" s="604" t="s">
        <v>461</v>
      </c>
      <c r="O469" s="604" t="s">
        <v>1546</v>
      </c>
    </row>
    <row r="470" spans="12:15" x14ac:dyDescent="0.3">
      <c r="L470" s="604" t="s">
        <v>988</v>
      </c>
      <c r="M470" s="604" t="s">
        <v>461</v>
      </c>
      <c r="N470" s="604" t="s">
        <v>461</v>
      </c>
      <c r="O470" s="604"/>
    </row>
    <row r="471" spans="12:15" x14ac:dyDescent="0.3">
      <c r="L471" s="607" t="s">
        <v>989</v>
      </c>
      <c r="M471" s="607" t="s">
        <v>461</v>
      </c>
      <c r="N471" s="607" t="s">
        <v>461</v>
      </c>
      <c r="O471" s="604" t="s">
        <v>1450</v>
      </c>
    </row>
    <row r="472" spans="12:15" x14ac:dyDescent="0.3">
      <c r="L472" s="604" t="s">
        <v>990</v>
      </c>
      <c r="M472" s="604" t="s">
        <v>461</v>
      </c>
      <c r="N472" s="604" t="s">
        <v>461</v>
      </c>
      <c r="O472" s="604"/>
    </row>
    <row r="473" spans="12:15" x14ac:dyDescent="0.3">
      <c r="L473" s="604" t="s">
        <v>991</v>
      </c>
      <c r="M473" s="604" t="s">
        <v>461</v>
      </c>
      <c r="N473" s="604" t="s">
        <v>461</v>
      </c>
      <c r="O473" s="604"/>
    </row>
    <row r="474" spans="12:15" x14ac:dyDescent="0.3">
      <c r="L474" s="604" t="s">
        <v>992</v>
      </c>
      <c r="M474" s="604" t="s">
        <v>461</v>
      </c>
      <c r="N474" s="604" t="s">
        <v>461</v>
      </c>
      <c r="O474" s="604"/>
    </row>
    <row r="475" spans="12:15" x14ac:dyDescent="0.3">
      <c r="L475" s="604" t="s">
        <v>993</v>
      </c>
      <c r="M475" s="604" t="s">
        <v>461</v>
      </c>
      <c r="N475" s="604" t="s">
        <v>461</v>
      </c>
      <c r="O475" s="604"/>
    </row>
    <row r="476" spans="12:15" x14ac:dyDescent="0.3">
      <c r="L476" s="604" t="s">
        <v>833</v>
      </c>
      <c r="M476" s="604" t="s">
        <v>461</v>
      </c>
      <c r="N476" s="604" t="s">
        <v>461</v>
      </c>
      <c r="O476" s="604"/>
    </row>
    <row r="477" spans="12:15" x14ac:dyDescent="0.3">
      <c r="L477" s="604" t="s">
        <v>994</v>
      </c>
      <c r="M477" s="604" t="s">
        <v>461</v>
      </c>
      <c r="N477" s="604" t="s">
        <v>461</v>
      </c>
      <c r="O477" s="604"/>
    </row>
    <row r="478" spans="12:15" x14ac:dyDescent="0.3">
      <c r="L478" s="604" t="s">
        <v>995</v>
      </c>
      <c r="M478" s="604" t="s">
        <v>461</v>
      </c>
      <c r="N478" s="604" t="s">
        <v>461</v>
      </c>
      <c r="O478" s="604"/>
    </row>
    <row r="479" spans="12:15" x14ac:dyDescent="0.3">
      <c r="L479" s="604" t="s">
        <v>996</v>
      </c>
      <c r="M479" s="604" t="s">
        <v>461</v>
      </c>
      <c r="N479" s="604" t="s">
        <v>461</v>
      </c>
      <c r="O479" s="604"/>
    </row>
    <row r="480" spans="12:15" x14ac:dyDescent="0.3">
      <c r="L480" s="604" t="s">
        <v>997</v>
      </c>
      <c r="M480" s="604" t="s">
        <v>461</v>
      </c>
      <c r="N480" s="604" t="s">
        <v>461</v>
      </c>
      <c r="O480" s="604"/>
    </row>
    <row r="481" spans="12:16" x14ac:dyDescent="0.3">
      <c r="L481" s="604" t="s">
        <v>998</v>
      </c>
      <c r="M481" s="604" t="s">
        <v>461</v>
      </c>
      <c r="N481" s="604" t="s">
        <v>461</v>
      </c>
      <c r="O481" s="604"/>
    </row>
    <row r="482" spans="12:16" x14ac:dyDescent="0.3">
      <c r="L482" s="604" t="s">
        <v>999</v>
      </c>
      <c r="M482" s="604" t="s">
        <v>461</v>
      </c>
      <c r="N482" s="604" t="s">
        <v>461</v>
      </c>
      <c r="O482" s="604"/>
    </row>
    <row r="483" spans="12:16" x14ac:dyDescent="0.3">
      <c r="L483" s="604" t="s">
        <v>1000</v>
      </c>
      <c r="M483" s="604" t="s">
        <v>461</v>
      </c>
      <c r="N483" s="604" t="s">
        <v>461</v>
      </c>
      <c r="O483" s="604"/>
    </row>
    <row r="484" spans="12:16" x14ac:dyDescent="0.3">
      <c r="L484" s="604" t="s">
        <v>1001</v>
      </c>
      <c r="M484" s="604" t="s">
        <v>461</v>
      </c>
      <c r="N484" s="604" t="s">
        <v>461</v>
      </c>
      <c r="O484" s="604"/>
    </row>
    <row r="485" spans="12:16" x14ac:dyDescent="0.3">
      <c r="L485" s="604" t="s">
        <v>834</v>
      </c>
      <c r="M485" s="604" t="s">
        <v>461</v>
      </c>
      <c r="N485" s="604" t="s">
        <v>461</v>
      </c>
      <c r="O485" s="604"/>
    </row>
    <row r="486" spans="12:16" x14ac:dyDescent="0.3">
      <c r="L486" s="604" t="s">
        <v>1002</v>
      </c>
      <c r="M486" s="604" t="s">
        <v>461</v>
      </c>
      <c r="N486" s="604" t="s">
        <v>461</v>
      </c>
      <c r="O486" s="604"/>
    </row>
    <row r="487" spans="12:16" x14ac:dyDescent="0.3">
      <c r="L487" s="606" t="s">
        <v>1003</v>
      </c>
      <c r="M487" s="606">
        <v>0.03</v>
      </c>
      <c r="N487" s="606">
        <v>0.05</v>
      </c>
      <c r="O487" s="604" t="s">
        <v>1455</v>
      </c>
      <c r="P487" s="613" t="s">
        <v>1451</v>
      </c>
    </row>
    <row r="488" spans="12:16" x14ac:dyDescent="0.3">
      <c r="L488" s="604" t="s">
        <v>547</v>
      </c>
      <c r="M488" s="604" t="s">
        <v>461</v>
      </c>
      <c r="N488" s="604" t="s">
        <v>461</v>
      </c>
      <c r="O488" s="604"/>
    </row>
    <row r="489" spans="12:16" x14ac:dyDescent="0.3">
      <c r="L489" s="604" t="s">
        <v>548</v>
      </c>
      <c r="M489" s="604" t="s">
        <v>461</v>
      </c>
      <c r="N489" s="604" t="s">
        <v>461</v>
      </c>
      <c r="O489" s="604"/>
    </row>
    <row r="490" spans="12:16" x14ac:dyDescent="0.3">
      <c r="L490" s="604" t="s">
        <v>835</v>
      </c>
      <c r="M490" s="604" t="s">
        <v>461</v>
      </c>
      <c r="N490" s="604" t="s">
        <v>461</v>
      </c>
      <c r="O490" s="604"/>
    </row>
    <row r="491" spans="12:16" x14ac:dyDescent="0.3">
      <c r="L491" s="604" t="s">
        <v>1004</v>
      </c>
      <c r="M491" s="604" t="s">
        <v>461</v>
      </c>
      <c r="N491" s="604" t="s">
        <v>461</v>
      </c>
      <c r="O491" s="604"/>
    </row>
    <row r="492" spans="12:16" x14ac:dyDescent="0.3">
      <c r="L492" s="604" t="s">
        <v>1005</v>
      </c>
      <c r="M492" s="604" t="s">
        <v>461</v>
      </c>
      <c r="N492" s="604" t="s">
        <v>461</v>
      </c>
      <c r="O492" s="604"/>
    </row>
    <row r="493" spans="12:16" x14ac:dyDescent="0.3">
      <c r="L493" s="604" t="s">
        <v>1006</v>
      </c>
      <c r="M493" s="604" t="s">
        <v>461</v>
      </c>
      <c r="N493" s="604" t="s">
        <v>461</v>
      </c>
      <c r="O493" s="604"/>
    </row>
    <row r="494" spans="12:16" x14ac:dyDescent="0.3">
      <c r="L494" s="604" t="s">
        <v>1007</v>
      </c>
      <c r="M494" s="604" t="s">
        <v>461</v>
      </c>
      <c r="N494" s="604" t="s">
        <v>461</v>
      </c>
      <c r="O494" s="604"/>
    </row>
    <row r="495" spans="12:16" x14ac:dyDescent="0.3">
      <c r="L495" s="604" t="s">
        <v>1008</v>
      </c>
      <c r="M495" s="604" t="s">
        <v>461</v>
      </c>
      <c r="N495" s="604" t="s">
        <v>461</v>
      </c>
      <c r="O495" s="604"/>
    </row>
    <row r="496" spans="12:16" x14ac:dyDescent="0.3">
      <c r="L496" s="604" t="s">
        <v>1009</v>
      </c>
      <c r="M496" s="604" t="s">
        <v>461</v>
      </c>
      <c r="N496" s="604" t="s">
        <v>461</v>
      </c>
      <c r="O496" s="604"/>
    </row>
    <row r="497" spans="12:16" x14ac:dyDescent="0.3">
      <c r="L497" s="604" t="s">
        <v>1010</v>
      </c>
      <c r="M497" s="604" t="s">
        <v>461</v>
      </c>
      <c r="N497" s="604" t="s">
        <v>461</v>
      </c>
      <c r="O497" s="604"/>
    </row>
    <row r="498" spans="12:16" x14ac:dyDescent="0.3">
      <c r="L498" s="604" t="s">
        <v>1011</v>
      </c>
      <c r="M498" s="604" t="s">
        <v>461</v>
      </c>
      <c r="N498" s="604" t="s">
        <v>461</v>
      </c>
      <c r="O498" s="604"/>
    </row>
    <row r="499" spans="12:16" x14ac:dyDescent="0.3">
      <c r="L499" s="604" t="s">
        <v>549</v>
      </c>
      <c r="M499" s="604" t="s">
        <v>461</v>
      </c>
      <c r="N499" s="604" t="s">
        <v>461</v>
      </c>
      <c r="O499" s="604"/>
    </row>
    <row r="500" spans="12:16" x14ac:dyDescent="0.3">
      <c r="L500" s="604" t="s">
        <v>1012</v>
      </c>
      <c r="M500" s="604" t="s">
        <v>461</v>
      </c>
      <c r="N500" s="604" t="s">
        <v>461</v>
      </c>
      <c r="O500" s="604"/>
    </row>
    <row r="501" spans="12:16" x14ac:dyDescent="0.3">
      <c r="L501" s="604" t="s">
        <v>1013</v>
      </c>
      <c r="M501" s="604" t="s">
        <v>461</v>
      </c>
      <c r="N501" s="604" t="s">
        <v>461</v>
      </c>
      <c r="O501" s="604"/>
    </row>
    <row r="502" spans="12:16" x14ac:dyDescent="0.3">
      <c r="L502" s="604" t="s">
        <v>1014</v>
      </c>
      <c r="M502" s="604" t="s">
        <v>461</v>
      </c>
      <c r="N502" s="604" t="s">
        <v>461</v>
      </c>
      <c r="O502" s="604"/>
    </row>
    <row r="503" spans="12:16" x14ac:dyDescent="0.3">
      <c r="L503" s="604" t="s">
        <v>551</v>
      </c>
      <c r="M503" s="604" t="s">
        <v>461</v>
      </c>
      <c r="N503" s="604" t="s">
        <v>461</v>
      </c>
      <c r="O503" s="604"/>
    </row>
    <row r="504" spans="12:16" x14ac:dyDescent="0.3">
      <c r="L504" s="604" t="s">
        <v>1015</v>
      </c>
      <c r="M504" s="604" t="s">
        <v>461</v>
      </c>
      <c r="N504" s="604" t="s">
        <v>461</v>
      </c>
      <c r="O504" s="604"/>
    </row>
    <row r="505" spans="12:16" x14ac:dyDescent="0.3">
      <c r="L505" s="604" t="s">
        <v>1016</v>
      </c>
      <c r="M505" s="604" t="s">
        <v>461</v>
      </c>
      <c r="N505" s="604" t="s">
        <v>461</v>
      </c>
      <c r="O505" s="604"/>
    </row>
    <row r="506" spans="12:16" x14ac:dyDescent="0.3">
      <c r="L506" s="604" t="s">
        <v>552</v>
      </c>
      <c r="M506" s="604" t="s">
        <v>461</v>
      </c>
      <c r="N506" s="604" t="s">
        <v>461</v>
      </c>
      <c r="O506" s="604"/>
    </row>
    <row r="507" spans="12:16" x14ac:dyDescent="0.3">
      <c r="L507" s="604" t="s">
        <v>836</v>
      </c>
      <c r="M507" s="604" t="s">
        <v>461</v>
      </c>
      <c r="N507" s="604" t="s">
        <v>461</v>
      </c>
      <c r="O507" s="604"/>
    </row>
    <row r="508" spans="12:16" x14ac:dyDescent="0.3">
      <c r="L508" s="604" t="s">
        <v>1017</v>
      </c>
      <c r="M508" s="604" t="s">
        <v>461</v>
      </c>
      <c r="N508" s="604" t="s">
        <v>461</v>
      </c>
      <c r="O508" s="604"/>
    </row>
    <row r="509" spans="12:16" x14ac:dyDescent="0.3">
      <c r="L509" s="604" t="s">
        <v>1018</v>
      </c>
      <c r="M509" s="604" t="s">
        <v>461</v>
      </c>
      <c r="N509" s="604" t="s">
        <v>461</v>
      </c>
      <c r="O509" s="604"/>
    </row>
    <row r="510" spans="12:16" x14ac:dyDescent="0.3">
      <c r="L510" s="604" t="s">
        <v>1019</v>
      </c>
      <c r="M510" s="604" t="s">
        <v>461</v>
      </c>
      <c r="N510" s="604" t="s">
        <v>461</v>
      </c>
      <c r="O510" s="604"/>
    </row>
    <row r="511" spans="12:16" x14ac:dyDescent="0.3">
      <c r="L511" s="606" t="s">
        <v>397</v>
      </c>
      <c r="M511" s="606">
        <v>0.03</v>
      </c>
      <c r="N511" s="606">
        <v>0.05</v>
      </c>
      <c r="O511" s="604" t="s">
        <v>1455</v>
      </c>
      <c r="P511" s="613" t="s">
        <v>1451</v>
      </c>
    </row>
    <row r="512" spans="12:16" x14ac:dyDescent="0.3">
      <c r="L512" s="604" t="s">
        <v>1020</v>
      </c>
      <c r="M512" s="604" t="s">
        <v>461</v>
      </c>
      <c r="N512" s="604" t="s">
        <v>461</v>
      </c>
      <c r="O512" s="604"/>
    </row>
    <row r="513" spans="12:16" x14ac:dyDescent="0.3">
      <c r="L513" s="604" t="s">
        <v>1021</v>
      </c>
      <c r="M513" s="604" t="s">
        <v>461</v>
      </c>
      <c r="N513" s="604" t="s">
        <v>461</v>
      </c>
      <c r="O513" s="604"/>
    </row>
    <row r="514" spans="12:16" x14ac:dyDescent="0.3">
      <c r="L514" s="604" t="s">
        <v>1022</v>
      </c>
      <c r="M514" s="604" t="s">
        <v>461</v>
      </c>
      <c r="N514" s="604" t="s">
        <v>461</v>
      </c>
      <c r="O514" s="604"/>
    </row>
    <row r="515" spans="12:16" x14ac:dyDescent="0.3">
      <c r="L515" s="604" t="s">
        <v>1023</v>
      </c>
      <c r="M515" s="604" t="s">
        <v>461</v>
      </c>
      <c r="N515" s="604" t="s">
        <v>461</v>
      </c>
      <c r="O515" s="604"/>
    </row>
    <row r="516" spans="12:16" x14ac:dyDescent="0.3">
      <c r="L516" s="604" t="s">
        <v>837</v>
      </c>
      <c r="M516" s="604" t="s">
        <v>461</v>
      </c>
      <c r="N516" s="604" t="s">
        <v>461</v>
      </c>
      <c r="O516" s="604"/>
    </row>
    <row r="517" spans="12:16" x14ac:dyDescent="0.3">
      <c r="L517" s="604" t="s">
        <v>1024</v>
      </c>
      <c r="M517" s="604" t="s">
        <v>461</v>
      </c>
      <c r="N517" s="604" t="s">
        <v>461</v>
      </c>
      <c r="O517" s="604" t="s">
        <v>1546</v>
      </c>
    </row>
    <row r="518" spans="12:16" x14ac:dyDescent="0.3">
      <c r="L518" s="604" t="s">
        <v>838</v>
      </c>
      <c r="M518" s="604" t="s">
        <v>461</v>
      </c>
      <c r="N518" s="604" t="s">
        <v>461</v>
      </c>
      <c r="O518" s="604"/>
    </row>
    <row r="519" spans="12:16" x14ac:dyDescent="0.3">
      <c r="L519" s="604" t="s">
        <v>1025</v>
      </c>
      <c r="M519" s="604" t="s">
        <v>461</v>
      </c>
      <c r="N519" s="604" t="s">
        <v>461</v>
      </c>
      <c r="O519" s="604"/>
    </row>
    <row r="520" spans="12:16" x14ac:dyDescent="0.3">
      <c r="L520" s="606" t="s">
        <v>1026</v>
      </c>
      <c r="M520" s="606">
        <v>0.03</v>
      </c>
      <c r="N520" s="606">
        <v>0.05</v>
      </c>
      <c r="O520" s="604" t="s">
        <v>1455</v>
      </c>
      <c r="P520" s="613" t="s">
        <v>1451</v>
      </c>
    </row>
    <row r="521" spans="12:16" x14ac:dyDescent="0.3">
      <c r="L521" s="604" t="s">
        <v>1027</v>
      </c>
      <c r="M521" s="604" t="s">
        <v>461</v>
      </c>
      <c r="N521" s="604" t="s">
        <v>461</v>
      </c>
      <c r="O521" s="604"/>
    </row>
    <row r="522" spans="12:16" x14ac:dyDescent="0.3">
      <c r="L522" s="604" t="s">
        <v>1028</v>
      </c>
      <c r="M522" s="604" t="s">
        <v>461</v>
      </c>
      <c r="N522" s="604" t="s">
        <v>461</v>
      </c>
      <c r="O522" s="604"/>
    </row>
    <row r="523" spans="12:16" x14ac:dyDescent="0.3">
      <c r="L523" s="604" t="s">
        <v>1029</v>
      </c>
      <c r="M523" s="604" t="s">
        <v>461</v>
      </c>
      <c r="N523" s="604" t="s">
        <v>461</v>
      </c>
      <c r="O523" s="604"/>
    </row>
    <row r="524" spans="12:16" x14ac:dyDescent="0.3">
      <c r="L524" s="604" t="s">
        <v>1030</v>
      </c>
      <c r="M524" s="604" t="s">
        <v>461</v>
      </c>
      <c r="N524" s="604" t="s">
        <v>461</v>
      </c>
      <c r="O524" s="604" t="s">
        <v>1546</v>
      </c>
    </row>
    <row r="525" spans="12:16" x14ac:dyDescent="0.3">
      <c r="L525" s="604" t="s">
        <v>1031</v>
      </c>
      <c r="M525" s="604" t="s">
        <v>461</v>
      </c>
      <c r="N525" s="604" t="s">
        <v>461</v>
      </c>
      <c r="O525" s="604"/>
    </row>
    <row r="526" spans="12:16" x14ac:dyDescent="0.3">
      <c r="L526" s="604" t="s">
        <v>1032</v>
      </c>
      <c r="M526" s="604" t="s">
        <v>461</v>
      </c>
      <c r="N526" s="604" t="s">
        <v>461</v>
      </c>
      <c r="O526" s="604"/>
    </row>
    <row r="527" spans="12:16" x14ac:dyDescent="0.3">
      <c r="L527" s="604" t="s">
        <v>1033</v>
      </c>
      <c r="M527" s="604" t="s">
        <v>461</v>
      </c>
      <c r="N527" s="604" t="s">
        <v>461</v>
      </c>
      <c r="O527" s="604"/>
    </row>
    <row r="528" spans="12:16" x14ac:dyDescent="0.3">
      <c r="L528" s="604" t="s">
        <v>1034</v>
      </c>
      <c r="M528" s="604" t="s">
        <v>461</v>
      </c>
      <c r="N528" s="604" t="s">
        <v>461</v>
      </c>
      <c r="O528" s="604"/>
    </row>
    <row r="529" spans="12:16" x14ac:dyDescent="0.3">
      <c r="L529" s="604" t="s">
        <v>1035</v>
      </c>
      <c r="M529" s="604" t="s">
        <v>461</v>
      </c>
      <c r="N529" s="604" t="s">
        <v>461</v>
      </c>
      <c r="O529" s="604"/>
    </row>
    <row r="530" spans="12:16" x14ac:dyDescent="0.3">
      <c r="L530" s="604" t="s">
        <v>1036</v>
      </c>
      <c r="M530" s="604" t="s">
        <v>461</v>
      </c>
      <c r="N530" s="604" t="s">
        <v>461</v>
      </c>
      <c r="O530" s="604"/>
    </row>
    <row r="531" spans="12:16" x14ac:dyDescent="0.3">
      <c r="L531" s="604" t="s">
        <v>1037</v>
      </c>
      <c r="M531" s="604" t="s">
        <v>461</v>
      </c>
      <c r="N531" s="604" t="s">
        <v>461</v>
      </c>
      <c r="O531" s="604"/>
    </row>
    <row r="532" spans="12:16" x14ac:dyDescent="0.3">
      <c r="L532" s="604" t="s">
        <v>1038</v>
      </c>
      <c r="M532" s="604" t="s">
        <v>461</v>
      </c>
      <c r="N532" s="604" t="s">
        <v>461</v>
      </c>
      <c r="O532" s="604"/>
    </row>
    <row r="533" spans="12:16" x14ac:dyDescent="0.3">
      <c r="L533" s="604" t="s">
        <v>1039</v>
      </c>
      <c r="M533" s="604" t="s">
        <v>461</v>
      </c>
      <c r="N533" s="604" t="s">
        <v>461</v>
      </c>
      <c r="O533" s="604"/>
    </row>
    <row r="534" spans="12:16" x14ac:dyDescent="0.3">
      <c r="L534" s="604" t="s">
        <v>553</v>
      </c>
      <c r="M534" s="604" t="s">
        <v>461</v>
      </c>
      <c r="N534" s="604" t="s">
        <v>461</v>
      </c>
      <c r="O534" s="604"/>
    </row>
    <row r="535" spans="12:16" x14ac:dyDescent="0.3">
      <c r="L535" s="604" t="s">
        <v>839</v>
      </c>
      <c r="M535" s="604" t="s">
        <v>461</v>
      </c>
      <c r="N535" s="604" t="s">
        <v>461</v>
      </c>
      <c r="O535" s="604"/>
    </row>
    <row r="536" spans="12:16" x14ac:dyDescent="0.3">
      <c r="L536" s="604" t="s">
        <v>1040</v>
      </c>
      <c r="M536" s="604" t="s">
        <v>461</v>
      </c>
      <c r="N536" s="604" t="s">
        <v>461</v>
      </c>
      <c r="O536" s="604"/>
    </row>
    <row r="537" spans="12:16" x14ac:dyDescent="0.3">
      <c r="L537" s="604" t="s">
        <v>1041</v>
      </c>
      <c r="M537" s="604" t="s">
        <v>461</v>
      </c>
      <c r="N537" s="604" t="s">
        <v>461</v>
      </c>
      <c r="O537" s="604"/>
    </row>
    <row r="538" spans="12:16" x14ac:dyDescent="0.3">
      <c r="L538" s="604" t="s">
        <v>554</v>
      </c>
      <c r="M538" s="604" t="s">
        <v>461</v>
      </c>
      <c r="N538" s="604" t="s">
        <v>461</v>
      </c>
      <c r="O538" s="604"/>
    </row>
    <row r="539" spans="12:16" x14ac:dyDescent="0.3">
      <c r="L539" s="604" t="s">
        <v>1042</v>
      </c>
      <c r="M539" s="604" t="s">
        <v>461</v>
      </c>
      <c r="N539" s="604" t="s">
        <v>461</v>
      </c>
      <c r="O539" s="604"/>
    </row>
    <row r="540" spans="12:16" x14ac:dyDescent="0.3">
      <c r="L540" s="604" t="s">
        <v>398</v>
      </c>
      <c r="M540" s="604" t="s">
        <v>461</v>
      </c>
      <c r="N540" s="604" t="s">
        <v>461</v>
      </c>
      <c r="O540" s="604"/>
    </row>
    <row r="541" spans="12:16" x14ac:dyDescent="0.3">
      <c r="L541" s="606" t="s">
        <v>1043</v>
      </c>
      <c r="M541" s="606">
        <v>0.03</v>
      </c>
      <c r="N541" s="606">
        <v>0.05</v>
      </c>
      <c r="O541" s="604" t="s">
        <v>1455</v>
      </c>
      <c r="P541" s="613" t="s">
        <v>1451</v>
      </c>
    </row>
    <row r="542" spans="12:16" x14ac:dyDescent="0.3">
      <c r="L542" s="604" t="s">
        <v>1044</v>
      </c>
      <c r="M542" s="604" t="s">
        <v>461</v>
      </c>
      <c r="N542" s="604" t="s">
        <v>461</v>
      </c>
      <c r="O542" s="604"/>
    </row>
    <row r="543" spans="12:16" x14ac:dyDescent="0.3">
      <c r="L543" s="604" t="s">
        <v>1045</v>
      </c>
      <c r="M543" s="604" t="s">
        <v>461</v>
      </c>
      <c r="N543" s="604" t="s">
        <v>461</v>
      </c>
      <c r="O543" s="604" t="s">
        <v>1546</v>
      </c>
    </row>
    <row r="544" spans="12:16" x14ac:dyDescent="0.3">
      <c r="L544" s="604" t="s">
        <v>1046</v>
      </c>
      <c r="M544" s="604" t="s">
        <v>461</v>
      </c>
      <c r="N544" s="604" t="s">
        <v>461</v>
      </c>
      <c r="O544" s="604"/>
    </row>
    <row r="545" spans="12:15" x14ac:dyDescent="0.3">
      <c r="L545" s="604" t="s">
        <v>1047</v>
      </c>
      <c r="M545" s="604" t="s">
        <v>461</v>
      </c>
      <c r="N545" s="604" t="s">
        <v>461</v>
      </c>
      <c r="O545" s="604"/>
    </row>
    <row r="546" spans="12:15" x14ac:dyDescent="0.3">
      <c r="L546" s="604" t="s">
        <v>399</v>
      </c>
      <c r="M546" s="604" t="s">
        <v>461</v>
      </c>
      <c r="N546" s="604" t="s">
        <v>461</v>
      </c>
      <c r="O546" s="604"/>
    </row>
    <row r="547" spans="12:15" x14ac:dyDescent="0.3">
      <c r="L547" s="604" t="s">
        <v>1048</v>
      </c>
      <c r="M547" s="604" t="s">
        <v>461</v>
      </c>
      <c r="N547" s="604" t="s">
        <v>461</v>
      </c>
      <c r="O547" s="604" t="s">
        <v>1546</v>
      </c>
    </row>
    <row r="548" spans="12:15" x14ac:dyDescent="0.3">
      <c r="L548" s="604" t="s">
        <v>840</v>
      </c>
      <c r="M548" s="604" t="s">
        <v>461</v>
      </c>
      <c r="N548" s="604" t="s">
        <v>461</v>
      </c>
      <c r="O548" s="604"/>
    </row>
    <row r="549" spans="12:15" x14ac:dyDescent="0.3">
      <c r="L549" s="604" t="s">
        <v>1049</v>
      </c>
      <c r="M549" s="604" t="s">
        <v>461</v>
      </c>
      <c r="N549" s="604" t="s">
        <v>461</v>
      </c>
      <c r="O549" s="604"/>
    </row>
    <row r="550" spans="12:15" x14ac:dyDescent="0.3">
      <c r="L550" s="604" t="s">
        <v>1050</v>
      </c>
      <c r="M550" s="604" t="s">
        <v>461</v>
      </c>
      <c r="N550" s="604" t="s">
        <v>461</v>
      </c>
      <c r="O550" s="604"/>
    </row>
    <row r="551" spans="12:15" x14ac:dyDescent="0.3">
      <c r="L551" s="604" t="s">
        <v>1051</v>
      </c>
      <c r="M551" s="604" t="s">
        <v>461</v>
      </c>
      <c r="N551" s="604" t="s">
        <v>461</v>
      </c>
      <c r="O551" s="604"/>
    </row>
    <row r="552" spans="12:15" x14ac:dyDescent="0.3">
      <c r="L552" s="604" t="s">
        <v>1052</v>
      </c>
      <c r="M552" s="604" t="s">
        <v>461</v>
      </c>
      <c r="N552" s="604" t="s">
        <v>461</v>
      </c>
      <c r="O552" s="604"/>
    </row>
    <row r="553" spans="12:15" x14ac:dyDescent="0.3">
      <c r="L553" s="604" t="s">
        <v>841</v>
      </c>
      <c r="M553" s="604" t="s">
        <v>461</v>
      </c>
      <c r="N553" s="604" t="s">
        <v>461</v>
      </c>
      <c r="O553" s="604"/>
    </row>
    <row r="554" spans="12:15" x14ac:dyDescent="0.3">
      <c r="L554" s="604" t="s">
        <v>1053</v>
      </c>
      <c r="M554" s="604" t="s">
        <v>461</v>
      </c>
      <c r="N554" s="604" t="s">
        <v>461</v>
      </c>
      <c r="O554" s="604"/>
    </row>
    <row r="555" spans="12:15" x14ac:dyDescent="0.3">
      <c r="L555" s="604" t="s">
        <v>1054</v>
      </c>
      <c r="M555" s="604" t="s">
        <v>461</v>
      </c>
      <c r="N555" s="604" t="s">
        <v>461</v>
      </c>
      <c r="O555" s="604"/>
    </row>
  </sheetData>
  <sheetProtection algorithmName="SHA-512" hashValue="U5HoONiXYZNGkCHIwdUaDjbGWundYEIvZMGTSf05crji/Dwav1xzZmtIP29NJKHMmHOvFYl1KLYOPiPxXCXazA==" saltValue="ZICAYo2CL3uxtIs+xXiWpg=="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C2CA-D998-42A4-801A-834A786678CE}">
  <dimension ref="A1:G91"/>
  <sheetViews>
    <sheetView workbookViewId="0">
      <selection activeCell="H55" sqref="H55"/>
    </sheetView>
  </sheetViews>
  <sheetFormatPr defaultRowHeight="14.4" x14ac:dyDescent="0.3"/>
  <cols>
    <col min="1" max="1" width="14.21875" customWidth="1"/>
    <col min="2" max="2" width="18.6640625" customWidth="1"/>
    <col min="3" max="3" width="19.21875" customWidth="1"/>
    <col min="4" max="4" width="32.88671875" customWidth="1"/>
    <col min="5" max="5" width="16.6640625" customWidth="1"/>
    <col min="6" max="6" width="19.6640625" customWidth="1"/>
    <col min="7" max="7" width="12.109375" customWidth="1"/>
  </cols>
  <sheetData>
    <row r="1" spans="1:7" x14ac:dyDescent="0.3">
      <c r="B1" t="s">
        <v>1429</v>
      </c>
      <c r="C1" t="s">
        <v>1429</v>
      </c>
    </row>
    <row r="2" spans="1:7" x14ac:dyDescent="0.3">
      <c r="B2" t="s">
        <v>1430</v>
      </c>
      <c r="C2" t="s">
        <v>1434</v>
      </c>
    </row>
    <row r="3" spans="1:7" x14ac:dyDescent="0.3">
      <c r="B3" t="s">
        <v>1431</v>
      </c>
      <c r="C3" t="s">
        <v>1433</v>
      </c>
    </row>
    <row r="4" spans="1:7" x14ac:dyDescent="0.3">
      <c r="A4" t="s">
        <v>1089</v>
      </c>
      <c r="B4">
        <v>0.03</v>
      </c>
      <c r="C4">
        <v>0.05</v>
      </c>
      <c r="D4" t="s">
        <v>1455</v>
      </c>
      <c r="E4" t="s">
        <v>1451</v>
      </c>
      <c r="F4" t="s">
        <v>1089</v>
      </c>
      <c r="G4">
        <v>0.08</v>
      </c>
    </row>
    <row r="5" spans="1:7" x14ac:dyDescent="0.3">
      <c r="A5" t="s">
        <v>801</v>
      </c>
      <c r="B5">
        <v>0.03</v>
      </c>
      <c r="C5">
        <v>0.05</v>
      </c>
      <c r="D5" t="s">
        <v>1455</v>
      </c>
      <c r="E5" t="s">
        <v>1451</v>
      </c>
      <c r="F5" t="s">
        <v>801</v>
      </c>
      <c r="G5" s="180">
        <v>0.08</v>
      </c>
    </row>
    <row r="6" spans="1:7" x14ac:dyDescent="0.3">
      <c r="A6" t="s">
        <v>476</v>
      </c>
      <c r="B6">
        <v>0.03</v>
      </c>
      <c r="C6">
        <v>0.05</v>
      </c>
      <c r="D6" t="s">
        <v>1455</v>
      </c>
      <c r="E6" t="s">
        <v>1451</v>
      </c>
      <c r="F6" t="s">
        <v>476</v>
      </c>
      <c r="G6" s="180">
        <v>0.08</v>
      </c>
    </row>
    <row r="7" spans="1:7" x14ac:dyDescent="0.3">
      <c r="A7" t="s">
        <v>1109</v>
      </c>
      <c r="B7">
        <v>0.03</v>
      </c>
      <c r="C7">
        <v>0.05</v>
      </c>
      <c r="D7" t="s">
        <v>1455</v>
      </c>
      <c r="E7" t="s">
        <v>1451</v>
      </c>
      <c r="F7" t="s">
        <v>1109</v>
      </c>
      <c r="G7" s="180">
        <v>0.08</v>
      </c>
    </row>
    <row r="8" spans="1:7" x14ac:dyDescent="0.3">
      <c r="A8" t="s">
        <v>1154</v>
      </c>
      <c r="B8">
        <v>0.03</v>
      </c>
      <c r="C8">
        <v>0.05</v>
      </c>
      <c r="D8" t="s">
        <v>1455</v>
      </c>
      <c r="E8" t="s">
        <v>1451</v>
      </c>
      <c r="F8" t="s">
        <v>1154</v>
      </c>
      <c r="G8" s="180">
        <v>0.08</v>
      </c>
    </row>
    <row r="9" spans="1:7" x14ac:dyDescent="0.3">
      <c r="A9" t="s">
        <v>1186</v>
      </c>
      <c r="B9">
        <v>0.03</v>
      </c>
      <c r="C9">
        <v>0.05</v>
      </c>
      <c r="D9" t="s">
        <v>1455</v>
      </c>
      <c r="E9" t="s">
        <v>1451</v>
      </c>
      <c r="F9" t="s">
        <v>1186</v>
      </c>
      <c r="G9" s="180">
        <v>0.08</v>
      </c>
    </row>
    <row r="10" spans="1:7" x14ac:dyDescent="0.3">
      <c r="A10" t="s">
        <v>812</v>
      </c>
      <c r="B10">
        <v>0.03</v>
      </c>
      <c r="C10">
        <v>0.05</v>
      </c>
      <c r="D10" t="s">
        <v>1455</v>
      </c>
      <c r="E10" t="s">
        <v>1451</v>
      </c>
      <c r="F10" t="s">
        <v>812</v>
      </c>
      <c r="G10" s="180">
        <v>0.08</v>
      </c>
    </row>
    <row r="11" spans="1:7" x14ac:dyDescent="0.3">
      <c r="A11" t="s">
        <v>1199</v>
      </c>
      <c r="B11">
        <v>0.03</v>
      </c>
      <c r="C11">
        <v>0.05</v>
      </c>
      <c r="D11" t="s">
        <v>1455</v>
      </c>
      <c r="E11" t="s">
        <v>1451</v>
      </c>
      <c r="F11" t="s">
        <v>1199</v>
      </c>
      <c r="G11" s="180">
        <v>0.08</v>
      </c>
    </row>
    <row r="12" spans="1:7" x14ac:dyDescent="0.3">
      <c r="A12" t="s">
        <v>504</v>
      </c>
      <c r="B12">
        <v>0.03</v>
      </c>
      <c r="C12">
        <v>0.05</v>
      </c>
      <c r="D12" t="s">
        <v>1455</v>
      </c>
      <c r="E12" t="s">
        <v>1451</v>
      </c>
      <c r="F12" t="s">
        <v>504</v>
      </c>
      <c r="G12" s="180">
        <v>0.08</v>
      </c>
    </row>
    <row r="13" spans="1:7" x14ac:dyDescent="0.3">
      <c r="A13" t="s">
        <v>395</v>
      </c>
      <c r="B13">
        <v>0.03</v>
      </c>
      <c r="C13">
        <v>0.05</v>
      </c>
      <c r="D13" t="s">
        <v>1455</v>
      </c>
      <c r="E13" t="s">
        <v>1451</v>
      </c>
      <c r="F13" t="s">
        <v>395</v>
      </c>
      <c r="G13" s="180">
        <v>0.08</v>
      </c>
    </row>
    <row r="14" spans="1:7" x14ac:dyDescent="0.3">
      <c r="A14" t="s">
        <v>510</v>
      </c>
      <c r="B14">
        <v>0.03</v>
      </c>
      <c r="C14">
        <v>0.05</v>
      </c>
      <c r="D14" t="s">
        <v>1455</v>
      </c>
      <c r="E14" t="s">
        <v>1451</v>
      </c>
      <c r="F14" t="s">
        <v>510</v>
      </c>
      <c r="G14" s="180">
        <v>0.08</v>
      </c>
    </row>
    <row r="15" spans="1:7" x14ac:dyDescent="0.3">
      <c r="A15" t="s">
        <v>819</v>
      </c>
      <c r="B15">
        <v>0.03</v>
      </c>
      <c r="C15">
        <v>0.05</v>
      </c>
      <c r="D15" t="s">
        <v>1455</v>
      </c>
      <c r="E15" t="s">
        <v>1451</v>
      </c>
      <c r="F15" t="s">
        <v>819</v>
      </c>
      <c r="G15" s="180">
        <v>0.08</v>
      </c>
    </row>
    <row r="16" spans="1:7" x14ac:dyDescent="0.3">
      <c r="A16" t="s">
        <v>1238</v>
      </c>
      <c r="B16">
        <v>0.03</v>
      </c>
      <c r="C16">
        <v>0.05</v>
      </c>
      <c r="D16" t="s">
        <v>1455</v>
      </c>
      <c r="E16" t="s">
        <v>1451</v>
      </c>
      <c r="F16" t="s">
        <v>1238</v>
      </c>
      <c r="G16" s="180">
        <v>0.08</v>
      </c>
    </row>
    <row r="17" spans="1:7" x14ac:dyDescent="0.3">
      <c r="A17" t="s">
        <v>514</v>
      </c>
      <c r="B17">
        <v>0.03</v>
      </c>
      <c r="C17">
        <v>0.05</v>
      </c>
      <c r="D17" t="s">
        <v>1455</v>
      </c>
      <c r="E17" t="s">
        <v>1451</v>
      </c>
      <c r="F17" t="s">
        <v>514</v>
      </c>
      <c r="G17" s="180">
        <v>0.08</v>
      </c>
    </row>
    <row r="18" spans="1:7" x14ac:dyDescent="0.3">
      <c r="A18" t="s">
        <v>1258</v>
      </c>
      <c r="B18">
        <v>0.03</v>
      </c>
      <c r="C18">
        <v>0.05</v>
      </c>
      <c r="D18" t="s">
        <v>1455</v>
      </c>
      <c r="E18" t="s">
        <v>1451</v>
      </c>
      <c r="F18" t="s">
        <v>1258</v>
      </c>
      <c r="G18" s="180">
        <v>0.08</v>
      </c>
    </row>
    <row r="19" spans="1:7" x14ac:dyDescent="0.3">
      <c r="A19" t="s">
        <v>1263</v>
      </c>
      <c r="B19">
        <v>0.03</v>
      </c>
      <c r="C19">
        <v>0.05</v>
      </c>
      <c r="D19" t="s">
        <v>1455</v>
      </c>
      <c r="E19" t="s">
        <v>1451</v>
      </c>
      <c r="F19" t="s">
        <v>1263</v>
      </c>
      <c r="G19" s="180">
        <v>0.08</v>
      </c>
    </row>
    <row r="20" spans="1:7" x14ac:dyDescent="0.3">
      <c r="A20" t="s">
        <v>1273</v>
      </c>
      <c r="B20">
        <v>0.03</v>
      </c>
      <c r="C20">
        <v>0.05</v>
      </c>
      <c r="D20" t="s">
        <v>1455</v>
      </c>
      <c r="E20" t="s">
        <v>1451</v>
      </c>
      <c r="F20" t="s">
        <v>1273</v>
      </c>
      <c r="G20" s="180">
        <v>0.08</v>
      </c>
    </row>
    <row r="21" spans="1:7" x14ac:dyDescent="0.3">
      <c r="A21" t="s">
        <v>1289</v>
      </c>
      <c r="B21">
        <v>0.03</v>
      </c>
      <c r="C21">
        <v>0.05</v>
      </c>
      <c r="D21" t="s">
        <v>1455</v>
      </c>
      <c r="E21" t="s">
        <v>1451</v>
      </c>
      <c r="F21" t="s">
        <v>1289</v>
      </c>
      <c r="G21" s="180">
        <v>0.08</v>
      </c>
    </row>
    <row r="22" spans="1:7" x14ac:dyDescent="0.3">
      <c r="A22" t="s">
        <v>438</v>
      </c>
      <c r="B22">
        <v>0.03</v>
      </c>
      <c r="C22">
        <v>0.05</v>
      </c>
      <c r="D22" t="s">
        <v>1455</v>
      </c>
      <c r="E22" t="s">
        <v>1451</v>
      </c>
      <c r="F22" t="s">
        <v>438</v>
      </c>
      <c r="G22" s="180">
        <v>0.08</v>
      </c>
    </row>
    <row r="23" spans="1:7" x14ac:dyDescent="0.3">
      <c r="A23" t="s">
        <v>1333</v>
      </c>
      <c r="B23">
        <v>0.03</v>
      </c>
      <c r="C23">
        <v>0.05</v>
      </c>
      <c r="D23" t="s">
        <v>1455</v>
      </c>
      <c r="E23" t="s">
        <v>1451</v>
      </c>
      <c r="F23" t="s">
        <v>1333</v>
      </c>
      <c r="G23" s="180">
        <v>0.08</v>
      </c>
    </row>
    <row r="24" spans="1:7" x14ac:dyDescent="0.3">
      <c r="A24" t="s">
        <v>528</v>
      </c>
      <c r="B24">
        <v>0.03</v>
      </c>
      <c r="C24">
        <v>0.05</v>
      </c>
      <c r="D24" t="s">
        <v>1455</v>
      </c>
      <c r="E24" t="s">
        <v>1451</v>
      </c>
      <c r="F24" t="s">
        <v>528</v>
      </c>
      <c r="G24" s="180">
        <v>0.08</v>
      </c>
    </row>
    <row r="25" spans="1:7" x14ac:dyDescent="0.3">
      <c r="A25" t="s">
        <v>536</v>
      </c>
      <c r="B25">
        <v>0.03</v>
      </c>
      <c r="C25">
        <v>0.05</v>
      </c>
      <c r="D25" t="s">
        <v>1455</v>
      </c>
      <c r="E25" t="s">
        <v>1451</v>
      </c>
      <c r="F25" t="s">
        <v>536</v>
      </c>
      <c r="G25" s="180">
        <v>0.08</v>
      </c>
    </row>
    <row r="26" spans="1:7" x14ac:dyDescent="0.3">
      <c r="A26" t="s">
        <v>539</v>
      </c>
      <c r="B26">
        <v>0.03</v>
      </c>
      <c r="C26">
        <v>0.05</v>
      </c>
      <c r="D26" t="s">
        <v>1455</v>
      </c>
      <c r="E26" t="s">
        <v>1451</v>
      </c>
      <c r="F26" t="s">
        <v>539</v>
      </c>
      <c r="G26" s="180">
        <v>0.08</v>
      </c>
    </row>
    <row r="27" spans="1:7" x14ac:dyDescent="0.3">
      <c r="A27" t="s">
        <v>1382</v>
      </c>
      <c r="B27">
        <v>0.03</v>
      </c>
      <c r="C27">
        <v>0.05</v>
      </c>
      <c r="D27" t="s">
        <v>1455</v>
      </c>
      <c r="E27" t="s">
        <v>1451</v>
      </c>
      <c r="F27" t="s">
        <v>1382</v>
      </c>
      <c r="G27" s="180">
        <v>0.08</v>
      </c>
    </row>
    <row r="28" spans="1:7" x14ac:dyDescent="0.3">
      <c r="A28" t="s">
        <v>542</v>
      </c>
      <c r="B28">
        <v>0.03</v>
      </c>
      <c r="C28">
        <v>0.05</v>
      </c>
      <c r="D28" t="s">
        <v>1455</v>
      </c>
      <c r="E28" t="s">
        <v>1451</v>
      </c>
      <c r="F28" t="s">
        <v>542</v>
      </c>
      <c r="G28" s="180">
        <v>0.08</v>
      </c>
    </row>
    <row r="29" spans="1:7" x14ac:dyDescent="0.3">
      <c r="A29" t="s">
        <v>1400</v>
      </c>
      <c r="B29">
        <v>0.03</v>
      </c>
      <c r="C29">
        <v>0.05</v>
      </c>
      <c r="D29" t="s">
        <v>1455</v>
      </c>
      <c r="E29" t="s">
        <v>1451</v>
      </c>
      <c r="F29" t="s">
        <v>1400</v>
      </c>
      <c r="G29" s="180">
        <v>0.08</v>
      </c>
    </row>
    <row r="30" spans="1:7" x14ac:dyDescent="0.3">
      <c r="A30" t="s">
        <v>1408</v>
      </c>
      <c r="B30">
        <v>0.03</v>
      </c>
      <c r="C30">
        <v>0.05</v>
      </c>
      <c r="D30" t="s">
        <v>1455</v>
      </c>
      <c r="E30" t="s">
        <v>1451</v>
      </c>
      <c r="F30" t="s">
        <v>1408</v>
      </c>
      <c r="G30" s="180">
        <v>0.08</v>
      </c>
    </row>
    <row r="31" spans="1:7" x14ac:dyDescent="0.3">
      <c r="A31" t="s">
        <v>1411</v>
      </c>
      <c r="B31">
        <v>0.03</v>
      </c>
      <c r="C31">
        <v>0.05</v>
      </c>
      <c r="D31" t="s">
        <v>1455</v>
      </c>
      <c r="E31" t="s">
        <v>1451</v>
      </c>
      <c r="F31" t="s">
        <v>1411</v>
      </c>
      <c r="G31" s="180">
        <v>0.08</v>
      </c>
    </row>
    <row r="32" spans="1:7" x14ac:dyDescent="0.3">
      <c r="A32" t="s">
        <v>1003</v>
      </c>
      <c r="B32">
        <v>0.03</v>
      </c>
      <c r="C32">
        <v>0.05</v>
      </c>
      <c r="D32" t="s">
        <v>1455</v>
      </c>
      <c r="E32" t="s">
        <v>1451</v>
      </c>
      <c r="F32" t="s">
        <v>1003</v>
      </c>
      <c r="G32" s="180">
        <v>0.08</v>
      </c>
    </row>
    <row r="33" spans="1:7" x14ac:dyDescent="0.3">
      <c r="A33" t="s">
        <v>397</v>
      </c>
      <c r="B33">
        <v>0.03</v>
      </c>
      <c r="C33">
        <v>0.05</v>
      </c>
      <c r="D33" t="s">
        <v>1455</v>
      </c>
      <c r="E33" t="s">
        <v>1451</v>
      </c>
      <c r="F33" t="s">
        <v>397</v>
      </c>
      <c r="G33" s="180">
        <v>0.08</v>
      </c>
    </row>
    <row r="34" spans="1:7" x14ac:dyDescent="0.3">
      <c r="A34" t="s">
        <v>1026</v>
      </c>
      <c r="B34">
        <v>0.03</v>
      </c>
      <c r="C34">
        <v>0.05</v>
      </c>
      <c r="D34" t="s">
        <v>1455</v>
      </c>
      <c r="E34" t="s">
        <v>1451</v>
      </c>
      <c r="F34" t="s">
        <v>1026</v>
      </c>
      <c r="G34" s="180">
        <v>0.08</v>
      </c>
    </row>
    <row r="35" spans="1:7" x14ac:dyDescent="0.3">
      <c r="A35" t="s">
        <v>1043</v>
      </c>
      <c r="B35">
        <v>0.03</v>
      </c>
      <c r="C35">
        <v>0.05</v>
      </c>
      <c r="D35" t="s">
        <v>1455</v>
      </c>
      <c r="E35" t="s">
        <v>1451</v>
      </c>
      <c r="F35" s="556" t="s">
        <v>1043</v>
      </c>
      <c r="G35" s="180">
        <v>0.08</v>
      </c>
    </row>
    <row r="36" spans="1:7" x14ac:dyDescent="0.3">
      <c r="A36" t="s">
        <v>1084</v>
      </c>
      <c r="B36" t="s">
        <v>461</v>
      </c>
      <c r="C36">
        <v>0.05</v>
      </c>
      <c r="D36" t="s">
        <v>1450</v>
      </c>
      <c r="F36" t="s">
        <v>1084</v>
      </c>
      <c r="G36">
        <v>7.0000000000000007E-2</v>
      </c>
    </row>
    <row r="37" spans="1:7" x14ac:dyDescent="0.3">
      <c r="A37" t="s">
        <v>1124</v>
      </c>
      <c r="B37">
        <v>0.15</v>
      </c>
      <c r="C37" t="s">
        <v>461</v>
      </c>
      <c r="D37" t="s">
        <v>1450</v>
      </c>
      <c r="F37" t="s">
        <v>1124</v>
      </c>
      <c r="G37" s="180">
        <v>7.0000000000000007E-2</v>
      </c>
    </row>
    <row r="38" spans="1:7" x14ac:dyDescent="0.3">
      <c r="A38" t="s">
        <v>1151</v>
      </c>
      <c r="B38">
        <v>0.05</v>
      </c>
      <c r="C38" t="s">
        <v>461</v>
      </c>
      <c r="D38" t="s">
        <v>1450</v>
      </c>
      <c r="F38" t="s">
        <v>1151</v>
      </c>
      <c r="G38" s="180">
        <v>7.0000000000000007E-2</v>
      </c>
    </row>
    <row r="39" spans="1:7" x14ac:dyDescent="0.3">
      <c r="A39" t="s">
        <v>1167</v>
      </c>
      <c r="B39">
        <v>0.03</v>
      </c>
      <c r="C39" t="s">
        <v>461</v>
      </c>
      <c r="D39" t="s">
        <v>1450</v>
      </c>
      <c r="F39" t="s">
        <v>1167</v>
      </c>
      <c r="G39" s="180">
        <v>7.0000000000000007E-2</v>
      </c>
    </row>
    <row r="40" spans="1:7" x14ac:dyDescent="0.3">
      <c r="A40" t="s">
        <v>1178</v>
      </c>
      <c r="B40">
        <v>0.03</v>
      </c>
      <c r="C40" t="s">
        <v>461</v>
      </c>
      <c r="D40" t="s">
        <v>1450</v>
      </c>
      <c r="F40" t="s">
        <v>1178</v>
      </c>
      <c r="G40" s="180">
        <v>7.0000000000000007E-2</v>
      </c>
    </row>
    <row r="41" spans="1:7" x14ac:dyDescent="0.3">
      <c r="A41" t="s">
        <v>1214</v>
      </c>
      <c r="B41">
        <v>0.03</v>
      </c>
      <c r="C41" t="s">
        <v>461</v>
      </c>
      <c r="D41" t="s">
        <v>1450</v>
      </c>
      <c r="F41" t="s">
        <v>1214</v>
      </c>
      <c r="G41" s="180">
        <v>7.0000000000000007E-2</v>
      </c>
    </row>
    <row r="42" spans="1:7" x14ac:dyDescent="0.3">
      <c r="A42" t="s">
        <v>1220</v>
      </c>
      <c r="B42">
        <v>0.03</v>
      </c>
      <c r="C42" t="s">
        <v>461</v>
      </c>
      <c r="D42" t="s">
        <v>1450</v>
      </c>
      <c r="F42" t="s">
        <v>1220</v>
      </c>
      <c r="G42" s="180">
        <v>7.0000000000000007E-2</v>
      </c>
    </row>
    <row r="43" spans="1:7" x14ac:dyDescent="0.3">
      <c r="A43" t="s">
        <v>396</v>
      </c>
      <c r="B43" t="s">
        <v>461</v>
      </c>
      <c r="C43" t="s">
        <v>461</v>
      </c>
      <c r="D43" t="s">
        <v>1450</v>
      </c>
      <c r="F43" t="s">
        <v>396</v>
      </c>
      <c r="G43" s="180">
        <v>7.0000000000000007E-2</v>
      </c>
    </row>
    <row r="44" spans="1:7" x14ac:dyDescent="0.3">
      <c r="A44" t="s">
        <v>1243</v>
      </c>
      <c r="B44" t="s">
        <v>461</v>
      </c>
      <c r="C44" t="s">
        <v>461</v>
      </c>
      <c r="D44" t="s">
        <v>1450</v>
      </c>
      <c r="F44" t="s">
        <v>1243</v>
      </c>
      <c r="G44" s="180">
        <v>7.0000000000000007E-2</v>
      </c>
    </row>
    <row r="45" spans="1:7" x14ac:dyDescent="0.3">
      <c r="A45" t="s">
        <v>1268</v>
      </c>
      <c r="B45" t="s">
        <v>461</v>
      </c>
      <c r="C45" t="s">
        <v>461</v>
      </c>
      <c r="D45" t="s">
        <v>1450</v>
      </c>
      <c r="F45" t="s">
        <v>1268</v>
      </c>
      <c r="G45" s="180">
        <v>7.0000000000000007E-2</v>
      </c>
    </row>
    <row r="46" spans="1:7" x14ac:dyDescent="0.3">
      <c r="A46" t="s">
        <v>1280</v>
      </c>
      <c r="B46">
        <v>0.03</v>
      </c>
      <c r="C46">
        <v>0.03</v>
      </c>
      <c r="D46" t="s">
        <v>1450</v>
      </c>
      <c r="F46" t="s">
        <v>1280</v>
      </c>
      <c r="G46" s="180">
        <v>7.0000000000000007E-2</v>
      </c>
    </row>
    <row r="47" spans="1:7" x14ac:dyDescent="0.3">
      <c r="A47" t="s">
        <v>1284</v>
      </c>
      <c r="B47" t="s">
        <v>461</v>
      </c>
      <c r="C47" t="s">
        <v>461</v>
      </c>
      <c r="D47" t="s">
        <v>1450</v>
      </c>
      <c r="F47" t="s">
        <v>1284</v>
      </c>
      <c r="G47" s="180">
        <v>7.0000000000000007E-2</v>
      </c>
    </row>
    <row r="48" spans="1:7" x14ac:dyDescent="0.3">
      <c r="A48" t="s">
        <v>1294</v>
      </c>
      <c r="B48">
        <v>0.03</v>
      </c>
      <c r="C48" t="s">
        <v>461</v>
      </c>
      <c r="D48" t="s">
        <v>1450</v>
      </c>
      <c r="F48" t="s">
        <v>1294</v>
      </c>
      <c r="G48" s="180">
        <v>7.0000000000000007E-2</v>
      </c>
    </row>
    <row r="49" spans="1:7" x14ac:dyDescent="0.3">
      <c r="A49" t="s">
        <v>1319</v>
      </c>
      <c r="B49">
        <v>0.01</v>
      </c>
      <c r="C49" t="s">
        <v>461</v>
      </c>
      <c r="D49" t="s">
        <v>1450</v>
      </c>
      <c r="F49" t="s">
        <v>1319</v>
      </c>
      <c r="G49" s="180">
        <v>7.0000000000000007E-2</v>
      </c>
    </row>
    <row r="50" spans="1:7" x14ac:dyDescent="0.3">
      <c r="A50" t="s">
        <v>1323</v>
      </c>
      <c r="B50" t="s">
        <v>461</v>
      </c>
      <c r="C50" t="s">
        <v>461</v>
      </c>
      <c r="D50" t="s">
        <v>1450</v>
      </c>
      <c r="F50" t="s">
        <v>1323</v>
      </c>
      <c r="G50" s="180">
        <v>7.0000000000000007E-2</v>
      </c>
    </row>
    <row r="51" spans="1:7" x14ac:dyDescent="0.3">
      <c r="A51" t="s">
        <v>1336</v>
      </c>
      <c r="B51" t="s">
        <v>461</v>
      </c>
      <c r="C51" t="s">
        <v>461</v>
      </c>
      <c r="D51" t="s">
        <v>1450</v>
      </c>
      <c r="F51" t="s">
        <v>1336</v>
      </c>
      <c r="G51" s="180">
        <v>7.0000000000000007E-2</v>
      </c>
    </row>
    <row r="52" spans="1:7" x14ac:dyDescent="0.3">
      <c r="A52" t="s">
        <v>1361</v>
      </c>
      <c r="B52" t="s">
        <v>461</v>
      </c>
      <c r="C52" t="s">
        <v>461</v>
      </c>
      <c r="D52" t="s">
        <v>1450</v>
      </c>
      <c r="F52" t="s">
        <v>1361</v>
      </c>
      <c r="G52" s="180">
        <v>7.0000000000000007E-2</v>
      </c>
    </row>
    <row r="53" spans="1:7" x14ac:dyDescent="0.3">
      <c r="A53" t="s">
        <v>1405</v>
      </c>
      <c r="B53">
        <v>0.03</v>
      </c>
      <c r="C53" t="s">
        <v>461</v>
      </c>
      <c r="D53" t="s">
        <v>1450</v>
      </c>
      <c r="F53" t="s">
        <v>1405</v>
      </c>
      <c r="G53" s="180">
        <v>7.0000000000000007E-2</v>
      </c>
    </row>
    <row r="54" spans="1:7" x14ac:dyDescent="0.3">
      <c r="A54" t="s">
        <v>989</v>
      </c>
      <c r="B54" t="s">
        <v>461</v>
      </c>
      <c r="C54" t="s">
        <v>461</v>
      </c>
      <c r="D54" t="s">
        <v>1450</v>
      </c>
      <c r="F54" s="556" t="s">
        <v>989</v>
      </c>
      <c r="G54" s="180">
        <v>7.0000000000000007E-2</v>
      </c>
    </row>
    <row r="55" spans="1:7" x14ac:dyDescent="0.3">
      <c r="A55" t="s">
        <v>480</v>
      </c>
      <c r="B55" t="s">
        <v>461</v>
      </c>
      <c r="C55" t="s">
        <v>461</v>
      </c>
      <c r="D55" t="s">
        <v>1546</v>
      </c>
      <c r="F55" t="s">
        <v>480</v>
      </c>
      <c r="G55">
        <v>0.09</v>
      </c>
    </row>
    <row r="56" spans="1:7" x14ac:dyDescent="0.3">
      <c r="A56" t="s">
        <v>1162</v>
      </c>
      <c r="B56" t="s">
        <v>461</v>
      </c>
      <c r="C56" t="s">
        <v>461</v>
      </c>
      <c r="D56" t="s">
        <v>1546</v>
      </c>
      <c r="F56" t="s">
        <v>1162</v>
      </c>
      <c r="G56" s="180">
        <v>0.09</v>
      </c>
    </row>
    <row r="57" spans="1:7" x14ac:dyDescent="0.3">
      <c r="A57" t="s">
        <v>811</v>
      </c>
      <c r="B57" t="s">
        <v>461</v>
      </c>
      <c r="C57" t="s">
        <v>461</v>
      </c>
      <c r="D57" t="s">
        <v>1546</v>
      </c>
      <c r="F57" t="s">
        <v>811</v>
      </c>
      <c r="G57" s="180">
        <v>0.09</v>
      </c>
    </row>
    <row r="58" spans="1:7" x14ac:dyDescent="0.3">
      <c r="A58" t="s">
        <v>497</v>
      </c>
      <c r="B58" t="s">
        <v>461</v>
      </c>
      <c r="C58" t="s">
        <v>461</v>
      </c>
      <c r="D58" t="s">
        <v>1546</v>
      </c>
      <c r="F58" t="s">
        <v>497</v>
      </c>
      <c r="G58" s="180">
        <v>0.09</v>
      </c>
    </row>
    <row r="59" spans="1:7" x14ac:dyDescent="0.3">
      <c r="A59" t="s">
        <v>1200</v>
      </c>
      <c r="B59" t="s">
        <v>461</v>
      </c>
      <c r="C59" t="s">
        <v>461</v>
      </c>
      <c r="D59" t="s">
        <v>1546</v>
      </c>
      <c r="F59" t="s">
        <v>1200</v>
      </c>
      <c r="G59" s="180">
        <v>0.09</v>
      </c>
    </row>
    <row r="60" spans="1:7" x14ac:dyDescent="0.3">
      <c r="A60" t="s">
        <v>1203</v>
      </c>
      <c r="B60" t="s">
        <v>461</v>
      </c>
      <c r="C60" t="s">
        <v>461</v>
      </c>
      <c r="D60" t="s">
        <v>1546</v>
      </c>
      <c r="F60" t="s">
        <v>1203</v>
      </c>
      <c r="G60" s="180">
        <v>0.09</v>
      </c>
    </row>
    <row r="61" spans="1:7" x14ac:dyDescent="0.3">
      <c r="A61" t="s">
        <v>1205</v>
      </c>
      <c r="B61" t="s">
        <v>461</v>
      </c>
      <c r="C61" t="s">
        <v>461</v>
      </c>
      <c r="D61" t="s">
        <v>1546</v>
      </c>
      <c r="F61" t="s">
        <v>1205</v>
      </c>
      <c r="G61" s="180">
        <v>0.09</v>
      </c>
    </row>
    <row r="62" spans="1:7" x14ac:dyDescent="0.3">
      <c r="A62" t="s">
        <v>1235</v>
      </c>
      <c r="B62" t="s">
        <v>461</v>
      </c>
      <c r="C62" t="s">
        <v>461</v>
      </c>
      <c r="D62" t="s">
        <v>1546</v>
      </c>
      <c r="F62" t="s">
        <v>1235</v>
      </c>
      <c r="G62" s="180">
        <v>0.09</v>
      </c>
    </row>
    <row r="63" spans="1:7" x14ac:dyDescent="0.3">
      <c r="A63" t="s">
        <v>1257</v>
      </c>
      <c r="B63" t="s">
        <v>461</v>
      </c>
      <c r="C63" t="s">
        <v>461</v>
      </c>
      <c r="D63" t="s">
        <v>1546</v>
      </c>
      <c r="F63" t="s">
        <v>1257</v>
      </c>
      <c r="G63" s="180">
        <v>0.09</v>
      </c>
    </row>
    <row r="64" spans="1:7" x14ac:dyDescent="0.3">
      <c r="A64" s="564" t="s">
        <v>437</v>
      </c>
      <c r="B64" s="556" t="s">
        <v>461</v>
      </c>
      <c r="C64" s="556" t="s">
        <v>461</v>
      </c>
      <c r="D64" s="556" t="s">
        <v>1546</v>
      </c>
      <c r="E64" s="556"/>
      <c r="F64" s="556" t="s">
        <v>437</v>
      </c>
      <c r="G64" s="180">
        <v>0.09</v>
      </c>
    </row>
    <row r="65" spans="1:7" x14ac:dyDescent="0.3">
      <c r="A65" t="s">
        <v>439</v>
      </c>
      <c r="B65" t="s">
        <v>461</v>
      </c>
      <c r="C65" t="s">
        <v>461</v>
      </c>
      <c r="D65" t="s">
        <v>1546</v>
      </c>
      <c r="F65" t="s">
        <v>439</v>
      </c>
      <c r="G65" s="180">
        <v>0.09</v>
      </c>
    </row>
    <row r="66" spans="1:7" x14ac:dyDescent="0.3">
      <c r="A66" t="s">
        <v>526</v>
      </c>
      <c r="B66" t="s">
        <v>461</v>
      </c>
      <c r="C66" t="s">
        <v>461</v>
      </c>
      <c r="D66" t="s">
        <v>1546</v>
      </c>
      <c r="F66" t="s">
        <v>526</v>
      </c>
      <c r="G66" s="180">
        <v>0.09</v>
      </c>
    </row>
    <row r="67" spans="1:7" x14ac:dyDescent="0.3">
      <c r="A67" t="s">
        <v>1360</v>
      </c>
      <c r="B67" t="s">
        <v>461</v>
      </c>
      <c r="C67" t="s">
        <v>461</v>
      </c>
      <c r="D67" t="s">
        <v>1546</v>
      </c>
      <c r="F67" t="s">
        <v>1360</v>
      </c>
      <c r="G67" s="180">
        <v>0.09</v>
      </c>
    </row>
    <row r="68" spans="1:7" x14ac:dyDescent="0.3">
      <c r="A68" t="s">
        <v>544</v>
      </c>
      <c r="B68" t="s">
        <v>461</v>
      </c>
      <c r="C68" t="s">
        <v>461</v>
      </c>
      <c r="D68" t="s">
        <v>1546</v>
      </c>
      <c r="F68" t="s">
        <v>544</v>
      </c>
      <c r="G68" s="180">
        <v>0.09</v>
      </c>
    </row>
    <row r="69" spans="1:7" s="180" customFormat="1" x14ac:dyDescent="0.3">
      <c r="A69" s="564" t="s">
        <v>987</v>
      </c>
      <c r="B69" t="s">
        <v>461</v>
      </c>
      <c r="C69" t="s">
        <v>461</v>
      </c>
      <c r="D69" s="180" t="s">
        <v>1546</v>
      </c>
      <c r="F69" t="s">
        <v>987</v>
      </c>
      <c r="G69" s="180">
        <v>0.09</v>
      </c>
    </row>
    <row r="70" spans="1:7" x14ac:dyDescent="0.3">
      <c r="A70" t="s">
        <v>1024</v>
      </c>
      <c r="B70" t="s">
        <v>461</v>
      </c>
      <c r="C70" t="s">
        <v>461</v>
      </c>
      <c r="D70" t="s">
        <v>1546</v>
      </c>
      <c r="F70" t="s">
        <v>1024</v>
      </c>
      <c r="G70" s="180">
        <v>0.09</v>
      </c>
    </row>
    <row r="71" spans="1:7" x14ac:dyDescent="0.3">
      <c r="A71" t="s">
        <v>1030</v>
      </c>
      <c r="B71" t="s">
        <v>461</v>
      </c>
      <c r="C71" t="s">
        <v>461</v>
      </c>
      <c r="D71" t="s">
        <v>1546</v>
      </c>
      <c r="F71" t="s">
        <v>1030</v>
      </c>
      <c r="G71" s="180">
        <v>0.09</v>
      </c>
    </row>
    <row r="72" spans="1:7" x14ac:dyDescent="0.3">
      <c r="A72" t="s">
        <v>1045</v>
      </c>
      <c r="B72" t="s">
        <v>461</v>
      </c>
      <c r="C72" t="s">
        <v>461</v>
      </c>
      <c r="D72" t="s">
        <v>1546</v>
      </c>
      <c r="F72" t="s">
        <v>1045</v>
      </c>
      <c r="G72" s="180">
        <v>0.09</v>
      </c>
    </row>
    <row r="73" spans="1:7" x14ac:dyDescent="0.3">
      <c r="A73" t="s">
        <v>1048</v>
      </c>
      <c r="B73" t="s">
        <v>461</v>
      </c>
      <c r="C73" t="s">
        <v>461</v>
      </c>
      <c r="D73" t="s">
        <v>1546</v>
      </c>
      <c r="F73" t="s">
        <v>1048</v>
      </c>
      <c r="G73" s="180">
        <v>0.09</v>
      </c>
    </row>
    <row r="89" spans="6:6" x14ac:dyDescent="0.3">
      <c r="F89" t="s">
        <v>349</v>
      </c>
    </row>
    <row r="90" spans="6:6" x14ac:dyDescent="0.3">
      <c r="F90" t="s">
        <v>349</v>
      </c>
    </row>
    <row r="91" spans="6:6" x14ac:dyDescent="0.3">
      <c r="F91" t="s">
        <v>349</v>
      </c>
    </row>
  </sheetData>
  <sortState xmlns:xlrd2="http://schemas.microsoft.com/office/spreadsheetml/2017/richdata2" ref="F55:F88">
    <sortCondition ref="F55:F8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50"/>
  <sheetViews>
    <sheetView topLeftCell="A113" workbookViewId="0">
      <selection activeCell="N145" sqref="N145"/>
    </sheetView>
  </sheetViews>
  <sheetFormatPr defaultRowHeight="14.4" x14ac:dyDescent="0.3"/>
  <cols>
    <col min="1" max="1" width="20.6640625" style="604" customWidth="1"/>
    <col min="2" max="2" width="24.6640625" style="604" customWidth="1"/>
    <col min="3" max="3" width="11.33203125" style="789" customWidth="1"/>
    <col min="4" max="4" width="12.109375" style="605" customWidth="1"/>
    <col min="5" max="5" width="14.33203125" style="605" customWidth="1"/>
    <col min="6" max="6" width="3.44140625" style="604" customWidth="1"/>
    <col min="7" max="7" width="17.33203125" style="604" customWidth="1"/>
    <col min="8" max="8" width="2.109375" style="604" customWidth="1"/>
    <col min="9" max="9" width="7.5546875" style="789" customWidth="1"/>
    <col min="10" max="10" width="12.109375" style="605" customWidth="1"/>
    <col min="11" max="11" width="14.33203125" style="605" customWidth="1"/>
    <col min="12" max="251" width="8.88671875" style="604"/>
    <col min="252" max="252" width="15.88671875" style="604" customWidth="1"/>
    <col min="253" max="253" width="2.109375" style="604" customWidth="1"/>
    <col min="254" max="254" width="7.5546875" style="604" customWidth="1"/>
    <col min="255" max="255" width="12.109375" style="604" customWidth="1"/>
    <col min="256" max="256" width="14.33203125" style="604" customWidth="1"/>
    <col min="257" max="257" width="3.44140625" style="604" customWidth="1"/>
    <col min="258" max="258" width="17.33203125" style="604" customWidth="1"/>
    <col min="259" max="259" width="2.109375" style="604" customWidth="1"/>
    <col min="260" max="260" width="7.5546875" style="604" customWidth="1"/>
    <col min="261" max="261" width="12.109375" style="604" customWidth="1"/>
    <col min="262" max="262" width="14.33203125" style="604" customWidth="1"/>
    <col min="263" max="263" width="42.5546875" style="604" customWidth="1"/>
    <col min="264" max="507" width="8.88671875" style="604"/>
    <col min="508" max="508" width="15.88671875" style="604" customWidth="1"/>
    <col min="509" max="509" width="2.109375" style="604" customWidth="1"/>
    <col min="510" max="510" width="7.5546875" style="604" customWidth="1"/>
    <col min="511" max="511" width="12.109375" style="604" customWidth="1"/>
    <col min="512" max="512" width="14.33203125" style="604" customWidth="1"/>
    <col min="513" max="513" width="3.44140625" style="604" customWidth="1"/>
    <col min="514" max="514" width="17.33203125" style="604" customWidth="1"/>
    <col min="515" max="515" width="2.109375" style="604" customWidth="1"/>
    <col min="516" max="516" width="7.5546875" style="604" customWidth="1"/>
    <col min="517" max="517" width="12.109375" style="604" customWidth="1"/>
    <col min="518" max="518" width="14.33203125" style="604" customWidth="1"/>
    <col min="519" max="519" width="42.5546875" style="604" customWidth="1"/>
    <col min="520" max="763" width="8.88671875" style="604"/>
    <col min="764" max="764" width="15.88671875" style="604" customWidth="1"/>
    <col min="765" max="765" width="2.109375" style="604" customWidth="1"/>
    <col min="766" max="766" width="7.5546875" style="604" customWidth="1"/>
    <col min="767" max="767" width="12.109375" style="604" customWidth="1"/>
    <col min="768" max="768" width="14.33203125" style="604" customWidth="1"/>
    <col min="769" max="769" width="3.44140625" style="604" customWidth="1"/>
    <col min="770" max="770" width="17.33203125" style="604" customWidth="1"/>
    <col min="771" max="771" width="2.109375" style="604" customWidth="1"/>
    <col min="772" max="772" width="7.5546875" style="604" customWidth="1"/>
    <col min="773" max="773" width="12.109375" style="604" customWidth="1"/>
    <col min="774" max="774" width="14.33203125" style="604" customWidth="1"/>
    <col min="775" max="775" width="42.5546875" style="604" customWidth="1"/>
    <col min="776" max="1019" width="8.88671875" style="604"/>
    <col min="1020" max="1020" width="15.88671875" style="604" customWidth="1"/>
    <col min="1021" max="1021" width="2.109375" style="604" customWidth="1"/>
    <col min="1022" max="1022" width="7.5546875" style="604" customWidth="1"/>
    <col min="1023" max="1023" width="12.109375" style="604" customWidth="1"/>
    <col min="1024" max="1024" width="14.33203125" style="604" customWidth="1"/>
    <col min="1025" max="1025" width="3.44140625" style="604" customWidth="1"/>
    <col min="1026" max="1026" width="17.33203125" style="604" customWidth="1"/>
    <col min="1027" max="1027" width="2.109375" style="604" customWidth="1"/>
    <col min="1028" max="1028" width="7.5546875" style="604" customWidth="1"/>
    <col min="1029" max="1029" width="12.109375" style="604" customWidth="1"/>
    <col min="1030" max="1030" width="14.33203125" style="604" customWidth="1"/>
    <col min="1031" max="1031" width="42.5546875" style="604" customWidth="1"/>
    <col min="1032" max="1275" width="8.88671875" style="604"/>
    <col min="1276" max="1276" width="15.88671875" style="604" customWidth="1"/>
    <col min="1277" max="1277" width="2.109375" style="604" customWidth="1"/>
    <col min="1278" max="1278" width="7.5546875" style="604" customWidth="1"/>
    <col min="1279" max="1279" width="12.109375" style="604" customWidth="1"/>
    <col min="1280" max="1280" width="14.33203125" style="604" customWidth="1"/>
    <col min="1281" max="1281" width="3.44140625" style="604" customWidth="1"/>
    <col min="1282" max="1282" width="17.33203125" style="604" customWidth="1"/>
    <col min="1283" max="1283" width="2.109375" style="604" customWidth="1"/>
    <col min="1284" max="1284" width="7.5546875" style="604" customWidth="1"/>
    <col min="1285" max="1285" width="12.109375" style="604" customWidth="1"/>
    <col min="1286" max="1286" width="14.33203125" style="604" customWidth="1"/>
    <col min="1287" max="1287" width="42.5546875" style="604" customWidth="1"/>
    <col min="1288" max="1531" width="8.88671875" style="604"/>
    <col min="1532" max="1532" width="15.88671875" style="604" customWidth="1"/>
    <col min="1533" max="1533" width="2.109375" style="604" customWidth="1"/>
    <col min="1534" max="1534" width="7.5546875" style="604" customWidth="1"/>
    <col min="1535" max="1535" width="12.109375" style="604" customWidth="1"/>
    <col min="1536" max="1536" width="14.33203125" style="604" customWidth="1"/>
    <col min="1537" max="1537" width="3.44140625" style="604" customWidth="1"/>
    <col min="1538" max="1538" width="17.33203125" style="604" customWidth="1"/>
    <col min="1539" max="1539" width="2.109375" style="604" customWidth="1"/>
    <col min="1540" max="1540" width="7.5546875" style="604" customWidth="1"/>
    <col min="1541" max="1541" width="12.109375" style="604" customWidth="1"/>
    <col min="1542" max="1542" width="14.33203125" style="604" customWidth="1"/>
    <col min="1543" max="1543" width="42.5546875" style="604" customWidth="1"/>
    <col min="1544" max="1787" width="8.88671875" style="604"/>
    <col min="1788" max="1788" width="15.88671875" style="604" customWidth="1"/>
    <col min="1789" max="1789" width="2.109375" style="604" customWidth="1"/>
    <col min="1790" max="1790" width="7.5546875" style="604" customWidth="1"/>
    <col min="1791" max="1791" width="12.109375" style="604" customWidth="1"/>
    <col min="1792" max="1792" width="14.33203125" style="604" customWidth="1"/>
    <col min="1793" max="1793" width="3.44140625" style="604" customWidth="1"/>
    <col min="1794" max="1794" width="17.33203125" style="604" customWidth="1"/>
    <col min="1795" max="1795" width="2.109375" style="604" customWidth="1"/>
    <col min="1796" max="1796" width="7.5546875" style="604" customWidth="1"/>
    <col min="1797" max="1797" width="12.109375" style="604" customWidth="1"/>
    <col min="1798" max="1798" width="14.33203125" style="604" customWidth="1"/>
    <col min="1799" max="1799" width="42.5546875" style="604" customWidth="1"/>
    <col min="1800" max="2043" width="8.88671875" style="604"/>
    <col min="2044" max="2044" width="15.88671875" style="604" customWidth="1"/>
    <col min="2045" max="2045" width="2.109375" style="604" customWidth="1"/>
    <col min="2046" max="2046" width="7.5546875" style="604" customWidth="1"/>
    <col min="2047" max="2047" width="12.109375" style="604" customWidth="1"/>
    <col min="2048" max="2048" width="14.33203125" style="604" customWidth="1"/>
    <col min="2049" max="2049" width="3.44140625" style="604" customWidth="1"/>
    <col min="2050" max="2050" width="17.33203125" style="604" customWidth="1"/>
    <col min="2051" max="2051" width="2.109375" style="604" customWidth="1"/>
    <col min="2052" max="2052" width="7.5546875" style="604" customWidth="1"/>
    <col min="2053" max="2053" width="12.109375" style="604" customWidth="1"/>
    <col min="2054" max="2054" width="14.33203125" style="604" customWidth="1"/>
    <col min="2055" max="2055" width="42.5546875" style="604" customWidth="1"/>
    <col min="2056" max="2299" width="8.88671875" style="604"/>
    <col min="2300" max="2300" width="15.88671875" style="604" customWidth="1"/>
    <col min="2301" max="2301" width="2.109375" style="604" customWidth="1"/>
    <col min="2302" max="2302" width="7.5546875" style="604" customWidth="1"/>
    <col min="2303" max="2303" width="12.109375" style="604" customWidth="1"/>
    <col min="2304" max="2304" width="14.33203125" style="604" customWidth="1"/>
    <col min="2305" max="2305" width="3.44140625" style="604" customWidth="1"/>
    <col min="2306" max="2306" width="17.33203125" style="604" customWidth="1"/>
    <col min="2307" max="2307" width="2.109375" style="604" customWidth="1"/>
    <col min="2308" max="2308" width="7.5546875" style="604" customWidth="1"/>
    <col min="2309" max="2309" width="12.109375" style="604" customWidth="1"/>
    <col min="2310" max="2310" width="14.33203125" style="604" customWidth="1"/>
    <col min="2311" max="2311" width="42.5546875" style="604" customWidth="1"/>
    <col min="2312" max="2555" width="8.88671875" style="604"/>
    <col min="2556" max="2556" width="15.88671875" style="604" customWidth="1"/>
    <col min="2557" max="2557" width="2.109375" style="604" customWidth="1"/>
    <col min="2558" max="2558" width="7.5546875" style="604" customWidth="1"/>
    <col min="2559" max="2559" width="12.109375" style="604" customWidth="1"/>
    <col min="2560" max="2560" width="14.33203125" style="604" customWidth="1"/>
    <col min="2561" max="2561" width="3.44140625" style="604" customWidth="1"/>
    <col min="2562" max="2562" width="17.33203125" style="604" customWidth="1"/>
    <col min="2563" max="2563" width="2.109375" style="604" customWidth="1"/>
    <col min="2564" max="2564" width="7.5546875" style="604" customWidth="1"/>
    <col min="2565" max="2565" width="12.109375" style="604" customWidth="1"/>
    <col min="2566" max="2566" width="14.33203125" style="604" customWidth="1"/>
    <col min="2567" max="2567" width="42.5546875" style="604" customWidth="1"/>
    <col min="2568" max="2811" width="8.88671875" style="604"/>
    <col min="2812" max="2812" width="15.88671875" style="604" customWidth="1"/>
    <col min="2813" max="2813" width="2.109375" style="604" customWidth="1"/>
    <col min="2814" max="2814" width="7.5546875" style="604" customWidth="1"/>
    <col min="2815" max="2815" width="12.109375" style="604" customWidth="1"/>
    <col min="2816" max="2816" width="14.33203125" style="604" customWidth="1"/>
    <col min="2817" max="2817" width="3.44140625" style="604" customWidth="1"/>
    <col min="2818" max="2818" width="17.33203125" style="604" customWidth="1"/>
    <col min="2819" max="2819" width="2.109375" style="604" customWidth="1"/>
    <col min="2820" max="2820" width="7.5546875" style="604" customWidth="1"/>
    <col min="2821" max="2821" width="12.109375" style="604" customWidth="1"/>
    <col min="2822" max="2822" width="14.33203125" style="604" customWidth="1"/>
    <col min="2823" max="2823" width="42.5546875" style="604" customWidth="1"/>
    <col min="2824" max="3067" width="8.88671875" style="604"/>
    <col min="3068" max="3068" width="15.88671875" style="604" customWidth="1"/>
    <col min="3069" max="3069" width="2.109375" style="604" customWidth="1"/>
    <col min="3070" max="3070" width="7.5546875" style="604" customWidth="1"/>
    <col min="3071" max="3071" width="12.109375" style="604" customWidth="1"/>
    <col min="3072" max="3072" width="14.33203125" style="604" customWidth="1"/>
    <col min="3073" max="3073" width="3.44140625" style="604" customWidth="1"/>
    <col min="3074" max="3074" width="17.33203125" style="604" customWidth="1"/>
    <col min="3075" max="3075" width="2.109375" style="604" customWidth="1"/>
    <col min="3076" max="3076" width="7.5546875" style="604" customWidth="1"/>
    <col min="3077" max="3077" width="12.109375" style="604" customWidth="1"/>
    <col min="3078" max="3078" width="14.33203125" style="604" customWidth="1"/>
    <col min="3079" max="3079" width="42.5546875" style="604" customWidth="1"/>
    <col min="3080" max="3323" width="8.88671875" style="604"/>
    <col min="3324" max="3324" width="15.88671875" style="604" customWidth="1"/>
    <col min="3325" max="3325" width="2.109375" style="604" customWidth="1"/>
    <col min="3326" max="3326" width="7.5546875" style="604" customWidth="1"/>
    <col min="3327" max="3327" width="12.109375" style="604" customWidth="1"/>
    <col min="3328" max="3328" width="14.33203125" style="604" customWidth="1"/>
    <col min="3329" max="3329" width="3.44140625" style="604" customWidth="1"/>
    <col min="3330" max="3330" width="17.33203125" style="604" customWidth="1"/>
    <col min="3331" max="3331" width="2.109375" style="604" customWidth="1"/>
    <col min="3332" max="3332" width="7.5546875" style="604" customWidth="1"/>
    <col min="3333" max="3333" width="12.109375" style="604" customWidth="1"/>
    <col min="3334" max="3334" width="14.33203125" style="604" customWidth="1"/>
    <col min="3335" max="3335" width="42.5546875" style="604" customWidth="1"/>
    <col min="3336" max="3579" width="8.88671875" style="604"/>
    <col min="3580" max="3580" width="15.88671875" style="604" customWidth="1"/>
    <col min="3581" max="3581" width="2.109375" style="604" customWidth="1"/>
    <col min="3582" max="3582" width="7.5546875" style="604" customWidth="1"/>
    <col min="3583" max="3583" width="12.109375" style="604" customWidth="1"/>
    <col min="3584" max="3584" width="14.33203125" style="604" customWidth="1"/>
    <col min="3585" max="3585" width="3.44140625" style="604" customWidth="1"/>
    <col min="3586" max="3586" width="17.33203125" style="604" customWidth="1"/>
    <col min="3587" max="3587" width="2.109375" style="604" customWidth="1"/>
    <col min="3588" max="3588" width="7.5546875" style="604" customWidth="1"/>
    <col min="3589" max="3589" width="12.109375" style="604" customWidth="1"/>
    <col min="3590" max="3590" width="14.33203125" style="604" customWidth="1"/>
    <col min="3591" max="3591" width="42.5546875" style="604" customWidth="1"/>
    <col min="3592" max="3835" width="8.88671875" style="604"/>
    <col min="3836" max="3836" width="15.88671875" style="604" customWidth="1"/>
    <col min="3837" max="3837" width="2.109375" style="604" customWidth="1"/>
    <col min="3838" max="3838" width="7.5546875" style="604" customWidth="1"/>
    <col min="3839" max="3839" width="12.109375" style="604" customWidth="1"/>
    <col min="3840" max="3840" width="14.33203125" style="604" customWidth="1"/>
    <col min="3841" max="3841" width="3.44140625" style="604" customWidth="1"/>
    <col min="3842" max="3842" width="17.33203125" style="604" customWidth="1"/>
    <col min="3843" max="3843" width="2.109375" style="604" customWidth="1"/>
    <col min="3844" max="3844" width="7.5546875" style="604" customWidth="1"/>
    <col min="3845" max="3845" width="12.109375" style="604" customWidth="1"/>
    <col min="3846" max="3846" width="14.33203125" style="604" customWidth="1"/>
    <col min="3847" max="3847" width="42.5546875" style="604" customWidth="1"/>
    <col min="3848" max="4091" width="8.88671875" style="604"/>
    <col min="4092" max="4092" width="15.88671875" style="604" customWidth="1"/>
    <col min="4093" max="4093" width="2.109375" style="604" customWidth="1"/>
    <col min="4094" max="4094" width="7.5546875" style="604" customWidth="1"/>
    <col min="4095" max="4095" width="12.109375" style="604" customWidth="1"/>
    <col min="4096" max="4096" width="14.33203125" style="604" customWidth="1"/>
    <col min="4097" max="4097" width="3.44140625" style="604" customWidth="1"/>
    <col min="4098" max="4098" width="17.33203125" style="604" customWidth="1"/>
    <col min="4099" max="4099" width="2.109375" style="604" customWidth="1"/>
    <col min="4100" max="4100" width="7.5546875" style="604" customWidth="1"/>
    <col min="4101" max="4101" width="12.109375" style="604" customWidth="1"/>
    <col min="4102" max="4102" width="14.33203125" style="604" customWidth="1"/>
    <col min="4103" max="4103" width="42.5546875" style="604" customWidth="1"/>
    <col min="4104" max="4347" width="8.88671875" style="604"/>
    <col min="4348" max="4348" width="15.88671875" style="604" customWidth="1"/>
    <col min="4349" max="4349" width="2.109375" style="604" customWidth="1"/>
    <col min="4350" max="4350" width="7.5546875" style="604" customWidth="1"/>
    <col min="4351" max="4351" width="12.109375" style="604" customWidth="1"/>
    <col min="4352" max="4352" width="14.33203125" style="604" customWidth="1"/>
    <col min="4353" max="4353" width="3.44140625" style="604" customWidth="1"/>
    <col min="4354" max="4354" width="17.33203125" style="604" customWidth="1"/>
    <col min="4355" max="4355" width="2.109375" style="604" customWidth="1"/>
    <col min="4356" max="4356" width="7.5546875" style="604" customWidth="1"/>
    <col min="4357" max="4357" width="12.109375" style="604" customWidth="1"/>
    <col min="4358" max="4358" width="14.33203125" style="604" customWidth="1"/>
    <col min="4359" max="4359" width="42.5546875" style="604" customWidth="1"/>
    <col min="4360" max="4603" width="8.88671875" style="604"/>
    <col min="4604" max="4604" width="15.88671875" style="604" customWidth="1"/>
    <col min="4605" max="4605" width="2.109375" style="604" customWidth="1"/>
    <col min="4606" max="4606" width="7.5546875" style="604" customWidth="1"/>
    <col min="4607" max="4607" width="12.109375" style="604" customWidth="1"/>
    <col min="4608" max="4608" width="14.33203125" style="604" customWidth="1"/>
    <col min="4609" max="4609" width="3.44140625" style="604" customWidth="1"/>
    <col min="4610" max="4610" width="17.33203125" style="604" customWidth="1"/>
    <col min="4611" max="4611" width="2.109375" style="604" customWidth="1"/>
    <col min="4612" max="4612" width="7.5546875" style="604" customWidth="1"/>
    <col min="4613" max="4613" width="12.109375" style="604" customWidth="1"/>
    <col min="4614" max="4614" width="14.33203125" style="604" customWidth="1"/>
    <col min="4615" max="4615" width="42.5546875" style="604" customWidth="1"/>
    <col min="4616" max="4859" width="8.88671875" style="604"/>
    <col min="4860" max="4860" width="15.88671875" style="604" customWidth="1"/>
    <col min="4861" max="4861" width="2.109375" style="604" customWidth="1"/>
    <col min="4862" max="4862" width="7.5546875" style="604" customWidth="1"/>
    <col min="4863" max="4863" width="12.109375" style="604" customWidth="1"/>
    <col min="4864" max="4864" width="14.33203125" style="604" customWidth="1"/>
    <col min="4865" max="4865" width="3.44140625" style="604" customWidth="1"/>
    <col min="4866" max="4866" width="17.33203125" style="604" customWidth="1"/>
    <col min="4867" max="4867" width="2.109375" style="604" customWidth="1"/>
    <col min="4868" max="4868" width="7.5546875" style="604" customWidth="1"/>
    <col min="4869" max="4869" width="12.109375" style="604" customWidth="1"/>
    <col min="4870" max="4870" width="14.33203125" style="604" customWidth="1"/>
    <col min="4871" max="4871" width="42.5546875" style="604" customWidth="1"/>
    <col min="4872" max="5115" width="8.88671875" style="604"/>
    <col min="5116" max="5116" width="15.88671875" style="604" customWidth="1"/>
    <col min="5117" max="5117" width="2.109375" style="604" customWidth="1"/>
    <col min="5118" max="5118" width="7.5546875" style="604" customWidth="1"/>
    <col min="5119" max="5119" width="12.109375" style="604" customWidth="1"/>
    <col min="5120" max="5120" width="14.33203125" style="604" customWidth="1"/>
    <col min="5121" max="5121" width="3.44140625" style="604" customWidth="1"/>
    <col min="5122" max="5122" width="17.33203125" style="604" customWidth="1"/>
    <col min="5123" max="5123" width="2.109375" style="604" customWidth="1"/>
    <col min="5124" max="5124" width="7.5546875" style="604" customWidth="1"/>
    <col min="5125" max="5125" width="12.109375" style="604" customWidth="1"/>
    <col min="5126" max="5126" width="14.33203125" style="604" customWidth="1"/>
    <col min="5127" max="5127" width="42.5546875" style="604" customWidth="1"/>
    <col min="5128" max="5371" width="8.88671875" style="604"/>
    <col min="5372" max="5372" width="15.88671875" style="604" customWidth="1"/>
    <col min="5373" max="5373" width="2.109375" style="604" customWidth="1"/>
    <col min="5374" max="5374" width="7.5546875" style="604" customWidth="1"/>
    <col min="5375" max="5375" width="12.109375" style="604" customWidth="1"/>
    <col min="5376" max="5376" width="14.33203125" style="604" customWidth="1"/>
    <col min="5377" max="5377" width="3.44140625" style="604" customWidth="1"/>
    <col min="5378" max="5378" width="17.33203125" style="604" customWidth="1"/>
    <col min="5379" max="5379" width="2.109375" style="604" customWidth="1"/>
    <col min="5380" max="5380" width="7.5546875" style="604" customWidth="1"/>
    <col min="5381" max="5381" width="12.109375" style="604" customWidth="1"/>
    <col min="5382" max="5382" width="14.33203125" style="604" customWidth="1"/>
    <col min="5383" max="5383" width="42.5546875" style="604" customWidth="1"/>
    <col min="5384" max="5627" width="8.88671875" style="604"/>
    <col min="5628" max="5628" width="15.88671875" style="604" customWidth="1"/>
    <col min="5629" max="5629" width="2.109375" style="604" customWidth="1"/>
    <col min="5630" max="5630" width="7.5546875" style="604" customWidth="1"/>
    <col min="5631" max="5631" width="12.109375" style="604" customWidth="1"/>
    <col min="5632" max="5632" width="14.33203125" style="604" customWidth="1"/>
    <col min="5633" max="5633" width="3.44140625" style="604" customWidth="1"/>
    <col min="5634" max="5634" width="17.33203125" style="604" customWidth="1"/>
    <col min="5635" max="5635" width="2.109375" style="604" customWidth="1"/>
    <col min="5636" max="5636" width="7.5546875" style="604" customWidth="1"/>
    <col min="5637" max="5637" width="12.109375" style="604" customWidth="1"/>
    <col min="5638" max="5638" width="14.33203125" style="604" customWidth="1"/>
    <col min="5639" max="5639" width="42.5546875" style="604" customWidth="1"/>
    <col min="5640" max="5883" width="8.88671875" style="604"/>
    <col min="5884" max="5884" width="15.88671875" style="604" customWidth="1"/>
    <col min="5885" max="5885" width="2.109375" style="604" customWidth="1"/>
    <col min="5886" max="5886" width="7.5546875" style="604" customWidth="1"/>
    <col min="5887" max="5887" width="12.109375" style="604" customWidth="1"/>
    <col min="5888" max="5888" width="14.33203125" style="604" customWidth="1"/>
    <col min="5889" max="5889" width="3.44140625" style="604" customWidth="1"/>
    <col min="5890" max="5890" width="17.33203125" style="604" customWidth="1"/>
    <col min="5891" max="5891" width="2.109375" style="604" customWidth="1"/>
    <col min="5892" max="5892" width="7.5546875" style="604" customWidth="1"/>
    <col min="5893" max="5893" width="12.109375" style="604" customWidth="1"/>
    <col min="5894" max="5894" width="14.33203125" style="604" customWidth="1"/>
    <col min="5895" max="5895" width="42.5546875" style="604" customWidth="1"/>
    <col min="5896" max="6139" width="8.88671875" style="604"/>
    <col min="6140" max="6140" width="15.88671875" style="604" customWidth="1"/>
    <col min="6141" max="6141" width="2.109375" style="604" customWidth="1"/>
    <col min="6142" max="6142" width="7.5546875" style="604" customWidth="1"/>
    <col min="6143" max="6143" width="12.109375" style="604" customWidth="1"/>
    <col min="6144" max="6144" width="14.33203125" style="604" customWidth="1"/>
    <col min="6145" max="6145" width="3.44140625" style="604" customWidth="1"/>
    <col min="6146" max="6146" width="17.33203125" style="604" customWidth="1"/>
    <col min="6147" max="6147" width="2.109375" style="604" customWidth="1"/>
    <col min="6148" max="6148" width="7.5546875" style="604" customWidth="1"/>
    <col min="6149" max="6149" width="12.109375" style="604" customWidth="1"/>
    <col min="6150" max="6150" width="14.33203125" style="604" customWidth="1"/>
    <col min="6151" max="6151" width="42.5546875" style="604" customWidth="1"/>
    <col min="6152" max="6395" width="8.88671875" style="604"/>
    <col min="6396" max="6396" width="15.88671875" style="604" customWidth="1"/>
    <col min="6397" max="6397" width="2.109375" style="604" customWidth="1"/>
    <col min="6398" max="6398" width="7.5546875" style="604" customWidth="1"/>
    <col min="6399" max="6399" width="12.109375" style="604" customWidth="1"/>
    <col min="6400" max="6400" width="14.33203125" style="604" customWidth="1"/>
    <col min="6401" max="6401" width="3.44140625" style="604" customWidth="1"/>
    <col min="6402" max="6402" width="17.33203125" style="604" customWidth="1"/>
    <col min="6403" max="6403" width="2.109375" style="604" customWidth="1"/>
    <col min="6404" max="6404" width="7.5546875" style="604" customWidth="1"/>
    <col min="6405" max="6405" width="12.109375" style="604" customWidth="1"/>
    <col min="6406" max="6406" width="14.33203125" style="604" customWidth="1"/>
    <col min="6407" max="6407" width="42.5546875" style="604" customWidth="1"/>
    <col min="6408" max="6651" width="8.88671875" style="604"/>
    <col min="6652" max="6652" width="15.88671875" style="604" customWidth="1"/>
    <col min="6653" max="6653" width="2.109375" style="604" customWidth="1"/>
    <col min="6654" max="6654" width="7.5546875" style="604" customWidth="1"/>
    <col min="6655" max="6655" width="12.109375" style="604" customWidth="1"/>
    <col min="6656" max="6656" width="14.33203125" style="604" customWidth="1"/>
    <col min="6657" max="6657" width="3.44140625" style="604" customWidth="1"/>
    <col min="6658" max="6658" width="17.33203125" style="604" customWidth="1"/>
    <col min="6659" max="6659" width="2.109375" style="604" customWidth="1"/>
    <col min="6660" max="6660" width="7.5546875" style="604" customWidth="1"/>
    <col min="6661" max="6661" width="12.109375" style="604" customWidth="1"/>
    <col min="6662" max="6662" width="14.33203125" style="604" customWidth="1"/>
    <col min="6663" max="6663" width="42.5546875" style="604" customWidth="1"/>
    <col min="6664" max="6907" width="8.88671875" style="604"/>
    <col min="6908" max="6908" width="15.88671875" style="604" customWidth="1"/>
    <col min="6909" max="6909" width="2.109375" style="604" customWidth="1"/>
    <col min="6910" max="6910" width="7.5546875" style="604" customWidth="1"/>
    <col min="6911" max="6911" width="12.109375" style="604" customWidth="1"/>
    <col min="6912" max="6912" width="14.33203125" style="604" customWidth="1"/>
    <col min="6913" max="6913" width="3.44140625" style="604" customWidth="1"/>
    <col min="6914" max="6914" width="17.33203125" style="604" customWidth="1"/>
    <col min="6915" max="6915" width="2.109375" style="604" customWidth="1"/>
    <col min="6916" max="6916" width="7.5546875" style="604" customWidth="1"/>
    <col min="6917" max="6917" width="12.109375" style="604" customWidth="1"/>
    <col min="6918" max="6918" width="14.33203125" style="604" customWidth="1"/>
    <col min="6919" max="6919" width="42.5546875" style="604" customWidth="1"/>
    <col min="6920" max="7163" width="8.88671875" style="604"/>
    <col min="7164" max="7164" width="15.88671875" style="604" customWidth="1"/>
    <col min="7165" max="7165" width="2.109375" style="604" customWidth="1"/>
    <col min="7166" max="7166" width="7.5546875" style="604" customWidth="1"/>
    <col min="7167" max="7167" width="12.109375" style="604" customWidth="1"/>
    <col min="7168" max="7168" width="14.33203125" style="604" customWidth="1"/>
    <col min="7169" max="7169" width="3.44140625" style="604" customWidth="1"/>
    <col min="7170" max="7170" width="17.33203125" style="604" customWidth="1"/>
    <col min="7171" max="7171" width="2.109375" style="604" customWidth="1"/>
    <col min="7172" max="7172" width="7.5546875" style="604" customWidth="1"/>
    <col min="7173" max="7173" width="12.109375" style="604" customWidth="1"/>
    <col min="7174" max="7174" width="14.33203125" style="604" customWidth="1"/>
    <col min="7175" max="7175" width="42.5546875" style="604" customWidth="1"/>
    <col min="7176" max="7419" width="8.88671875" style="604"/>
    <col min="7420" max="7420" width="15.88671875" style="604" customWidth="1"/>
    <col min="7421" max="7421" width="2.109375" style="604" customWidth="1"/>
    <col min="7422" max="7422" width="7.5546875" style="604" customWidth="1"/>
    <col min="7423" max="7423" width="12.109375" style="604" customWidth="1"/>
    <col min="7424" max="7424" width="14.33203125" style="604" customWidth="1"/>
    <col min="7425" max="7425" width="3.44140625" style="604" customWidth="1"/>
    <col min="7426" max="7426" width="17.33203125" style="604" customWidth="1"/>
    <col min="7427" max="7427" width="2.109375" style="604" customWidth="1"/>
    <col min="7428" max="7428" width="7.5546875" style="604" customWidth="1"/>
    <col min="7429" max="7429" width="12.109375" style="604" customWidth="1"/>
    <col min="7430" max="7430" width="14.33203125" style="604" customWidth="1"/>
    <col min="7431" max="7431" width="42.5546875" style="604" customWidth="1"/>
    <col min="7432" max="7675" width="8.88671875" style="604"/>
    <col min="7676" max="7676" width="15.88671875" style="604" customWidth="1"/>
    <col min="7677" max="7677" width="2.109375" style="604" customWidth="1"/>
    <col min="7678" max="7678" width="7.5546875" style="604" customWidth="1"/>
    <col min="7679" max="7679" width="12.109375" style="604" customWidth="1"/>
    <col min="7680" max="7680" width="14.33203125" style="604" customWidth="1"/>
    <col min="7681" max="7681" width="3.44140625" style="604" customWidth="1"/>
    <col min="7682" max="7682" width="17.33203125" style="604" customWidth="1"/>
    <col min="7683" max="7683" width="2.109375" style="604" customWidth="1"/>
    <col min="7684" max="7684" width="7.5546875" style="604" customWidth="1"/>
    <col min="7685" max="7685" width="12.109375" style="604" customWidth="1"/>
    <col min="7686" max="7686" width="14.33203125" style="604" customWidth="1"/>
    <col min="7687" max="7687" width="42.5546875" style="604" customWidth="1"/>
    <col min="7688" max="7931" width="8.88671875" style="604"/>
    <col min="7932" max="7932" width="15.88671875" style="604" customWidth="1"/>
    <col min="7933" max="7933" width="2.109375" style="604" customWidth="1"/>
    <col min="7934" max="7934" width="7.5546875" style="604" customWidth="1"/>
    <col min="7935" max="7935" width="12.109375" style="604" customWidth="1"/>
    <col min="7936" max="7936" width="14.33203125" style="604" customWidth="1"/>
    <col min="7937" max="7937" width="3.44140625" style="604" customWidth="1"/>
    <col min="7938" max="7938" width="17.33203125" style="604" customWidth="1"/>
    <col min="7939" max="7939" width="2.109375" style="604" customWidth="1"/>
    <col min="7940" max="7940" width="7.5546875" style="604" customWidth="1"/>
    <col min="7941" max="7941" width="12.109375" style="604" customWidth="1"/>
    <col min="7942" max="7942" width="14.33203125" style="604" customWidth="1"/>
    <col min="7943" max="7943" width="42.5546875" style="604" customWidth="1"/>
    <col min="7944" max="8187" width="8.88671875" style="604"/>
    <col min="8188" max="8188" width="15.88671875" style="604" customWidth="1"/>
    <col min="8189" max="8189" width="2.109375" style="604" customWidth="1"/>
    <col min="8190" max="8190" width="7.5546875" style="604" customWidth="1"/>
    <col min="8191" max="8191" width="12.109375" style="604" customWidth="1"/>
    <col min="8192" max="8192" width="14.33203125" style="604" customWidth="1"/>
    <col min="8193" max="8193" width="3.44140625" style="604" customWidth="1"/>
    <col min="8194" max="8194" width="17.33203125" style="604" customWidth="1"/>
    <col min="8195" max="8195" width="2.109375" style="604" customWidth="1"/>
    <col min="8196" max="8196" width="7.5546875" style="604" customWidth="1"/>
    <col min="8197" max="8197" width="12.109375" style="604" customWidth="1"/>
    <col min="8198" max="8198" width="14.33203125" style="604" customWidth="1"/>
    <col min="8199" max="8199" width="42.5546875" style="604" customWidth="1"/>
    <col min="8200" max="8443" width="8.88671875" style="604"/>
    <col min="8444" max="8444" width="15.88671875" style="604" customWidth="1"/>
    <col min="8445" max="8445" width="2.109375" style="604" customWidth="1"/>
    <col min="8446" max="8446" width="7.5546875" style="604" customWidth="1"/>
    <col min="8447" max="8447" width="12.109375" style="604" customWidth="1"/>
    <col min="8448" max="8448" width="14.33203125" style="604" customWidth="1"/>
    <col min="8449" max="8449" width="3.44140625" style="604" customWidth="1"/>
    <col min="8450" max="8450" width="17.33203125" style="604" customWidth="1"/>
    <col min="8451" max="8451" width="2.109375" style="604" customWidth="1"/>
    <col min="8452" max="8452" width="7.5546875" style="604" customWidth="1"/>
    <col min="8453" max="8453" width="12.109375" style="604" customWidth="1"/>
    <col min="8454" max="8454" width="14.33203125" style="604" customWidth="1"/>
    <col min="8455" max="8455" width="42.5546875" style="604" customWidth="1"/>
    <col min="8456" max="8699" width="8.88671875" style="604"/>
    <col min="8700" max="8700" width="15.88671875" style="604" customWidth="1"/>
    <col min="8701" max="8701" width="2.109375" style="604" customWidth="1"/>
    <col min="8702" max="8702" width="7.5546875" style="604" customWidth="1"/>
    <col min="8703" max="8703" width="12.109375" style="604" customWidth="1"/>
    <col min="8704" max="8704" width="14.33203125" style="604" customWidth="1"/>
    <col min="8705" max="8705" width="3.44140625" style="604" customWidth="1"/>
    <col min="8706" max="8706" width="17.33203125" style="604" customWidth="1"/>
    <col min="8707" max="8707" width="2.109375" style="604" customWidth="1"/>
    <col min="8708" max="8708" width="7.5546875" style="604" customWidth="1"/>
    <col min="8709" max="8709" width="12.109375" style="604" customWidth="1"/>
    <col min="8710" max="8710" width="14.33203125" style="604" customWidth="1"/>
    <col min="8711" max="8711" width="42.5546875" style="604" customWidth="1"/>
    <col min="8712" max="8955" width="8.88671875" style="604"/>
    <col min="8956" max="8956" width="15.88671875" style="604" customWidth="1"/>
    <col min="8957" max="8957" width="2.109375" style="604" customWidth="1"/>
    <col min="8958" max="8958" width="7.5546875" style="604" customWidth="1"/>
    <col min="8959" max="8959" width="12.109375" style="604" customWidth="1"/>
    <col min="8960" max="8960" width="14.33203125" style="604" customWidth="1"/>
    <col min="8961" max="8961" width="3.44140625" style="604" customWidth="1"/>
    <col min="8962" max="8962" width="17.33203125" style="604" customWidth="1"/>
    <col min="8963" max="8963" width="2.109375" style="604" customWidth="1"/>
    <col min="8964" max="8964" width="7.5546875" style="604" customWidth="1"/>
    <col min="8965" max="8965" width="12.109375" style="604" customWidth="1"/>
    <col min="8966" max="8966" width="14.33203125" style="604" customWidth="1"/>
    <col min="8967" max="8967" width="42.5546875" style="604" customWidth="1"/>
    <col min="8968" max="9211" width="8.88671875" style="604"/>
    <col min="9212" max="9212" width="15.88671875" style="604" customWidth="1"/>
    <col min="9213" max="9213" width="2.109375" style="604" customWidth="1"/>
    <col min="9214" max="9214" width="7.5546875" style="604" customWidth="1"/>
    <col min="9215" max="9215" width="12.109375" style="604" customWidth="1"/>
    <col min="9216" max="9216" width="14.33203125" style="604" customWidth="1"/>
    <col min="9217" max="9217" width="3.44140625" style="604" customWidth="1"/>
    <col min="9218" max="9218" width="17.33203125" style="604" customWidth="1"/>
    <col min="9219" max="9219" width="2.109375" style="604" customWidth="1"/>
    <col min="9220" max="9220" width="7.5546875" style="604" customWidth="1"/>
    <col min="9221" max="9221" width="12.109375" style="604" customWidth="1"/>
    <col min="9222" max="9222" width="14.33203125" style="604" customWidth="1"/>
    <col min="9223" max="9223" width="42.5546875" style="604" customWidth="1"/>
    <col min="9224" max="9467" width="8.88671875" style="604"/>
    <col min="9468" max="9468" width="15.88671875" style="604" customWidth="1"/>
    <col min="9469" max="9469" width="2.109375" style="604" customWidth="1"/>
    <col min="9470" max="9470" width="7.5546875" style="604" customWidth="1"/>
    <col min="9471" max="9471" width="12.109375" style="604" customWidth="1"/>
    <col min="9472" max="9472" width="14.33203125" style="604" customWidth="1"/>
    <col min="9473" max="9473" width="3.44140625" style="604" customWidth="1"/>
    <col min="9474" max="9474" width="17.33203125" style="604" customWidth="1"/>
    <col min="9475" max="9475" width="2.109375" style="604" customWidth="1"/>
    <col min="9476" max="9476" width="7.5546875" style="604" customWidth="1"/>
    <col min="9477" max="9477" width="12.109375" style="604" customWidth="1"/>
    <col min="9478" max="9478" width="14.33203125" style="604" customWidth="1"/>
    <col min="9479" max="9479" width="42.5546875" style="604" customWidth="1"/>
    <col min="9480" max="9723" width="8.88671875" style="604"/>
    <col min="9724" max="9724" width="15.88671875" style="604" customWidth="1"/>
    <col min="9725" max="9725" width="2.109375" style="604" customWidth="1"/>
    <col min="9726" max="9726" width="7.5546875" style="604" customWidth="1"/>
    <col min="9727" max="9727" width="12.109375" style="604" customWidth="1"/>
    <col min="9728" max="9728" width="14.33203125" style="604" customWidth="1"/>
    <col min="9729" max="9729" width="3.44140625" style="604" customWidth="1"/>
    <col min="9730" max="9730" width="17.33203125" style="604" customWidth="1"/>
    <col min="9731" max="9731" width="2.109375" style="604" customWidth="1"/>
    <col min="9732" max="9732" width="7.5546875" style="604" customWidth="1"/>
    <col min="9733" max="9733" width="12.109375" style="604" customWidth="1"/>
    <col min="9734" max="9734" width="14.33203125" style="604" customWidth="1"/>
    <col min="9735" max="9735" width="42.5546875" style="604" customWidth="1"/>
    <col min="9736" max="9979" width="8.88671875" style="604"/>
    <col min="9980" max="9980" width="15.88671875" style="604" customWidth="1"/>
    <col min="9981" max="9981" width="2.109375" style="604" customWidth="1"/>
    <col min="9982" max="9982" width="7.5546875" style="604" customWidth="1"/>
    <col min="9983" max="9983" width="12.109375" style="604" customWidth="1"/>
    <col min="9984" max="9984" width="14.33203125" style="604" customWidth="1"/>
    <col min="9985" max="9985" width="3.44140625" style="604" customWidth="1"/>
    <col min="9986" max="9986" width="17.33203125" style="604" customWidth="1"/>
    <col min="9987" max="9987" width="2.109375" style="604" customWidth="1"/>
    <col min="9988" max="9988" width="7.5546875" style="604" customWidth="1"/>
    <col min="9989" max="9989" width="12.109375" style="604" customWidth="1"/>
    <col min="9990" max="9990" width="14.33203125" style="604" customWidth="1"/>
    <col min="9991" max="9991" width="42.5546875" style="604" customWidth="1"/>
    <col min="9992" max="10235" width="8.88671875" style="604"/>
    <col min="10236" max="10236" width="15.88671875" style="604" customWidth="1"/>
    <col min="10237" max="10237" width="2.109375" style="604" customWidth="1"/>
    <col min="10238" max="10238" width="7.5546875" style="604" customWidth="1"/>
    <col min="10239" max="10239" width="12.109375" style="604" customWidth="1"/>
    <col min="10240" max="10240" width="14.33203125" style="604" customWidth="1"/>
    <col min="10241" max="10241" width="3.44140625" style="604" customWidth="1"/>
    <col min="10242" max="10242" width="17.33203125" style="604" customWidth="1"/>
    <col min="10243" max="10243" width="2.109375" style="604" customWidth="1"/>
    <col min="10244" max="10244" width="7.5546875" style="604" customWidth="1"/>
    <col min="10245" max="10245" width="12.109375" style="604" customWidth="1"/>
    <col min="10246" max="10246" width="14.33203125" style="604" customWidth="1"/>
    <col min="10247" max="10247" width="42.5546875" style="604" customWidth="1"/>
    <col min="10248" max="10491" width="8.88671875" style="604"/>
    <col min="10492" max="10492" width="15.88671875" style="604" customWidth="1"/>
    <col min="10493" max="10493" width="2.109375" style="604" customWidth="1"/>
    <col min="10494" max="10494" width="7.5546875" style="604" customWidth="1"/>
    <col min="10495" max="10495" width="12.109375" style="604" customWidth="1"/>
    <col min="10496" max="10496" width="14.33203125" style="604" customWidth="1"/>
    <col min="10497" max="10497" width="3.44140625" style="604" customWidth="1"/>
    <col min="10498" max="10498" width="17.33203125" style="604" customWidth="1"/>
    <col min="10499" max="10499" width="2.109375" style="604" customWidth="1"/>
    <col min="10500" max="10500" width="7.5546875" style="604" customWidth="1"/>
    <col min="10501" max="10501" width="12.109375" style="604" customWidth="1"/>
    <col min="10502" max="10502" width="14.33203125" style="604" customWidth="1"/>
    <col min="10503" max="10503" width="42.5546875" style="604" customWidth="1"/>
    <col min="10504" max="10747" width="8.88671875" style="604"/>
    <col min="10748" max="10748" width="15.88671875" style="604" customWidth="1"/>
    <col min="10749" max="10749" width="2.109375" style="604" customWidth="1"/>
    <col min="10750" max="10750" width="7.5546875" style="604" customWidth="1"/>
    <col min="10751" max="10751" width="12.109375" style="604" customWidth="1"/>
    <col min="10752" max="10752" width="14.33203125" style="604" customWidth="1"/>
    <col min="10753" max="10753" width="3.44140625" style="604" customWidth="1"/>
    <col min="10754" max="10754" width="17.33203125" style="604" customWidth="1"/>
    <col min="10755" max="10755" width="2.109375" style="604" customWidth="1"/>
    <col min="10756" max="10756" width="7.5546875" style="604" customWidth="1"/>
    <col min="10757" max="10757" width="12.109375" style="604" customWidth="1"/>
    <col min="10758" max="10758" width="14.33203125" style="604" customWidth="1"/>
    <col min="10759" max="10759" width="42.5546875" style="604" customWidth="1"/>
    <col min="10760" max="11003" width="8.88671875" style="604"/>
    <col min="11004" max="11004" width="15.88671875" style="604" customWidth="1"/>
    <col min="11005" max="11005" width="2.109375" style="604" customWidth="1"/>
    <col min="11006" max="11006" width="7.5546875" style="604" customWidth="1"/>
    <col min="11007" max="11007" width="12.109375" style="604" customWidth="1"/>
    <col min="11008" max="11008" width="14.33203125" style="604" customWidth="1"/>
    <col min="11009" max="11009" width="3.44140625" style="604" customWidth="1"/>
    <col min="11010" max="11010" width="17.33203125" style="604" customWidth="1"/>
    <col min="11011" max="11011" width="2.109375" style="604" customWidth="1"/>
    <col min="11012" max="11012" width="7.5546875" style="604" customWidth="1"/>
    <col min="11013" max="11013" width="12.109375" style="604" customWidth="1"/>
    <col min="11014" max="11014" width="14.33203125" style="604" customWidth="1"/>
    <col min="11015" max="11015" width="42.5546875" style="604" customWidth="1"/>
    <col min="11016" max="11259" width="8.88671875" style="604"/>
    <col min="11260" max="11260" width="15.88671875" style="604" customWidth="1"/>
    <col min="11261" max="11261" width="2.109375" style="604" customWidth="1"/>
    <col min="11262" max="11262" width="7.5546875" style="604" customWidth="1"/>
    <col min="11263" max="11263" width="12.109375" style="604" customWidth="1"/>
    <col min="11264" max="11264" width="14.33203125" style="604" customWidth="1"/>
    <col min="11265" max="11265" width="3.44140625" style="604" customWidth="1"/>
    <col min="11266" max="11266" width="17.33203125" style="604" customWidth="1"/>
    <col min="11267" max="11267" width="2.109375" style="604" customWidth="1"/>
    <col min="11268" max="11268" width="7.5546875" style="604" customWidth="1"/>
    <col min="11269" max="11269" width="12.109375" style="604" customWidth="1"/>
    <col min="11270" max="11270" width="14.33203125" style="604" customWidth="1"/>
    <col min="11271" max="11271" width="42.5546875" style="604" customWidth="1"/>
    <col min="11272" max="11515" width="8.88671875" style="604"/>
    <col min="11516" max="11516" width="15.88671875" style="604" customWidth="1"/>
    <col min="11517" max="11517" width="2.109375" style="604" customWidth="1"/>
    <col min="11518" max="11518" width="7.5546875" style="604" customWidth="1"/>
    <col min="11519" max="11519" width="12.109375" style="604" customWidth="1"/>
    <col min="11520" max="11520" width="14.33203125" style="604" customWidth="1"/>
    <col min="11521" max="11521" width="3.44140625" style="604" customWidth="1"/>
    <col min="11522" max="11522" width="17.33203125" style="604" customWidth="1"/>
    <col min="11523" max="11523" width="2.109375" style="604" customWidth="1"/>
    <col min="11524" max="11524" width="7.5546875" style="604" customWidth="1"/>
    <col min="11525" max="11525" width="12.109375" style="604" customWidth="1"/>
    <col min="11526" max="11526" width="14.33203125" style="604" customWidth="1"/>
    <col min="11527" max="11527" width="42.5546875" style="604" customWidth="1"/>
    <col min="11528" max="11771" width="8.88671875" style="604"/>
    <col min="11772" max="11772" width="15.88671875" style="604" customWidth="1"/>
    <col min="11773" max="11773" width="2.109375" style="604" customWidth="1"/>
    <col min="11774" max="11774" width="7.5546875" style="604" customWidth="1"/>
    <col min="11775" max="11775" width="12.109375" style="604" customWidth="1"/>
    <col min="11776" max="11776" width="14.33203125" style="604" customWidth="1"/>
    <col min="11777" max="11777" width="3.44140625" style="604" customWidth="1"/>
    <col min="11778" max="11778" width="17.33203125" style="604" customWidth="1"/>
    <col min="11779" max="11779" width="2.109375" style="604" customWidth="1"/>
    <col min="11780" max="11780" width="7.5546875" style="604" customWidth="1"/>
    <col min="11781" max="11781" width="12.109375" style="604" customWidth="1"/>
    <col min="11782" max="11782" width="14.33203125" style="604" customWidth="1"/>
    <col min="11783" max="11783" width="42.5546875" style="604" customWidth="1"/>
    <col min="11784" max="12027" width="8.88671875" style="604"/>
    <col min="12028" max="12028" width="15.88671875" style="604" customWidth="1"/>
    <col min="12029" max="12029" width="2.109375" style="604" customWidth="1"/>
    <col min="12030" max="12030" width="7.5546875" style="604" customWidth="1"/>
    <col min="12031" max="12031" width="12.109375" style="604" customWidth="1"/>
    <col min="12032" max="12032" width="14.33203125" style="604" customWidth="1"/>
    <col min="12033" max="12033" width="3.44140625" style="604" customWidth="1"/>
    <col min="12034" max="12034" width="17.33203125" style="604" customWidth="1"/>
    <col min="12035" max="12035" width="2.109375" style="604" customWidth="1"/>
    <col min="12036" max="12036" width="7.5546875" style="604" customWidth="1"/>
    <col min="12037" max="12037" width="12.109375" style="604" customWidth="1"/>
    <col min="12038" max="12038" width="14.33203125" style="604" customWidth="1"/>
    <col min="12039" max="12039" width="42.5546875" style="604" customWidth="1"/>
    <col min="12040" max="12283" width="8.88671875" style="604"/>
    <col min="12284" max="12284" width="15.88671875" style="604" customWidth="1"/>
    <col min="12285" max="12285" width="2.109375" style="604" customWidth="1"/>
    <col min="12286" max="12286" width="7.5546875" style="604" customWidth="1"/>
    <col min="12287" max="12287" width="12.109375" style="604" customWidth="1"/>
    <col min="12288" max="12288" width="14.33203125" style="604" customWidth="1"/>
    <col min="12289" max="12289" width="3.44140625" style="604" customWidth="1"/>
    <col min="12290" max="12290" width="17.33203125" style="604" customWidth="1"/>
    <col min="12291" max="12291" width="2.109375" style="604" customWidth="1"/>
    <col min="12292" max="12292" width="7.5546875" style="604" customWidth="1"/>
    <col min="12293" max="12293" width="12.109375" style="604" customWidth="1"/>
    <col min="12294" max="12294" width="14.33203125" style="604" customWidth="1"/>
    <col min="12295" max="12295" width="42.5546875" style="604" customWidth="1"/>
    <col min="12296" max="12539" width="8.88671875" style="604"/>
    <col min="12540" max="12540" width="15.88671875" style="604" customWidth="1"/>
    <col min="12541" max="12541" width="2.109375" style="604" customWidth="1"/>
    <col min="12542" max="12542" width="7.5546875" style="604" customWidth="1"/>
    <col min="12543" max="12543" width="12.109375" style="604" customWidth="1"/>
    <col min="12544" max="12544" width="14.33203125" style="604" customWidth="1"/>
    <col min="12545" max="12545" width="3.44140625" style="604" customWidth="1"/>
    <col min="12546" max="12546" width="17.33203125" style="604" customWidth="1"/>
    <col min="12547" max="12547" width="2.109375" style="604" customWidth="1"/>
    <col min="12548" max="12548" width="7.5546875" style="604" customWidth="1"/>
    <col min="12549" max="12549" width="12.109375" style="604" customWidth="1"/>
    <col min="12550" max="12550" width="14.33203125" style="604" customWidth="1"/>
    <col min="12551" max="12551" width="42.5546875" style="604" customWidth="1"/>
    <col min="12552" max="12795" width="8.88671875" style="604"/>
    <col min="12796" max="12796" width="15.88671875" style="604" customWidth="1"/>
    <col min="12797" max="12797" width="2.109375" style="604" customWidth="1"/>
    <col min="12798" max="12798" width="7.5546875" style="604" customWidth="1"/>
    <col min="12799" max="12799" width="12.109375" style="604" customWidth="1"/>
    <col min="12800" max="12800" width="14.33203125" style="604" customWidth="1"/>
    <col min="12801" max="12801" width="3.44140625" style="604" customWidth="1"/>
    <col min="12802" max="12802" width="17.33203125" style="604" customWidth="1"/>
    <col min="12803" max="12803" width="2.109375" style="604" customWidth="1"/>
    <col min="12804" max="12804" width="7.5546875" style="604" customWidth="1"/>
    <col min="12805" max="12805" width="12.109375" style="604" customWidth="1"/>
    <col min="12806" max="12806" width="14.33203125" style="604" customWidth="1"/>
    <col min="12807" max="12807" width="42.5546875" style="604" customWidth="1"/>
    <col min="12808" max="13051" width="8.88671875" style="604"/>
    <col min="13052" max="13052" width="15.88671875" style="604" customWidth="1"/>
    <col min="13053" max="13053" width="2.109375" style="604" customWidth="1"/>
    <col min="13054" max="13054" width="7.5546875" style="604" customWidth="1"/>
    <col min="13055" max="13055" width="12.109375" style="604" customWidth="1"/>
    <col min="13056" max="13056" width="14.33203125" style="604" customWidth="1"/>
    <col min="13057" max="13057" width="3.44140625" style="604" customWidth="1"/>
    <col min="13058" max="13058" width="17.33203125" style="604" customWidth="1"/>
    <col min="13059" max="13059" width="2.109375" style="604" customWidth="1"/>
    <col min="13060" max="13060" width="7.5546875" style="604" customWidth="1"/>
    <col min="13061" max="13061" width="12.109375" style="604" customWidth="1"/>
    <col min="13062" max="13062" width="14.33203125" style="604" customWidth="1"/>
    <col min="13063" max="13063" width="42.5546875" style="604" customWidth="1"/>
    <col min="13064" max="13307" width="8.88671875" style="604"/>
    <col min="13308" max="13308" width="15.88671875" style="604" customWidth="1"/>
    <col min="13309" max="13309" width="2.109375" style="604" customWidth="1"/>
    <col min="13310" max="13310" width="7.5546875" style="604" customWidth="1"/>
    <col min="13311" max="13311" width="12.109375" style="604" customWidth="1"/>
    <col min="13312" max="13312" width="14.33203125" style="604" customWidth="1"/>
    <col min="13313" max="13313" width="3.44140625" style="604" customWidth="1"/>
    <col min="13314" max="13314" width="17.33203125" style="604" customWidth="1"/>
    <col min="13315" max="13315" width="2.109375" style="604" customWidth="1"/>
    <col min="13316" max="13316" width="7.5546875" style="604" customWidth="1"/>
    <col min="13317" max="13317" width="12.109375" style="604" customWidth="1"/>
    <col min="13318" max="13318" width="14.33203125" style="604" customWidth="1"/>
    <col min="13319" max="13319" width="42.5546875" style="604" customWidth="1"/>
    <col min="13320" max="13563" width="8.88671875" style="604"/>
    <col min="13564" max="13564" width="15.88671875" style="604" customWidth="1"/>
    <col min="13565" max="13565" width="2.109375" style="604" customWidth="1"/>
    <col min="13566" max="13566" width="7.5546875" style="604" customWidth="1"/>
    <col min="13567" max="13567" width="12.109375" style="604" customWidth="1"/>
    <col min="13568" max="13568" width="14.33203125" style="604" customWidth="1"/>
    <col min="13569" max="13569" width="3.44140625" style="604" customWidth="1"/>
    <col min="13570" max="13570" width="17.33203125" style="604" customWidth="1"/>
    <col min="13571" max="13571" width="2.109375" style="604" customWidth="1"/>
    <col min="13572" max="13572" width="7.5546875" style="604" customWidth="1"/>
    <col min="13573" max="13573" width="12.109375" style="604" customWidth="1"/>
    <col min="13574" max="13574" width="14.33203125" style="604" customWidth="1"/>
    <col min="13575" max="13575" width="42.5546875" style="604" customWidth="1"/>
    <col min="13576" max="13819" width="8.88671875" style="604"/>
    <col min="13820" max="13820" width="15.88671875" style="604" customWidth="1"/>
    <col min="13821" max="13821" width="2.109375" style="604" customWidth="1"/>
    <col min="13822" max="13822" width="7.5546875" style="604" customWidth="1"/>
    <col min="13823" max="13823" width="12.109375" style="604" customWidth="1"/>
    <col min="13824" max="13824" width="14.33203125" style="604" customWidth="1"/>
    <col min="13825" max="13825" width="3.44140625" style="604" customWidth="1"/>
    <col min="13826" max="13826" width="17.33203125" style="604" customWidth="1"/>
    <col min="13827" max="13827" width="2.109375" style="604" customWidth="1"/>
    <col min="13828" max="13828" width="7.5546875" style="604" customWidth="1"/>
    <col min="13829" max="13829" width="12.109375" style="604" customWidth="1"/>
    <col min="13830" max="13830" width="14.33203125" style="604" customWidth="1"/>
    <col min="13831" max="13831" width="42.5546875" style="604" customWidth="1"/>
    <col min="13832" max="14075" width="8.88671875" style="604"/>
    <col min="14076" max="14076" width="15.88671875" style="604" customWidth="1"/>
    <col min="14077" max="14077" width="2.109375" style="604" customWidth="1"/>
    <col min="14078" max="14078" width="7.5546875" style="604" customWidth="1"/>
    <col min="14079" max="14079" width="12.109375" style="604" customWidth="1"/>
    <col min="14080" max="14080" width="14.33203125" style="604" customWidth="1"/>
    <col min="14081" max="14081" width="3.44140625" style="604" customWidth="1"/>
    <col min="14082" max="14082" width="17.33203125" style="604" customWidth="1"/>
    <col min="14083" max="14083" width="2.109375" style="604" customWidth="1"/>
    <col min="14084" max="14084" width="7.5546875" style="604" customWidth="1"/>
    <col min="14085" max="14085" width="12.109375" style="604" customWidth="1"/>
    <col min="14086" max="14086" width="14.33203125" style="604" customWidth="1"/>
    <col min="14087" max="14087" width="42.5546875" style="604" customWidth="1"/>
    <col min="14088" max="14331" width="8.88671875" style="604"/>
    <col min="14332" max="14332" width="15.88671875" style="604" customWidth="1"/>
    <col min="14333" max="14333" width="2.109375" style="604" customWidth="1"/>
    <col min="14334" max="14334" width="7.5546875" style="604" customWidth="1"/>
    <col min="14335" max="14335" width="12.109375" style="604" customWidth="1"/>
    <col min="14336" max="14336" width="14.33203125" style="604" customWidth="1"/>
    <col min="14337" max="14337" width="3.44140625" style="604" customWidth="1"/>
    <col min="14338" max="14338" width="17.33203125" style="604" customWidth="1"/>
    <col min="14339" max="14339" width="2.109375" style="604" customWidth="1"/>
    <col min="14340" max="14340" width="7.5546875" style="604" customWidth="1"/>
    <col min="14341" max="14341" width="12.109375" style="604" customWidth="1"/>
    <col min="14342" max="14342" width="14.33203125" style="604" customWidth="1"/>
    <col min="14343" max="14343" width="42.5546875" style="604" customWidth="1"/>
    <col min="14344" max="14587" width="8.88671875" style="604"/>
    <col min="14588" max="14588" width="15.88671875" style="604" customWidth="1"/>
    <col min="14589" max="14589" width="2.109375" style="604" customWidth="1"/>
    <col min="14590" max="14590" width="7.5546875" style="604" customWidth="1"/>
    <col min="14591" max="14591" width="12.109375" style="604" customWidth="1"/>
    <col min="14592" max="14592" width="14.33203125" style="604" customWidth="1"/>
    <col min="14593" max="14593" width="3.44140625" style="604" customWidth="1"/>
    <col min="14594" max="14594" width="17.33203125" style="604" customWidth="1"/>
    <col min="14595" max="14595" width="2.109375" style="604" customWidth="1"/>
    <col min="14596" max="14596" width="7.5546875" style="604" customWidth="1"/>
    <col min="14597" max="14597" width="12.109375" style="604" customWidth="1"/>
    <col min="14598" max="14598" width="14.33203125" style="604" customWidth="1"/>
    <col min="14599" max="14599" width="42.5546875" style="604" customWidth="1"/>
    <col min="14600" max="14843" width="8.88671875" style="604"/>
    <col min="14844" max="14844" width="15.88671875" style="604" customWidth="1"/>
    <col min="14845" max="14845" width="2.109375" style="604" customWidth="1"/>
    <col min="14846" max="14846" width="7.5546875" style="604" customWidth="1"/>
    <col min="14847" max="14847" width="12.109375" style="604" customWidth="1"/>
    <col min="14848" max="14848" width="14.33203125" style="604" customWidth="1"/>
    <col min="14849" max="14849" width="3.44140625" style="604" customWidth="1"/>
    <col min="14850" max="14850" width="17.33203125" style="604" customWidth="1"/>
    <col min="14851" max="14851" width="2.109375" style="604" customWidth="1"/>
    <col min="14852" max="14852" width="7.5546875" style="604" customWidth="1"/>
    <col min="14853" max="14853" width="12.109375" style="604" customWidth="1"/>
    <col min="14854" max="14854" width="14.33203125" style="604" customWidth="1"/>
    <col min="14855" max="14855" width="42.5546875" style="604" customWidth="1"/>
    <col min="14856" max="15099" width="8.88671875" style="604"/>
    <col min="15100" max="15100" width="15.88671875" style="604" customWidth="1"/>
    <col min="15101" max="15101" width="2.109375" style="604" customWidth="1"/>
    <col min="15102" max="15102" width="7.5546875" style="604" customWidth="1"/>
    <col min="15103" max="15103" width="12.109375" style="604" customWidth="1"/>
    <col min="15104" max="15104" width="14.33203125" style="604" customWidth="1"/>
    <col min="15105" max="15105" width="3.44140625" style="604" customWidth="1"/>
    <col min="15106" max="15106" width="17.33203125" style="604" customWidth="1"/>
    <col min="15107" max="15107" width="2.109375" style="604" customWidth="1"/>
    <col min="15108" max="15108" width="7.5546875" style="604" customWidth="1"/>
    <col min="15109" max="15109" width="12.109375" style="604" customWidth="1"/>
    <col min="15110" max="15110" width="14.33203125" style="604" customWidth="1"/>
    <col min="15111" max="15111" width="42.5546875" style="604" customWidth="1"/>
    <col min="15112" max="15355" width="8.88671875" style="604"/>
    <col min="15356" max="15356" width="15.88671875" style="604" customWidth="1"/>
    <col min="15357" max="15357" width="2.109375" style="604" customWidth="1"/>
    <col min="15358" max="15358" width="7.5546875" style="604" customWidth="1"/>
    <col min="15359" max="15359" width="12.109375" style="604" customWidth="1"/>
    <col min="15360" max="15360" width="14.33203125" style="604" customWidth="1"/>
    <col min="15361" max="15361" width="3.44140625" style="604" customWidth="1"/>
    <col min="15362" max="15362" width="17.33203125" style="604" customWidth="1"/>
    <col min="15363" max="15363" width="2.109375" style="604" customWidth="1"/>
    <col min="15364" max="15364" width="7.5546875" style="604" customWidth="1"/>
    <col min="15365" max="15365" width="12.109375" style="604" customWidth="1"/>
    <col min="15366" max="15366" width="14.33203125" style="604" customWidth="1"/>
    <col min="15367" max="15367" width="42.5546875" style="604" customWidth="1"/>
    <col min="15368" max="15611" width="8.88671875" style="604"/>
    <col min="15612" max="15612" width="15.88671875" style="604" customWidth="1"/>
    <col min="15613" max="15613" width="2.109375" style="604" customWidth="1"/>
    <col min="15614" max="15614" width="7.5546875" style="604" customWidth="1"/>
    <col min="15615" max="15615" width="12.109375" style="604" customWidth="1"/>
    <col min="15616" max="15616" width="14.33203125" style="604" customWidth="1"/>
    <col min="15617" max="15617" width="3.44140625" style="604" customWidth="1"/>
    <col min="15618" max="15618" width="17.33203125" style="604" customWidth="1"/>
    <col min="15619" max="15619" width="2.109375" style="604" customWidth="1"/>
    <col min="15620" max="15620" width="7.5546875" style="604" customWidth="1"/>
    <col min="15621" max="15621" width="12.109375" style="604" customWidth="1"/>
    <col min="15622" max="15622" width="14.33203125" style="604" customWidth="1"/>
    <col min="15623" max="15623" width="42.5546875" style="604" customWidth="1"/>
    <col min="15624" max="15867" width="8.88671875" style="604"/>
    <col min="15868" max="15868" width="15.88671875" style="604" customWidth="1"/>
    <col min="15869" max="15869" width="2.109375" style="604" customWidth="1"/>
    <col min="15870" max="15870" width="7.5546875" style="604" customWidth="1"/>
    <col min="15871" max="15871" width="12.109375" style="604" customWidth="1"/>
    <col min="15872" max="15872" width="14.33203125" style="604" customWidth="1"/>
    <col min="15873" max="15873" width="3.44140625" style="604" customWidth="1"/>
    <col min="15874" max="15874" width="17.33203125" style="604" customWidth="1"/>
    <col min="15875" max="15875" width="2.109375" style="604" customWidth="1"/>
    <col min="15876" max="15876" width="7.5546875" style="604" customWidth="1"/>
    <col min="15877" max="15877" width="12.109375" style="604" customWidth="1"/>
    <col min="15878" max="15878" width="14.33203125" style="604" customWidth="1"/>
    <col min="15879" max="15879" width="42.5546875" style="604" customWidth="1"/>
    <col min="15880" max="16123" width="8.88671875" style="604"/>
    <col min="16124" max="16124" width="15.88671875" style="604" customWidth="1"/>
    <col min="16125" max="16125" width="2.109375" style="604" customWidth="1"/>
    <col min="16126" max="16126" width="7.5546875" style="604" customWidth="1"/>
    <col min="16127" max="16127" width="12.109375" style="604" customWidth="1"/>
    <col min="16128" max="16128" width="14.33203125" style="604" customWidth="1"/>
    <col min="16129" max="16129" width="3.44140625" style="604" customWidth="1"/>
    <col min="16130" max="16130" width="17.33203125" style="604" customWidth="1"/>
    <col min="16131" max="16131" width="2.109375" style="604" customWidth="1"/>
    <col min="16132" max="16132" width="7.5546875" style="604" customWidth="1"/>
    <col min="16133" max="16133" width="12.109375" style="604" customWidth="1"/>
    <col min="16134" max="16134" width="14.33203125" style="604" customWidth="1"/>
    <col min="16135" max="16135" width="42.5546875" style="604" customWidth="1"/>
    <col min="16136" max="16384" width="8.88671875" style="604"/>
  </cols>
  <sheetData>
    <row r="1" spans="1:13" x14ac:dyDescent="0.3">
      <c r="A1" s="785" t="s">
        <v>1682</v>
      </c>
      <c r="B1" s="785"/>
      <c r="C1" s="785"/>
      <c r="D1" s="785"/>
      <c r="E1" s="785"/>
      <c r="F1" s="785"/>
      <c r="G1" s="785"/>
      <c r="H1" s="785"/>
      <c r="I1" s="785"/>
      <c r="J1" s="1037" t="s">
        <v>1982</v>
      </c>
      <c r="K1" s="1037"/>
      <c r="L1" s="785"/>
      <c r="M1" s="785"/>
    </row>
    <row r="2" spans="1:13" x14ac:dyDescent="0.3">
      <c r="A2" s="785" t="s">
        <v>604</v>
      </c>
      <c r="B2" s="785"/>
      <c r="C2" s="785"/>
      <c r="D2" s="785"/>
      <c r="E2" s="785"/>
      <c r="F2" s="785"/>
      <c r="G2" s="785"/>
      <c r="H2" s="785"/>
      <c r="I2" s="785"/>
      <c r="J2" s="785"/>
      <c r="K2" s="785"/>
      <c r="L2" s="785"/>
      <c r="M2" s="785"/>
    </row>
    <row r="3" spans="1:13" x14ac:dyDescent="0.3">
      <c r="A3" s="785" t="s">
        <v>605</v>
      </c>
      <c r="B3" s="785"/>
      <c r="C3" s="785"/>
      <c r="D3" s="785"/>
      <c r="E3" s="785"/>
      <c r="F3" s="785"/>
      <c r="G3" s="785"/>
      <c r="H3" s="785"/>
      <c r="I3" s="785"/>
      <c r="J3" s="785"/>
      <c r="K3" s="785"/>
      <c r="L3" s="785"/>
    </row>
    <row r="4" spans="1:13" x14ac:dyDescent="0.3">
      <c r="A4" s="785"/>
      <c r="B4" s="785"/>
      <c r="C4" s="786"/>
      <c r="D4" s="787"/>
      <c r="E4" s="787"/>
      <c r="F4" s="785"/>
      <c r="G4" s="180"/>
      <c r="H4" s="180"/>
      <c r="I4" s="180"/>
      <c r="J4" s="180"/>
      <c r="K4" s="180"/>
      <c r="L4" s="180"/>
    </row>
    <row r="5" spans="1:13" x14ac:dyDescent="0.3">
      <c r="A5" s="785"/>
      <c r="B5" s="785"/>
      <c r="C5" s="786"/>
      <c r="D5" s="787" t="s">
        <v>606</v>
      </c>
      <c r="E5" s="787" t="s">
        <v>607</v>
      </c>
      <c r="F5" s="785"/>
      <c r="G5" s="180"/>
      <c r="H5" s="180"/>
      <c r="I5" s="180"/>
      <c r="J5" s="180"/>
      <c r="K5" s="180"/>
      <c r="L5" s="180"/>
      <c r="M5" s="785"/>
    </row>
    <row r="6" spans="1:13" x14ac:dyDescent="0.3">
      <c r="A6" s="785"/>
      <c r="B6" s="785"/>
      <c r="C6" s="786" t="s">
        <v>608</v>
      </c>
      <c r="D6" s="787" t="s">
        <v>609</v>
      </c>
      <c r="E6" s="787" t="s">
        <v>610</v>
      </c>
      <c r="F6" s="785"/>
      <c r="G6" s="180"/>
      <c r="H6" s="180"/>
      <c r="I6" s="180"/>
      <c r="J6" s="180"/>
      <c r="K6" s="180"/>
      <c r="L6" s="180"/>
      <c r="M6" s="785"/>
    </row>
    <row r="7" spans="1:13" x14ac:dyDescent="0.3">
      <c r="A7" s="785" t="s">
        <v>611</v>
      </c>
      <c r="B7" s="785"/>
      <c r="C7" s="786" t="s">
        <v>612</v>
      </c>
      <c r="D7" s="787" t="s">
        <v>613</v>
      </c>
      <c r="E7" s="787" t="s">
        <v>613</v>
      </c>
      <c r="F7" s="785"/>
      <c r="G7" s="180"/>
      <c r="H7" s="180"/>
      <c r="I7" s="180"/>
      <c r="J7" s="180"/>
      <c r="K7" s="180"/>
      <c r="L7" s="180"/>
      <c r="M7" s="785"/>
    </row>
    <row r="8" spans="1:13" hidden="1" x14ac:dyDescent="0.3">
      <c r="A8" s="785" t="s">
        <v>1712</v>
      </c>
      <c r="B8" s="785" t="s">
        <v>1713</v>
      </c>
      <c r="C8" s="788">
        <v>0.66</v>
      </c>
      <c r="D8" s="787">
        <v>2017</v>
      </c>
      <c r="E8" s="787">
        <v>2023</v>
      </c>
      <c r="F8" s="785"/>
      <c r="G8" s="180"/>
      <c r="H8" s="180"/>
      <c r="I8" s="180"/>
      <c r="J8" s="180"/>
      <c r="K8" s="180"/>
      <c r="L8" s="180"/>
    </row>
    <row r="9" spans="1:13" hidden="1" x14ac:dyDescent="0.3">
      <c r="A9" s="785" t="s">
        <v>1714</v>
      </c>
      <c r="B9" s="785" t="s">
        <v>1715</v>
      </c>
      <c r="C9" s="788">
        <v>0.79</v>
      </c>
      <c r="D9" s="787">
        <v>2015</v>
      </c>
      <c r="E9" s="787">
        <v>2023</v>
      </c>
      <c r="F9" s="785"/>
      <c r="G9" s="180"/>
      <c r="H9" s="180"/>
      <c r="I9" s="180"/>
      <c r="J9" s="180"/>
      <c r="K9" s="180"/>
      <c r="L9" s="180"/>
    </row>
    <row r="10" spans="1:13" hidden="1" x14ac:dyDescent="0.3">
      <c r="A10" s="785" t="s">
        <v>1716</v>
      </c>
      <c r="B10" s="785" t="s">
        <v>1717</v>
      </c>
      <c r="C10" s="788">
        <v>0.59699999999999998</v>
      </c>
      <c r="D10" s="787">
        <v>2021</v>
      </c>
      <c r="E10" s="787">
        <v>2027</v>
      </c>
      <c r="F10" s="785"/>
      <c r="G10" s="180"/>
      <c r="H10" s="180"/>
      <c r="I10" s="180"/>
      <c r="J10" s="180"/>
      <c r="K10" s="180"/>
      <c r="L10" s="180"/>
      <c r="M10" s="785"/>
    </row>
    <row r="11" spans="1:13" hidden="1" x14ac:dyDescent="0.3">
      <c r="A11" s="785" t="s">
        <v>1718</v>
      </c>
      <c r="B11" s="785" t="s">
        <v>472</v>
      </c>
      <c r="C11" s="788">
        <v>0.77700000000000002</v>
      </c>
      <c r="D11" s="787">
        <v>2018</v>
      </c>
      <c r="E11" s="787">
        <v>2026</v>
      </c>
      <c r="F11" s="785"/>
      <c r="G11" s="180"/>
      <c r="H11" s="180"/>
      <c r="I11" s="180"/>
      <c r="J11" s="180"/>
      <c r="K11" s="180"/>
      <c r="L11" s="180"/>
      <c r="M11" s="785"/>
    </row>
    <row r="12" spans="1:13" hidden="1" x14ac:dyDescent="0.3">
      <c r="A12" s="785" t="s">
        <v>1719</v>
      </c>
      <c r="B12" s="785" t="s">
        <v>1720</v>
      </c>
      <c r="C12" s="788">
        <v>0.51</v>
      </c>
      <c r="D12" s="787">
        <v>2019</v>
      </c>
      <c r="E12" s="787">
        <v>2023</v>
      </c>
      <c r="F12" s="785"/>
      <c r="G12" s="180"/>
      <c r="H12" s="180"/>
      <c r="I12" s="180"/>
      <c r="J12" s="180"/>
      <c r="K12" s="180"/>
      <c r="L12" s="180"/>
      <c r="M12" s="785"/>
    </row>
    <row r="13" spans="1:13" hidden="1" x14ac:dyDescent="0.3">
      <c r="A13" s="785" t="s">
        <v>1721</v>
      </c>
      <c r="B13" s="785" t="s">
        <v>1722</v>
      </c>
      <c r="C13" s="788">
        <v>0.55000000000000004</v>
      </c>
      <c r="D13" s="787">
        <v>2018</v>
      </c>
      <c r="E13" s="787">
        <v>2022</v>
      </c>
      <c r="F13" s="785"/>
      <c r="G13" s="180"/>
      <c r="H13" s="180"/>
      <c r="I13" s="180"/>
      <c r="J13" s="180"/>
      <c r="K13" s="180"/>
      <c r="L13" s="180"/>
      <c r="M13" s="785"/>
    </row>
    <row r="14" spans="1:13" hidden="1" x14ac:dyDescent="0.3">
      <c r="A14" s="785" t="s">
        <v>1723</v>
      </c>
      <c r="B14" s="785" t="s">
        <v>1724</v>
      </c>
      <c r="C14" s="788">
        <v>0.625</v>
      </c>
      <c r="D14" s="787">
        <v>2018</v>
      </c>
      <c r="E14" s="787">
        <v>2026</v>
      </c>
      <c r="F14" s="785"/>
      <c r="G14" s="180"/>
      <c r="H14" s="180"/>
      <c r="I14" s="180"/>
      <c r="J14" s="180"/>
      <c r="K14" s="180"/>
      <c r="L14" s="180"/>
      <c r="M14" s="785"/>
    </row>
    <row r="15" spans="1:13" hidden="1" x14ac:dyDescent="0.3">
      <c r="A15" s="785" t="s">
        <v>1725</v>
      </c>
      <c r="B15" s="785" t="s">
        <v>478</v>
      </c>
      <c r="C15" s="788">
        <v>0.86499999999999999</v>
      </c>
      <c r="D15" s="787">
        <v>2020</v>
      </c>
      <c r="E15" s="787">
        <v>2028</v>
      </c>
      <c r="F15" s="785"/>
      <c r="G15" s="180"/>
      <c r="H15" s="180"/>
      <c r="I15" s="180"/>
      <c r="J15" s="180"/>
      <c r="K15" s="180"/>
      <c r="L15" s="180"/>
      <c r="M15" s="785"/>
    </row>
    <row r="16" spans="1:13" hidden="1" x14ac:dyDescent="0.3">
      <c r="A16" s="785" t="s">
        <v>1726</v>
      </c>
      <c r="B16" s="785" t="s">
        <v>1727</v>
      </c>
      <c r="C16" s="788">
        <v>0.82</v>
      </c>
      <c r="D16" s="787">
        <v>2015</v>
      </c>
      <c r="E16" s="787">
        <v>2022</v>
      </c>
      <c r="F16" s="785"/>
      <c r="G16" s="180"/>
      <c r="H16" s="180"/>
      <c r="I16" s="180"/>
      <c r="J16" s="180"/>
      <c r="K16" s="180"/>
      <c r="L16" s="180"/>
      <c r="M16" s="785"/>
    </row>
    <row r="17" spans="1:13" hidden="1" x14ac:dyDescent="0.3">
      <c r="A17" s="785" t="s">
        <v>1728</v>
      </c>
      <c r="B17" s="785" t="s">
        <v>1729</v>
      </c>
      <c r="C17" s="788">
        <v>0.48499999999999999</v>
      </c>
      <c r="D17" s="787">
        <v>2019</v>
      </c>
      <c r="E17" s="787">
        <v>2023</v>
      </c>
      <c r="F17" s="785"/>
      <c r="G17" s="180"/>
      <c r="H17" s="180"/>
      <c r="I17" s="180"/>
      <c r="J17" s="180"/>
      <c r="K17" s="180"/>
      <c r="L17" s="180"/>
      <c r="M17" s="785"/>
    </row>
    <row r="18" spans="1:13" x14ac:dyDescent="0.3">
      <c r="A18" s="785" t="s">
        <v>1730</v>
      </c>
      <c r="B18" s="785" t="s">
        <v>1731</v>
      </c>
      <c r="C18" s="788">
        <v>0.48799999999999999</v>
      </c>
      <c r="D18" s="787">
        <v>2021</v>
      </c>
      <c r="E18" s="787">
        <v>2025</v>
      </c>
      <c r="F18" s="785"/>
      <c r="G18" s="180"/>
      <c r="H18" s="180"/>
      <c r="I18" s="180"/>
      <c r="J18" s="180"/>
      <c r="K18" s="180"/>
      <c r="L18" s="180"/>
      <c r="M18" s="785"/>
    </row>
    <row r="19" spans="1:13" hidden="1" x14ac:dyDescent="0.3">
      <c r="A19" s="785" t="s">
        <v>1732</v>
      </c>
      <c r="B19" s="785" t="s">
        <v>1733</v>
      </c>
      <c r="C19" s="788">
        <v>0.69499999999999995</v>
      </c>
      <c r="D19" s="787">
        <v>2019</v>
      </c>
      <c r="E19" s="787">
        <v>2023</v>
      </c>
      <c r="F19" s="785"/>
      <c r="G19" s="180"/>
      <c r="H19" s="180"/>
      <c r="I19" s="180"/>
      <c r="J19" s="180"/>
      <c r="K19" s="180"/>
      <c r="L19" s="180"/>
      <c r="M19" s="785"/>
    </row>
    <row r="20" spans="1:13" hidden="1" x14ac:dyDescent="0.3">
      <c r="A20" s="785" t="s">
        <v>1683</v>
      </c>
      <c r="B20" s="785" t="s">
        <v>1684</v>
      </c>
      <c r="C20" s="788">
        <v>0.74</v>
      </c>
      <c r="D20" s="787">
        <v>2020</v>
      </c>
      <c r="E20" s="787">
        <v>2024</v>
      </c>
      <c r="F20" s="785"/>
      <c r="G20" s="180"/>
      <c r="H20" s="180"/>
      <c r="I20" s="180"/>
      <c r="J20" s="180"/>
      <c r="K20" s="180"/>
      <c r="L20" s="180"/>
      <c r="M20" s="785"/>
    </row>
    <row r="21" spans="1:13" hidden="1" x14ac:dyDescent="0.3">
      <c r="A21" s="785" t="s">
        <v>1734</v>
      </c>
      <c r="B21" s="785" t="s">
        <v>1735</v>
      </c>
      <c r="C21" s="788">
        <v>0.63</v>
      </c>
      <c r="D21" s="787">
        <v>2021</v>
      </c>
      <c r="E21" s="787">
        <v>2029</v>
      </c>
      <c r="F21" s="785"/>
      <c r="G21" s="180"/>
      <c r="H21" s="180"/>
      <c r="I21" s="180"/>
      <c r="J21" s="180"/>
      <c r="K21" s="180"/>
      <c r="L21" s="180"/>
      <c r="M21" s="785"/>
    </row>
    <row r="22" spans="1:13" hidden="1" x14ac:dyDescent="0.3">
      <c r="A22" s="785" t="s">
        <v>1736</v>
      </c>
      <c r="B22" s="785" t="s">
        <v>1737</v>
      </c>
      <c r="C22" s="788">
        <v>0.87</v>
      </c>
      <c r="D22" s="787">
        <v>2015</v>
      </c>
      <c r="E22" s="787">
        <v>2023</v>
      </c>
      <c r="F22" s="785"/>
      <c r="G22" s="180"/>
      <c r="H22" s="180"/>
      <c r="I22" s="180"/>
      <c r="J22" s="180"/>
      <c r="K22" s="180"/>
      <c r="L22" s="180"/>
      <c r="M22" s="785"/>
    </row>
    <row r="23" spans="1:13" hidden="1" x14ac:dyDescent="0.3">
      <c r="A23" s="785" t="s">
        <v>1685</v>
      </c>
      <c r="B23" s="785" t="s">
        <v>1686</v>
      </c>
      <c r="C23" s="788">
        <v>0.33</v>
      </c>
      <c r="D23" s="787">
        <v>2020</v>
      </c>
      <c r="E23" s="787">
        <v>2024</v>
      </c>
      <c r="F23" s="785"/>
      <c r="G23" s="180"/>
      <c r="H23" s="180"/>
      <c r="I23" s="180"/>
      <c r="J23" s="180"/>
      <c r="K23" s="180"/>
      <c r="L23" s="180"/>
      <c r="M23" s="785"/>
    </row>
    <row r="24" spans="1:13" hidden="1" x14ac:dyDescent="0.3">
      <c r="A24" s="785" t="s">
        <v>1738</v>
      </c>
      <c r="B24" s="785" t="s">
        <v>842</v>
      </c>
      <c r="C24" s="788">
        <v>0.73499999999999999</v>
      </c>
      <c r="D24" s="787">
        <v>2016</v>
      </c>
      <c r="E24" s="787">
        <v>2023</v>
      </c>
      <c r="F24" s="785"/>
      <c r="G24" s="180"/>
      <c r="H24" s="180"/>
      <c r="I24" s="180"/>
      <c r="J24" s="180"/>
      <c r="K24" s="180"/>
      <c r="L24" s="180"/>
      <c r="M24" s="785"/>
    </row>
    <row r="25" spans="1:13" hidden="1" x14ac:dyDescent="0.3">
      <c r="A25" s="785" t="s">
        <v>1739</v>
      </c>
      <c r="B25" s="785" t="s">
        <v>1740</v>
      </c>
      <c r="C25" s="788">
        <v>0.57499999999999996</v>
      </c>
      <c r="D25" s="787">
        <v>2019</v>
      </c>
      <c r="E25" s="787">
        <v>2023</v>
      </c>
      <c r="F25" s="785"/>
      <c r="G25" s="180"/>
      <c r="H25" s="180"/>
      <c r="I25" s="180"/>
      <c r="J25" s="180"/>
      <c r="K25" s="180"/>
      <c r="L25" s="180"/>
      <c r="M25" s="785"/>
    </row>
    <row r="26" spans="1:13" x14ac:dyDescent="0.3">
      <c r="A26" s="785" t="s">
        <v>1741</v>
      </c>
      <c r="B26" s="785" t="s">
        <v>1742</v>
      </c>
      <c r="C26" s="788">
        <v>0.66500000000000004</v>
      </c>
      <c r="D26" s="787">
        <v>2021</v>
      </c>
      <c r="E26" s="787">
        <v>2025</v>
      </c>
      <c r="F26" s="785"/>
      <c r="G26" s="180"/>
      <c r="H26" s="180"/>
      <c r="I26" s="180"/>
      <c r="J26" s="180"/>
      <c r="K26" s="180"/>
      <c r="L26" s="180"/>
      <c r="M26" s="785"/>
    </row>
    <row r="27" spans="1:13" hidden="1" x14ac:dyDescent="0.3">
      <c r="A27" s="785" t="s">
        <v>1743</v>
      </c>
      <c r="B27" s="785" t="s">
        <v>843</v>
      </c>
      <c r="C27" s="788">
        <v>0.5</v>
      </c>
      <c r="D27" s="787">
        <v>2020</v>
      </c>
      <c r="E27" s="787">
        <v>2028</v>
      </c>
      <c r="F27" s="785"/>
      <c r="G27" s="180"/>
      <c r="H27" s="180"/>
      <c r="I27" s="180"/>
      <c r="J27" s="180"/>
      <c r="K27" s="180"/>
      <c r="L27" s="180"/>
      <c r="M27" s="785"/>
    </row>
    <row r="28" spans="1:13" hidden="1" x14ac:dyDescent="0.3">
      <c r="A28" s="785" t="s">
        <v>1744</v>
      </c>
      <c r="B28" s="785" t="s">
        <v>1745</v>
      </c>
      <c r="C28" s="788">
        <v>0.755</v>
      </c>
      <c r="D28" s="787">
        <v>2014</v>
      </c>
      <c r="E28" s="787">
        <v>2022</v>
      </c>
      <c r="G28" s="180"/>
      <c r="H28" s="180"/>
      <c r="I28" s="180"/>
      <c r="J28" s="180"/>
      <c r="K28" s="180"/>
      <c r="L28" s="180"/>
      <c r="M28" s="785"/>
    </row>
    <row r="29" spans="1:13" hidden="1" x14ac:dyDescent="0.3">
      <c r="A29" s="785" t="s">
        <v>1746</v>
      </c>
      <c r="B29" s="785" t="s">
        <v>1747</v>
      </c>
      <c r="C29" s="788">
        <v>0.43</v>
      </c>
      <c r="D29" s="787">
        <v>2018</v>
      </c>
      <c r="E29" s="787">
        <v>2026</v>
      </c>
      <c r="G29" s="180"/>
      <c r="H29" s="180"/>
      <c r="I29" s="180"/>
      <c r="J29" s="180"/>
      <c r="K29" s="180"/>
      <c r="L29" s="180"/>
      <c r="M29" s="785"/>
    </row>
    <row r="30" spans="1:13" x14ac:dyDescent="0.3">
      <c r="A30" s="785" t="s">
        <v>1748</v>
      </c>
      <c r="B30" s="785" t="s">
        <v>1749</v>
      </c>
      <c r="C30" s="788">
        <v>0.6875</v>
      </c>
      <c r="D30" s="787">
        <v>2021</v>
      </c>
      <c r="E30" s="787">
        <v>2025</v>
      </c>
      <c r="F30" s="785"/>
      <c r="G30" s="180"/>
      <c r="H30" s="180"/>
      <c r="I30" s="180"/>
      <c r="J30" s="180"/>
      <c r="K30" s="180"/>
      <c r="L30" s="180"/>
      <c r="M30" s="785"/>
    </row>
    <row r="31" spans="1:13" hidden="1" x14ac:dyDescent="0.3">
      <c r="A31" s="785" t="s">
        <v>1750</v>
      </c>
      <c r="B31" s="785" t="s">
        <v>844</v>
      </c>
      <c r="C31" s="788">
        <v>0.80500000000000005</v>
      </c>
      <c r="D31" s="787">
        <v>2021</v>
      </c>
      <c r="E31" s="787">
        <v>2029</v>
      </c>
      <c r="F31" s="785"/>
      <c r="G31" s="180"/>
      <c r="H31" s="180"/>
      <c r="I31" s="180"/>
      <c r="J31" s="180"/>
      <c r="K31" s="180"/>
      <c r="L31" s="180"/>
      <c r="M31" s="785"/>
    </row>
    <row r="32" spans="1:13" hidden="1" x14ac:dyDescent="0.3">
      <c r="A32" s="785" t="s">
        <v>1751</v>
      </c>
      <c r="B32" s="785" t="s">
        <v>1752</v>
      </c>
      <c r="C32" s="788">
        <v>0.56000000000000005</v>
      </c>
      <c r="D32" s="787">
        <v>2016</v>
      </c>
      <c r="E32" s="787">
        <v>2023</v>
      </c>
      <c r="F32" s="785"/>
      <c r="G32" s="180"/>
      <c r="H32" s="180"/>
      <c r="I32" s="180"/>
      <c r="J32" s="180"/>
      <c r="K32" s="180"/>
      <c r="L32" s="180"/>
      <c r="M32" s="785"/>
    </row>
    <row r="33" spans="1:13" x14ac:dyDescent="0.3">
      <c r="A33" s="785" t="s">
        <v>1753</v>
      </c>
      <c r="B33" s="785" t="s">
        <v>1754</v>
      </c>
      <c r="C33" s="788">
        <v>0.79900000000000004</v>
      </c>
      <c r="D33" s="787">
        <v>2017</v>
      </c>
      <c r="E33" s="787">
        <v>2025</v>
      </c>
      <c r="F33" s="785"/>
      <c r="G33" s="180"/>
      <c r="H33" s="180"/>
      <c r="I33" s="180"/>
      <c r="J33" s="180"/>
      <c r="K33" s="180"/>
      <c r="L33" s="180"/>
      <c r="M33" s="785"/>
    </row>
    <row r="34" spans="1:13" hidden="1" x14ac:dyDescent="0.3">
      <c r="A34" s="785" t="s">
        <v>1755</v>
      </c>
      <c r="B34" s="785" t="s">
        <v>1756</v>
      </c>
      <c r="C34" s="788">
        <v>0.46</v>
      </c>
      <c r="D34" s="787">
        <v>2021</v>
      </c>
      <c r="E34" s="787">
        <v>2029</v>
      </c>
      <c r="F34" s="785"/>
      <c r="G34" s="180"/>
      <c r="H34" s="180"/>
      <c r="I34" s="180"/>
      <c r="J34" s="180"/>
      <c r="K34" s="180"/>
      <c r="L34" s="180"/>
      <c r="M34" s="785"/>
    </row>
    <row r="35" spans="1:13" x14ac:dyDescent="0.3">
      <c r="A35" s="785" t="s">
        <v>1757</v>
      </c>
      <c r="B35" s="785" t="s">
        <v>1758</v>
      </c>
      <c r="C35" s="788">
        <v>0.40050000000000002</v>
      </c>
      <c r="D35" s="787">
        <v>2020</v>
      </c>
      <c r="E35" s="787">
        <v>2025</v>
      </c>
      <c r="F35" s="785"/>
      <c r="G35" s="180"/>
      <c r="H35" s="180"/>
      <c r="I35" s="180"/>
      <c r="J35" s="180"/>
      <c r="K35" s="180"/>
      <c r="L35" s="180"/>
      <c r="M35" s="785"/>
    </row>
    <row r="36" spans="1:13" hidden="1" x14ac:dyDescent="0.3">
      <c r="A36" s="785" t="s">
        <v>1759</v>
      </c>
      <c r="B36" s="785" t="s">
        <v>1760</v>
      </c>
      <c r="C36" s="788">
        <v>0.54</v>
      </c>
      <c r="D36" s="787">
        <v>2021</v>
      </c>
      <c r="E36" s="787">
        <v>2027</v>
      </c>
      <c r="F36" s="785"/>
      <c r="G36" s="180"/>
      <c r="H36" s="180"/>
      <c r="I36" s="180"/>
      <c r="J36" s="180"/>
      <c r="K36" s="180"/>
      <c r="L36" s="180"/>
      <c r="M36" s="785"/>
    </row>
    <row r="37" spans="1:13" x14ac:dyDescent="0.3">
      <c r="A37" s="785" t="s">
        <v>1761</v>
      </c>
      <c r="B37" s="785" t="s">
        <v>1762</v>
      </c>
      <c r="C37" s="788">
        <v>0.73299999999999998</v>
      </c>
      <c r="D37" s="787">
        <v>2021</v>
      </c>
      <c r="E37" s="787">
        <v>2025</v>
      </c>
      <c r="F37" s="785"/>
      <c r="G37" s="180"/>
      <c r="H37" s="180"/>
      <c r="I37" s="180"/>
      <c r="J37" s="180"/>
      <c r="K37" s="180"/>
      <c r="L37" s="180"/>
      <c r="M37" s="785"/>
    </row>
    <row r="38" spans="1:13" hidden="1" x14ac:dyDescent="0.3">
      <c r="A38" s="785" t="s">
        <v>1763</v>
      </c>
      <c r="B38" s="785" t="s">
        <v>1764</v>
      </c>
      <c r="C38" s="788">
        <v>0.73499999999999999</v>
      </c>
      <c r="D38" s="787">
        <v>2017</v>
      </c>
      <c r="E38" s="787">
        <v>2022</v>
      </c>
      <c r="F38" s="785"/>
      <c r="G38" s="180"/>
      <c r="H38" s="180"/>
      <c r="I38" s="180"/>
      <c r="J38" s="180"/>
      <c r="K38" s="180"/>
      <c r="L38" s="180"/>
      <c r="M38" s="785"/>
    </row>
    <row r="39" spans="1:13" hidden="1" x14ac:dyDescent="0.3">
      <c r="A39" s="785" t="s">
        <v>1765</v>
      </c>
      <c r="B39" s="785" t="s">
        <v>1766</v>
      </c>
      <c r="C39" s="788">
        <v>0.72219999999999995</v>
      </c>
      <c r="D39" s="787">
        <v>2019</v>
      </c>
      <c r="E39" s="787">
        <v>2026</v>
      </c>
      <c r="F39" s="785"/>
      <c r="G39" s="180"/>
      <c r="H39" s="180"/>
      <c r="I39" s="180"/>
      <c r="J39" s="180"/>
      <c r="K39" s="180"/>
      <c r="L39" s="180"/>
      <c r="M39" s="785"/>
    </row>
    <row r="40" spans="1:13" hidden="1" x14ac:dyDescent="0.3">
      <c r="A40" s="785" t="s">
        <v>1687</v>
      </c>
      <c r="B40" s="785" t="s">
        <v>494</v>
      </c>
      <c r="C40" s="788">
        <v>0.95</v>
      </c>
      <c r="D40" s="787">
        <v>2017</v>
      </c>
      <c r="E40" s="787">
        <v>2024</v>
      </c>
      <c r="F40" s="785"/>
      <c r="G40" s="180"/>
      <c r="H40" s="180"/>
      <c r="I40" s="180"/>
      <c r="J40" s="180"/>
      <c r="K40" s="180"/>
      <c r="L40" s="180"/>
      <c r="M40" s="785"/>
    </row>
    <row r="41" spans="1:13" x14ac:dyDescent="0.3">
      <c r="A41" s="785" t="s">
        <v>1767</v>
      </c>
      <c r="B41" s="785" t="s">
        <v>1768</v>
      </c>
      <c r="C41" s="788">
        <v>0.67779999999999996</v>
      </c>
      <c r="D41" s="787">
        <v>2021</v>
      </c>
      <c r="E41" s="787">
        <v>2025</v>
      </c>
      <c r="F41" s="785"/>
      <c r="G41" s="180"/>
      <c r="H41" s="180"/>
      <c r="I41" s="180"/>
      <c r="J41" s="180"/>
      <c r="K41" s="180"/>
      <c r="L41" s="180"/>
      <c r="M41" s="785"/>
    </row>
    <row r="42" spans="1:13" hidden="1" x14ac:dyDescent="0.3">
      <c r="A42" s="785" t="s">
        <v>1688</v>
      </c>
      <c r="B42" s="785" t="s">
        <v>1689</v>
      </c>
      <c r="C42" s="788">
        <v>0.79500000000000004</v>
      </c>
      <c r="D42" s="787">
        <v>2018</v>
      </c>
      <c r="E42" s="787">
        <v>2024</v>
      </c>
      <c r="F42" s="785"/>
      <c r="G42" s="180"/>
      <c r="H42" s="180"/>
      <c r="I42" s="180"/>
      <c r="J42" s="180"/>
      <c r="K42" s="180"/>
      <c r="L42" s="180"/>
      <c r="M42" s="785"/>
    </row>
    <row r="43" spans="1:13" hidden="1" x14ac:dyDescent="0.3">
      <c r="A43" s="785" t="s">
        <v>1769</v>
      </c>
      <c r="B43" s="785" t="s">
        <v>1770</v>
      </c>
      <c r="C43" s="788">
        <v>0.83</v>
      </c>
      <c r="D43" s="787">
        <v>2019</v>
      </c>
      <c r="E43" s="787">
        <v>2023</v>
      </c>
      <c r="F43" s="785"/>
      <c r="G43" s="180"/>
      <c r="H43" s="180"/>
      <c r="I43" s="180"/>
      <c r="J43" s="180"/>
      <c r="K43" s="180"/>
      <c r="L43" s="180"/>
      <c r="M43" s="785"/>
    </row>
    <row r="44" spans="1:13" x14ac:dyDescent="0.3">
      <c r="A44" s="785" t="s">
        <v>1771</v>
      </c>
      <c r="B44" s="785" t="s">
        <v>1772</v>
      </c>
      <c r="C44" s="788">
        <v>0.79</v>
      </c>
      <c r="D44" s="787">
        <v>2017</v>
      </c>
      <c r="E44" s="787">
        <v>2025</v>
      </c>
      <c r="F44" s="785"/>
      <c r="G44" s="180"/>
      <c r="H44" s="180"/>
      <c r="I44" s="180"/>
      <c r="J44" s="180"/>
      <c r="K44" s="180"/>
      <c r="L44" s="180"/>
      <c r="M44" s="785"/>
    </row>
    <row r="45" spans="1:13" hidden="1" x14ac:dyDescent="0.3">
      <c r="A45" s="785" t="s">
        <v>1773</v>
      </c>
      <c r="B45" s="785" t="s">
        <v>1774</v>
      </c>
      <c r="C45" s="788">
        <v>0.65</v>
      </c>
      <c r="D45" s="787">
        <v>2019</v>
      </c>
      <c r="E45" s="787">
        <v>2023</v>
      </c>
      <c r="F45" s="785"/>
      <c r="G45" s="180"/>
      <c r="H45" s="180"/>
      <c r="I45" s="180"/>
      <c r="J45" s="180"/>
      <c r="K45" s="180"/>
      <c r="L45" s="180"/>
      <c r="M45" s="785"/>
    </row>
    <row r="46" spans="1:13" hidden="1" x14ac:dyDescent="0.3">
      <c r="A46" s="785" t="s">
        <v>1690</v>
      </c>
      <c r="B46" s="785" t="s">
        <v>1691</v>
      </c>
      <c r="C46" s="788">
        <v>0.84</v>
      </c>
      <c r="D46" s="787">
        <v>2018</v>
      </c>
      <c r="E46" s="787">
        <v>2024</v>
      </c>
      <c r="F46" s="785"/>
      <c r="G46" s="180"/>
      <c r="H46" s="180"/>
      <c r="I46" s="180"/>
      <c r="J46" s="180"/>
      <c r="K46" s="180"/>
      <c r="L46" s="180"/>
      <c r="M46" s="785"/>
    </row>
    <row r="47" spans="1:13" hidden="1" x14ac:dyDescent="0.3">
      <c r="A47" s="785" t="s">
        <v>1775</v>
      </c>
      <c r="B47" s="785" t="s">
        <v>1776</v>
      </c>
      <c r="C47" s="788">
        <v>0.78600000000000003</v>
      </c>
      <c r="D47" s="787">
        <v>2021</v>
      </c>
      <c r="E47" s="787">
        <v>2029</v>
      </c>
      <c r="F47" s="785"/>
      <c r="G47" s="180"/>
      <c r="H47" s="180"/>
      <c r="I47" s="180"/>
      <c r="J47" s="180"/>
      <c r="K47" s="180"/>
      <c r="L47" s="180"/>
      <c r="M47" s="785"/>
    </row>
    <row r="48" spans="1:13" hidden="1" x14ac:dyDescent="0.3">
      <c r="A48" s="785" t="s">
        <v>1777</v>
      </c>
      <c r="B48" s="785" t="s">
        <v>1778</v>
      </c>
      <c r="C48" s="788">
        <v>0.73050000000000004</v>
      </c>
      <c r="D48" s="787">
        <v>2017</v>
      </c>
      <c r="E48" s="787">
        <v>2022</v>
      </c>
      <c r="F48" s="785"/>
      <c r="G48" s="180"/>
      <c r="H48" s="180"/>
      <c r="I48" s="180"/>
      <c r="J48" s="180"/>
      <c r="K48" s="180"/>
      <c r="L48" s="180"/>
      <c r="M48" s="785"/>
    </row>
    <row r="49" spans="1:13" hidden="1" x14ac:dyDescent="0.3">
      <c r="A49" s="785" t="s">
        <v>1692</v>
      </c>
      <c r="B49" s="785" t="s">
        <v>1693</v>
      </c>
      <c r="C49" s="788">
        <v>0.76</v>
      </c>
      <c r="D49" s="787">
        <v>2020</v>
      </c>
      <c r="E49" s="787">
        <v>2024</v>
      </c>
      <c r="F49" s="785"/>
      <c r="G49" s="180"/>
      <c r="H49" s="180"/>
      <c r="I49" s="180"/>
      <c r="J49" s="180"/>
      <c r="K49" s="180"/>
      <c r="L49" s="180"/>
      <c r="M49" s="785"/>
    </row>
    <row r="50" spans="1:13" hidden="1" x14ac:dyDescent="0.3">
      <c r="A50" s="785" t="s">
        <v>1779</v>
      </c>
      <c r="B50" s="785" t="s">
        <v>1780</v>
      </c>
      <c r="C50" s="788">
        <v>0.75</v>
      </c>
      <c r="D50" s="787">
        <v>2017</v>
      </c>
      <c r="E50" s="787">
        <v>2022</v>
      </c>
      <c r="F50" s="785"/>
      <c r="G50" s="180"/>
      <c r="H50" s="180"/>
      <c r="I50" s="180"/>
      <c r="J50" s="180"/>
      <c r="K50" s="180"/>
      <c r="L50" s="180"/>
      <c r="M50" s="785"/>
    </row>
    <row r="51" spans="1:13" x14ac:dyDescent="0.3">
      <c r="A51" s="785" t="s">
        <v>1781</v>
      </c>
      <c r="B51" s="785" t="s">
        <v>1782</v>
      </c>
      <c r="C51" s="788">
        <v>0.53500000000000003</v>
      </c>
      <c r="D51" s="787">
        <v>2021</v>
      </c>
      <c r="E51" s="787">
        <v>2025</v>
      </c>
      <c r="F51" s="785"/>
      <c r="G51" s="180"/>
      <c r="H51" s="180"/>
      <c r="I51" s="180"/>
      <c r="J51" s="180"/>
      <c r="K51" s="180"/>
      <c r="L51" s="180"/>
      <c r="M51" s="785"/>
    </row>
    <row r="52" spans="1:13" hidden="1" x14ac:dyDescent="0.3">
      <c r="A52" s="785" t="s">
        <v>1783</v>
      </c>
      <c r="B52" s="785" t="s">
        <v>1784</v>
      </c>
      <c r="C52" s="788">
        <v>0.56100000000000005</v>
      </c>
      <c r="D52" s="787">
        <v>2019</v>
      </c>
      <c r="E52" s="787">
        <v>2023</v>
      </c>
      <c r="F52" s="785"/>
      <c r="G52" s="180"/>
      <c r="H52" s="180"/>
      <c r="I52" s="180"/>
      <c r="J52" s="180"/>
      <c r="K52" s="180"/>
      <c r="L52" s="180"/>
      <c r="M52" s="785"/>
    </row>
    <row r="53" spans="1:13" hidden="1" x14ac:dyDescent="0.3">
      <c r="A53" s="785" t="s">
        <v>1785</v>
      </c>
      <c r="B53" s="785" t="s">
        <v>1786</v>
      </c>
      <c r="C53" s="788">
        <v>0.84</v>
      </c>
      <c r="D53" s="787">
        <v>2019</v>
      </c>
      <c r="E53" s="787">
        <v>2027</v>
      </c>
      <c r="F53" s="785"/>
      <c r="G53" s="180"/>
      <c r="H53" s="180"/>
      <c r="I53" s="180"/>
      <c r="J53" s="180"/>
      <c r="K53" s="180"/>
      <c r="L53" s="180"/>
      <c r="M53" s="785"/>
    </row>
    <row r="54" spans="1:13" hidden="1" x14ac:dyDescent="0.3">
      <c r="A54" s="785" t="s">
        <v>1787</v>
      </c>
      <c r="B54" s="785" t="s">
        <v>1788</v>
      </c>
      <c r="C54" s="788">
        <v>0.75</v>
      </c>
      <c r="D54" s="787">
        <v>2014</v>
      </c>
      <c r="E54" s="787">
        <v>2022</v>
      </c>
      <c r="F54" s="785"/>
      <c r="G54" s="180"/>
      <c r="H54" s="180"/>
      <c r="I54" s="180"/>
      <c r="J54" s="180"/>
      <c r="K54" s="180"/>
      <c r="L54" s="180"/>
      <c r="M54" s="785"/>
    </row>
    <row r="55" spans="1:13" hidden="1" x14ac:dyDescent="0.3">
      <c r="A55" s="785" t="s">
        <v>1789</v>
      </c>
      <c r="B55" s="785" t="s">
        <v>515</v>
      </c>
      <c r="C55" s="788">
        <v>0.79500000000000004</v>
      </c>
      <c r="D55" s="787">
        <v>2017</v>
      </c>
      <c r="E55" s="787">
        <v>2023</v>
      </c>
      <c r="F55" s="785"/>
      <c r="G55" s="180"/>
      <c r="H55" s="180"/>
      <c r="I55" s="180"/>
      <c r="J55" s="180"/>
      <c r="K55" s="180"/>
      <c r="L55" s="180"/>
      <c r="M55" s="785"/>
    </row>
    <row r="56" spans="1:13" hidden="1" x14ac:dyDescent="0.3">
      <c r="A56" s="785" t="s">
        <v>1790</v>
      </c>
      <c r="B56" s="785" t="s">
        <v>1791</v>
      </c>
      <c r="C56" s="788">
        <v>0.53749999999999998</v>
      </c>
      <c r="D56" s="787">
        <v>2019</v>
      </c>
      <c r="E56" s="787">
        <v>2023</v>
      </c>
      <c r="F56" s="785"/>
      <c r="G56" s="180"/>
      <c r="H56" s="180"/>
      <c r="I56" s="180"/>
      <c r="J56" s="180"/>
      <c r="K56" s="180"/>
      <c r="L56" s="180"/>
      <c r="M56" s="785"/>
    </row>
    <row r="57" spans="1:13" x14ac:dyDescent="0.3">
      <c r="A57" s="785" t="s">
        <v>1792</v>
      </c>
      <c r="B57" s="785" t="s">
        <v>1793</v>
      </c>
      <c r="C57" s="788">
        <v>0.36</v>
      </c>
      <c r="D57" s="787">
        <v>2021</v>
      </c>
      <c r="E57" s="787">
        <v>2025</v>
      </c>
      <c r="F57" s="785"/>
      <c r="G57" s="180"/>
      <c r="H57" s="180"/>
      <c r="I57" s="180"/>
      <c r="J57" s="180"/>
      <c r="K57" s="180"/>
      <c r="L57" s="180"/>
      <c r="M57" s="785"/>
    </row>
    <row r="58" spans="1:13" x14ac:dyDescent="0.3">
      <c r="A58" s="785" t="s">
        <v>1794</v>
      </c>
      <c r="B58" s="785" t="s">
        <v>1795</v>
      </c>
      <c r="C58" s="786">
        <v>0.73</v>
      </c>
      <c r="D58" s="787">
        <v>2019</v>
      </c>
      <c r="E58" s="787">
        <v>2025</v>
      </c>
      <c r="F58" s="785"/>
      <c r="G58" s="180"/>
      <c r="H58" s="180"/>
      <c r="I58" s="180"/>
      <c r="J58" s="180"/>
      <c r="K58" s="180"/>
      <c r="L58" s="180"/>
      <c r="M58" s="785"/>
    </row>
    <row r="59" spans="1:13" hidden="1" x14ac:dyDescent="0.3">
      <c r="A59" s="785" t="s">
        <v>1796</v>
      </c>
      <c r="B59" s="785" t="s">
        <v>1797</v>
      </c>
      <c r="C59" s="786">
        <v>0.75</v>
      </c>
      <c r="D59" s="787">
        <v>2014</v>
      </c>
      <c r="E59" s="787">
        <v>2022</v>
      </c>
      <c r="F59" s="785"/>
      <c r="G59" s="180"/>
      <c r="H59" s="180"/>
      <c r="I59" s="180"/>
      <c r="J59" s="180"/>
      <c r="K59" s="180"/>
      <c r="L59" s="180"/>
      <c r="M59" s="785"/>
    </row>
    <row r="60" spans="1:13" hidden="1" x14ac:dyDescent="0.3">
      <c r="A60" s="785" t="s">
        <v>1798</v>
      </c>
      <c r="B60" s="785" t="s">
        <v>1799</v>
      </c>
      <c r="C60" s="786">
        <v>0.76</v>
      </c>
      <c r="D60" s="787">
        <v>2019</v>
      </c>
      <c r="E60" s="787">
        <v>2023</v>
      </c>
      <c r="F60" s="785"/>
      <c r="G60" s="180"/>
      <c r="H60" s="180"/>
      <c r="I60" s="180"/>
      <c r="J60" s="180"/>
      <c r="K60" s="180"/>
      <c r="L60" s="180"/>
      <c r="M60" s="785"/>
    </row>
    <row r="61" spans="1:13" x14ac:dyDescent="0.3">
      <c r="A61" s="785" t="s">
        <v>1800</v>
      </c>
      <c r="B61" s="785" t="s">
        <v>1801</v>
      </c>
      <c r="C61" s="786">
        <v>0.84499999999999997</v>
      </c>
      <c r="D61" s="787">
        <v>2017</v>
      </c>
      <c r="E61" s="787">
        <v>2025</v>
      </c>
      <c r="F61" s="785"/>
      <c r="G61" s="180"/>
      <c r="H61" s="180"/>
      <c r="I61" s="180"/>
      <c r="J61" s="180"/>
      <c r="K61" s="180"/>
      <c r="L61" s="180"/>
      <c r="M61" s="785"/>
    </row>
    <row r="62" spans="1:13" hidden="1" x14ac:dyDescent="0.3">
      <c r="A62" s="785" t="s">
        <v>1802</v>
      </c>
      <c r="B62" s="785" t="s">
        <v>1803</v>
      </c>
      <c r="C62" s="786">
        <v>0.61899999999999999</v>
      </c>
      <c r="D62" s="787">
        <v>2019</v>
      </c>
      <c r="E62" s="787">
        <v>2023</v>
      </c>
      <c r="F62" s="785"/>
      <c r="G62" s="180"/>
      <c r="H62" s="180"/>
      <c r="I62" s="180"/>
      <c r="J62" s="180"/>
      <c r="K62" s="180"/>
      <c r="L62" s="180"/>
      <c r="M62" s="785"/>
    </row>
    <row r="63" spans="1:13" hidden="1" x14ac:dyDescent="0.3">
      <c r="A63" s="785" t="s">
        <v>1804</v>
      </c>
      <c r="B63" s="785" t="s">
        <v>1805</v>
      </c>
      <c r="C63" s="786">
        <v>0.4</v>
      </c>
      <c r="D63" s="787">
        <v>2019</v>
      </c>
      <c r="E63" s="787">
        <v>2023</v>
      </c>
      <c r="F63" s="785"/>
      <c r="G63" s="180"/>
      <c r="H63" s="180"/>
      <c r="I63" s="180"/>
      <c r="J63" s="180"/>
      <c r="K63" s="180"/>
      <c r="L63" s="180"/>
      <c r="M63" s="785"/>
    </row>
    <row r="64" spans="1:13" hidden="1" x14ac:dyDescent="0.3">
      <c r="A64" s="785" t="s">
        <v>1806</v>
      </c>
      <c r="B64" s="785" t="s">
        <v>1807</v>
      </c>
      <c r="C64" s="786">
        <v>0.5</v>
      </c>
      <c r="D64" s="787">
        <v>2020</v>
      </c>
      <c r="E64" s="787">
        <v>2028</v>
      </c>
      <c r="F64" s="785"/>
      <c r="G64" s="180"/>
      <c r="H64" s="180"/>
      <c r="I64" s="180"/>
      <c r="J64" s="180"/>
      <c r="K64" s="180"/>
      <c r="L64" s="180"/>
      <c r="M64" s="785"/>
    </row>
    <row r="65" spans="1:13" x14ac:dyDescent="0.3">
      <c r="A65" s="785" t="s">
        <v>1808</v>
      </c>
      <c r="B65" s="785" t="s">
        <v>845</v>
      </c>
      <c r="C65" s="786">
        <v>0.81</v>
      </c>
      <c r="D65" s="787">
        <v>2017</v>
      </c>
      <c r="E65" s="787">
        <v>2025</v>
      </c>
      <c r="F65" s="785"/>
      <c r="G65" s="180"/>
      <c r="H65" s="180"/>
      <c r="I65" s="180"/>
      <c r="J65" s="180"/>
      <c r="K65" s="180"/>
      <c r="L65" s="180"/>
      <c r="M65" s="785"/>
    </row>
    <row r="66" spans="1:13" hidden="1" x14ac:dyDescent="0.3">
      <c r="A66" s="785" t="s">
        <v>1809</v>
      </c>
      <c r="B66" s="785" t="s">
        <v>1810</v>
      </c>
      <c r="C66" s="786">
        <v>0.57750000000000001</v>
      </c>
      <c r="D66" s="787">
        <v>2019</v>
      </c>
      <c r="E66" s="787">
        <v>2023</v>
      </c>
      <c r="F66" s="785"/>
      <c r="G66" s="180"/>
      <c r="H66" s="180"/>
      <c r="I66" s="180"/>
      <c r="J66" s="180"/>
      <c r="K66" s="180"/>
      <c r="L66" s="180"/>
      <c r="M66" s="785"/>
    </row>
    <row r="67" spans="1:13" hidden="1" x14ac:dyDescent="0.3">
      <c r="A67" s="785" t="s">
        <v>1811</v>
      </c>
      <c r="B67" s="785" t="s">
        <v>1812</v>
      </c>
      <c r="C67" s="786">
        <v>0.6169</v>
      </c>
      <c r="D67" s="787">
        <v>2019</v>
      </c>
      <c r="E67" s="787">
        <v>2023</v>
      </c>
      <c r="F67" s="785"/>
      <c r="G67" s="180"/>
      <c r="H67" s="180"/>
      <c r="I67" s="180"/>
      <c r="J67" s="180"/>
      <c r="K67" s="180"/>
      <c r="L67" s="180"/>
      <c r="M67" s="785"/>
    </row>
    <row r="68" spans="1:13" hidden="1" x14ac:dyDescent="0.3">
      <c r="A68" s="785" t="s">
        <v>1813</v>
      </c>
      <c r="B68" s="785" t="s">
        <v>1814</v>
      </c>
      <c r="C68" s="786">
        <v>0.57999999999999996</v>
      </c>
      <c r="D68" s="787">
        <v>2018</v>
      </c>
      <c r="E68" s="787">
        <v>2022</v>
      </c>
      <c r="F68" s="785"/>
      <c r="G68" s="180"/>
      <c r="H68" s="180"/>
      <c r="I68" s="180"/>
      <c r="J68" s="180"/>
      <c r="K68" s="180"/>
      <c r="L68" s="180"/>
      <c r="M68" s="785"/>
    </row>
    <row r="69" spans="1:13" hidden="1" x14ac:dyDescent="0.3">
      <c r="A69" s="785" t="s">
        <v>1815</v>
      </c>
      <c r="B69" s="785" t="s">
        <v>1816</v>
      </c>
      <c r="C69" s="786">
        <v>0.61499999999999999</v>
      </c>
      <c r="D69" s="787">
        <v>2020</v>
      </c>
      <c r="E69" s="787">
        <v>2028</v>
      </c>
      <c r="F69" s="785"/>
      <c r="G69" s="180"/>
      <c r="H69" s="180"/>
      <c r="I69" s="180"/>
      <c r="J69" s="180"/>
      <c r="K69" s="180"/>
      <c r="L69" s="180"/>
      <c r="M69" s="785"/>
    </row>
    <row r="70" spans="1:13" hidden="1" x14ac:dyDescent="0.3">
      <c r="A70" s="785" t="s">
        <v>1817</v>
      </c>
      <c r="B70" s="785" t="s">
        <v>1818</v>
      </c>
      <c r="C70" s="786">
        <v>0.51</v>
      </c>
      <c r="D70" s="787">
        <v>2019</v>
      </c>
      <c r="E70" s="787">
        <v>2023</v>
      </c>
      <c r="F70" s="785"/>
      <c r="G70" s="180"/>
      <c r="H70" s="180"/>
      <c r="I70" s="180"/>
      <c r="J70" s="180"/>
      <c r="K70" s="180"/>
      <c r="L70" s="180"/>
      <c r="M70" s="785"/>
    </row>
    <row r="71" spans="1:13" hidden="1" x14ac:dyDescent="0.3">
      <c r="A71" s="785" t="s">
        <v>1694</v>
      </c>
      <c r="B71" s="785" t="s">
        <v>1695</v>
      </c>
      <c r="C71" s="786">
        <v>0.67</v>
      </c>
      <c r="D71" s="787">
        <v>2017</v>
      </c>
      <c r="E71" s="787">
        <v>2024</v>
      </c>
      <c r="F71" s="785"/>
      <c r="G71" s="180"/>
      <c r="H71" s="180"/>
      <c r="I71" s="180"/>
      <c r="J71" s="180"/>
      <c r="K71" s="180"/>
      <c r="L71" s="180"/>
      <c r="M71" s="785"/>
    </row>
    <row r="72" spans="1:13" x14ac:dyDescent="0.3">
      <c r="A72" s="785" t="s">
        <v>1819</v>
      </c>
      <c r="B72" s="785" t="s">
        <v>1820</v>
      </c>
      <c r="C72" s="786">
        <v>0.47499999999999998</v>
      </c>
      <c r="D72" s="787">
        <v>2021</v>
      </c>
      <c r="E72" s="787">
        <v>2025</v>
      </c>
      <c r="F72" s="785"/>
      <c r="G72" s="180"/>
      <c r="H72" s="180"/>
      <c r="I72" s="180"/>
      <c r="J72" s="180"/>
      <c r="K72" s="180"/>
      <c r="L72" s="180"/>
      <c r="M72" s="785"/>
    </row>
    <row r="73" spans="1:13" hidden="1" x14ac:dyDescent="0.3">
      <c r="A73" s="604" t="s">
        <v>1821</v>
      </c>
      <c r="B73" s="604" t="s">
        <v>524</v>
      </c>
      <c r="C73" s="789">
        <v>0.90500000000000003</v>
      </c>
      <c r="D73" s="605">
        <v>2015</v>
      </c>
      <c r="E73" s="605">
        <v>2023</v>
      </c>
      <c r="G73" s="180"/>
      <c r="H73" s="180"/>
      <c r="I73" s="180"/>
      <c r="J73" s="180"/>
      <c r="K73" s="180"/>
      <c r="L73" s="180"/>
    </row>
    <row r="74" spans="1:13" hidden="1" x14ac:dyDescent="0.3">
      <c r="A74" s="604" t="s">
        <v>1822</v>
      </c>
      <c r="B74" s="604" t="s">
        <v>1823</v>
      </c>
      <c r="C74" s="789">
        <v>0.70499999999999996</v>
      </c>
      <c r="D74" s="605">
        <v>2018</v>
      </c>
      <c r="E74" s="605">
        <v>2022</v>
      </c>
      <c r="G74" s="180"/>
      <c r="H74" s="180"/>
      <c r="I74" s="180"/>
      <c r="J74" s="180"/>
      <c r="K74" s="180"/>
      <c r="L74" s="180"/>
    </row>
    <row r="75" spans="1:13" x14ac:dyDescent="0.3">
      <c r="A75" s="604" t="s">
        <v>1824</v>
      </c>
      <c r="B75" s="604" t="s">
        <v>1825</v>
      </c>
      <c r="C75" s="789">
        <v>0.81869999999999998</v>
      </c>
      <c r="D75" s="605">
        <v>2021</v>
      </c>
      <c r="E75" s="605">
        <v>2025</v>
      </c>
      <c r="G75" s="180"/>
      <c r="H75" s="180"/>
      <c r="I75" s="180"/>
      <c r="J75" s="180"/>
      <c r="K75" s="180"/>
      <c r="L75" s="180"/>
    </row>
    <row r="76" spans="1:13" hidden="1" x14ac:dyDescent="0.3">
      <c r="A76" s="604" t="s">
        <v>1826</v>
      </c>
      <c r="B76" s="604" t="s">
        <v>1827</v>
      </c>
      <c r="C76" s="789">
        <v>0.625</v>
      </c>
      <c r="D76" s="605">
        <v>2020</v>
      </c>
      <c r="E76" s="605">
        <v>2028</v>
      </c>
      <c r="G76" s="180"/>
      <c r="H76" s="180"/>
      <c r="I76" s="180"/>
      <c r="J76" s="180"/>
      <c r="K76" s="180"/>
      <c r="L76" s="180"/>
    </row>
    <row r="77" spans="1:13" hidden="1" x14ac:dyDescent="0.3">
      <c r="A77" s="604" t="s">
        <v>1828</v>
      </c>
      <c r="B77" s="604" t="s">
        <v>1829</v>
      </c>
      <c r="C77" s="789">
        <v>0.77</v>
      </c>
      <c r="D77" s="605">
        <v>2014</v>
      </c>
      <c r="E77" s="605">
        <v>2022</v>
      </c>
      <c r="G77" s="180"/>
      <c r="H77" s="180"/>
      <c r="I77" s="180"/>
      <c r="J77" s="180"/>
      <c r="K77" s="180"/>
      <c r="L77" s="180"/>
    </row>
    <row r="78" spans="1:13" hidden="1" x14ac:dyDescent="0.3">
      <c r="A78" s="604" t="s">
        <v>1830</v>
      </c>
      <c r="B78" s="604" t="s">
        <v>527</v>
      </c>
      <c r="C78" s="789">
        <v>0.64500000000000002</v>
      </c>
      <c r="D78" s="605">
        <v>2019</v>
      </c>
      <c r="E78" s="605">
        <v>2027</v>
      </c>
      <c r="G78" s="180"/>
      <c r="H78" s="180"/>
      <c r="I78" s="180"/>
      <c r="J78" s="180"/>
      <c r="K78" s="180"/>
      <c r="L78" s="180"/>
    </row>
    <row r="79" spans="1:13" hidden="1" x14ac:dyDescent="0.3">
      <c r="A79" s="604" t="s">
        <v>1696</v>
      </c>
      <c r="B79" s="604" t="s">
        <v>1697</v>
      </c>
      <c r="C79" s="789">
        <v>0.61</v>
      </c>
      <c r="D79" s="605">
        <v>2016</v>
      </c>
      <c r="E79" s="605">
        <v>2024</v>
      </c>
      <c r="G79" s="180"/>
      <c r="H79" s="180"/>
      <c r="I79" s="180"/>
      <c r="J79" s="180"/>
      <c r="K79" s="180"/>
      <c r="L79" s="180"/>
    </row>
    <row r="80" spans="1:13" x14ac:dyDescent="0.3">
      <c r="A80" s="604" t="s">
        <v>1831</v>
      </c>
      <c r="B80" s="604" t="s">
        <v>1832</v>
      </c>
      <c r="C80" s="789">
        <v>0.72</v>
      </c>
      <c r="D80" s="605">
        <v>2021</v>
      </c>
      <c r="E80" s="605">
        <v>2025</v>
      </c>
      <c r="G80" s="180"/>
      <c r="H80" s="180"/>
      <c r="I80" s="180"/>
      <c r="J80" s="180"/>
      <c r="K80" s="180"/>
      <c r="L80" s="180"/>
    </row>
    <row r="81" spans="1:12" hidden="1" x14ac:dyDescent="0.3">
      <c r="A81" s="604" t="s">
        <v>1698</v>
      </c>
      <c r="B81" s="604" t="s">
        <v>1699</v>
      </c>
      <c r="C81" s="789">
        <v>0.68410000000000004</v>
      </c>
      <c r="D81" s="605">
        <v>2020</v>
      </c>
      <c r="E81" s="605">
        <v>2024</v>
      </c>
      <c r="G81" s="180"/>
      <c r="H81" s="180"/>
      <c r="I81" s="180"/>
      <c r="J81" s="180"/>
      <c r="K81" s="180"/>
      <c r="L81" s="180"/>
    </row>
    <row r="82" spans="1:12" x14ac:dyDescent="0.3">
      <c r="A82" s="604" t="s">
        <v>1833</v>
      </c>
      <c r="B82" s="604" t="s">
        <v>1834</v>
      </c>
      <c r="C82" s="789">
        <v>0.51429999999999998</v>
      </c>
      <c r="D82" s="605">
        <v>2021</v>
      </c>
      <c r="E82" s="605">
        <v>2025</v>
      </c>
      <c r="G82" s="180"/>
      <c r="H82" s="180"/>
      <c r="I82" s="180"/>
      <c r="J82" s="180"/>
      <c r="K82" s="180"/>
      <c r="L82" s="180"/>
    </row>
    <row r="83" spans="1:12" hidden="1" x14ac:dyDescent="0.3">
      <c r="A83" s="604" t="s">
        <v>1835</v>
      </c>
      <c r="B83" s="604" t="s">
        <v>1836</v>
      </c>
      <c r="C83" s="789">
        <v>0.63270000000000004</v>
      </c>
      <c r="D83" s="605">
        <v>2019</v>
      </c>
      <c r="E83" s="605">
        <v>2023</v>
      </c>
      <c r="G83" s="180"/>
      <c r="H83" s="180"/>
      <c r="I83" s="180"/>
      <c r="J83" s="180"/>
      <c r="K83" s="180"/>
      <c r="L83" s="180"/>
    </row>
    <row r="84" spans="1:12" hidden="1" x14ac:dyDescent="0.3">
      <c r="A84" s="604" t="s">
        <v>1700</v>
      </c>
      <c r="B84" s="604" t="s">
        <v>1701</v>
      </c>
      <c r="C84" s="789">
        <v>0.83</v>
      </c>
      <c r="D84" s="605">
        <v>2016</v>
      </c>
      <c r="E84" s="605">
        <v>2024</v>
      </c>
      <c r="G84" s="180"/>
      <c r="H84" s="180"/>
      <c r="I84" s="180"/>
      <c r="J84" s="180"/>
      <c r="K84" s="180"/>
      <c r="L84" s="180"/>
    </row>
    <row r="85" spans="1:12" hidden="1" x14ac:dyDescent="0.3">
      <c r="A85" s="604" t="s">
        <v>1702</v>
      </c>
      <c r="B85" s="604" t="s">
        <v>1703</v>
      </c>
      <c r="C85" s="789">
        <v>0.77</v>
      </c>
      <c r="D85" s="605">
        <v>2018</v>
      </c>
      <c r="E85" s="605">
        <v>2024</v>
      </c>
      <c r="G85" s="180"/>
      <c r="H85" s="180"/>
      <c r="I85" s="180"/>
      <c r="J85" s="180"/>
      <c r="K85" s="180"/>
      <c r="L85" s="180"/>
    </row>
    <row r="86" spans="1:12" hidden="1" x14ac:dyDescent="0.3">
      <c r="A86" s="604" t="s">
        <v>1704</v>
      </c>
      <c r="B86" s="604" t="s">
        <v>1705</v>
      </c>
      <c r="C86" s="789">
        <v>0.69499999999999995</v>
      </c>
      <c r="D86" s="605">
        <v>2019</v>
      </c>
      <c r="E86" s="605">
        <v>2024</v>
      </c>
      <c r="G86" s="180"/>
      <c r="H86" s="180"/>
      <c r="I86" s="180"/>
      <c r="J86" s="180"/>
      <c r="K86" s="180"/>
      <c r="L86" s="180"/>
    </row>
    <row r="87" spans="1:12" hidden="1" x14ac:dyDescent="0.3">
      <c r="A87" s="604" t="s">
        <v>1837</v>
      </c>
      <c r="B87" s="604" t="s">
        <v>1838</v>
      </c>
      <c r="C87" s="789">
        <v>0.65749999999999997</v>
      </c>
      <c r="D87" s="605">
        <v>2019</v>
      </c>
      <c r="E87" s="605">
        <v>2023</v>
      </c>
      <c r="G87" s="180"/>
      <c r="H87" s="180"/>
      <c r="I87" s="180"/>
      <c r="J87" s="180"/>
      <c r="K87" s="180"/>
      <c r="L87" s="180"/>
    </row>
    <row r="88" spans="1:12" hidden="1" x14ac:dyDescent="0.3">
      <c r="A88" s="604" t="s">
        <v>1839</v>
      </c>
      <c r="B88" s="604" t="s">
        <v>1840</v>
      </c>
      <c r="C88" s="789">
        <v>0.59699999999999998</v>
      </c>
      <c r="D88" s="605">
        <v>2019</v>
      </c>
      <c r="E88" s="605">
        <v>2023</v>
      </c>
      <c r="G88" s="180"/>
      <c r="H88" s="180"/>
      <c r="I88" s="180"/>
      <c r="J88" s="180"/>
      <c r="K88" s="180"/>
      <c r="L88" s="180"/>
    </row>
    <row r="89" spans="1:12" hidden="1" x14ac:dyDescent="0.3">
      <c r="A89" s="604" t="s">
        <v>1841</v>
      </c>
      <c r="B89" s="604" t="s">
        <v>1842</v>
      </c>
      <c r="C89" s="789">
        <v>0.82499999999999996</v>
      </c>
      <c r="D89" s="605">
        <v>2019</v>
      </c>
      <c r="E89" s="605">
        <v>2027</v>
      </c>
      <c r="G89" s="180"/>
      <c r="H89" s="180"/>
      <c r="I89" s="180"/>
      <c r="J89" s="180"/>
      <c r="K89" s="180"/>
      <c r="L89" s="180"/>
    </row>
    <row r="90" spans="1:12" hidden="1" x14ac:dyDescent="0.3">
      <c r="A90" s="604" t="s">
        <v>1843</v>
      </c>
      <c r="B90" s="604" t="s">
        <v>541</v>
      </c>
      <c r="C90" s="789">
        <v>1</v>
      </c>
      <c r="D90" s="605">
        <v>2019</v>
      </c>
      <c r="E90" s="605">
        <v>2027</v>
      </c>
      <c r="G90" s="180"/>
      <c r="H90" s="180"/>
      <c r="I90" s="180"/>
      <c r="J90" s="180"/>
      <c r="K90" s="180"/>
      <c r="L90" s="180"/>
    </row>
    <row r="91" spans="1:12" x14ac:dyDescent="0.3">
      <c r="A91" s="604" t="s">
        <v>1844</v>
      </c>
      <c r="B91" s="604" t="s">
        <v>1845</v>
      </c>
      <c r="C91" s="789">
        <v>0.61</v>
      </c>
      <c r="D91" s="605">
        <v>2021</v>
      </c>
      <c r="E91" s="605">
        <v>2025</v>
      </c>
      <c r="G91" s="180"/>
      <c r="H91" s="180"/>
      <c r="I91" s="180"/>
      <c r="J91" s="180"/>
      <c r="K91" s="180"/>
      <c r="L91" s="180"/>
    </row>
    <row r="92" spans="1:12" x14ac:dyDescent="0.3">
      <c r="A92" s="604" t="s">
        <v>1846</v>
      </c>
      <c r="B92" s="604" t="s">
        <v>1847</v>
      </c>
      <c r="C92" s="789">
        <v>0.66</v>
      </c>
      <c r="D92" s="605">
        <v>2021</v>
      </c>
      <c r="E92" s="605">
        <v>2025</v>
      </c>
      <c r="G92" s="180"/>
      <c r="H92" s="180"/>
      <c r="I92" s="180"/>
      <c r="J92" s="180"/>
      <c r="K92" s="180"/>
      <c r="L92" s="180"/>
    </row>
    <row r="93" spans="1:12" x14ac:dyDescent="0.3">
      <c r="A93" s="604" t="s">
        <v>1848</v>
      </c>
      <c r="B93" s="604" t="s">
        <v>1849</v>
      </c>
      <c r="C93" s="789">
        <v>0.55200000000000005</v>
      </c>
      <c r="D93" s="605">
        <v>2021</v>
      </c>
      <c r="E93" s="605">
        <v>2025</v>
      </c>
      <c r="G93" s="180"/>
      <c r="H93" s="180"/>
      <c r="I93" s="180"/>
      <c r="J93" s="180"/>
      <c r="K93" s="180"/>
      <c r="L93" s="180"/>
    </row>
    <row r="94" spans="1:12" hidden="1" x14ac:dyDescent="0.3">
      <c r="A94" s="604" t="s">
        <v>1850</v>
      </c>
      <c r="B94" s="604" t="s">
        <v>1851</v>
      </c>
      <c r="C94" s="789">
        <v>0.36</v>
      </c>
      <c r="D94" s="605">
        <v>2021</v>
      </c>
      <c r="E94" s="605">
        <v>2029</v>
      </c>
      <c r="G94" s="180"/>
      <c r="H94" s="180"/>
      <c r="I94" s="180"/>
      <c r="J94" s="180"/>
      <c r="K94" s="180"/>
      <c r="L94" s="180"/>
    </row>
    <row r="95" spans="1:12" x14ac:dyDescent="0.3">
      <c r="A95" s="604" t="s">
        <v>1852</v>
      </c>
      <c r="B95" s="604" t="s">
        <v>1853</v>
      </c>
      <c r="C95" s="789">
        <v>0.60329999999999995</v>
      </c>
      <c r="D95" s="605">
        <v>2021</v>
      </c>
      <c r="E95" s="605">
        <v>2025</v>
      </c>
      <c r="G95" s="180"/>
      <c r="H95" s="180"/>
      <c r="I95" s="180"/>
      <c r="J95" s="180"/>
      <c r="K95" s="180"/>
      <c r="L95" s="180"/>
    </row>
    <row r="96" spans="1:12" x14ac:dyDescent="0.3">
      <c r="A96" s="604" t="s">
        <v>1854</v>
      </c>
      <c r="B96" s="604" t="s">
        <v>550</v>
      </c>
      <c r="C96" s="789">
        <v>0.95</v>
      </c>
      <c r="D96" s="605">
        <v>2017</v>
      </c>
      <c r="E96" s="605">
        <v>2025</v>
      </c>
      <c r="G96" s="180"/>
      <c r="H96" s="180"/>
      <c r="I96" s="180"/>
      <c r="J96" s="180"/>
      <c r="K96" s="180"/>
      <c r="L96" s="180"/>
    </row>
    <row r="97" spans="1:12" x14ac:dyDescent="0.3">
      <c r="A97" s="604" t="s">
        <v>1855</v>
      </c>
      <c r="B97" s="604" t="s">
        <v>1856</v>
      </c>
      <c r="C97" s="789">
        <v>0.58799999999999997</v>
      </c>
      <c r="D97" s="605">
        <v>2021</v>
      </c>
      <c r="E97" s="605">
        <v>2025</v>
      </c>
      <c r="G97" s="180"/>
      <c r="H97" s="180"/>
      <c r="I97" s="180"/>
      <c r="J97" s="180"/>
      <c r="K97" s="180"/>
      <c r="L97" s="180"/>
    </row>
    <row r="98" spans="1:12" hidden="1" x14ac:dyDescent="0.3">
      <c r="A98" s="604" t="s">
        <v>1706</v>
      </c>
      <c r="B98" s="604" t="s">
        <v>1707</v>
      </c>
      <c r="C98" s="789">
        <v>0.89</v>
      </c>
      <c r="D98" s="605">
        <v>2016</v>
      </c>
      <c r="E98" s="605">
        <v>2024</v>
      </c>
    </row>
    <row r="99" spans="1:12" hidden="1" x14ac:dyDescent="0.3">
      <c r="A99" s="604" t="s">
        <v>1708</v>
      </c>
      <c r="B99" s="604" t="s">
        <v>1709</v>
      </c>
      <c r="C99" s="789">
        <v>0.6</v>
      </c>
      <c r="D99" s="605">
        <v>2020</v>
      </c>
      <c r="E99" s="605">
        <v>2024</v>
      </c>
    </row>
    <row r="100" spans="1:12" x14ac:dyDescent="0.3">
      <c r="A100" s="604" t="s">
        <v>1857</v>
      </c>
      <c r="B100" s="604" t="s">
        <v>1858</v>
      </c>
      <c r="C100" s="789">
        <v>0.81</v>
      </c>
      <c r="D100" s="605">
        <v>2017</v>
      </c>
      <c r="E100" s="605">
        <v>2025</v>
      </c>
    </row>
    <row r="101" spans="1:12" hidden="1" x14ac:dyDescent="0.3">
      <c r="A101" s="604" t="s">
        <v>1859</v>
      </c>
      <c r="B101" s="604" t="s">
        <v>1860</v>
      </c>
      <c r="C101" s="789">
        <v>0.85</v>
      </c>
      <c r="D101" s="605">
        <v>2021</v>
      </c>
      <c r="E101" s="605">
        <v>2029</v>
      </c>
    </row>
    <row r="102" spans="1:12" hidden="1" x14ac:dyDescent="0.3">
      <c r="A102" s="604" t="s">
        <v>1861</v>
      </c>
      <c r="B102" s="604" t="s">
        <v>1862</v>
      </c>
      <c r="C102" s="789">
        <v>0.40300000000000002</v>
      </c>
      <c r="D102" s="605">
        <v>2014</v>
      </c>
      <c r="E102" s="605">
        <v>2022</v>
      </c>
    </row>
    <row r="103" spans="1:12" hidden="1" x14ac:dyDescent="0.3">
      <c r="A103" s="604" t="s">
        <v>1863</v>
      </c>
      <c r="B103" s="604" t="s">
        <v>1864</v>
      </c>
      <c r="C103" s="789">
        <v>0.70750000000000002</v>
      </c>
      <c r="D103" s="605">
        <v>2019</v>
      </c>
      <c r="E103" s="605">
        <v>2027</v>
      </c>
    </row>
    <row r="104" spans="1:12" hidden="1" x14ac:dyDescent="0.3">
      <c r="A104" s="604" t="s">
        <v>1865</v>
      </c>
      <c r="B104" s="604" t="s">
        <v>1866</v>
      </c>
      <c r="C104" s="789">
        <v>0.66</v>
      </c>
      <c r="D104" s="605">
        <v>2019</v>
      </c>
      <c r="E104" s="605">
        <v>2023</v>
      </c>
    </row>
    <row r="105" spans="1:12" hidden="1" x14ac:dyDescent="0.3">
      <c r="A105" s="604" t="s">
        <v>1710</v>
      </c>
      <c r="B105" s="604" t="s">
        <v>1711</v>
      </c>
      <c r="C105" s="789">
        <v>0.73</v>
      </c>
      <c r="D105" s="605">
        <v>2016</v>
      </c>
      <c r="E105" s="605">
        <v>2024</v>
      </c>
    </row>
    <row r="106" spans="1:12" hidden="1" x14ac:dyDescent="0.3">
      <c r="A106" s="604" t="s">
        <v>1867</v>
      </c>
      <c r="B106" s="604" t="s">
        <v>1868</v>
      </c>
      <c r="C106" s="789">
        <v>0.66</v>
      </c>
      <c r="D106" s="605">
        <v>2017</v>
      </c>
      <c r="E106" s="605">
        <v>2023</v>
      </c>
    </row>
    <row r="107" spans="1:12" hidden="1" x14ac:dyDescent="0.3">
      <c r="A107" s="604" t="s">
        <v>1869</v>
      </c>
      <c r="B107" s="604" t="s">
        <v>1870</v>
      </c>
      <c r="C107" s="789">
        <v>0.6</v>
      </c>
      <c r="D107" s="605">
        <v>2016</v>
      </c>
      <c r="E107" s="605">
        <v>2024</v>
      </c>
    </row>
    <row r="109" spans="1:12" x14ac:dyDescent="0.3">
      <c r="C109" s="789">
        <f>SUM(C8:C108)</f>
        <v>67.168499999999995</v>
      </c>
    </row>
    <row r="113" spans="1:4" x14ac:dyDescent="0.3">
      <c r="A113" s="604" t="s">
        <v>1979</v>
      </c>
    </row>
    <row r="114" spans="1:4" x14ac:dyDescent="0.3">
      <c r="A114" s="604" t="s">
        <v>1981</v>
      </c>
    </row>
    <row r="115" spans="1:4" x14ac:dyDescent="0.3">
      <c r="A115" s="604" t="s">
        <v>605</v>
      </c>
    </row>
    <row r="117" spans="1:4" x14ac:dyDescent="0.3">
      <c r="C117" s="789" t="s">
        <v>606</v>
      </c>
      <c r="D117" s="605" t="s">
        <v>607</v>
      </c>
    </row>
    <row r="118" spans="1:4" x14ac:dyDescent="0.3">
      <c r="B118" s="604" t="s">
        <v>608</v>
      </c>
      <c r="C118" s="789" t="s">
        <v>609</v>
      </c>
      <c r="D118" s="605" t="s">
        <v>610</v>
      </c>
    </row>
    <row r="119" spans="1:4" x14ac:dyDescent="0.3">
      <c r="A119" s="604" t="s">
        <v>611</v>
      </c>
      <c r="B119" s="604" t="s">
        <v>612</v>
      </c>
      <c r="C119" s="789" t="s">
        <v>1980</v>
      </c>
      <c r="D119" s="605" t="s">
        <v>1980</v>
      </c>
    </row>
    <row r="120" spans="1:4" x14ac:dyDescent="0.3">
      <c r="A120" s="604" t="s">
        <v>1723</v>
      </c>
      <c r="B120" s="604">
        <v>0.625</v>
      </c>
      <c r="C120" s="1036">
        <v>2018</v>
      </c>
      <c r="D120" s="605">
        <v>2025</v>
      </c>
    </row>
    <row r="121" spans="1:4" x14ac:dyDescent="0.3">
      <c r="A121" s="604" t="s">
        <v>1730</v>
      </c>
      <c r="B121" s="604">
        <v>0.51759999999999995</v>
      </c>
      <c r="C121" s="1036">
        <v>2021</v>
      </c>
      <c r="D121" s="605">
        <v>2025</v>
      </c>
    </row>
    <row r="122" spans="1:4" x14ac:dyDescent="0.3">
      <c r="A122" s="604" t="s">
        <v>1734</v>
      </c>
      <c r="B122" s="604">
        <v>0.63</v>
      </c>
      <c r="C122" s="1036">
        <v>2021</v>
      </c>
      <c r="D122" s="605">
        <v>2025</v>
      </c>
    </row>
    <row r="123" spans="1:4" x14ac:dyDescent="0.3">
      <c r="A123" s="604" t="s">
        <v>1685</v>
      </c>
      <c r="B123" s="604">
        <v>0.34</v>
      </c>
      <c r="C123" s="1036">
        <v>2020</v>
      </c>
      <c r="D123" s="605">
        <v>2025</v>
      </c>
    </row>
    <row r="124" spans="1:4" x14ac:dyDescent="0.3">
      <c r="A124" s="604" t="s">
        <v>1741</v>
      </c>
      <c r="B124" s="604">
        <v>0.72499999999999998</v>
      </c>
      <c r="C124" s="1036">
        <v>2021</v>
      </c>
      <c r="D124" s="605">
        <v>2025</v>
      </c>
    </row>
    <row r="125" spans="1:4" x14ac:dyDescent="0.3">
      <c r="A125" s="604" t="s">
        <v>1748</v>
      </c>
      <c r="B125" s="604">
        <v>0.6875</v>
      </c>
      <c r="C125" s="1036">
        <v>2021</v>
      </c>
      <c r="D125" s="605">
        <v>2025</v>
      </c>
    </row>
    <row r="126" spans="1:4" x14ac:dyDescent="0.3">
      <c r="A126" s="604" t="s">
        <v>1753</v>
      </c>
      <c r="B126" s="604">
        <v>0.79900000000000004</v>
      </c>
      <c r="C126" s="1036">
        <v>2017</v>
      </c>
      <c r="D126" s="605">
        <v>2025</v>
      </c>
    </row>
    <row r="127" spans="1:4" x14ac:dyDescent="0.3">
      <c r="A127" s="604" t="s">
        <v>1757</v>
      </c>
      <c r="B127" s="604">
        <v>0.40050000000000002</v>
      </c>
      <c r="C127" s="1036">
        <v>2020</v>
      </c>
      <c r="D127" s="605">
        <v>2025</v>
      </c>
    </row>
    <row r="128" spans="1:4" x14ac:dyDescent="0.3">
      <c r="A128" s="604" t="s">
        <v>1761</v>
      </c>
      <c r="B128" s="604">
        <v>0.73299999999999998</v>
      </c>
      <c r="C128" s="1036">
        <v>2021</v>
      </c>
      <c r="D128" s="605">
        <v>2025</v>
      </c>
    </row>
    <row r="129" spans="1:4" x14ac:dyDescent="0.3">
      <c r="A129" s="604" t="s">
        <v>1763</v>
      </c>
      <c r="B129" s="604">
        <v>0.73499999999999999</v>
      </c>
      <c r="C129" s="1036">
        <v>2017</v>
      </c>
      <c r="D129" s="605">
        <v>2025</v>
      </c>
    </row>
    <row r="130" spans="1:4" x14ac:dyDescent="0.3">
      <c r="A130" s="604" t="s">
        <v>1765</v>
      </c>
      <c r="B130" s="604">
        <v>0.79869999999999997</v>
      </c>
      <c r="C130" s="1036">
        <v>2019</v>
      </c>
      <c r="D130" s="605">
        <v>2025</v>
      </c>
    </row>
    <row r="131" spans="1:4" x14ac:dyDescent="0.3">
      <c r="A131" s="604" t="s">
        <v>1767</v>
      </c>
      <c r="B131" s="604">
        <v>0.67779999999999996</v>
      </c>
      <c r="C131" s="1036">
        <v>2021</v>
      </c>
      <c r="D131" s="605">
        <v>2025</v>
      </c>
    </row>
    <row r="132" spans="1:4" x14ac:dyDescent="0.3">
      <c r="A132" s="604" t="s">
        <v>1771</v>
      </c>
      <c r="B132" s="604">
        <v>0.84</v>
      </c>
      <c r="C132" s="1036">
        <v>2017</v>
      </c>
      <c r="D132" s="605">
        <v>2025</v>
      </c>
    </row>
    <row r="133" spans="1:4" x14ac:dyDescent="0.3">
      <c r="A133" s="604" t="s">
        <v>1781</v>
      </c>
      <c r="B133" s="604">
        <v>0.55000000000000004</v>
      </c>
      <c r="C133" s="1036">
        <v>2021</v>
      </c>
      <c r="D133" s="605">
        <v>2025</v>
      </c>
    </row>
    <row r="134" spans="1:4" x14ac:dyDescent="0.3">
      <c r="A134" s="604" t="s">
        <v>1792</v>
      </c>
      <c r="B134" s="604">
        <v>0.38</v>
      </c>
      <c r="C134" s="1036">
        <v>2021</v>
      </c>
      <c r="D134" s="605">
        <v>2025</v>
      </c>
    </row>
    <row r="135" spans="1:4" x14ac:dyDescent="0.3">
      <c r="A135" s="604" t="s">
        <v>1794</v>
      </c>
      <c r="B135" s="604">
        <v>0.67</v>
      </c>
      <c r="C135" s="1036">
        <v>2019</v>
      </c>
      <c r="D135" s="605">
        <v>2025</v>
      </c>
    </row>
    <row r="136" spans="1:4" x14ac:dyDescent="0.3">
      <c r="A136" s="604" t="s">
        <v>1800</v>
      </c>
      <c r="B136" s="604">
        <v>0.84499999999999997</v>
      </c>
      <c r="C136" s="1036">
        <v>2017</v>
      </c>
      <c r="D136" s="605">
        <v>2025</v>
      </c>
    </row>
    <row r="137" spans="1:4" x14ac:dyDescent="0.3">
      <c r="A137" s="604" t="s">
        <v>1808</v>
      </c>
      <c r="B137" s="604">
        <v>0.81</v>
      </c>
      <c r="C137" s="1036">
        <v>2017</v>
      </c>
      <c r="D137" s="605">
        <v>2025</v>
      </c>
    </row>
    <row r="138" spans="1:4" x14ac:dyDescent="0.3">
      <c r="A138" s="604" t="s">
        <v>1819</v>
      </c>
      <c r="B138" s="604">
        <v>0.45</v>
      </c>
      <c r="C138" s="1036">
        <v>2021</v>
      </c>
      <c r="D138" s="605">
        <v>2025</v>
      </c>
    </row>
    <row r="139" spans="1:4" x14ac:dyDescent="0.3">
      <c r="A139" s="604" t="s">
        <v>1824</v>
      </c>
      <c r="B139" s="604">
        <v>0.8629</v>
      </c>
      <c r="C139" s="1036">
        <v>2021</v>
      </c>
      <c r="D139" s="605">
        <v>2025</v>
      </c>
    </row>
    <row r="140" spans="1:4" x14ac:dyDescent="0.3">
      <c r="A140" s="604" t="s">
        <v>1831</v>
      </c>
      <c r="B140" s="604">
        <v>0.72250000000000003</v>
      </c>
      <c r="C140" s="1036">
        <v>2021</v>
      </c>
      <c r="D140" s="605">
        <v>2025</v>
      </c>
    </row>
    <row r="141" spans="1:4" x14ac:dyDescent="0.3">
      <c r="A141" s="604" t="s">
        <v>1833</v>
      </c>
      <c r="B141" s="604">
        <v>0.5343</v>
      </c>
      <c r="C141" s="1036">
        <v>2021</v>
      </c>
      <c r="D141" s="605">
        <v>2025</v>
      </c>
    </row>
    <row r="142" spans="1:4" x14ac:dyDescent="0.3">
      <c r="A142" s="604" t="s">
        <v>1844</v>
      </c>
      <c r="B142" s="604">
        <v>0.61</v>
      </c>
      <c r="C142" s="1036">
        <v>2021</v>
      </c>
      <c r="D142" s="605">
        <v>2025</v>
      </c>
    </row>
    <row r="143" spans="1:4" x14ac:dyDescent="0.3">
      <c r="A143" s="604" t="s">
        <v>1846</v>
      </c>
      <c r="B143" s="604">
        <v>0.71</v>
      </c>
      <c r="C143" s="1036">
        <v>2021</v>
      </c>
      <c r="D143" s="605">
        <v>2025</v>
      </c>
    </row>
    <row r="144" spans="1:4" x14ac:dyDescent="0.3">
      <c r="A144" s="604" t="s">
        <v>1848</v>
      </c>
      <c r="B144" s="604">
        <v>0.55200000000000005</v>
      </c>
      <c r="C144" s="1036">
        <v>2021</v>
      </c>
      <c r="D144" s="605">
        <v>2025</v>
      </c>
    </row>
    <row r="145" spans="1:4" x14ac:dyDescent="0.3">
      <c r="A145" s="604" t="s">
        <v>1852</v>
      </c>
      <c r="B145" s="604">
        <v>0.60329999999999995</v>
      </c>
      <c r="C145" s="1036">
        <v>2021</v>
      </c>
      <c r="D145" s="605">
        <v>2025</v>
      </c>
    </row>
    <row r="146" spans="1:4" x14ac:dyDescent="0.3">
      <c r="A146" s="604" t="s">
        <v>1854</v>
      </c>
      <c r="B146" s="604">
        <v>0.95</v>
      </c>
      <c r="C146" s="1036">
        <v>2017</v>
      </c>
      <c r="D146" s="605">
        <v>2025</v>
      </c>
    </row>
    <row r="147" spans="1:4" x14ac:dyDescent="0.3">
      <c r="A147" s="604" t="s">
        <v>1855</v>
      </c>
      <c r="B147" s="604">
        <v>0.58799999999999997</v>
      </c>
      <c r="C147" s="1036">
        <v>2021</v>
      </c>
      <c r="D147" s="605">
        <v>2025</v>
      </c>
    </row>
    <row r="148" spans="1:4" x14ac:dyDescent="0.3">
      <c r="A148" s="604" t="s">
        <v>1857</v>
      </c>
      <c r="B148" s="604">
        <v>0.81</v>
      </c>
      <c r="C148" s="1036">
        <v>2017</v>
      </c>
      <c r="D148" s="605">
        <v>2025</v>
      </c>
    </row>
    <row r="149" spans="1:4" x14ac:dyDescent="0.3">
      <c r="A149" s="604" t="s">
        <v>1863</v>
      </c>
      <c r="B149" s="604">
        <v>0.76749999999999996</v>
      </c>
      <c r="C149" s="1036">
        <v>2019</v>
      </c>
      <c r="D149" s="605">
        <v>2025</v>
      </c>
    </row>
    <row r="150" spans="1:4" x14ac:dyDescent="0.3">
      <c r="A150" s="604" t="s">
        <v>1865</v>
      </c>
      <c r="B150" s="604">
        <v>0.66</v>
      </c>
      <c r="C150" s="1036">
        <v>2019</v>
      </c>
      <c r="D150" s="605">
        <v>2025</v>
      </c>
    </row>
  </sheetData>
  <sheetProtection algorithmName="SHA-512" hashValue="fgKPUUAOchgb39nd76BHFh2ziikiOIVsPaiDAxA5RIzx3z/UCX9l2d3ywmrRRqH5uz14xHcxDhRqR1WhR8xQTg==" saltValue="hl2DBt3v3Ta4K0jJLAM0JA==" spinCount="100000" sheet="1" objects="1" scenarios="1"/>
  <autoFilter ref="A7:E107" xr:uid="{C4C859C7-D101-4FF8-B13C-F4FADB068718}">
    <filterColumn colId="4">
      <filters>
        <filter val="2025"/>
      </filters>
    </filterColumn>
  </autoFilter>
  <sortState xmlns:xlrd2="http://schemas.microsoft.com/office/spreadsheetml/2017/richdata2" ref="A7:D106">
    <sortCondition ref="D7:D10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48"/>
  <sheetViews>
    <sheetView workbookViewId="0">
      <pane xSplit="3" ySplit="2" topLeftCell="AO3" activePane="bottomRight" state="frozen"/>
      <selection pane="topRight" activeCell="D1" sqref="D1"/>
      <selection pane="bottomLeft" activeCell="A3" sqref="A3"/>
      <selection pane="bottomRight" activeCell="AO25" sqref="AO25"/>
    </sheetView>
  </sheetViews>
  <sheetFormatPr defaultRowHeight="14.4" x14ac:dyDescent="0.3"/>
  <cols>
    <col min="1" max="1" width="17.109375" style="155" customWidth="1"/>
    <col min="2" max="2" width="35.6640625" customWidth="1"/>
    <col min="3" max="3" width="51" customWidth="1"/>
    <col min="4" max="97" width="20.6640625" customWidth="1"/>
    <col min="98" max="104" width="16.109375" customWidth="1"/>
  </cols>
  <sheetData>
    <row r="1" spans="1:82" x14ac:dyDescent="0.3">
      <c r="A1" t="s">
        <v>2742</v>
      </c>
      <c r="B1" t="s">
        <v>2743</v>
      </c>
      <c r="C1" t="s">
        <v>349</v>
      </c>
      <c r="D1" t="s">
        <v>820</v>
      </c>
      <c r="E1" t="s">
        <v>821</v>
      </c>
      <c r="F1" t="s">
        <v>1310</v>
      </c>
      <c r="G1" t="s">
        <v>1311</v>
      </c>
      <c r="H1" t="s">
        <v>1312</v>
      </c>
      <c r="I1" t="s">
        <v>1313</v>
      </c>
      <c r="J1" t="s">
        <v>516</v>
      </c>
      <c r="K1" t="s">
        <v>1314</v>
      </c>
      <c r="L1" t="s">
        <v>1315</v>
      </c>
      <c r="M1" t="s">
        <v>822</v>
      </c>
      <c r="N1" t="s">
        <v>1316</v>
      </c>
      <c r="O1" t="s">
        <v>1317</v>
      </c>
      <c r="P1" t="s">
        <v>1318</v>
      </c>
      <c r="Q1" t="s">
        <v>1319</v>
      </c>
      <c r="R1" t="s">
        <v>517</v>
      </c>
      <c r="S1" t="s">
        <v>1320</v>
      </c>
      <c r="T1" t="s">
        <v>1321</v>
      </c>
      <c r="U1" t="s">
        <v>1322</v>
      </c>
      <c r="V1" t="s">
        <v>1323</v>
      </c>
      <c r="W1" t="s">
        <v>1324</v>
      </c>
      <c r="X1" t="s">
        <v>1325</v>
      </c>
      <c r="Y1" t="s">
        <v>1326</v>
      </c>
      <c r="Z1" t="s">
        <v>1327</v>
      </c>
      <c r="AA1" t="s">
        <v>823</v>
      </c>
      <c r="AB1" t="s">
        <v>518</v>
      </c>
      <c r="AC1" t="s">
        <v>1328</v>
      </c>
      <c r="AD1" t="s">
        <v>1329</v>
      </c>
      <c r="AE1" t="s">
        <v>1330</v>
      </c>
      <c r="AF1" t="s">
        <v>1331</v>
      </c>
      <c r="AG1" t="s">
        <v>1332</v>
      </c>
      <c r="AH1" t="s">
        <v>519</v>
      </c>
      <c r="AI1" t="s">
        <v>1333</v>
      </c>
      <c r="AJ1" t="s">
        <v>1334</v>
      </c>
      <c r="AK1" t="s">
        <v>1335</v>
      </c>
      <c r="AL1" t="s">
        <v>520</v>
      </c>
      <c r="AM1" t="s">
        <v>1336</v>
      </c>
      <c r="AN1" t="s">
        <v>521</v>
      </c>
      <c r="AO1" t="s">
        <v>522</v>
      </c>
      <c r="AP1" t="s">
        <v>523</v>
      </c>
      <c r="AQ1" t="s">
        <v>1337</v>
      </c>
      <c r="AR1" t="s">
        <v>1338</v>
      </c>
      <c r="AS1" t="s">
        <v>1339</v>
      </c>
      <c r="AT1" t="s">
        <v>525</v>
      </c>
      <c r="AU1" t="s">
        <v>526</v>
      </c>
      <c r="AV1" t="s">
        <v>1340</v>
      </c>
      <c r="AW1" t="s">
        <v>1341</v>
      </c>
      <c r="AX1" t="s">
        <v>1342</v>
      </c>
      <c r="AY1" t="s">
        <v>1343</v>
      </c>
      <c r="AZ1" t="s">
        <v>1344</v>
      </c>
      <c r="BA1" t="s">
        <v>1345</v>
      </c>
      <c r="BB1" t="s">
        <v>1346</v>
      </c>
      <c r="BC1" t="s">
        <v>1347</v>
      </c>
      <c r="BD1" t="s">
        <v>1348</v>
      </c>
      <c r="BE1" t="s">
        <v>1349</v>
      </c>
      <c r="BF1" t="s">
        <v>1350</v>
      </c>
      <c r="BG1" t="s">
        <v>1351</v>
      </c>
      <c r="BH1" t="s">
        <v>1352</v>
      </c>
      <c r="BI1" t="s">
        <v>1353</v>
      </c>
      <c r="BJ1" t="s">
        <v>1354</v>
      </c>
      <c r="BK1" t="s">
        <v>1355</v>
      </c>
      <c r="BL1" t="s">
        <v>528</v>
      </c>
      <c r="BM1" t="s">
        <v>529</v>
      </c>
      <c r="BN1" t="s">
        <v>1356</v>
      </c>
      <c r="BO1" t="s">
        <v>1357</v>
      </c>
      <c r="BP1" t="s">
        <v>1358</v>
      </c>
      <c r="BQ1" t="s">
        <v>1359</v>
      </c>
      <c r="BR1" t="s">
        <v>1360</v>
      </c>
      <c r="BS1" t="s">
        <v>1361</v>
      </c>
      <c r="BT1" t="s">
        <v>1362</v>
      </c>
      <c r="BU1" t="s">
        <v>1363</v>
      </c>
      <c r="BV1" t="s">
        <v>1364</v>
      </c>
      <c r="BW1" t="s">
        <v>824</v>
      </c>
      <c r="BX1" t="s">
        <v>1365</v>
      </c>
      <c r="BY1" t="s">
        <v>530</v>
      </c>
      <c r="BZ1" t="s">
        <v>531</v>
      </c>
      <c r="CA1" t="s">
        <v>1366</v>
      </c>
      <c r="CB1" t="s">
        <v>1367</v>
      </c>
      <c r="CC1" t="s">
        <v>532</v>
      </c>
      <c r="CD1" t="s">
        <v>533</v>
      </c>
    </row>
    <row r="2" spans="1:82" x14ac:dyDescent="0.3">
      <c r="A2" t="s">
        <v>877</v>
      </c>
      <c r="B2" t="s">
        <v>41</v>
      </c>
      <c r="C2" t="s">
        <v>13</v>
      </c>
      <c r="D2" s="784">
        <v>50254</v>
      </c>
      <c r="E2" s="784">
        <v>50255</v>
      </c>
      <c r="F2" s="784">
        <v>50256</v>
      </c>
      <c r="G2" s="784">
        <v>50558</v>
      </c>
      <c r="H2" s="784">
        <v>50566</v>
      </c>
      <c r="I2" s="784">
        <v>50562</v>
      </c>
      <c r="J2" s="784">
        <v>50257</v>
      </c>
      <c r="K2" s="784">
        <v>50555</v>
      </c>
      <c r="L2" s="784">
        <v>50445</v>
      </c>
      <c r="M2" s="784">
        <v>50452</v>
      </c>
      <c r="N2" s="784">
        <v>50563</v>
      </c>
      <c r="O2" s="784">
        <v>50258</v>
      </c>
      <c r="P2" s="784">
        <v>50523</v>
      </c>
      <c r="Q2" s="784">
        <v>50259</v>
      </c>
      <c r="R2" s="784">
        <v>50260</v>
      </c>
      <c r="S2" s="784">
        <v>50487</v>
      </c>
      <c r="T2" s="784">
        <v>50261</v>
      </c>
      <c r="U2" s="784">
        <v>50262</v>
      </c>
      <c r="V2" s="784">
        <v>50263</v>
      </c>
      <c r="W2" s="784">
        <v>50264</v>
      </c>
      <c r="X2" s="784">
        <v>50265</v>
      </c>
      <c r="Y2" s="784">
        <v>50266</v>
      </c>
      <c r="Z2" s="784">
        <v>50267</v>
      </c>
      <c r="AA2" s="784">
        <v>50268</v>
      </c>
      <c r="AB2" s="784">
        <v>50269</v>
      </c>
      <c r="AC2" s="784">
        <v>50270</v>
      </c>
      <c r="AD2" s="784">
        <v>50271</v>
      </c>
      <c r="AE2" s="784">
        <v>50272</v>
      </c>
      <c r="AF2" s="784">
        <v>50273</v>
      </c>
      <c r="AG2" s="784">
        <v>50274</v>
      </c>
      <c r="AH2" s="784">
        <v>50480</v>
      </c>
      <c r="AI2" s="784">
        <v>50275</v>
      </c>
      <c r="AJ2" s="784">
        <v>50277</v>
      </c>
      <c r="AK2" s="784">
        <v>50276</v>
      </c>
      <c r="AL2" s="784">
        <v>50278</v>
      </c>
      <c r="AM2" s="784">
        <v>50279</v>
      </c>
      <c r="AN2" s="784">
        <v>50280</v>
      </c>
      <c r="AO2" s="784">
        <v>50281</v>
      </c>
      <c r="AP2" s="784">
        <v>50478</v>
      </c>
      <c r="AQ2" s="784">
        <v>50524</v>
      </c>
      <c r="AR2" s="784">
        <v>50282</v>
      </c>
      <c r="AS2" s="784">
        <v>50525</v>
      </c>
      <c r="AT2" s="784">
        <v>50283</v>
      </c>
      <c r="AU2" s="784">
        <v>50285</v>
      </c>
      <c r="AV2" s="784">
        <v>50553</v>
      </c>
      <c r="AW2" s="784">
        <v>50548</v>
      </c>
      <c r="AX2" s="784">
        <v>50284</v>
      </c>
      <c r="AY2" s="784">
        <v>50286</v>
      </c>
      <c r="AZ2" s="784">
        <v>50287</v>
      </c>
      <c r="BA2" s="784">
        <v>50288</v>
      </c>
      <c r="BB2" s="784">
        <v>50290</v>
      </c>
      <c r="BC2" s="784">
        <v>50564</v>
      </c>
      <c r="BD2" s="784">
        <v>50289</v>
      </c>
      <c r="BE2" s="784">
        <v>50291</v>
      </c>
      <c r="BF2" s="784">
        <v>50292</v>
      </c>
      <c r="BG2" s="784">
        <v>50293</v>
      </c>
      <c r="BH2" s="784">
        <v>50463</v>
      </c>
      <c r="BI2" s="784">
        <v>50294</v>
      </c>
      <c r="BJ2" s="784">
        <v>50538</v>
      </c>
      <c r="BK2" s="784">
        <v>50295</v>
      </c>
      <c r="BL2" s="784">
        <v>50296</v>
      </c>
      <c r="BM2" s="784">
        <v>50297</v>
      </c>
      <c r="BN2" s="784">
        <v>50449</v>
      </c>
      <c r="BO2" s="784">
        <v>50300</v>
      </c>
      <c r="BP2" s="784">
        <v>50298</v>
      </c>
      <c r="BQ2" s="784">
        <v>50299</v>
      </c>
      <c r="BR2" s="784">
        <v>50301</v>
      </c>
      <c r="BS2" s="784">
        <v>50302</v>
      </c>
      <c r="BT2" s="784">
        <v>50303</v>
      </c>
      <c r="BU2" s="784">
        <v>50304</v>
      </c>
      <c r="BV2" s="784">
        <v>50540</v>
      </c>
      <c r="BW2" s="784">
        <v>50305</v>
      </c>
      <c r="BX2" s="784">
        <v>50306</v>
      </c>
      <c r="BY2" s="784">
        <v>50479</v>
      </c>
      <c r="BZ2" s="784">
        <v>50307</v>
      </c>
      <c r="CA2" s="784">
        <v>50308</v>
      </c>
      <c r="CB2" s="784">
        <v>50309</v>
      </c>
      <c r="CC2" s="784">
        <v>50310</v>
      </c>
      <c r="CD2" s="784">
        <v>50311</v>
      </c>
    </row>
    <row r="3" spans="1:82" x14ac:dyDescent="0.3">
      <c r="A3">
        <v>4</v>
      </c>
      <c r="B3" t="s">
        <v>111</v>
      </c>
      <c r="E3">
        <v>44372</v>
      </c>
      <c r="G3">
        <v>120810</v>
      </c>
      <c r="H3">
        <v>130761</v>
      </c>
      <c r="I3">
        <v>76987</v>
      </c>
      <c r="J3">
        <v>413</v>
      </c>
      <c r="K3">
        <v>1821</v>
      </c>
      <c r="L3">
        <v>9341</v>
      </c>
      <c r="M3">
        <v>381941</v>
      </c>
      <c r="N3">
        <v>6130</v>
      </c>
      <c r="O3">
        <v>71171</v>
      </c>
      <c r="P3">
        <v>2448</v>
      </c>
      <c r="Q3">
        <v>2679950</v>
      </c>
      <c r="R3">
        <v>9638</v>
      </c>
      <c r="S3">
        <v>721</v>
      </c>
      <c r="T3">
        <v>3762959</v>
      </c>
      <c r="U3">
        <v>1055801</v>
      </c>
      <c r="V3">
        <v>1024441</v>
      </c>
      <c r="W3">
        <v>2439274</v>
      </c>
      <c r="Y3">
        <v>1370927</v>
      </c>
      <c r="Z3">
        <v>287971</v>
      </c>
      <c r="AA3">
        <v>408707</v>
      </c>
      <c r="AB3">
        <v>369879</v>
      </c>
      <c r="AC3">
        <v>156633</v>
      </c>
      <c r="AD3">
        <v>71161</v>
      </c>
      <c r="AE3">
        <v>71517</v>
      </c>
      <c r="AF3">
        <v>1450817</v>
      </c>
      <c r="AG3">
        <v>324585</v>
      </c>
      <c r="AH3">
        <v>26514</v>
      </c>
      <c r="AI3">
        <v>1666968</v>
      </c>
      <c r="AJ3">
        <v>224916</v>
      </c>
      <c r="AM3">
        <v>2682699</v>
      </c>
      <c r="AN3">
        <v>15751</v>
      </c>
      <c r="AO3">
        <v>34067</v>
      </c>
      <c r="AP3">
        <v>42355</v>
      </c>
      <c r="AQ3">
        <v>405669</v>
      </c>
      <c r="AR3">
        <v>243976</v>
      </c>
      <c r="AS3">
        <v>10140</v>
      </c>
      <c r="AT3">
        <v>149740</v>
      </c>
      <c r="AU3">
        <v>11526</v>
      </c>
      <c r="AV3">
        <v>418903</v>
      </c>
      <c r="AW3">
        <v>166349</v>
      </c>
      <c r="AX3">
        <v>101056</v>
      </c>
      <c r="AY3">
        <v>314887</v>
      </c>
      <c r="AZ3">
        <v>287477</v>
      </c>
      <c r="BA3">
        <v>70101</v>
      </c>
      <c r="BB3">
        <v>0</v>
      </c>
      <c r="BC3">
        <v>15506</v>
      </c>
      <c r="BD3">
        <v>537446</v>
      </c>
      <c r="BE3">
        <v>1227</v>
      </c>
      <c r="BF3">
        <v>15322</v>
      </c>
      <c r="BG3">
        <v>0</v>
      </c>
      <c r="BH3">
        <v>1461</v>
      </c>
      <c r="BI3">
        <v>3548</v>
      </c>
      <c r="BJ3">
        <v>6125</v>
      </c>
      <c r="BK3">
        <v>136658</v>
      </c>
      <c r="BN3">
        <v>158946</v>
      </c>
      <c r="BO3">
        <v>74466</v>
      </c>
      <c r="BP3">
        <v>3237</v>
      </c>
      <c r="BQ3">
        <v>1421873</v>
      </c>
      <c r="BR3">
        <v>85172</v>
      </c>
      <c r="BS3">
        <v>3350948</v>
      </c>
      <c r="BT3">
        <v>47292</v>
      </c>
      <c r="BU3">
        <v>219098</v>
      </c>
      <c r="BV3">
        <v>1258498</v>
      </c>
      <c r="BW3">
        <v>156796</v>
      </c>
      <c r="BX3">
        <v>50102</v>
      </c>
      <c r="BY3">
        <v>12163</v>
      </c>
      <c r="BZ3">
        <v>1975</v>
      </c>
      <c r="CA3">
        <v>8653</v>
      </c>
      <c r="CB3">
        <v>138604</v>
      </c>
      <c r="CD3">
        <v>26463</v>
      </c>
    </row>
    <row r="4" spans="1:82" x14ac:dyDescent="0.3">
      <c r="A4">
        <v>5</v>
      </c>
      <c r="B4" t="s">
        <v>112</v>
      </c>
      <c r="E4">
        <v>0</v>
      </c>
      <c r="G4">
        <v>1198</v>
      </c>
      <c r="H4">
        <v>0</v>
      </c>
      <c r="I4">
        <v>5582</v>
      </c>
      <c r="J4">
        <v>0</v>
      </c>
      <c r="K4">
        <v>10</v>
      </c>
      <c r="L4">
        <v>0</v>
      </c>
      <c r="M4">
        <v>0</v>
      </c>
      <c r="N4">
        <v>0</v>
      </c>
      <c r="O4">
        <v>0</v>
      </c>
      <c r="P4">
        <v>0</v>
      </c>
      <c r="Q4">
        <v>20466</v>
      </c>
      <c r="R4">
        <v>0</v>
      </c>
      <c r="S4">
        <v>0</v>
      </c>
      <c r="T4">
        <v>3086124</v>
      </c>
      <c r="U4">
        <v>478385</v>
      </c>
      <c r="V4">
        <v>0</v>
      </c>
      <c r="W4">
        <v>11305</v>
      </c>
      <c r="Y4">
        <v>26699</v>
      </c>
      <c r="Z4">
        <v>0</v>
      </c>
      <c r="AA4">
        <v>0</v>
      </c>
      <c r="AB4">
        <v>0</v>
      </c>
      <c r="AC4">
        <v>0</v>
      </c>
      <c r="AD4">
        <v>0</v>
      </c>
      <c r="AE4">
        <v>12064</v>
      </c>
      <c r="AF4">
        <v>8418</v>
      </c>
      <c r="AG4">
        <v>59366</v>
      </c>
      <c r="AH4">
        <v>0</v>
      </c>
      <c r="AI4">
        <v>279276</v>
      </c>
      <c r="AJ4">
        <v>0</v>
      </c>
      <c r="AM4">
        <v>557</v>
      </c>
      <c r="AN4">
        <v>1221</v>
      </c>
      <c r="AO4">
        <v>0</v>
      </c>
      <c r="AP4">
        <v>0</v>
      </c>
      <c r="AQ4">
        <v>0</v>
      </c>
      <c r="AR4">
        <v>12000000</v>
      </c>
      <c r="AS4">
        <v>275935</v>
      </c>
      <c r="AT4">
        <v>1197</v>
      </c>
      <c r="AU4">
        <v>0</v>
      </c>
      <c r="AV4">
        <v>244200</v>
      </c>
      <c r="AW4">
        <v>0</v>
      </c>
      <c r="AX4">
        <v>0</v>
      </c>
      <c r="AY4">
        <v>0</v>
      </c>
      <c r="AZ4">
        <v>0</v>
      </c>
      <c r="BA4">
        <v>0</v>
      </c>
      <c r="BB4">
        <v>0</v>
      </c>
      <c r="BC4">
        <v>50000</v>
      </c>
      <c r="BD4">
        <v>0</v>
      </c>
      <c r="BE4">
        <v>0</v>
      </c>
      <c r="BF4">
        <v>0</v>
      </c>
      <c r="BG4">
        <v>78235</v>
      </c>
      <c r="BH4">
        <v>0</v>
      </c>
      <c r="BI4">
        <v>0</v>
      </c>
      <c r="BJ4">
        <v>0</v>
      </c>
      <c r="BK4">
        <v>0</v>
      </c>
      <c r="BN4">
        <v>403</v>
      </c>
      <c r="BO4">
        <v>0</v>
      </c>
      <c r="BP4">
        <v>0</v>
      </c>
      <c r="BQ4">
        <v>0</v>
      </c>
      <c r="BR4">
        <v>0</v>
      </c>
      <c r="BS4">
        <v>0</v>
      </c>
      <c r="BT4">
        <v>0</v>
      </c>
      <c r="BU4">
        <v>470623</v>
      </c>
      <c r="BV4">
        <v>0</v>
      </c>
      <c r="BW4">
        <v>5687</v>
      </c>
      <c r="BX4">
        <v>0</v>
      </c>
      <c r="BY4">
        <v>0</v>
      </c>
      <c r="BZ4">
        <v>66108</v>
      </c>
      <c r="CA4">
        <v>390</v>
      </c>
      <c r="CB4">
        <v>0</v>
      </c>
      <c r="CD4">
        <v>0</v>
      </c>
    </row>
    <row r="5" spans="1:82" x14ac:dyDescent="0.3">
      <c r="A5">
        <v>6</v>
      </c>
      <c r="B5" t="s">
        <v>251</v>
      </c>
      <c r="E5">
        <v>0</v>
      </c>
      <c r="G5">
        <v>0</v>
      </c>
      <c r="H5">
        <v>0</v>
      </c>
      <c r="I5">
        <v>0</v>
      </c>
      <c r="J5">
        <v>0</v>
      </c>
      <c r="K5">
        <v>0</v>
      </c>
      <c r="L5">
        <v>0</v>
      </c>
      <c r="M5">
        <v>27200</v>
      </c>
      <c r="N5">
        <v>0</v>
      </c>
      <c r="O5">
        <v>0</v>
      </c>
      <c r="P5">
        <v>0</v>
      </c>
      <c r="Q5">
        <v>3472386</v>
      </c>
      <c r="R5">
        <v>0</v>
      </c>
      <c r="S5">
        <v>0</v>
      </c>
      <c r="T5">
        <v>5142309</v>
      </c>
      <c r="U5">
        <v>0</v>
      </c>
      <c r="V5">
        <v>2750324</v>
      </c>
      <c r="W5">
        <v>883402</v>
      </c>
      <c r="Y5">
        <v>1263655</v>
      </c>
      <c r="Z5">
        <v>0</v>
      </c>
      <c r="AA5">
        <v>0</v>
      </c>
      <c r="AB5">
        <v>0</v>
      </c>
      <c r="AC5">
        <v>0</v>
      </c>
      <c r="AD5">
        <v>0</v>
      </c>
      <c r="AE5">
        <v>0</v>
      </c>
      <c r="AF5">
        <v>1246981</v>
      </c>
      <c r="AG5">
        <v>0</v>
      </c>
      <c r="AH5">
        <v>0</v>
      </c>
      <c r="AI5">
        <v>2655080</v>
      </c>
      <c r="AJ5">
        <v>0</v>
      </c>
      <c r="AM5">
        <v>1440765</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N5">
        <v>0</v>
      </c>
      <c r="BO5">
        <v>0</v>
      </c>
      <c r="BP5">
        <v>0</v>
      </c>
      <c r="BQ5">
        <v>583987</v>
      </c>
      <c r="BR5">
        <v>0</v>
      </c>
      <c r="BS5">
        <v>0</v>
      </c>
      <c r="BT5">
        <v>0</v>
      </c>
      <c r="BU5">
        <v>0</v>
      </c>
      <c r="BV5">
        <v>0</v>
      </c>
      <c r="BW5">
        <v>0</v>
      </c>
      <c r="BX5">
        <v>0</v>
      </c>
      <c r="BY5">
        <v>0</v>
      </c>
      <c r="BZ5">
        <v>0</v>
      </c>
      <c r="CA5">
        <v>0</v>
      </c>
      <c r="CB5">
        <v>0</v>
      </c>
      <c r="CD5">
        <v>0</v>
      </c>
    </row>
    <row r="6" spans="1:82" x14ac:dyDescent="0.3">
      <c r="A6">
        <v>7</v>
      </c>
      <c r="B6" t="s">
        <v>193</v>
      </c>
      <c r="E6">
        <v>0</v>
      </c>
      <c r="G6">
        <v>0</v>
      </c>
      <c r="H6">
        <v>0</v>
      </c>
      <c r="I6">
        <v>0</v>
      </c>
      <c r="J6">
        <v>0</v>
      </c>
      <c r="K6">
        <v>0</v>
      </c>
      <c r="L6">
        <v>0</v>
      </c>
      <c r="M6">
        <v>0</v>
      </c>
      <c r="N6">
        <v>0</v>
      </c>
      <c r="O6">
        <v>0</v>
      </c>
      <c r="P6">
        <v>0</v>
      </c>
      <c r="Q6">
        <v>2140940</v>
      </c>
      <c r="R6">
        <v>0</v>
      </c>
      <c r="S6">
        <v>10901</v>
      </c>
      <c r="T6">
        <v>269424</v>
      </c>
      <c r="U6">
        <v>27997</v>
      </c>
      <c r="V6">
        <v>191763</v>
      </c>
      <c r="W6">
        <v>92473</v>
      </c>
      <c r="Y6">
        <v>145448</v>
      </c>
      <c r="Z6">
        <v>1968</v>
      </c>
      <c r="AA6">
        <v>161004</v>
      </c>
      <c r="AB6">
        <v>15000</v>
      </c>
      <c r="AC6">
        <v>0</v>
      </c>
      <c r="AD6">
        <v>33146</v>
      </c>
      <c r="AE6">
        <v>14066</v>
      </c>
      <c r="AF6">
        <v>153000</v>
      </c>
      <c r="AG6">
        <v>35484</v>
      </c>
      <c r="AH6">
        <v>0</v>
      </c>
      <c r="AI6">
        <v>244702</v>
      </c>
      <c r="AJ6">
        <v>0</v>
      </c>
      <c r="AM6">
        <v>65656</v>
      </c>
      <c r="AN6">
        <v>0</v>
      </c>
      <c r="AO6">
        <v>0</v>
      </c>
      <c r="AP6">
        <v>0</v>
      </c>
      <c r="AQ6">
        <v>0</v>
      </c>
      <c r="AR6">
        <v>0</v>
      </c>
      <c r="AS6">
        <v>0</v>
      </c>
      <c r="AT6">
        <v>0</v>
      </c>
      <c r="AU6">
        <v>0</v>
      </c>
      <c r="AV6">
        <v>99196</v>
      </c>
      <c r="AW6">
        <v>13944</v>
      </c>
      <c r="AX6">
        <v>0</v>
      </c>
      <c r="AY6">
        <v>0</v>
      </c>
      <c r="AZ6">
        <v>0</v>
      </c>
      <c r="BA6">
        <v>0</v>
      </c>
      <c r="BB6">
        <v>0</v>
      </c>
      <c r="BC6">
        <v>5884</v>
      </c>
      <c r="BD6">
        <v>124448</v>
      </c>
      <c r="BE6">
        <v>0</v>
      </c>
      <c r="BF6">
        <v>0</v>
      </c>
      <c r="BG6">
        <v>0</v>
      </c>
      <c r="BH6">
        <v>0</v>
      </c>
      <c r="BI6">
        <v>0</v>
      </c>
      <c r="BJ6">
        <v>1602</v>
      </c>
      <c r="BK6">
        <v>0</v>
      </c>
      <c r="BN6">
        <v>44673</v>
      </c>
      <c r="BO6">
        <v>0</v>
      </c>
      <c r="BP6">
        <v>0</v>
      </c>
      <c r="BQ6">
        <v>152838</v>
      </c>
      <c r="BR6">
        <v>29951</v>
      </c>
      <c r="BS6">
        <v>40573</v>
      </c>
      <c r="BT6">
        <v>0</v>
      </c>
      <c r="BU6">
        <v>52371</v>
      </c>
      <c r="BV6">
        <v>350</v>
      </c>
      <c r="BW6">
        <v>0</v>
      </c>
      <c r="BX6">
        <v>0</v>
      </c>
      <c r="BY6">
        <v>0</v>
      </c>
      <c r="BZ6">
        <v>0</v>
      </c>
      <c r="CA6">
        <v>0</v>
      </c>
      <c r="CB6">
        <v>0</v>
      </c>
      <c r="CD6">
        <v>0</v>
      </c>
    </row>
    <row r="7" spans="1:82" x14ac:dyDescent="0.3">
      <c r="A7">
        <v>9</v>
      </c>
      <c r="B7" t="s">
        <v>195</v>
      </c>
      <c r="E7">
        <v>203544</v>
      </c>
      <c r="G7">
        <v>7071805</v>
      </c>
      <c r="H7">
        <v>7895348</v>
      </c>
      <c r="I7">
        <v>8284895</v>
      </c>
      <c r="J7">
        <v>188062</v>
      </c>
      <c r="K7">
        <v>1408230</v>
      </c>
      <c r="L7">
        <v>1031901</v>
      </c>
      <c r="M7">
        <v>13770747</v>
      </c>
      <c r="N7">
        <v>1043973</v>
      </c>
      <c r="O7">
        <v>11645352</v>
      </c>
      <c r="P7">
        <v>436859</v>
      </c>
      <c r="Q7">
        <v>42580863</v>
      </c>
      <c r="R7">
        <v>1678108</v>
      </c>
      <c r="S7">
        <v>156921</v>
      </c>
      <c r="T7">
        <v>98716961</v>
      </c>
      <c r="U7">
        <v>12932257</v>
      </c>
      <c r="V7">
        <v>37807043</v>
      </c>
      <c r="W7">
        <v>38390970</v>
      </c>
      <c r="Y7">
        <v>20035687</v>
      </c>
      <c r="Z7">
        <v>1275689</v>
      </c>
      <c r="AA7">
        <v>27215015</v>
      </c>
      <c r="AB7">
        <v>2179951</v>
      </c>
      <c r="AC7">
        <v>2498136</v>
      </c>
      <c r="AD7">
        <v>2275298</v>
      </c>
      <c r="AE7">
        <v>3839059</v>
      </c>
      <c r="AF7">
        <v>22015876</v>
      </c>
      <c r="AG7">
        <v>5389934</v>
      </c>
      <c r="AH7">
        <v>2472407</v>
      </c>
      <c r="AI7">
        <v>35621566</v>
      </c>
      <c r="AJ7">
        <v>4329207</v>
      </c>
      <c r="AM7">
        <v>13667549</v>
      </c>
      <c r="AN7">
        <v>971641</v>
      </c>
      <c r="AO7">
        <v>1251280</v>
      </c>
      <c r="AP7">
        <v>106901</v>
      </c>
      <c r="AQ7">
        <v>7747483</v>
      </c>
      <c r="AR7">
        <v>12084283</v>
      </c>
      <c r="AS7">
        <v>617901</v>
      </c>
      <c r="AT7">
        <v>2004658</v>
      </c>
      <c r="AU7">
        <v>269423</v>
      </c>
      <c r="AV7">
        <v>27313604</v>
      </c>
      <c r="AW7">
        <v>3162356</v>
      </c>
      <c r="AX7">
        <v>1443282</v>
      </c>
      <c r="AY7">
        <v>11140854</v>
      </c>
      <c r="AZ7">
        <v>2411441</v>
      </c>
      <c r="BA7">
        <v>991826</v>
      </c>
      <c r="BB7">
        <v>145225</v>
      </c>
      <c r="BC7">
        <v>749032</v>
      </c>
      <c r="BD7">
        <v>10450656</v>
      </c>
      <c r="BE7">
        <v>755296</v>
      </c>
      <c r="BF7">
        <v>1016741</v>
      </c>
      <c r="BG7">
        <v>223648</v>
      </c>
      <c r="BH7">
        <v>373386</v>
      </c>
      <c r="BI7">
        <v>531374</v>
      </c>
      <c r="BJ7">
        <v>390134</v>
      </c>
      <c r="BK7">
        <v>1910240</v>
      </c>
      <c r="BN7">
        <v>3633168</v>
      </c>
      <c r="BO7">
        <v>2134900</v>
      </c>
      <c r="BP7">
        <v>2219199</v>
      </c>
      <c r="BQ7">
        <v>20362064</v>
      </c>
      <c r="BR7">
        <v>906604</v>
      </c>
      <c r="BS7">
        <v>20883905</v>
      </c>
      <c r="BT7">
        <v>833135</v>
      </c>
      <c r="BU7">
        <v>6745612</v>
      </c>
      <c r="BV7">
        <v>2730260</v>
      </c>
      <c r="BW7">
        <v>1894479</v>
      </c>
      <c r="BX7">
        <v>2526150</v>
      </c>
      <c r="BY7">
        <v>367663</v>
      </c>
      <c r="BZ7">
        <v>1085745</v>
      </c>
      <c r="CA7">
        <v>198344</v>
      </c>
      <c r="CB7">
        <v>912299</v>
      </c>
      <c r="CD7">
        <v>391652</v>
      </c>
    </row>
    <row r="8" spans="1:82" x14ac:dyDescent="0.3">
      <c r="A8">
        <v>11</v>
      </c>
      <c r="B8" t="s">
        <v>194</v>
      </c>
      <c r="E8">
        <v>45749</v>
      </c>
      <c r="G8">
        <v>577948</v>
      </c>
      <c r="H8">
        <v>0</v>
      </c>
      <c r="I8">
        <v>313026</v>
      </c>
      <c r="J8">
        <v>0</v>
      </c>
      <c r="K8">
        <v>0</v>
      </c>
      <c r="L8">
        <v>0</v>
      </c>
      <c r="M8">
        <v>1291394</v>
      </c>
      <c r="N8">
        <v>137885</v>
      </c>
      <c r="O8">
        <v>338300</v>
      </c>
      <c r="P8">
        <v>0</v>
      </c>
      <c r="Q8">
        <v>3327824</v>
      </c>
      <c r="R8">
        <v>49603</v>
      </c>
      <c r="S8">
        <v>0</v>
      </c>
      <c r="T8">
        <v>1594805</v>
      </c>
      <c r="U8">
        <v>0</v>
      </c>
      <c r="V8">
        <v>930692</v>
      </c>
      <c r="W8">
        <v>3072537</v>
      </c>
      <c r="Y8">
        <v>636341</v>
      </c>
      <c r="Z8">
        <v>61095</v>
      </c>
      <c r="AA8">
        <v>2510458</v>
      </c>
      <c r="AB8">
        <v>379374</v>
      </c>
      <c r="AC8">
        <v>46713</v>
      </c>
      <c r="AD8">
        <v>21866</v>
      </c>
      <c r="AE8">
        <v>142496</v>
      </c>
      <c r="AF8">
        <v>45191</v>
      </c>
      <c r="AG8">
        <v>0</v>
      </c>
      <c r="AH8">
        <v>185927</v>
      </c>
      <c r="AI8">
        <v>157882</v>
      </c>
      <c r="AJ8">
        <v>191091</v>
      </c>
      <c r="AM8">
        <v>1428932</v>
      </c>
      <c r="AN8">
        <v>123214</v>
      </c>
      <c r="AO8">
        <v>58276</v>
      </c>
      <c r="AP8">
        <v>0</v>
      </c>
      <c r="AQ8">
        <v>34371</v>
      </c>
      <c r="AR8">
        <v>316973</v>
      </c>
      <c r="AS8">
        <v>19737</v>
      </c>
      <c r="AT8">
        <v>32308</v>
      </c>
      <c r="AU8">
        <v>30406</v>
      </c>
      <c r="AV8">
        <v>467664</v>
      </c>
      <c r="AW8">
        <v>0</v>
      </c>
      <c r="AX8">
        <v>81365</v>
      </c>
      <c r="AY8">
        <v>8175</v>
      </c>
      <c r="AZ8">
        <v>27848</v>
      </c>
      <c r="BA8">
        <v>71896</v>
      </c>
      <c r="BB8">
        <v>0</v>
      </c>
      <c r="BC8">
        <v>0</v>
      </c>
      <c r="BD8">
        <v>275963</v>
      </c>
      <c r="BE8">
        <v>36601</v>
      </c>
      <c r="BF8">
        <v>10899</v>
      </c>
      <c r="BG8">
        <v>15535</v>
      </c>
      <c r="BH8">
        <v>0</v>
      </c>
      <c r="BI8">
        <v>5</v>
      </c>
      <c r="BJ8">
        <v>22392</v>
      </c>
      <c r="BK8">
        <v>170155</v>
      </c>
      <c r="BN8">
        <v>52418</v>
      </c>
      <c r="BO8">
        <v>265282</v>
      </c>
      <c r="BP8">
        <v>195011</v>
      </c>
      <c r="BQ8">
        <v>0</v>
      </c>
      <c r="BR8">
        <v>285455</v>
      </c>
      <c r="BS8">
        <v>351471</v>
      </c>
      <c r="BT8">
        <v>31731</v>
      </c>
      <c r="BU8">
        <v>18194</v>
      </c>
      <c r="BV8">
        <v>0</v>
      </c>
      <c r="BW8">
        <v>2273</v>
      </c>
      <c r="BX8">
        <v>202056</v>
      </c>
      <c r="BY8">
        <v>118195</v>
      </c>
      <c r="BZ8">
        <v>35173</v>
      </c>
      <c r="CA8">
        <v>12051</v>
      </c>
      <c r="CB8">
        <v>50966</v>
      </c>
      <c r="CD8">
        <v>14531</v>
      </c>
    </row>
    <row r="9" spans="1:82" x14ac:dyDescent="0.3">
      <c r="A9">
        <v>16</v>
      </c>
      <c r="B9" t="s">
        <v>197</v>
      </c>
      <c r="E9">
        <v>72284</v>
      </c>
      <c r="G9">
        <v>2978484</v>
      </c>
      <c r="H9">
        <v>2339732</v>
      </c>
      <c r="I9">
        <v>5687068</v>
      </c>
      <c r="J9">
        <v>99334</v>
      </c>
      <c r="K9">
        <v>403730</v>
      </c>
      <c r="L9">
        <v>265361</v>
      </c>
      <c r="M9">
        <v>17873895</v>
      </c>
      <c r="N9">
        <v>671666</v>
      </c>
      <c r="O9">
        <v>6987493</v>
      </c>
      <c r="P9">
        <v>126370</v>
      </c>
      <c r="Q9">
        <v>49264546</v>
      </c>
      <c r="R9">
        <v>2156612</v>
      </c>
      <c r="S9">
        <v>29979</v>
      </c>
      <c r="T9">
        <v>96016930</v>
      </c>
      <c r="U9">
        <v>20361420</v>
      </c>
      <c r="V9">
        <v>26761099</v>
      </c>
      <c r="W9">
        <v>47908321</v>
      </c>
      <c r="Y9">
        <v>17591976</v>
      </c>
      <c r="Z9">
        <v>1481769</v>
      </c>
      <c r="AA9">
        <v>19981898</v>
      </c>
      <c r="AB9">
        <v>4954549</v>
      </c>
      <c r="AC9">
        <v>2541946</v>
      </c>
      <c r="AD9">
        <v>2473864</v>
      </c>
      <c r="AE9">
        <v>3023016</v>
      </c>
      <c r="AF9">
        <v>23536215</v>
      </c>
      <c r="AG9">
        <v>7805429</v>
      </c>
      <c r="AH9">
        <v>1150271</v>
      </c>
      <c r="AI9">
        <v>37013407</v>
      </c>
      <c r="AJ9">
        <v>886581</v>
      </c>
      <c r="AM9">
        <v>17896082</v>
      </c>
      <c r="AN9">
        <v>702606</v>
      </c>
      <c r="AO9">
        <v>954828</v>
      </c>
      <c r="AP9">
        <v>42982</v>
      </c>
      <c r="AQ9">
        <v>8582067</v>
      </c>
      <c r="AR9">
        <v>9317054</v>
      </c>
      <c r="AS9">
        <v>595357</v>
      </c>
      <c r="AT9">
        <v>3160619</v>
      </c>
      <c r="AU9">
        <v>167634</v>
      </c>
      <c r="AV9">
        <v>19458992</v>
      </c>
      <c r="AW9">
        <v>2332187</v>
      </c>
      <c r="AX9">
        <v>2472445</v>
      </c>
      <c r="AY9">
        <v>11877155</v>
      </c>
      <c r="AZ9">
        <v>1162489</v>
      </c>
      <c r="BA9">
        <v>1350299</v>
      </c>
      <c r="BB9">
        <v>36164</v>
      </c>
      <c r="BC9">
        <v>313127</v>
      </c>
      <c r="BD9">
        <v>10779059</v>
      </c>
      <c r="BE9">
        <v>142595</v>
      </c>
      <c r="BF9">
        <v>580314</v>
      </c>
      <c r="BG9">
        <v>171866</v>
      </c>
      <c r="BH9">
        <v>103676</v>
      </c>
      <c r="BI9">
        <v>293418</v>
      </c>
      <c r="BJ9">
        <v>227519</v>
      </c>
      <c r="BK9">
        <v>4232356</v>
      </c>
      <c r="BN9">
        <v>7597991</v>
      </c>
      <c r="BO9">
        <v>1930292</v>
      </c>
      <c r="BP9">
        <v>1839633</v>
      </c>
      <c r="BQ9">
        <v>24661013</v>
      </c>
      <c r="BR9">
        <v>1490618</v>
      </c>
      <c r="BS9">
        <v>20091937</v>
      </c>
      <c r="BT9">
        <v>791979</v>
      </c>
      <c r="BU9">
        <v>7831366</v>
      </c>
      <c r="BV9">
        <v>947739</v>
      </c>
      <c r="BW9">
        <v>2443186</v>
      </c>
      <c r="BX9">
        <v>1024495</v>
      </c>
      <c r="BY9">
        <v>124137</v>
      </c>
      <c r="BZ9">
        <v>258541</v>
      </c>
      <c r="CA9">
        <v>147241</v>
      </c>
      <c r="CB9">
        <v>1324584</v>
      </c>
      <c r="CD9">
        <v>104015</v>
      </c>
    </row>
    <row r="10" spans="1:82" x14ac:dyDescent="0.3">
      <c r="A10">
        <v>17</v>
      </c>
      <c r="B10" t="s">
        <v>200</v>
      </c>
      <c r="E10">
        <v>0</v>
      </c>
      <c r="G10">
        <v>363420</v>
      </c>
      <c r="H10">
        <v>1578093</v>
      </c>
      <c r="I10">
        <v>989296</v>
      </c>
      <c r="J10">
        <v>0</v>
      </c>
      <c r="K10">
        <v>230670</v>
      </c>
      <c r="L10">
        <v>30070</v>
      </c>
      <c r="M10">
        <v>470028</v>
      </c>
      <c r="N10">
        <v>120468</v>
      </c>
      <c r="O10">
        <v>0</v>
      </c>
      <c r="P10">
        <v>46573</v>
      </c>
      <c r="Q10">
        <v>10035131</v>
      </c>
      <c r="R10">
        <v>142723</v>
      </c>
      <c r="S10">
        <v>0</v>
      </c>
      <c r="T10">
        <v>9341448</v>
      </c>
      <c r="U10">
        <v>2841919</v>
      </c>
      <c r="V10">
        <v>2375795</v>
      </c>
      <c r="W10">
        <v>8502736</v>
      </c>
      <c r="Y10">
        <v>3299527</v>
      </c>
      <c r="Z10">
        <v>103889</v>
      </c>
      <c r="AA10">
        <v>5413697</v>
      </c>
      <c r="AB10">
        <v>160000</v>
      </c>
      <c r="AC10">
        <v>39702</v>
      </c>
      <c r="AD10">
        <v>0</v>
      </c>
      <c r="AE10">
        <v>99598</v>
      </c>
      <c r="AF10">
        <v>1870239</v>
      </c>
      <c r="AG10">
        <v>1765070</v>
      </c>
      <c r="AH10">
        <v>0</v>
      </c>
      <c r="AI10">
        <v>9349794</v>
      </c>
      <c r="AJ10">
        <v>115368</v>
      </c>
      <c r="AM10">
        <v>4900</v>
      </c>
      <c r="AN10">
        <v>0</v>
      </c>
      <c r="AO10">
        <v>0</v>
      </c>
      <c r="AP10">
        <v>0</v>
      </c>
      <c r="AQ10">
        <v>0</v>
      </c>
      <c r="AR10">
        <v>484765</v>
      </c>
      <c r="AS10">
        <v>104720</v>
      </c>
      <c r="AT10">
        <v>0</v>
      </c>
      <c r="AU10">
        <v>70230</v>
      </c>
      <c r="AV10">
        <v>1156203</v>
      </c>
      <c r="AW10">
        <v>0</v>
      </c>
      <c r="AX10">
        <v>0</v>
      </c>
      <c r="AY10">
        <v>136478</v>
      </c>
      <c r="AZ10">
        <v>147238</v>
      </c>
      <c r="BA10">
        <v>0</v>
      </c>
      <c r="BB10">
        <v>0</v>
      </c>
      <c r="BC10">
        <v>69852</v>
      </c>
      <c r="BD10">
        <v>70000</v>
      </c>
      <c r="BE10">
        <v>0</v>
      </c>
      <c r="BF10">
        <v>0</v>
      </c>
      <c r="BG10">
        <v>0</v>
      </c>
      <c r="BH10">
        <v>70762</v>
      </c>
      <c r="BI10">
        <v>108697</v>
      </c>
      <c r="BJ10">
        <v>0</v>
      </c>
      <c r="BK10">
        <v>0</v>
      </c>
      <c r="BN10">
        <v>0</v>
      </c>
      <c r="BO10">
        <v>0</v>
      </c>
      <c r="BP10">
        <v>0</v>
      </c>
      <c r="BQ10">
        <v>5405038</v>
      </c>
      <c r="BR10">
        <v>0</v>
      </c>
      <c r="BS10">
        <v>932248</v>
      </c>
      <c r="BT10">
        <v>58691</v>
      </c>
      <c r="BU10">
        <v>696035</v>
      </c>
      <c r="BV10">
        <v>0</v>
      </c>
      <c r="BW10">
        <v>3061</v>
      </c>
      <c r="BX10">
        <v>383824</v>
      </c>
      <c r="BY10">
        <v>7399</v>
      </c>
      <c r="BZ10">
        <v>26100</v>
      </c>
      <c r="CA10">
        <v>51368</v>
      </c>
      <c r="CB10">
        <v>445539</v>
      </c>
      <c r="CD10">
        <v>0</v>
      </c>
    </row>
    <row r="11" spans="1:82" x14ac:dyDescent="0.3">
      <c r="A11">
        <v>20</v>
      </c>
      <c r="B11" t="s">
        <v>201</v>
      </c>
      <c r="E11">
        <v>0</v>
      </c>
      <c r="G11">
        <v>0</v>
      </c>
      <c r="H11">
        <v>0</v>
      </c>
      <c r="I11">
        <v>0</v>
      </c>
      <c r="J11">
        <v>0</v>
      </c>
      <c r="K11">
        <v>33967</v>
      </c>
      <c r="L11">
        <v>0</v>
      </c>
      <c r="M11">
        <v>0</v>
      </c>
      <c r="N11">
        <v>0</v>
      </c>
      <c r="O11">
        <v>0</v>
      </c>
      <c r="P11">
        <v>0</v>
      </c>
      <c r="Q11">
        <v>8413188</v>
      </c>
      <c r="R11">
        <v>0</v>
      </c>
      <c r="S11">
        <v>0</v>
      </c>
      <c r="T11">
        <v>8682512</v>
      </c>
      <c r="U11">
        <v>3485013</v>
      </c>
      <c r="V11">
        <v>0</v>
      </c>
      <c r="W11">
        <v>9086200</v>
      </c>
      <c r="Y11">
        <v>503768</v>
      </c>
      <c r="Z11">
        <v>0</v>
      </c>
      <c r="AA11">
        <v>0</v>
      </c>
      <c r="AB11">
        <v>0</v>
      </c>
      <c r="AC11">
        <v>290386</v>
      </c>
      <c r="AD11">
        <v>0</v>
      </c>
      <c r="AE11">
        <v>0</v>
      </c>
      <c r="AF11">
        <v>0</v>
      </c>
      <c r="AG11">
        <v>2219023</v>
      </c>
      <c r="AH11">
        <v>0</v>
      </c>
      <c r="AI11">
        <v>216848</v>
      </c>
      <c r="AJ11">
        <v>50000</v>
      </c>
      <c r="AM11">
        <v>236271</v>
      </c>
      <c r="AN11">
        <v>0</v>
      </c>
      <c r="AO11">
        <v>0</v>
      </c>
      <c r="AP11">
        <v>0</v>
      </c>
      <c r="AQ11">
        <v>0</v>
      </c>
      <c r="AR11">
        <v>152722</v>
      </c>
      <c r="AS11">
        <v>0</v>
      </c>
      <c r="AT11">
        <v>0</v>
      </c>
      <c r="AU11">
        <v>0</v>
      </c>
      <c r="AV11">
        <v>523407</v>
      </c>
      <c r="AW11">
        <v>50000</v>
      </c>
      <c r="AX11">
        <v>0</v>
      </c>
      <c r="AY11">
        <v>0</v>
      </c>
      <c r="AZ11">
        <v>60000</v>
      </c>
      <c r="BA11">
        <v>0</v>
      </c>
      <c r="BB11">
        <v>0</v>
      </c>
      <c r="BC11">
        <v>30000</v>
      </c>
      <c r="BD11">
        <v>0</v>
      </c>
      <c r="BE11">
        <v>0</v>
      </c>
      <c r="BF11">
        <v>0</v>
      </c>
      <c r="BG11">
        <v>0</v>
      </c>
      <c r="BH11">
        <v>0</v>
      </c>
      <c r="BI11">
        <v>0</v>
      </c>
      <c r="BJ11">
        <v>0</v>
      </c>
      <c r="BK11">
        <v>739842</v>
      </c>
      <c r="BN11">
        <v>48000</v>
      </c>
      <c r="BO11">
        <v>0</v>
      </c>
      <c r="BP11">
        <v>0</v>
      </c>
      <c r="BQ11">
        <v>1000000</v>
      </c>
      <c r="BR11">
        <v>0</v>
      </c>
      <c r="BS11">
        <v>1262764</v>
      </c>
      <c r="BT11">
        <v>0</v>
      </c>
      <c r="BU11">
        <v>1435353</v>
      </c>
      <c r="BV11">
        <v>28879</v>
      </c>
      <c r="BW11">
        <v>0</v>
      </c>
      <c r="BX11">
        <v>235500</v>
      </c>
      <c r="BY11">
        <v>0</v>
      </c>
      <c r="BZ11">
        <v>0</v>
      </c>
      <c r="CA11">
        <v>0</v>
      </c>
      <c r="CB11">
        <v>0</v>
      </c>
      <c r="CD11">
        <v>0</v>
      </c>
    </row>
    <row r="12" spans="1:82" x14ac:dyDescent="0.3">
      <c r="A12">
        <v>22</v>
      </c>
      <c r="B12" t="s">
        <v>203</v>
      </c>
      <c r="E12">
        <v>0</v>
      </c>
      <c r="G12">
        <v>0</v>
      </c>
      <c r="H12">
        <v>0</v>
      </c>
      <c r="I12">
        <v>105000</v>
      </c>
      <c r="J12">
        <v>0</v>
      </c>
      <c r="K12">
        <v>0</v>
      </c>
      <c r="L12">
        <v>0</v>
      </c>
      <c r="M12">
        <v>0</v>
      </c>
      <c r="N12">
        <v>0</v>
      </c>
      <c r="O12">
        <v>1574945</v>
      </c>
      <c r="P12">
        <v>0</v>
      </c>
      <c r="Q12">
        <v>0</v>
      </c>
      <c r="R12">
        <v>9601</v>
      </c>
      <c r="S12">
        <v>0</v>
      </c>
      <c r="T12">
        <v>44055</v>
      </c>
      <c r="U12">
        <v>2109020</v>
      </c>
      <c r="V12">
        <v>0</v>
      </c>
      <c r="W12">
        <v>45770</v>
      </c>
      <c r="Y12">
        <v>176017</v>
      </c>
      <c r="Z12">
        <v>2345</v>
      </c>
      <c r="AA12">
        <v>0</v>
      </c>
      <c r="AB12">
        <v>0</v>
      </c>
      <c r="AC12">
        <v>143661</v>
      </c>
      <c r="AD12">
        <v>0</v>
      </c>
      <c r="AE12">
        <v>66968</v>
      </c>
      <c r="AF12">
        <v>426547</v>
      </c>
      <c r="AG12">
        <v>0</v>
      </c>
      <c r="AH12">
        <v>0</v>
      </c>
      <c r="AI12">
        <v>1015982</v>
      </c>
      <c r="AJ12">
        <v>0</v>
      </c>
      <c r="AM12">
        <v>0</v>
      </c>
      <c r="AN12">
        <v>0</v>
      </c>
      <c r="AO12">
        <v>0</v>
      </c>
      <c r="AP12">
        <v>0</v>
      </c>
      <c r="AQ12">
        <v>10000</v>
      </c>
      <c r="AR12">
        <v>20950</v>
      </c>
      <c r="AS12">
        <v>0</v>
      </c>
      <c r="AT12">
        <v>0</v>
      </c>
      <c r="AU12">
        <v>0</v>
      </c>
      <c r="AV12">
        <v>134954</v>
      </c>
      <c r="AW12">
        <v>0</v>
      </c>
      <c r="AX12">
        <v>0</v>
      </c>
      <c r="AY12">
        <v>24599</v>
      </c>
      <c r="AZ12">
        <v>0</v>
      </c>
      <c r="BA12">
        <v>0</v>
      </c>
      <c r="BB12">
        <v>0</v>
      </c>
      <c r="BC12">
        <v>0</v>
      </c>
      <c r="BD12">
        <v>33663</v>
      </c>
      <c r="BE12">
        <v>0</v>
      </c>
      <c r="BF12">
        <v>0</v>
      </c>
      <c r="BG12">
        <v>0</v>
      </c>
      <c r="BH12">
        <v>0</v>
      </c>
      <c r="BI12">
        <v>0</v>
      </c>
      <c r="BJ12">
        <v>0</v>
      </c>
      <c r="BK12">
        <v>0</v>
      </c>
      <c r="BN12">
        <v>0</v>
      </c>
      <c r="BO12">
        <v>643450</v>
      </c>
      <c r="BP12">
        <v>150</v>
      </c>
      <c r="BQ12">
        <v>531092</v>
      </c>
      <c r="BR12">
        <v>0</v>
      </c>
      <c r="BS12">
        <v>0</v>
      </c>
      <c r="BT12">
        <v>0</v>
      </c>
      <c r="BU12">
        <v>0</v>
      </c>
      <c r="BV12">
        <v>0</v>
      </c>
      <c r="BW12">
        <v>0</v>
      </c>
      <c r="BX12">
        <v>3577</v>
      </c>
      <c r="BY12">
        <v>0</v>
      </c>
      <c r="BZ12">
        <v>0</v>
      </c>
      <c r="CA12">
        <v>0</v>
      </c>
      <c r="CB12">
        <v>0</v>
      </c>
      <c r="CD12">
        <v>0</v>
      </c>
    </row>
    <row r="13" spans="1:82" x14ac:dyDescent="0.3">
      <c r="A13">
        <v>23</v>
      </c>
      <c r="B13" t="s">
        <v>206</v>
      </c>
      <c r="E13">
        <v>3103</v>
      </c>
      <c r="G13">
        <v>1219586</v>
      </c>
      <c r="H13">
        <v>1046804</v>
      </c>
      <c r="I13">
        <v>1840536</v>
      </c>
      <c r="J13">
        <v>39546</v>
      </c>
      <c r="K13">
        <v>293464</v>
      </c>
      <c r="L13">
        <v>56116</v>
      </c>
      <c r="M13">
        <v>1080050</v>
      </c>
      <c r="N13">
        <v>132327</v>
      </c>
      <c r="O13">
        <v>3116267</v>
      </c>
      <c r="P13">
        <v>86531</v>
      </c>
      <c r="Q13">
        <v>6147746</v>
      </c>
      <c r="R13">
        <v>514703</v>
      </c>
      <c r="S13">
        <v>-17090</v>
      </c>
      <c r="T13">
        <v>16239031</v>
      </c>
      <c r="U13">
        <v>2591229</v>
      </c>
      <c r="V13">
        <v>5957722</v>
      </c>
      <c r="W13">
        <v>7271377</v>
      </c>
      <c r="Y13">
        <v>3108833</v>
      </c>
      <c r="Z13">
        <v>-31588</v>
      </c>
      <c r="AA13">
        <v>7050841</v>
      </c>
      <c r="AB13">
        <v>52498</v>
      </c>
      <c r="AC13">
        <v>-82794</v>
      </c>
      <c r="AD13">
        <v>165231</v>
      </c>
      <c r="AE13">
        <v>-853</v>
      </c>
      <c r="AF13">
        <v>2928017</v>
      </c>
      <c r="AG13">
        <v>-305230</v>
      </c>
      <c r="AH13">
        <v>700848</v>
      </c>
      <c r="AI13">
        <v>9147709</v>
      </c>
      <c r="AJ13">
        <v>439803</v>
      </c>
      <c r="AM13">
        <v>2014437</v>
      </c>
      <c r="AN13">
        <v>217042</v>
      </c>
      <c r="AO13">
        <v>312871</v>
      </c>
      <c r="AP13">
        <v>6592</v>
      </c>
      <c r="AQ13">
        <v>2613972</v>
      </c>
      <c r="AR13">
        <v>1396309</v>
      </c>
      <c r="AS13">
        <v>3460</v>
      </c>
      <c r="AT13">
        <v>58387</v>
      </c>
      <c r="AU13">
        <v>-2202</v>
      </c>
      <c r="AV13">
        <v>5967823</v>
      </c>
      <c r="AW13">
        <v>-700734</v>
      </c>
      <c r="AX13">
        <v>252766</v>
      </c>
      <c r="AY13">
        <v>1738503</v>
      </c>
      <c r="AZ13">
        <v>-33664</v>
      </c>
      <c r="BA13">
        <v>-326886</v>
      </c>
      <c r="BB13">
        <v>17963</v>
      </c>
      <c r="BC13">
        <v>114075</v>
      </c>
      <c r="BD13">
        <v>1330312</v>
      </c>
      <c r="BE13">
        <v>55014</v>
      </c>
      <c r="BF13">
        <v>108327</v>
      </c>
      <c r="BG13">
        <v>-40090</v>
      </c>
      <c r="BH13">
        <v>67985</v>
      </c>
      <c r="BI13">
        <v>9766</v>
      </c>
      <c r="BJ13">
        <v>34783</v>
      </c>
      <c r="BK13">
        <v>-620822</v>
      </c>
      <c r="BN13">
        <v>181498</v>
      </c>
      <c r="BO13">
        <v>407393</v>
      </c>
      <c r="BP13">
        <v>-281949</v>
      </c>
      <c r="BQ13">
        <v>5122105</v>
      </c>
      <c r="BR13">
        <v>106554</v>
      </c>
      <c r="BS13">
        <v>-2050450</v>
      </c>
      <c r="BT13">
        <v>67900</v>
      </c>
      <c r="BU13">
        <v>443774</v>
      </c>
      <c r="BV13">
        <v>192857</v>
      </c>
      <c r="BW13">
        <v>352589</v>
      </c>
      <c r="BX13">
        <v>221211</v>
      </c>
      <c r="BY13">
        <v>-1355</v>
      </c>
      <c r="BZ13">
        <v>113024</v>
      </c>
      <c r="CA13">
        <v>-12214</v>
      </c>
      <c r="CB13">
        <v>272495</v>
      </c>
      <c r="CD13">
        <v>-21781</v>
      </c>
    </row>
    <row r="14" spans="1:82" x14ac:dyDescent="0.3">
      <c r="A14">
        <v>44</v>
      </c>
      <c r="B14" t="s">
        <v>878</v>
      </c>
      <c r="E14">
        <v>0</v>
      </c>
      <c r="G14">
        <v>0</v>
      </c>
      <c r="H14">
        <v>0</v>
      </c>
      <c r="I14">
        <v>0</v>
      </c>
      <c r="J14">
        <v>86425</v>
      </c>
      <c r="K14">
        <v>0</v>
      </c>
      <c r="L14">
        <v>0</v>
      </c>
      <c r="M14">
        <v>0</v>
      </c>
      <c r="N14">
        <v>0</v>
      </c>
      <c r="O14">
        <v>3352329</v>
      </c>
      <c r="P14">
        <v>0</v>
      </c>
      <c r="Q14">
        <v>62468767</v>
      </c>
      <c r="R14">
        <v>928038</v>
      </c>
      <c r="S14">
        <v>0</v>
      </c>
      <c r="T14">
        <v>46277676</v>
      </c>
      <c r="U14">
        <v>10133018</v>
      </c>
      <c r="V14">
        <v>24416441</v>
      </c>
      <c r="W14">
        <v>0</v>
      </c>
      <c r="Y14">
        <v>10845615</v>
      </c>
      <c r="Z14">
        <v>1999619</v>
      </c>
      <c r="AA14">
        <v>16388514</v>
      </c>
      <c r="AB14">
        <v>3074010</v>
      </c>
      <c r="AC14">
        <v>1722984</v>
      </c>
      <c r="AD14">
        <v>1334444</v>
      </c>
      <c r="AE14">
        <v>2269729</v>
      </c>
      <c r="AF14">
        <v>4641796</v>
      </c>
      <c r="AG14">
        <v>3352866</v>
      </c>
      <c r="AH14">
        <v>0</v>
      </c>
      <c r="AI14">
        <v>20608169</v>
      </c>
      <c r="AJ14">
        <v>262620</v>
      </c>
      <c r="AM14">
        <v>4299294</v>
      </c>
      <c r="AN14">
        <v>182189</v>
      </c>
      <c r="AO14">
        <v>86131</v>
      </c>
      <c r="AP14">
        <v>0</v>
      </c>
      <c r="AQ14">
        <v>0</v>
      </c>
      <c r="AR14">
        <v>2372036</v>
      </c>
      <c r="AS14">
        <v>0</v>
      </c>
      <c r="AT14">
        <v>2338759</v>
      </c>
      <c r="AU14">
        <v>0</v>
      </c>
      <c r="AV14">
        <v>35542544</v>
      </c>
      <c r="AW14">
        <v>50000</v>
      </c>
      <c r="AX14">
        <v>1186525</v>
      </c>
      <c r="AY14">
        <v>19064531</v>
      </c>
      <c r="AZ14">
        <v>1119892</v>
      </c>
      <c r="BA14">
        <v>407556</v>
      </c>
      <c r="BB14">
        <v>0</v>
      </c>
      <c r="BC14">
        <v>178805</v>
      </c>
      <c r="BD14">
        <v>15661187</v>
      </c>
      <c r="BE14">
        <v>0</v>
      </c>
      <c r="BF14">
        <v>301450</v>
      </c>
      <c r="BG14">
        <v>158661</v>
      </c>
      <c r="BH14">
        <v>0</v>
      </c>
      <c r="BI14">
        <v>511594</v>
      </c>
      <c r="BJ14">
        <v>0</v>
      </c>
      <c r="BK14">
        <v>3067304</v>
      </c>
      <c r="BN14">
        <v>1439108</v>
      </c>
      <c r="BO14">
        <v>821864</v>
      </c>
      <c r="BP14">
        <v>1354298</v>
      </c>
      <c r="BQ14">
        <v>0</v>
      </c>
      <c r="BR14">
        <v>1126739</v>
      </c>
      <c r="BS14">
        <v>0</v>
      </c>
      <c r="BT14">
        <v>643685</v>
      </c>
      <c r="BU14">
        <v>8505860</v>
      </c>
      <c r="BV14">
        <v>0</v>
      </c>
      <c r="BW14">
        <v>1807536</v>
      </c>
      <c r="BX14">
        <v>1742171</v>
      </c>
      <c r="BY14">
        <v>17317</v>
      </c>
      <c r="BZ14">
        <v>628074</v>
      </c>
      <c r="CA14">
        <v>115266</v>
      </c>
      <c r="CB14">
        <v>1702848</v>
      </c>
      <c r="CD14">
        <v>48367</v>
      </c>
    </row>
    <row r="15" spans="1:82" x14ac:dyDescent="0.3">
      <c r="A15">
        <v>45</v>
      </c>
      <c r="B15" t="s">
        <v>879</v>
      </c>
      <c r="E15">
        <v>0</v>
      </c>
      <c r="G15">
        <v>0</v>
      </c>
      <c r="H15">
        <v>0</v>
      </c>
      <c r="I15">
        <v>0</v>
      </c>
      <c r="J15">
        <v>9769</v>
      </c>
      <c r="K15">
        <v>0</v>
      </c>
      <c r="L15">
        <v>0</v>
      </c>
      <c r="M15">
        <v>0</v>
      </c>
      <c r="N15">
        <v>0</v>
      </c>
      <c r="O15">
        <v>297639</v>
      </c>
      <c r="P15">
        <v>0</v>
      </c>
      <c r="Q15">
        <v>1736766</v>
      </c>
      <c r="R15">
        <v>45251</v>
      </c>
      <c r="S15">
        <v>0</v>
      </c>
      <c r="T15">
        <v>8509457</v>
      </c>
      <c r="U15">
        <v>1995556</v>
      </c>
      <c r="V15">
        <v>2066248</v>
      </c>
      <c r="W15">
        <v>0</v>
      </c>
      <c r="Y15">
        <v>1060762</v>
      </c>
      <c r="Z15">
        <v>446864</v>
      </c>
      <c r="AA15">
        <v>1235439</v>
      </c>
      <c r="AB15">
        <v>843239</v>
      </c>
      <c r="AC15">
        <v>180594</v>
      </c>
      <c r="AD15">
        <v>631540</v>
      </c>
      <c r="AE15">
        <v>141059</v>
      </c>
      <c r="AF15">
        <v>297052</v>
      </c>
      <c r="AG15">
        <v>572994</v>
      </c>
      <c r="AH15">
        <v>0</v>
      </c>
      <c r="AI15">
        <v>3838328</v>
      </c>
      <c r="AJ15">
        <v>26174</v>
      </c>
      <c r="AM15">
        <v>1754380</v>
      </c>
      <c r="AN15">
        <v>29806</v>
      </c>
      <c r="AO15">
        <v>235530</v>
      </c>
      <c r="AP15">
        <v>0</v>
      </c>
      <c r="AQ15">
        <v>0</v>
      </c>
      <c r="AR15">
        <v>266020</v>
      </c>
      <c r="AS15">
        <v>0</v>
      </c>
      <c r="AT15">
        <v>199452</v>
      </c>
      <c r="AU15">
        <v>0</v>
      </c>
      <c r="AV15">
        <v>1644610</v>
      </c>
      <c r="AW15">
        <v>0</v>
      </c>
      <c r="AX15">
        <v>452662</v>
      </c>
      <c r="AY15">
        <v>125493</v>
      </c>
      <c r="AZ15">
        <v>128460</v>
      </c>
      <c r="BA15">
        <v>54140</v>
      </c>
      <c r="BB15">
        <v>0</v>
      </c>
      <c r="BC15">
        <v>12026</v>
      </c>
      <c r="BD15">
        <v>4094085</v>
      </c>
      <c r="BE15">
        <v>0</v>
      </c>
      <c r="BF15">
        <v>252276</v>
      </c>
      <c r="BG15">
        <v>0</v>
      </c>
      <c r="BH15">
        <v>0</v>
      </c>
      <c r="BI15">
        <v>14341</v>
      </c>
      <c r="BJ15">
        <v>0</v>
      </c>
      <c r="BK15">
        <v>449094</v>
      </c>
      <c r="BN15">
        <v>106463</v>
      </c>
      <c r="BO15">
        <v>54040</v>
      </c>
      <c r="BP15">
        <v>116936</v>
      </c>
      <c r="BQ15">
        <v>0</v>
      </c>
      <c r="BR15">
        <v>183459</v>
      </c>
      <c r="BS15">
        <v>0</v>
      </c>
      <c r="BT15">
        <v>74212</v>
      </c>
      <c r="BU15">
        <v>283624</v>
      </c>
      <c r="BV15">
        <v>0</v>
      </c>
      <c r="BW15">
        <v>1083151</v>
      </c>
      <c r="BX15">
        <v>10028</v>
      </c>
      <c r="BY15">
        <v>16385</v>
      </c>
      <c r="BZ15">
        <v>91582</v>
      </c>
      <c r="CA15">
        <v>17435</v>
      </c>
      <c r="CB15">
        <v>804094</v>
      </c>
      <c r="CD15">
        <v>0</v>
      </c>
    </row>
    <row r="16" spans="1:82" x14ac:dyDescent="0.3">
      <c r="A16">
        <v>47</v>
      </c>
      <c r="B16" t="s">
        <v>880</v>
      </c>
      <c r="E16">
        <v>0</v>
      </c>
      <c r="G16">
        <v>0</v>
      </c>
      <c r="H16">
        <v>0</v>
      </c>
      <c r="I16">
        <v>0</v>
      </c>
      <c r="J16">
        <v>0</v>
      </c>
      <c r="K16">
        <v>0</v>
      </c>
      <c r="L16">
        <v>0</v>
      </c>
      <c r="M16">
        <v>0</v>
      </c>
      <c r="N16">
        <v>0</v>
      </c>
      <c r="O16">
        <v>0</v>
      </c>
      <c r="P16">
        <v>0</v>
      </c>
      <c r="Q16">
        <v>103001676</v>
      </c>
      <c r="R16">
        <v>0</v>
      </c>
      <c r="S16">
        <v>0</v>
      </c>
      <c r="T16">
        <v>0</v>
      </c>
      <c r="U16">
        <v>0</v>
      </c>
      <c r="V16">
        <v>21768831</v>
      </c>
      <c r="W16">
        <v>0</v>
      </c>
      <c r="Y16">
        <v>0</v>
      </c>
      <c r="Z16">
        <v>0</v>
      </c>
      <c r="AA16">
        <v>0</v>
      </c>
      <c r="AB16">
        <v>0</v>
      </c>
      <c r="AC16">
        <v>0</v>
      </c>
      <c r="AD16">
        <v>0</v>
      </c>
      <c r="AE16">
        <v>0</v>
      </c>
      <c r="AF16">
        <v>0</v>
      </c>
      <c r="AG16">
        <v>0</v>
      </c>
      <c r="AH16">
        <v>0</v>
      </c>
      <c r="AI16">
        <v>22943055</v>
      </c>
      <c r="AJ16">
        <v>0</v>
      </c>
      <c r="AM16">
        <v>15726785</v>
      </c>
      <c r="AN16">
        <v>0</v>
      </c>
      <c r="AO16">
        <v>0</v>
      </c>
      <c r="AP16">
        <v>0</v>
      </c>
      <c r="AQ16">
        <v>0</v>
      </c>
      <c r="AR16">
        <v>0</v>
      </c>
      <c r="AS16">
        <v>0</v>
      </c>
      <c r="AT16">
        <v>0</v>
      </c>
      <c r="AU16">
        <v>803740</v>
      </c>
      <c r="AV16">
        <v>0</v>
      </c>
      <c r="AW16">
        <v>0</v>
      </c>
      <c r="AX16">
        <v>0</v>
      </c>
      <c r="AY16">
        <v>0</v>
      </c>
      <c r="AZ16">
        <v>0</v>
      </c>
      <c r="BA16">
        <v>0</v>
      </c>
      <c r="BB16">
        <v>0</v>
      </c>
      <c r="BC16">
        <v>0</v>
      </c>
      <c r="BD16">
        <v>0</v>
      </c>
      <c r="BE16">
        <v>0</v>
      </c>
      <c r="BF16">
        <v>0</v>
      </c>
      <c r="BG16">
        <v>0</v>
      </c>
      <c r="BH16">
        <v>0</v>
      </c>
      <c r="BI16">
        <v>0</v>
      </c>
      <c r="BJ16">
        <v>0</v>
      </c>
      <c r="BK16">
        <v>0</v>
      </c>
      <c r="BN16">
        <v>0</v>
      </c>
      <c r="BO16">
        <v>0</v>
      </c>
      <c r="BP16">
        <v>0</v>
      </c>
      <c r="BQ16">
        <v>0</v>
      </c>
      <c r="BR16">
        <v>2817756</v>
      </c>
      <c r="BS16">
        <v>5187754</v>
      </c>
      <c r="BT16">
        <v>0</v>
      </c>
      <c r="BU16">
        <v>0</v>
      </c>
      <c r="BV16">
        <v>0</v>
      </c>
      <c r="BW16">
        <v>0</v>
      </c>
      <c r="BX16">
        <v>0</v>
      </c>
      <c r="BY16">
        <v>0</v>
      </c>
      <c r="BZ16">
        <v>0</v>
      </c>
      <c r="CA16">
        <v>0</v>
      </c>
      <c r="CB16">
        <v>0</v>
      </c>
      <c r="CD16">
        <v>0</v>
      </c>
    </row>
    <row r="17" spans="1:82" x14ac:dyDescent="0.3">
      <c r="A17">
        <v>48</v>
      </c>
      <c r="B17" t="s">
        <v>115</v>
      </c>
      <c r="E17">
        <v>0</v>
      </c>
      <c r="G17">
        <v>0</v>
      </c>
      <c r="H17">
        <v>0</v>
      </c>
      <c r="I17">
        <v>0</v>
      </c>
      <c r="J17">
        <v>0</v>
      </c>
      <c r="K17">
        <v>0</v>
      </c>
      <c r="L17">
        <v>0</v>
      </c>
      <c r="M17">
        <v>0</v>
      </c>
      <c r="N17">
        <v>0</v>
      </c>
      <c r="O17">
        <v>0</v>
      </c>
      <c r="P17">
        <v>0</v>
      </c>
      <c r="Q17">
        <v>5218990</v>
      </c>
      <c r="R17">
        <v>0</v>
      </c>
      <c r="S17">
        <v>0</v>
      </c>
      <c r="T17">
        <v>0</v>
      </c>
      <c r="U17">
        <v>0</v>
      </c>
      <c r="V17">
        <v>2095447</v>
      </c>
      <c r="W17">
        <v>0</v>
      </c>
      <c r="Y17">
        <v>0</v>
      </c>
      <c r="Z17">
        <v>0</v>
      </c>
      <c r="AA17">
        <v>0</v>
      </c>
      <c r="AB17">
        <v>0</v>
      </c>
      <c r="AC17">
        <v>0</v>
      </c>
      <c r="AD17">
        <v>0</v>
      </c>
      <c r="AE17">
        <v>0</v>
      </c>
      <c r="AF17">
        <v>0</v>
      </c>
      <c r="AG17">
        <v>0</v>
      </c>
      <c r="AH17">
        <v>0</v>
      </c>
      <c r="AI17">
        <v>4941786</v>
      </c>
      <c r="AJ17">
        <v>0</v>
      </c>
      <c r="AM17">
        <v>1705329</v>
      </c>
      <c r="AN17">
        <v>0</v>
      </c>
      <c r="AO17">
        <v>0</v>
      </c>
      <c r="AP17">
        <v>0</v>
      </c>
      <c r="AQ17">
        <v>0</v>
      </c>
      <c r="AR17">
        <v>0</v>
      </c>
      <c r="AS17">
        <v>0</v>
      </c>
      <c r="AT17">
        <v>0</v>
      </c>
      <c r="AU17">
        <v>21129</v>
      </c>
      <c r="AV17">
        <v>0</v>
      </c>
      <c r="AW17">
        <v>0</v>
      </c>
      <c r="AX17">
        <v>0</v>
      </c>
      <c r="AY17">
        <v>0</v>
      </c>
      <c r="AZ17">
        <v>0</v>
      </c>
      <c r="BA17">
        <v>0</v>
      </c>
      <c r="BB17">
        <v>0</v>
      </c>
      <c r="BC17">
        <v>0</v>
      </c>
      <c r="BD17">
        <v>0</v>
      </c>
      <c r="BE17">
        <v>0</v>
      </c>
      <c r="BF17">
        <v>0</v>
      </c>
      <c r="BG17">
        <v>0</v>
      </c>
      <c r="BH17">
        <v>0</v>
      </c>
      <c r="BI17">
        <v>0</v>
      </c>
      <c r="BJ17">
        <v>0</v>
      </c>
      <c r="BK17">
        <v>0</v>
      </c>
      <c r="BN17">
        <v>0</v>
      </c>
      <c r="BO17">
        <v>0</v>
      </c>
      <c r="BP17">
        <v>0</v>
      </c>
      <c r="BQ17">
        <v>0</v>
      </c>
      <c r="BR17">
        <v>170236</v>
      </c>
      <c r="BS17">
        <v>1047730</v>
      </c>
      <c r="BT17">
        <v>0</v>
      </c>
      <c r="BU17">
        <v>0</v>
      </c>
      <c r="BV17">
        <v>0</v>
      </c>
      <c r="BW17">
        <v>0</v>
      </c>
      <c r="BX17">
        <v>0</v>
      </c>
      <c r="BY17">
        <v>0</v>
      </c>
      <c r="BZ17">
        <v>0</v>
      </c>
      <c r="CA17">
        <v>0</v>
      </c>
      <c r="CB17">
        <v>0</v>
      </c>
      <c r="CD17">
        <v>0</v>
      </c>
    </row>
    <row r="18" spans="1:82" x14ac:dyDescent="0.3">
      <c r="A18">
        <v>49</v>
      </c>
      <c r="B18" t="s">
        <v>219</v>
      </c>
      <c r="E18">
        <v>0</v>
      </c>
      <c r="G18">
        <v>0</v>
      </c>
      <c r="H18">
        <v>0</v>
      </c>
      <c r="I18">
        <v>0</v>
      </c>
      <c r="J18">
        <v>65272</v>
      </c>
      <c r="K18">
        <v>0</v>
      </c>
      <c r="L18">
        <v>0</v>
      </c>
      <c r="M18">
        <v>0</v>
      </c>
      <c r="N18">
        <v>0</v>
      </c>
      <c r="O18">
        <v>721708</v>
      </c>
      <c r="P18">
        <v>0</v>
      </c>
      <c r="Q18">
        <v>3950293</v>
      </c>
      <c r="R18">
        <v>82237</v>
      </c>
      <c r="S18">
        <v>0</v>
      </c>
      <c r="T18">
        <v>4908510</v>
      </c>
      <c r="U18">
        <v>2233457</v>
      </c>
      <c r="V18">
        <v>2812796</v>
      </c>
      <c r="W18">
        <v>0</v>
      </c>
      <c r="Y18">
        <v>2080440</v>
      </c>
      <c r="Z18">
        <v>499195</v>
      </c>
      <c r="AA18">
        <v>1404465</v>
      </c>
      <c r="AB18">
        <v>637626</v>
      </c>
      <c r="AC18">
        <v>127728</v>
      </c>
      <c r="AD18">
        <v>194991</v>
      </c>
      <c r="AE18">
        <v>860164</v>
      </c>
      <c r="AF18">
        <v>387925</v>
      </c>
      <c r="AG18">
        <v>425586</v>
      </c>
      <c r="AH18">
        <v>0</v>
      </c>
      <c r="AI18">
        <v>4067572</v>
      </c>
      <c r="AJ18">
        <v>72050</v>
      </c>
      <c r="AM18">
        <v>2160540</v>
      </c>
      <c r="AN18">
        <v>81193</v>
      </c>
      <c r="AO18">
        <v>92219</v>
      </c>
      <c r="AP18">
        <v>0</v>
      </c>
      <c r="AQ18">
        <v>0</v>
      </c>
      <c r="AR18">
        <v>824469</v>
      </c>
      <c r="AS18">
        <v>0</v>
      </c>
      <c r="AT18">
        <v>400974</v>
      </c>
      <c r="AU18">
        <v>0</v>
      </c>
      <c r="AV18">
        <v>3602077</v>
      </c>
      <c r="AW18">
        <v>0</v>
      </c>
      <c r="AX18">
        <v>254741</v>
      </c>
      <c r="AY18">
        <v>189336</v>
      </c>
      <c r="AZ18">
        <v>213774</v>
      </c>
      <c r="BA18">
        <v>41972</v>
      </c>
      <c r="BB18">
        <v>0</v>
      </c>
      <c r="BC18">
        <v>25924</v>
      </c>
      <c r="BD18">
        <v>1054651</v>
      </c>
      <c r="BE18">
        <v>0</v>
      </c>
      <c r="BF18">
        <v>69334</v>
      </c>
      <c r="BG18">
        <v>74573</v>
      </c>
      <c r="BH18">
        <v>0</v>
      </c>
      <c r="BI18">
        <v>92265</v>
      </c>
      <c r="BJ18">
        <v>0</v>
      </c>
      <c r="BK18">
        <v>642707</v>
      </c>
      <c r="BN18">
        <v>167420</v>
      </c>
      <c r="BO18">
        <v>114346</v>
      </c>
      <c r="BP18">
        <v>41511</v>
      </c>
      <c r="BQ18">
        <v>0</v>
      </c>
      <c r="BR18">
        <v>71275</v>
      </c>
      <c r="BS18">
        <v>0</v>
      </c>
      <c r="BT18">
        <v>281798</v>
      </c>
      <c r="BU18">
        <v>572078</v>
      </c>
      <c r="BV18">
        <v>0</v>
      </c>
      <c r="BW18">
        <v>613764</v>
      </c>
      <c r="BX18">
        <v>85635</v>
      </c>
      <c r="BY18">
        <v>18215</v>
      </c>
      <c r="BZ18">
        <v>200509</v>
      </c>
      <c r="CA18">
        <v>155044</v>
      </c>
      <c r="CB18">
        <v>158619</v>
      </c>
      <c r="CD18">
        <v>30020</v>
      </c>
    </row>
    <row r="19" spans="1:82" x14ac:dyDescent="0.3">
      <c r="A19">
        <v>50</v>
      </c>
      <c r="B19" t="s">
        <v>92</v>
      </c>
      <c r="E19">
        <v>0</v>
      </c>
      <c r="G19">
        <v>0</v>
      </c>
      <c r="H19">
        <v>0</v>
      </c>
      <c r="I19">
        <v>0</v>
      </c>
      <c r="J19">
        <v>-31309</v>
      </c>
      <c r="K19">
        <v>0</v>
      </c>
      <c r="L19">
        <v>0</v>
      </c>
      <c r="M19">
        <v>0</v>
      </c>
      <c r="N19">
        <v>0</v>
      </c>
      <c r="O19">
        <v>2484522</v>
      </c>
      <c r="P19">
        <v>0</v>
      </c>
      <c r="Q19">
        <v>13644128</v>
      </c>
      <c r="R19">
        <v>4818</v>
      </c>
      <c r="S19">
        <v>0</v>
      </c>
      <c r="T19">
        <v>13368431</v>
      </c>
      <c r="U19">
        <v>19926</v>
      </c>
      <c r="V19">
        <v>2471972</v>
      </c>
      <c r="W19">
        <v>0</v>
      </c>
      <c r="Y19">
        <v>504443</v>
      </c>
      <c r="Z19">
        <v>-64300</v>
      </c>
      <c r="AA19">
        <v>3576766</v>
      </c>
      <c r="AB19">
        <v>2132793</v>
      </c>
      <c r="AC19">
        <v>586862</v>
      </c>
      <c r="AD19">
        <v>399642</v>
      </c>
      <c r="AE19">
        <v>4008924</v>
      </c>
      <c r="AF19">
        <v>772862</v>
      </c>
      <c r="AG19">
        <v>719375</v>
      </c>
      <c r="AH19">
        <v>0</v>
      </c>
      <c r="AI19">
        <v>1177342</v>
      </c>
      <c r="AJ19">
        <v>40985</v>
      </c>
      <c r="AM19">
        <v>1271159</v>
      </c>
      <c r="AN19">
        <v>65051</v>
      </c>
      <c r="AO19">
        <v>-95863</v>
      </c>
      <c r="AP19">
        <v>0</v>
      </c>
      <c r="AQ19">
        <v>0</v>
      </c>
      <c r="AR19">
        <v>229719</v>
      </c>
      <c r="AS19">
        <v>0</v>
      </c>
      <c r="AT19">
        <v>1627829</v>
      </c>
      <c r="AU19">
        <v>0</v>
      </c>
      <c r="AV19">
        <v>1381648</v>
      </c>
      <c r="AW19">
        <v>50000</v>
      </c>
      <c r="AX19">
        <v>847365</v>
      </c>
      <c r="AY19">
        <v>908330</v>
      </c>
      <c r="AZ19">
        <v>-1068</v>
      </c>
      <c r="BA19">
        <v>47268</v>
      </c>
      <c r="BB19">
        <v>0</v>
      </c>
      <c r="BC19">
        <v>72221</v>
      </c>
      <c r="BD19">
        <v>3814655</v>
      </c>
      <c r="BE19">
        <v>0</v>
      </c>
      <c r="BF19">
        <v>-16554</v>
      </c>
      <c r="BG19">
        <v>-48030</v>
      </c>
      <c r="BH19">
        <v>0</v>
      </c>
      <c r="BI19">
        <v>73365</v>
      </c>
      <c r="BJ19">
        <v>0</v>
      </c>
      <c r="BK19">
        <v>1921913</v>
      </c>
      <c r="BN19">
        <v>278978</v>
      </c>
      <c r="BO19">
        <v>719820</v>
      </c>
      <c r="BP19">
        <v>89818</v>
      </c>
      <c r="BQ19">
        <v>0</v>
      </c>
      <c r="BR19">
        <v>170328</v>
      </c>
      <c r="BS19">
        <v>0</v>
      </c>
      <c r="BT19">
        <v>-277420</v>
      </c>
      <c r="BU19">
        <v>3562990</v>
      </c>
      <c r="BV19">
        <v>0</v>
      </c>
      <c r="BW19">
        <v>-52689</v>
      </c>
      <c r="BX19">
        <v>335416</v>
      </c>
      <c r="BY19">
        <v>-18272</v>
      </c>
      <c r="BZ19">
        <v>281148</v>
      </c>
      <c r="CA19">
        <v>-97517</v>
      </c>
      <c r="CB19">
        <v>771344</v>
      </c>
      <c r="CD19">
        <v>-17156</v>
      </c>
    </row>
    <row r="20" spans="1:82" x14ac:dyDescent="0.3">
      <c r="A20">
        <v>51</v>
      </c>
      <c r="B20" t="s">
        <v>237</v>
      </c>
      <c r="E20">
        <v>0</v>
      </c>
      <c r="G20">
        <v>0</v>
      </c>
      <c r="H20">
        <v>0</v>
      </c>
      <c r="I20">
        <v>0</v>
      </c>
      <c r="J20">
        <v>-10532</v>
      </c>
      <c r="K20">
        <v>0</v>
      </c>
      <c r="L20">
        <v>0</v>
      </c>
      <c r="M20">
        <v>0</v>
      </c>
      <c r="N20">
        <v>0</v>
      </c>
      <c r="O20">
        <v>1742276</v>
      </c>
      <c r="P20">
        <v>0</v>
      </c>
      <c r="Q20">
        <v>17027961</v>
      </c>
      <c r="R20">
        <v>-91435</v>
      </c>
      <c r="S20">
        <v>0</v>
      </c>
      <c r="T20">
        <v>12090693</v>
      </c>
      <c r="U20">
        <v>2086522</v>
      </c>
      <c r="V20">
        <v>5488799</v>
      </c>
      <c r="W20">
        <v>0</v>
      </c>
      <c r="Y20">
        <v>2391037</v>
      </c>
      <c r="Z20">
        <v>77865</v>
      </c>
      <c r="AA20">
        <v>5376649</v>
      </c>
      <c r="AB20">
        <v>639014</v>
      </c>
      <c r="AC20">
        <v>326710</v>
      </c>
      <c r="AD20">
        <v>504674</v>
      </c>
      <c r="AE20">
        <v>452868</v>
      </c>
      <c r="AF20">
        <v>585811</v>
      </c>
      <c r="AG20">
        <v>1389481</v>
      </c>
      <c r="AH20">
        <v>0</v>
      </c>
      <c r="AI20">
        <v>6428244</v>
      </c>
      <c r="AJ20">
        <v>110851</v>
      </c>
      <c r="AM20">
        <v>3516125</v>
      </c>
      <c r="AN20">
        <v>129164</v>
      </c>
      <c r="AO20">
        <v>96983</v>
      </c>
      <c r="AP20">
        <v>0</v>
      </c>
      <c r="AQ20">
        <v>0</v>
      </c>
      <c r="AR20">
        <v>760721</v>
      </c>
      <c r="AS20">
        <v>0</v>
      </c>
      <c r="AT20">
        <v>-166655</v>
      </c>
      <c r="AU20">
        <v>0</v>
      </c>
      <c r="AV20">
        <v>7653545</v>
      </c>
      <c r="AW20">
        <v>-22179</v>
      </c>
      <c r="AX20">
        <v>464138</v>
      </c>
      <c r="AY20">
        <v>581440</v>
      </c>
      <c r="AZ20">
        <v>201658</v>
      </c>
      <c r="BA20">
        <v>87352</v>
      </c>
      <c r="BB20">
        <v>0</v>
      </c>
      <c r="BC20">
        <v>-4597</v>
      </c>
      <c r="BD20">
        <v>2805443</v>
      </c>
      <c r="BE20">
        <v>0</v>
      </c>
      <c r="BF20">
        <v>40266</v>
      </c>
      <c r="BG20">
        <v>29444</v>
      </c>
      <c r="BH20">
        <v>0</v>
      </c>
      <c r="BI20">
        <v>133007</v>
      </c>
      <c r="BJ20">
        <v>0</v>
      </c>
      <c r="BK20">
        <v>521659</v>
      </c>
      <c r="BN20">
        <v>449731</v>
      </c>
      <c r="BO20">
        <v>125705</v>
      </c>
      <c r="BP20">
        <v>137005</v>
      </c>
      <c r="BQ20">
        <v>0</v>
      </c>
      <c r="BR20">
        <v>276149</v>
      </c>
      <c r="BS20">
        <v>0</v>
      </c>
      <c r="BT20">
        <v>27200</v>
      </c>
      <c r="BU20">
        <v>2385159</v>
      </c>
      <c r="BV20">
        <v>0</v>
      </c>
      <c r="BW20">
        <v>455586</v>
      </c>
      <c r="BX20">
        <v>85239</v>
      </c>
      <c r="BY20">
        <v>-1070</v>
      </c>
      <c r="BZ20">
        <v>149970</v>
      </c>
      <c r="CA20">
        <v>18256</v>
      </c>
      <c r="CB20">
        <v>488145</v>
      </c>
      <c r="CD20">
        <v>-106</v>
      </c>
    </row>
    <row r="21" spans="1:82" x14ac:dyDescent="0.3">
      <c r="A21">
        <v>52</v>
      </c>
      <c r="B21" t="s">
        <v>230</v>
      </c>
      <c r="E21">
        <v>0</v>
      </c>
      <c r="G21">
        <v>0</v>
      </c>
      <c r="H21">
        <v>0</v>
      </c>
      <c r="I21">
        <v>0</v>
      </c>
      <c r="J21">
        <v>0</v>
      </c>
      <c r="K21">
        <v>0</v>
      </c>
      <c r="L21">
        <v>0</v>
      </c>
      <c r="M21">
        <v>0</v>
      </c>
      <c r="N21">
        <v>0</v>
      </c>
      <c r="O21">
        <v>0</v>
      </c>
      <c r="P21">
        <v>0</v>
      </c>
      <c r="Q21">
        <v>2250130</v>
      </c>
      <c r="R21">
        <v>0</v>
      </c>
      <c r="S21">
        <v>0</v>
      </c>
      <c r="T21">
        <v>0</v>
      </c>
      <c r="U21">
        <v>0</v>
      </c>
      <c r="V21">
        <v>1582609</v>
      </c>
      <c r="W21">
        <v>0</v>
      </c>
      <c r="Y21">
        <v>0</v>
      </c>
      <c r="Z21">
        <v>0</v>
      </c>
      <c r="AA21">
        <v>0</v>
      </c>
      <c r="AB21">
        <v>0</v>
      </c>
      <c r="AC21">
        <v>0</v>
      </c>
      <c r="AD21">
        <v>0</v>
      </c>
      <c r="AE21">
        <v>0</v>
      </c>
      <c r="AF21">
        <v>0</v>
      </c>
      <c r="AG21">
        <v>0</v>
      </c>
      <c r="AH21">
        <v>0</v>
      </c>
      <c r="AI21">
        <v>2668747</v>
      </c>
      <c r="AJ21">
        <v>0</v>
      </c>
      <c r="AM21">
        <v>1208541</v>
      </c>
      <c r="AN21">
        <v>0</v>
      </c>
      <c r="AO21">
        <v>0</v>
      </c>
      <c r="AP21">
        <v>0</v>
      </c>
      <c r="AQ21">
        <v>0</v>
      </c>
      <c r="AR21">
        <v>0</v>
      </c>
      <c r="AS21">
        <v>0</v>
      </c>
      <c r="AT21">
        <v>0</v>
      </c>
      <c r="AU21">
        <v>5624</v>
      </c>
      <c r="AV21">
        <v>0</v>
      </c>
      <c r="AW21">
        <v>0</v>
      </c>
      <c r="AX21">
        <v>0</v>
      </c>
      <c r="AY21">
        <v>0</v>
      </c>
      <c r="AZ21">
        <v>0</v>
      </c>
      <c r="BA21">
        <v>0</v>
      </c>
      <c r="BB21">
        <v>0</v>
      </c>
      <c r="BC21">
        <v>0</v>
      </c>
      <c r="BD21">
        <v>0</v>
      </c>
      <c r="BE21">
        <v>0</v>
      </c>
      <c r="BF21">
        <v>0</v>
      </c>
      <c r="BG21">
        <v>0</v>
      </c>
      <c r="BH21">
        <v>0</v>
      </c>
      <c r="BI21">
        <v>0</v>
      </c>
      <c r="BJ21">
        <v>0</v>
      </c>
      <c r="BK21">
        <v>0</v>
      </c>
      <c r="BN21">
        <v>0</v>
      </c>
      <c r="BO21">
        <v>0</v>
      </c>
      <c r="BP21">
        <v>0</v>
      </c>
      <c r="BQ21">
        <v>0</v>
      </c>
      <c r="BR21">
        <v>15405</v>
      </c>
      <c r="BS21">
        <v>747590</v>
      </c>
      <c r="BT21">
        <v>0</v>
      </c>
      <c r="BU21">
        <v>0</v>
      </c>
      <c r="BV21">
        <v>0</v>
      </c>
      <c r="BW21">
        <v>0</v>
      </c>
      <c r="BX21">
        <v>0</v>
      </c>
      <c r="BY21">
        <v>0</v>
      </c>
      <c r="BZ21">
        <v>0</v>
      </c>
      <c r="CA21">
        <v>0</v>
      </c>
      <c r="CB21">
        <v>0</v>
      </c>
      <c r="CD21">
        <v>0</v>
      </c>
    </row>
    <row r="22" spans="1:82" x14ac:dyDescent="0.3">
      <c r="A22">
        <v>53</v>
      </c>
      <c r="B22" t="s">
        <v>93</v>
      </c>
      <c r="E22">
        <v>0</v>
      </c>
      <c r="G22">
        <v>0</v>
      </c>
      <c r="H22">
        <v>0</v>
      </c>
      <c r="I22">
        <v>0</v>
      </c>
      <c r="J22">
        <v>0</v>
      </c>
      <c r="K22">
        <v>0</v>
      </c>
      <c r="L22">
        <v>0</v>
      </c>
      <c r="M22">
        <v>0</v>
      </c>
      <c r="N22">
        <v>0</v>
      </c>
      <c r="O22">
        <v>0</v>
      </c>
      <c r="P22">
        <v>0</v>
      </c>
      <c r="Q22">
        <v>10060911</v>
      </c>
      <c r="R22">
        <v>0</v>
      </c>
      <c r="S22">
        <v>0</v>
      </c>
      <c r="T22">
        <v>0</v>
      </c>
      <c r="U22">
        <v>0</v>
      </c>
      <c r="V22">
        <v>362875</v>
      </c>
      <c r="W22">
        <v>0</v>
      </c>
      <c r="Y22">
        <v>0</v>
      </c>
      <c r="Z22">
        <v>0</v>
      </c>
      <c r="AA22">
        <v>0</v>
      </c>
      <c r="AB22">
        <v>0</v>
      </c>
      <c r="AC22">
        <v>0</v>
      </c>
      <c r="AD22">
        <v>0</v>
      </c>
      <c r="AE22">
        <v>0</v>
      </c>
      <c r="AF22">
        <v>0</v>
      </c>
      <c r="AG22">
        <v>0</v>
      </c>
      <c r="AH22">
        <v>0</v>
      </c>
      <c r="AI22">
        <v>-1584600</v>
      </c>
      <c r="AJ22">
        <v>0</v>
      </c>
      <c r="AM22">
        <v>1668147</v>
      </c>
      <c r="AN22">
        <v>0</v>
      </c>
      <c r="AO22">
        <v>0</v>
      </c>
      <c r="AP22">
        <v>0</v>
      </c>
      <c r="AQ22">
        <v>0</v>
      </c>
      <c r="AR22">
        <v>0</v>
      </c>
      <c r="AS22">
        <v>0</v>
      </c>
      <c r="AT22">
        <v>0</v>
      </c>
      <c r="AU22">
        <v>43774</v>
      </c>
      <c r="AV22">
        <v>0</v>
      </c>
      <c r="AW22">
        <v>0</v>
      </c>
      <c r="AX22">
        <v>0</v>
      </c>
      <c r="AY22">
        <v>0</v>
      </c>
      <c r="AZ22">
        <v>0</v>
      </c>
      <c r="BA22">
        <v>0</v>
      </c>
      <c r="BB22">
        <v>0</v>
      </c>
      <c r="BC22">
        <v>0</v>
      </c>
      <c r="BD22">
        <v>0</v>
      </c>
      <c r="BE22">
        <v>0</v>
      </c>
      <c r="BF22">
        <v>0</v>
      </c>
      <c r="BG22">
        <v>0</v>
      </c>
      <c r="BH22">
        <v>0</v>
      </c>
      <c r="BI22">
        <v>0</v>
      </c>
      <c r="BJ22">
        <v>0</v>
      </c>
      <c r="BK22">
        <v>0</v>
      </c>
      <c r="BN22">
        <v>0</v>
      </c>
      <c r="BO22">
        <v>0</v>
      </c>
      <c r="BP22">
        <v>0</v>
      </c>
      <c r="BQ22">
        <v>0</v>
      </c>
      <c r="BR22">
        <v>787571</v>
      </c>
      <c r="BS22">
        <v>1592775</v>
      </c>
      <c r="BT22">
        <v>0</v>
      </c>
      <c r="BU22">
        <v>0</v>
      </c>
      <c r="BV22">
        <v>0</v>
      </c>
      <c r="BW22">
        <v>0</v>
      </c>
      <c r="BX22">
        <v>0</v>
      </c>
      <c r="BY22">
        <v>0</v>
      </c>
      <c r="BZ22">
        <v>0</v>
      </c>
      <c r="CA22">
        <v>0</v>
      </c>
      <c r="CB22">
        <v>0</v>
      </c>
      <c r="CD22">
        <v>0</v>
      </c>
    </row>
    <row r="23" spans="1:82" x14ac:dyDescent="0.3">
      <c r="A23">
        <v>55</v>
      </c>
      <c r="B23" t="s">
        <v>240</v>
      </c>
      <c r="E23">
        <v>0</v>
      </c>
      <c r="G23">
        <v>0</v>
      </c>
      <c r="H23">
        <v>0</v>
      </c>
      <c r="I23">
        <v>0</v>
      </c>
      <c r="J23">
        <v>0</v>
      </c>
      <c r="K23">
        <v>0</v>
      </c>
      <c r="L23">
        <v>0</v>
      </c>
      <c r="M23">
        <v>0</v>
      </c>
      <c r="N23">
        <v>0</v>
      </c>
      <c r="O23">
        <v>0</v>
      </c>
      <c r="P23">
        <v>0</v>
      </c>
      <c r="Q23">
        <v>7231424</v>
      </c>
      <c r="R23">
        <v>0</v>
      </c>
      <c r="S23">
        <v>0</v>
      </c>
      <c r="T23">
        <v>0</v>
      </c>
      <c r="U23">
        <v>0</v>
      </c>
      <c r="V23">
        <v>2742593</v>
      </c>
      <c r="W23">
        <v>0</v>
      </c>
      <c r="Y23">
        <v>0</v>
      </c>
      <c r="Z23">
        <v>0</v>
      </c>
      <c r="AA23">
        <v>0</v>
      </c>
      <c r="AB23">
        <v>0</v>
      </c>
      <c r="AC23">
        <v>0</v>
      </c>
      <c r="AD23">
        <v>0</v>
      </c>
      <c r="AE23">
        <v>0</v>
      </c>
      <c r="AF23">
        <v>0</v>
      </c>
      <c r="AG23">
        <v>0</v>
      </c>
      <c r="AH23">
        <v>0</v>
      </c>
      <c r="AI23">
        <v>1673440</v>
      </c>
      <c r="AJ23">
        <v>0</v>
      </c>
      <c r="AM23">
        <v>2765545</v>
      </c>
      <c r="AN23">
        <v>0</v>
      </c>
      <c r="AO23">
        <v>0</v>
      </c>
      <c r="AP23">
        <v>0</v>
      </c>
      <c r="AQ23">
        <v>0</v>
      </c>
      <c r="AR23">
        <v>0</v>
      </c>
      <c r="AS23">
        <v>0</v>
      </c>
      <c r="AT23">
        <v>0</v>
      </c>
      <c r="AU23">
        <v>35077</v>
      </c>
      <c r="AV23">
        <v>0</v>
      </c>
      <c r="AW23">
        <v>0</v>
      </c>
      <c r="AX23">
        <v>0</v>
      </c>
      <c r="AY23">
        <v>0</v>
      </c>
      <c r="AZ23">
        <v>0</v>
      </c>
      <c r="BA23">
        <v>0</v>
      </c>
      <c r="BB23">
        <v>0</v>
      </c>
      <c r="BC23">
        <v>0</v>
      </c>
      <c r="BD23">
        <v>0</v>
      </c>
      <c r="BE23">
        <v>0</v>
      </c>
      <c r="BF23">
        <v>0</v>
      </c>
      <c r="BG23">
        <v>0</v>
      </c>
      <c r="BH23">
        <v>0</v>
      </c>
      <c r="BI23">
        <v>0</v>
      </c>
      <c r="BJ23">
        <v>0</v>
      </c>
      <c r="BK23">
        <v>0</v>
      </c>
      <c r="BN23">
        <v>0</v>
      </c>
      <c r="BO23">
        <v>0</v>
      </c>
      <c r="BP23">
        <v>0</v>
      </c>
      <c r="BQ23">
        <v>0</v>
      </c>
      <c r="BR23">
        <v>681458</v>
      </c>
      <c r="BS23">
        <v>2231697</v>
      </c>
      <c r="BT23">
        <v>0</v>
      </c>
      <c r="BU23">
        <v>0</v>
      </c>
      <c r="BV23">
        <v>0</v>
      </c>
      <c r="BW23">
        <v>0</v>
      </c>
      <c r="BX23">
        <v>0</v>
      </c>
      <c r="BY23">
        <v>0</v>
      </c>
      <c r="BZ23">
        <v>0</v>
      </c>
      <c r="CA23">
        <v>0</v>
      </c>
      <c r="CB23">
        <v>0</v>
      </c>
      <c r="CD23">
        <v>0</v>
      </c>
    </row>
    <row r="24" spans="1:82" x14ac:dyDescent="0.3">
      <c r="A24">
        <v>61</v>
      </c>
      <c r="B24" t="s">
        <v>254</v>
      </c>
      <c r="E24">
        <v>98.69</v>
      </c>
      <c r="G24">
        <v>99.07</v>
      </c>
      <c r="H24">
        <v>98.36</v>
      </c>
      <c r="I24">
        <v>99.37</v>
      </c>
      <c r="J24">
        <v>97.3</v>
      </c>
      <c r="K24">
        <v>99.67</v>
      </c>
      <c r="L24">
        <v>99.55</v>
      </c>
      <c r="M24">
        <v>99.48</v>
      </c>
      <c r="N24">
        <v>97.3</v>
      </c>
      <c r="O24">
        <v>99.34</v>
      </c>
      <c r="P24">
        <v>98.81</v>
      </c>
      <c r="Q24">
        <v>99.18</v>
      </c>
      <c r="R24">
        <v>99.93</v>
      </c>
      <c r="S24">
        <v>0</v>
      </c>
      <c r="T24">
        <v>99.59</v>
      </c>
      <c r="U24">
        <v>99.3</v>
      </c>
      <c r="V24">
        <v>96.96</v>
      </c>
      <c r="W24">
        <v>99.94</v>
      </c>
      <c r="Y24">
        <v>98.79</v>
      </c>
      <c r="Z24">
        <v>96.17</v>
      </c>
      <c r="AA24">
        <v>99.57</v>
      </c>
      <c r="AB24">
        <v>97.5</v>
      </c>
      <c r="AC24">
        <v>99.05</v>
      </c>
      <c r="AD24">
        <v>97.6</v>
      </c>
      <c r="AE24">
        <v>95.31</v>
      </c>
      <c r="AF24">
        <v>99.99</v>
      </c>
      <c r="AG24">
        <v>98.71</v>
      </c>
      <c r="AH24">
        <v>91.08</v>
      </c>
      <c r="AI24">
        <v>99.29</v>
      </c>
      <c r="AJ24">
        <v>99.56</v>
      </c>
      <c r="AM24">
        <v>98.85</v>
      </c>
      <c r="AN24">
        <v>95.92</v>
      </c>
      <c r="AO24">
        <v>96.91</v>
      </c>
      <c r="AP24">
        <v>0</v>
      </c>
      <c r="AQ24">
        <v>99.21</v>
      </c>
      <c r="AR24">
        <v>99.18</v>
      </c>
      <c r="AS24">
        <v>96.99</v>
      </c>
      <c r="AT24">
        <v>98.46</v>
      </c>
      <c r="AU24">
        <v>90.85</v>
      </c>
      <c r="AV24">
        <v>98.27</v>
      </c>
      <c r="AW24">
        <v>99.74</v>
      </c>
      <c r="AX24">
        <v>98.77</v>
      </c>
      <c r="AY24">
        <v>99.97</v>
      </c>
      <c r="AZ24">
        <v>99.59</v>
      </c>
      <c r="BA24">
        <v>96.75</v>
      </c>
      <c r="BB24">
        <v>0</v>
      </c>
      <c r="BC24">
        <v>99.23</v>
      </c>
      <c r="BD24">
        <v>99.09</v>
      </c>
      <c r="BE24">
        <v>100</v>
      </c>
      <c r="BF24">
        <v>95.68</v>
      </c>
      <c r="BG24">
        <v>86.56</v>
      </c>
      <c r="BH24">
        <v>98.54</v>
      </c>
      <c r="BI24">
        <v>89.63</v>
      </c>
      <c r="BJ24">
        <v>96.7</v>
      </c>
      <c r="BK24">
        <v>97.43</v>
      </c>
      <c r="BN24">
        <v>99.83</v>
      </c>
      <c r="BO24">
        <v>99.96</v>
      </c>
      <c r="BP24">
        <v>99.29</v>
      </c>
      <c r="BQ24">
        <v>99.93</v>
      </c>
      <c r="BR24">
        <v>95.59</v>
      </c>
      <c r="BS24">
        <v>99.45</v>
      </c>
      <c r="BT24">
        <v>98.36</v>
      </c>
      <c r="BU24">
        <v>99.79</v>
      </c>
      <c r="BV24">
        <v>98.69</v>
      </c>
      <c r="BW24">
        <v>74.13</v>
      </c>
      <c r="BX24">
        <v>94.81</v>
      </c>
      <c r="BY24">
        <v>98.46</v>
      </c>
      <c r="BZ24">
        <v>94.47</v>
      </c>
      <c r="CA24">
        <v>96.21</v>
      </c>
      <c r="CB24">
        <v>99.74</v>
      </c>
      <c r="CD24">
        <v>93.61</v>
      </c>
    </row>
    <row r="25" spans="1:82" x14ac:dyDescent="0.3">
      <c r="A25">
        <v>80</v>
      </c>
      <c r="B25" t="s">
        <v>209</v>
      </c>
      <c r="E25">
        <v>0</v>
      </c>
      <c r="G25">
        <v>0</v>
      </c>
      <c r="H25">
        <v>0</v>
      </c>
      <c r="I25">
        <v>0</v>
      </c>
      <c r="J25">
        <v>40493</v>
      </c>
      <c r="K25">
        <v>0</v>
      </c>
      <c r="L25">
        <v>0</v>
      </c>
      <c r="M25">
        <v>0</v>
      </c>
      <c r="N25">
        <v>0</v>
      </c>
      <c r="O25">
        <v>2351994</v>
      </c>
      <c r="P25">
        <v>0</v>
      </c>
      <c r="Q25">
        <v>59485366</v>
      </c>
      <c r="R25">
        <v>722197</v>
      </c>
      <c r="S25">
        <v>0</v>
      </c>
      <c r="T25">
        <v>39771065</v>
      </c>
      <c r="U25">
        <v>8511868</v>
      </c>
      <c r="V25">
        <v>13259338</v>
      </c>
      <c r="W25">
        <v>0</v>
      </c>
      <c r="Y25">
        <v>6864629</v>
      </c>
      <c r="Z25">
        <v>1563589</v>
      </c>
      <c r="AA25">
        <v>14466033</v>
      </c>
      <c r="AB25">
        <v>2762524</v>
      </c>
      <c r="AC25">
        <v>1531631</v>
      </c>
      <c r="AD25">
        <v>980075</v>
      </c>
      <c r="AE25">
        <v>2035886</v>
      </c>
      <c r="AF25">
        <v>3863914</v>
      </c>
      <c r="AG25">
        <v>2755427</v>
      </c>
      <c r="AH25">
        <v>0</v>
      </c>
      <c r="AI25">
        <v>17574895</v>
      </c>
      <c r="AJ25">
        <v>227108</v>
      </c>
      <c r="AM25">
        <v>4373488</v>
      </c>
      <c r="AN25">
        <v>85147</v>
      </c>
      <c r="AO25">
        <v>0</v>
      </c>
      <c r="AP25">
        <v>0</v>
      </c>
      <c r="AQ25">
        <v>0</v>
      </c>
      <c r="AR25">
        <v>1814433</v>
      </c>
      <c r="AS25">
        <v>0</v>
      </c>
      <c r="AT25">
        <v>1278847</v>
      </c>
      <c r="AU25">
        <v>0</v>
      </c>
      <c r="AV25">
        <v>32096598</v>
      </c>
      <c r="AW25">
        <v>27821</v>
      </c>
      <c r="AX25">
        <v>774974</v>
      </c>
      <c r="AY25">
        <v>18105157</v>
      </c>
      <c r="AZ25">
        <v>1023454</v>
      </c>
      <c r="BA25">
        <v>320783</v>
      </c>
      <c r="BB25">
        <v>0</v>
      </c>
      <c r="BC25">
        <v>159795</v>
      </c>
      <c r="BD25">
        <v>8447714</v>
      </c>
      <c r="BE25">
        <v>0</v>
      </c>
      <c r="BF25">
        <v>259358</v>
      </c>
      <c r="BG25">
        <v>135801</v>
      </c>
      <c r="BH25">
        <v>0</v>
      </c>
      <c r="BI25">
        <v>462703</v>
      </c>
      <c r="BJ25">
        <v>0</v>
      </c>
      <c r="BK25">
        <v>1950707</v>
      </c>
      <c r="BN25">
        <v>1161504</v>
      </c>
      <c r="BO25">
        <v>685042</v>
      </c>
      <c r="BP25">
        <v>1342725</v>
      </c>
      <c r="BQ25">
        <v>0</v>
      </c>
      <c r="BR25">
        <v>903248</v>
      </c>
      <c r="BS25">
        <v>0</v>
      </c>
      <c r="BT25">
        <v>544224</v>
      </c>
      <c r="BU25">
        <v>7689984</v>
      </c>
      <c r="BV25">
        <v>0</v>
      </c>
      <c r="BW25">
        <v>600826</v>
      </c>
      <c r="BX25">
        <v>1668366</v>
      </c>
      <c r="BY25">
        <v>3129</v>
      </c>
      <c r="BZ25">
        <v>644710</v>
      </c>
      <c r="CA25">
        <v>80716</v>
      </c>
      <c r="CB25">
        <v>1416563</v>
      </c>
      <c r="CD25">
        <v>783</v>
      </c>
    </row>
    <row r="26" spans="1:82" x14ac:dyDescent="0.3">
      <c r="A26">
        <v>81</v>
      </c>
      <c r="B26" t="s">
        <v>210</v>
      </c>
      <c r="E26">
        <v>0</v>
      </c>
      <c r="G26">
        <v>0</v>
      </c>
      <c r="H26">
        <v>0</v>
      </c>
      <c r="I26">
        <v>0</v>
      </c>
      <c r="J26">
        <v>14191</v>
      </c>
      <c r="K26">
        <v>0</v>
      </c>
      <c r="L26">
        <v>0</v>
      </c>
      <c r="M26">
        <v>0</v>
      </c>
      <c r="N26">
        <v>0</v>
      </c>
      <c r="O26">
        <v>649092</v>
      </c>
      <c r="P26">
        <v>0</v>
      </c>
      <c r="Q26">
        <v>2283513</v>
      </c>
      <c r="R26">
        <v>31180</v>
      </c>
      <c r="S26">
        <v>0</v>
      </c>
      <c r="T26">
        <v>4670605</v>
      </c>
      <c r="U26">
        <v>1365980</v>
      </c>
      <c r="V26">
        <v>1682919</v>
      </c>
      <c r="W26">
        <v>0</v>
      </c>
      <c r="Y26">
        <v>815268</v>
      </c>
      <c r="Z26">
        <v>192058</v>
      </c>
      <c r="AA26">
        <v>1767952</v>
      </c>
      <c r="AB26">
        <v>311486</v>
      </c>
      <c r="AC26">
        <v>129647</v>
      </c>
      <c r="AD26">
        <v>228546</v>
      </c>
      <c r="AE26">
        <v>203050</v>
      </c>
      <c r="AF26">
        <v>610289</v>
      </c>
      <c r="AG26">
        <v>160609</v>
      </c>
      <c r="AH26">
        <v>0</v>
      </c>
      <c r="AI26">
        <v>2510974</v>
      </c>
      <c r="AJ26">
        <v>35512</v>
      </c>
      <c r="AM26">
        <v>997304</v>
      </c>
      <c r="AN26">
        <v>82679</v>
      </c>
      <c r="AO26">
        <v>86131</v>
      </c>
      <c r="AP26">
        <v>0</v>
      </c>
      <c r="AQ26">
        <v>0</v>
      </c>
      <c r="AR26">
        <v>506400</v>
      </c>
      <c r="AS26">
        <v>0</v>
      </c>
      <c r="AT26">
        <v>165102</v>
      </c>
      <c r="AU26">
        <v>0</v>
      </c>
      <c r="AV26">
        <v>2635052</v>
      </c>
      <c r="AW26">
        <v>0</v>
      </c>
      <c r="AX26">
        <v>199066</v>
      </c>
      <c r="AY26">
        <v>843427</v>
      </c>
      <c r="AZ26">
        <v>89365</v>
      </c>
      <c r="BA26">
        <v>17063</v>
      </c>
      <c r="BB26">
        <v>0</v>
      </c>
      <c r="BC26">
        <v>10135</v>
      </c>
      <c r="BD26">
        <v>668810</v>
      </c>
      <c r="BE26">
        <v>0</v>
      </c>
      <c r="BF26">
        <v>39875</v>
      </c>
      <c r="BG26">
        <v>3297</v>
      </c>
      <c r="BH26">
        <v>0</v>
      </c>
      <c r="BI26">
        <v>47813</v>
      </c>
      <c r="BJ26">
        <v>0</v>
      </c>
      <c r="BK26">
        <v>123452</v>
      </c>
      <c r="BN26">
        <v>76195</v>
      </c>
      <c r="BO26">
        <v>105612</v>
      </c>
      <c r="BP26">
        <v>11573</v>
      </c>
      <c r="BQ26">
        <v>0</v>
      </c>
      <c r="BR26">
        <v>123542</v>
      </c>
      <c r="BS26">
        <v>0</v>
      </c>
      <c r="BT26">
        <v>46509</v>
      </c>
      <c r="BU26">
        <v>771625</v>
      </c>
      <c r="BV26">
        <v>0</v>
      </c>
      <c r="BW26">
        <v>445907</v>
      </c>
      <c r="BX26">
        <v>31947</v>
      </c>
      <c r="BY26">
        <v>1835</v>
      </c>
      <c r="BZ26">
        <v>27921</v>
      </c>
      <c r="CA26">
        <v>34550</v>
      </c>
      <c r="CB26">
        <v>70062</v>
      </c>
      <c r="CD26">
        <v>23416</v>
      </c>
    </row>
    <row r="27" spans="1:82" x14ac:dyDescent="0.3">
      <c r="A27">
        <v>82</v>
      </c>
      <c r="B27" t="s">
        <v>307</v>
      </c>
      <c r="E27">
        <v>0</v>
      </c>
      <c r="G27">
        <v>0</v>
      </c>
      <c r="H27">
        <v>0</v>
      </c>
      <c r="I27">
        <v>0</v>
      </c>
      <c r="J27">
        <v>389000</v>
      </c>
      <c r="K27">
        <v>0</v>
      </c>
      <c r="L27">
        <v>0</v>
      </c>
      <c r="M27">
        <v>0</v>
      </c>
      <c r="N27">
        <v>0</v>
      </c>
      <c r="O27">
        <v>3276345</v>
      </c>
      <c r="P27">
        <v>0</v>
      </c>
      <c r="Q27">
        <v>18772313</v>
      </c>
      <c r="R27">
        <v>261159</v>
      </c>
      <c r="S27">
        <v>0</v>
      </c>
      <c r="T27">
        <v>38173452</v>
      </c>
      <c r="U27">
        <v>11849250</v>
      </c>
      <c r="V27">
        <v>10876003</v>
      </c>
      <c r="W27">
        <v>0</v>
      </c>
      <c r="Y27">
        <v>4415637</v>
      </c>
      <c r="Z27">
        <v>3451729</v>
      </c>
      <c r="AA27">
        <v>9302341</v>
      </c>
      <c r="AB27">
        <v>6304255</v>
      </c>
      <c r="AC27">
        <v>266359</v>
      </c>
      <c r="AD27">
        <v>1554394</v>
      </c>
      <c r="AE27">
        <v>1814645</v>
      </c>
      <c r="AF27">
        <v>5329197</v>
      </c>
      <c r="AG27">
        <v>44500</v>
      </c>
      <c r="AH27">
        <v>0</v>
      </c>
      <c r="AI27">
        <v>12743544</v>
      </c>
      <c r="AJ27">
        <v>0</v>
      </c>
      <c r="AM27">
        <v>9953216</v>
      </c>
      <c r="AN27">
        <v>0</v>
      </c>
      <c r="AO27">
        <v>1515030</v>
      </c>
      <c r="AP27">
        <v>0</v>
      </c>
      <c r="AQ27">
        <v>0</v>
      </c>
      <c r="AR27">
        <v>1104034</v>
      </c>
      <c r="AS27">
        <v>0</v>
      </c>
      <c r="AT27">
        <v>5318113</v>
      </c>
      <c r="AU27">
        <v>0</v>
      </c>
      <c r="AV27">
        <v>69341376</v>
      </c>
      <c r="AW27">
        <v>200000</v>
      </c>
      <c r="AX27">
        <v>3468022</v>
      </c>
      <c r="AY27">
        <v>0</v>
      </c>
      <c r="AZ27">
        <v>610000</v>
      </c>
      <c r="BA27">
        <v>0</v>
      </c>
      <c r="BB27">
        <v>0</v>
      </c>
      <c r="BC27">
        <v>0</v>
      </c>
      <c r="BD27">
        <v>30151213</v>
      </c>
      <c r="BE27">
        <v>0</v>
      </c>
      <c r="BF27">
        <v>377339</v>
      </c>
      <c r="BG27">
        <v>0</v>
      </c>
      <c r="BH27">
        <v>0</v>
      </c>
      <c r="BI27">
        <v>61132</v>
      </c>
      <c r="BJ27">
        <v>0</v>
      </c>
      <c r="BK27">
        <v>1047567</v>
      </c>
      <c r="BN27">
        <v>2179928</v>
      </c>
      <c r="BO27">
        <v>2797708</v>
      </c>
      <c r="BP27">
        <v>0</v>
      </c>
      <c r="BQ27">
        <v>0</v>
      </c>
      <c r="BR27">
        <v>1402124</v>
      </c>
      <c r="BS27">
        <v>0</v>
      </c>
      <c r="BT27">
        <v>954025</v>
      </c>
      <c r="BU27">
        <v>1034549</v>
      </c>
      <c r="BV27">
        <v>0</v>
      </c>
      <c r="BW27">
        <v>1636790</v>
      </c>
      <c r="BX27">
        <v>0</v>
      </c>
      <c r="BY27">
        <v>0</v>
      </c>
      <c r="BZ27">
        <v>0</v>
      </c>
      <c r="CA27">
        <v>370000</v>
      </c>
      <c r="CB27">
        <v>1211015</v>
      </c>
      <c r="CD27">
        <v>0</v>
      </c>
    </row>
    <row r="28" spans="1:82" x14ac:dyDescent="0.3">
      <c r="A28">
        <v>83</v>
      </c>
      <c r="B28" t="s">
        <v>94</v>
      </c>
      <c r="E28">
        <v>0</v>
      </c>
      <c r="G28">
        <v>0</v>
      </c>
      <c r="H28">
        <v>0</v>
      </c>
      <c r="I28">
        <v>0</v>
      </c>
      <c r="J28">
        <v>1889171</v>
      </c>
      <c r="K28">
        <v>0</v>
      </c>
      <c r="L28">
        <v>0</v>
      </c>
      <c r="M28">
        <v>0</v>
      </c>
      <c r="N28">
        <v>0</v>
      </c>
      <c r="O28">
        <v>17591662</v>
      </c>
      <c r="P28">
        <v>0</v>
      </c>
      <c r="Q28">
        <v>148635682</v>
      </c>
      <c r="R28">
        <v>1970552</v>
      </c>
      <c r="S28">
        <v>0</v>
      </c>
      <c r="T28">
        <v>168174586</v>
      </c>
      <c r="U28">
        <v>46587843</v>
      </c>
      <c r="V28">
        <v>67092844</v>
      </c>
      <c r="W28">
        <v>0</v>
      </c>
      <c r="Y28">
        <v>41998242</v>
      </c>
      <c r="Z28">
        <v>9708917</v>
      </c>
      <c r="AA28">
        <v>44259447</v>
      </c>
      <c r="AB28">
        <v>24436999</v>
      </c>
      <c r="AC28">
        <v>4961222</v>
      </c>
      <c r="AD28">
        <v>6367175</v>
      </c>
      <c r="AE28">
        <v>16718202</v>
      </c>
      <c r="AF28">
        <v>10502956</v>
      </c>
      <c r="AG28">
        <v>10087006</v>
      </c>
      <c r="AH28">
        <v>0</v>
      </c>
      <c r="AI28">
        <v>115286128</v>
      </c>
      <c r="AJ28">
        <v>1826666</v>
      </c>
      <c r="AM28">
        <v>28646419</v>
      </c>
      <c r="AN28">
        <v>784830</v>
      </c>
      <c r="AO28">
        <v>732869</v>
      </c>
      <c r="AP28">
        <v>0</v>
      </c>
      <c r="AQ28">
        <v>0</v>
      </c>
      <c r="AR28">
        <v>18616246</v>
      </c>
      <c r="AS28">
        <v>0</v>
      </c>
      <c r="AT28">
        <v>13763185</v>
      </c>
      <c r="AU28">
        <v>0</v>
      </c>
      <c r="AV28">
        <v>55878218</v>
      </c>
      <c r="AW28">
        <v>50000</v>
      </c>
      <c r="AX28">
        <v>12139479</v>
      </c>
      <c r="AY28">
        <v>23545475</v>
      </c>
      <c r="AZ28">
        <v>5879070</v>
      </c>
      <c r="BA28">
        <v>1225108</v>
      </c>
      <c r="BB28">
        <v>0</v>
      </c>
      <c r="BC28">
        <v>625719</v>
      </c>
      <c r="BD28">
        <v>44569594</v>
      </c>
      <c r="BE28">
        <v>0</v>
      </c>
      <c r="BF28">
        <v>2577731</v>
      </c>
      <c r="BG28">
        <v>4143690</v>
      </c>
      <c r="BH28">
        <v>0</v>
      </c>
      <c r="BI28">
        <v>3116435</v>
      </c>
      <c r="BJ28">
        <v>0</v>
      </c>
      <c r="BK28">
        <v>17210717</v>
      </c>
      <c r="BN28">
        <v>2204014</v>
      </c>
      <c r="BO28">
        <v>2724451</v>
      </c>
      <c r="BP28">
        <v>1760057</v>
      </c>
      <c r="BQ28">
        <v>0</v>
      </c>
      <c r="BR28">
        <v>5393282</v>
      </c>
      <c r="BS28">
        <v>0</v>
      </c>
      <c r="BT28">
        <v>5612589</v>
      </c>
      <c r="BU28">
        <v>20918266</v>
      </c>
      <c r="BV28">
        <v>0</v>
      </c>
      <c r="BW28">
        <v>11220739</v>
      </c>
      <c r="BX28">
        <v>3634143</v>
      </c>
      <c r="BY28">
        <v>577590</v>
      </c>
      <c r="BZ28">
        <v>4335954</v>
      </c>
      <c r="CA28">
        <v>3957177</v>
      </c>
      <c r="CB28">
        <v>4751455</v>
      </c>
      <c r="CD28">
        <v>750652</v>
      </c>
    </row>
    <row r="29" spans="1:82" x14ac:dyDescent="0.3">
      <c r="A29">
        <v>84</v>
      </c>
      <c r="B29" t="s">
        <v>218</v>
      </c>
      <c r="E29">
        <v>0</v>
      </c>
      <c r="G29">
        <v>0</v>
      </c>
      <c r="H29">
        <v>0</v>
      </c>
      <c r="I29">
        <v>0</v>
      </c>
      <c r="J29">
        <v>125024</v>
      </c>
      <c r="K29">
        <v>0</v>
      </c>
      <c r="L29">
        <v>0</v>
      </c>
      <c r="M29">
        <v>0</v>
      </c>
      <c r="N29">
        <v>0</v>
      </c>
      <c r="O29">
        <v>4391597</v>
      </c>
      <c r="P29">
        <v>0</v>
      </c>
      <c r="Q29">
        <v>25848261</v>
      </c>
      <c r="R29">
        <v>349978</v>
      </c>
      <c r="S29">
        <v>0</v>
      </c>
      <c r="T29">
        <v>27382429</v>
      </c>
      <c r="U29">
        <v>8479622</v>
      </c>
      <c r="V29">
        <v>12837265</v>
      </c>
      <c r="W29">
        <v>0</v>
      </c>
      <c r="Y29">
        <v>6680251</v>
      </c>
      <c r="Z29">
        <v>1535254</v>
      </c>
      <c r="AA29">
        <v>12885088</v>
      </c>
      <c r="AB29">
        <v>3296057</v>
      </c>
      <c r="AC29">
        <v>1711990</v>
      </c>
      <c r="AD29">
        <v>1811779</v>
      </c>
      <c r="AE29">
        <v>2209748</v>
      </c>
      <c r="AF29">
        <v>3812128</v>
      </c>
      <c r="AG29">
        <v>4852832</v>
      </c>
      <c r="AH29">
        <v>0</v>
      </c>
      <c r="AI29">
        <v>23631951</v>
      </c>
      <c r="AJ29">
        <v>403126</v>
      </c>
      <c r="AM29">
        <v>9198589</v>
      </c>
      <c r="AN29">
        <v>503791</v>
      </c>
      <c r="AO29">
        <v>793582</v>
      </c>
      <c r="AP29">
        <v>0</v>
      </c>
      <c r="AQ29">
        <v>0</v>
      </c>
      <c r="AR29">
        <v>3110256</v>
      </c>
      <c r="AS29">
        <v>0</v>
      </c>
      <c r="AT29">
        <v>2461556</v>
      </c>
      <c r="AU29">
        <v>0</v>
      </c>
      <c r="AV29">
        <v>18071344</v>
      </c>
      <c r="AW29">
        <v>0</v>
      </c>
      <c r="AX29">
        <v>1718832</v>
      </c>
      <c r="AY29">
        <v>3840695</v>
      </c>
      <c r="AZ29">
        <v>634995</v>
      </c>
      <c r="BA29">
        <v>365337</v>
      </c>
      <c r="BB29">
        <v>0</v>
      </c>
      <c r="BC29">
        <v>134525</v>
      </c>
      <c r="BD29">
        <v>6398373</v>
      </c>
      <c r="BE29">
        <v>0</v>
      </c>
      <c r="BF29">
        <v>316564</v>
      </c>
      <c r="BG29">
        <v>117874</v>
      </c>
      <c r="BH29">
        <v>0</v>
      </c>
      <c r="BI29">
        <v>325967</v>
      </c>
      <c r="BJ29">
        <v>0</v>
      </c>
      <c r="BK29">
        <v>2841048</v>
      </c>
      <c r="BN29">
        <v>1130108</v>
      </c>
      <c r="BO29">
        <v>1168040</v>
      </c>
      <c r="BP29">
        <v>497544</v>
      </c>
      <c r="BQ29">
        <v>0</v>
      </c>
      <c r="BR29">
        <v>807994</v>
      </c>
      <c r="BS29">
        <v>0</v>
      </c>
      <c r="BT29">
        <v>561837</v>
      </c>
      <c r="BU29">
        <v>7451607</v>
      </c>
      <c r="BV29">
        <v>0</v>
      </c>
      <c r="BW29">
        <v>2226976</v>
      </c>
      <c r="BX29">
        <v>398057</v>
      </c>
      <c r="BY29">
        <v>18625</v>
      </c>
      <c r="BZ29">
        <v>345064</v>
      </c>
      <c r="CA29">
        <v>200872</v>
      </c>
      <c r="CB29">
        <v>834442</v>
      </c>
      <c r="CD29">
        <v>35330</v>
      </c>
    </row>
    <row r="30" spans="1:82" ht="13.95" customHeight="1" x14ac:dyDescent="0.3">
      <c r="A30">
        <v>85</v>
      </c>
      <c r="B30" t="s">
        <v>220</v>
      </c>
      <c r="E30">
        <v>0</v>
      </c>
      <c r="G30">
        <v>0</v>
      </c>
      <c r="H30">
        <v>0</v>
      </c>
      <c r="I30">
        <v>0</v>
      </c>
      <c r="J30">
        <v>197662</v>
      </c>
      <c r="K30">
        <v>0</v>
      </c>
      <c r="L30">
        <v>0</v>
      </c>
      <c r="M30">
        <v>0</v>
      </c>
      <c r="N30">
        <v>0</v>
      </c>
      <c r="O30">
        <v>3414260</v>
      </c>
      <c r="P30">
        <v>0</v>
      </c>
      <c r="Q30">
        <v>12364738</v>
      </c>
      <c r="R30">
        <v>366797</v>
      </c>
      <c r="S30">
        <v>0</v>
      </c>
      <c r="T30">
        <v>19220403</v>
      </c>
      <c r="U30">
        <v>8910187</v>
      </c>
      <c r="V30">
        <v>10684101</v>
      </c>
      <c r="W30">
        <v>0</v>
      </c>
      <c r="Y30">
        <v>6408682</v>
      </c>
      <c r="Z30">
        <v>1879315</v>
      </c>
      <c r="AA30">
        <v>9338333</v>
      </c>
      <c r="AB30">
        <v>3460795</v>
      </c>
      <c r="AC30">
        <v>1501802</v>
      </c>
      <c r="AD30">
        <v>1737878</v>
      </c>
      <c r="AE30">
        <v>2561218</v>
      </c>
      <c r="AF30">
        <v>3563900</v>
      </c>
      <c r="AG30">
        <v>4132330</v>
      </c>
      <c r="AH30">
        <v>0</v>
      </c>
      <c r="AI30">
        <v>22948757</v>
      </c>
      <c r="AJ30">
        <v>365550</v>
      </c>
      <c r="AM30">
        <v>8820722</v>
      </c>
      <c r="AN30">
        <v>426374</v>
      </c>
      <c r="AO30">
        <v>850913</v>
      </c>
      <c r="AP30">
        <v>0</v>
      </c>
      <c r="AQ30">
        <v>0</v>
      </c>
      <c r="AR30">
        <v>3187284</v>
      </c>
      <c r="AS30">
        <v>0</v>
      </c>
      <c r="AT30">
        <v>2035504</v>
      </c>
      <c r="AU30">
        <v>0</v>
      </c>
      <c r="AV30">
        <v>14561929</v>
      </c>
      <c r="AW30">
        <v>0</v>
      </c>
      <c r="AX30">
        <v>1501388</v>
      </c>
      <c r="AY30">
        <v>3445708</v>
      </c>
      <c r="AZ30">
        <v>738127</v>
      </c>
      <c r="BA30">
        <v>320038</v>
      </c>
      <c r="BB30">
        <v>0</v>
      </c>
      <c r="BC30">
        <v>166224</v>
      </c>
      <c r="BD30">
        <v>4897566</v>
      </c>
      <c r="BE30">
        <v>0</v>
      </c>
      <c r="BF30">
        <v>333260</v>
      </c>
      <c r="BG30">
        <v>165904</v>
      </c>
      <c r="BH30">
        <v>0</v>
      </c>
      <c r="BI30">
        <v>266602</v>
      </c>
      <c r="BJ30">
        <v>0</v>
      </c>
      <c r="BK30">
        <v>3004857</v>
      </c>
      <c r="BN30">
        <v>804228</v>
      </c>
      <c r="BO30">
        <v>954916</v>
      </c>
      <c r="BP30">
        <v>408590</v>
      </c>
      <c r="BQ30">
        <v>0</v>
      </c>
      <c r="BR30">
        <v>614070</v>
      </c>
      <c r="BS30">
        <v>0</v>
      </c>
      <c r="BT30">
        <v>858379</v>
      </c>
      <c r="BU30">
        <v>5304020</v>
      </c>
      <c r="BV30">
        <v>0</v>
      </c>
      <c r="BW30">
        <v>2420710</v>
      </c>
      <c r="BX30">
        <v>408110</v>
      </c>
      <c r="BY30">
        <v>36897</v>
      </c>
      <c r="BZ30">
        <v>379804</v>
      </c>
      <c r="CA30">
        <v>316372</v>
      </c>
      <c r="CB30">
        <v>783421</v>
      </c>
      <c r="CD30">
        <v>52486</v>
      </c>
    </row>
    <row r="31" spans="1:82" x14ac:dyDescent="0.3">
      <c r="A31">
        <v>88</v>
      </c>
      <c r="B31" t="s">
        <v>217</v>
      </c>
      <c r="E31">
        <v>0</v>
      </c>
      <c r="G31">
        <v>0</v>
      </c>
      <c r="H31">
        <v>0</v>
      </c>
      <c r="I31">
        <v>0</v>
      </c>
      <c r="J31">
        <v>125024</v>
      </c>
      <c r="K31">
        <v>0</v>
      </c>
      <c r="L31">
        <v>0</v>
      </c>
      <c r="M31">
        <v>0</v>
      </c>
      <c r="N31">
        <v>0</v>
      </c>
      <c r="O31">
        <v>4365530</v>
      </c>
      <c r="P31">
        <v>0</v>
      </c>
      <c r="Q31">
        <v>20911609</v>
      </c>
      <c r="R31">
        <v>297750</v>
      </c>
      <c r="S31">
        <v>0</v>
      </c>
      <c r="T31">
        <v>26866604</v>
      </c>
      <c r="U31">
        <v>8256285</v>
      </c>
      <c r="V31">
        <v>12837265</v>
      </c>
      <c r="W31">
        <v>0</v>
      </c>
      <c r="Y31">
        <v>6607786</v>
      </c>
      <c r="Z31">
        <v>1226981</v>
      </c>
      <c r="AA31">
        <v>10981736</v>
      </c>
      <c r="AB31">
        <v>3200558</v>
      </c>
      <c r="AC31">
        <v>1257594</v>
      </c>
      <c r="AD31">
        <v>1748266</v>
      </c>
      <c r="AE31">
        <v>2075148</v>
      </c>
      <c r="AF31">
        <v>3758134</v>
      </c>
      <c r="AG31">
        <v>4576027</v>
      </c>
      <c r="AH31">
        <v>0</v>
      </c>
      <c r="AI31">
        <v>22683797</v>
      </c>
      <c r="AJ31">
        <v>389286</v>
      </c>
      <c r="AM31">
        <v>8619909</v>
      </c>
      <c r="AN31">
        <v>503791</v>
      </c>
      <c r="AO31">
        <v>780967</v>
      </c>
      <c r="AP31">
        <v>0</v>
      </c>
      <c r="AQ31">
        <v>0</v>
      </c>
      <c r="AR31">
        <v>3066384</v>
      </c>
      <c r="AS31">
        <v>0</v>
      </c>
      <c r="AT31">
        <v>2248929</v>
      </c>
      <c r="AU31">
        <v>0</v>
      </c>
      <c r="AV31">
        <v>17695745</v>
      </c>
      <c r="AW31">
        <v>0</v>
      </c>
      <c r="AX31">
        <v>1504598</v>
      </c>
      <c r="AY31">
        <v>3427373</v>
      </c>
      <c r="AZ31">
        <v>489124</v>
      </c>
      <c r="BA31">
        <v>320503</v>
      </c>
      <c r="BB31">
        <v>0</v>
      </c>
      <c r="BC31">
        <v>129859</v>
      </c>
      <c r="BD31">
        <v>5997056</v>
      </c>
      <c r="BE31">
        <v>0</v>
      </c>
      <c r="BF31">
        <v>312871</v>
      </c>
      <c r="BG31">
        <v>117874</v>
      </c>
      <c r="BH31">
        <v>0</v>
      </c>
      <c r="BI31">
        <v>325967</v>
      </c>
      <c r="BJ31">
        <v>0</v>
      </c>
      <c r="BK31">
        <v>2677647</v>
      </c>
      <c r="BN31">
        <v>1129358</v>
      </c>
      <c r="BO31">
        <v>1165279</v>
      </c>
      <c r="BP31">
        <v>497544</v>
      </c>
      <c r="BQ31">
        <v>0</v>
      </c>
      <c r="BR31">
        <v>793187</v>
      </c>
      <c r="BS31">
        <v>0</v>
      </c>
      <c r="BT31">
        <v>547836</v>
      </c>
      <c r="BU31">
        <v>6200553</v>
      </c>
      <c r="BV31">
        <v>0</v>
      </c>
      <c r="BW31">
        <v>2225976</v>
      </c>
      <c r="BX31">
        <v>385993</v>
      </c>
      <c r="BY31">
        <v>18625</v>
      </c>
      <c r="BZ31">
        <v>345064</v>
      </c>
      <c r="CA31">
        <v>194299</v>
      </c>
      <c r="CB31">
        <v>743534</v>
      </c>
      <c r="CD31">
        <v>35330</v>
      </c>
    </row>
    <row r="32" spans="1:82" x14ac:dyDescent="0.3">
      <c r="A32">
        <v>89</v>
      </c>
      <c r="B32" t="s">
        <v>221</v>
      </c>
      <c r="E32">
        <v>0</v>
      </c>
      <c r="G32">
        <v>0</v>
      </c>
      <c r="H32">
        <v>0</v>
      </c>
      <c r="I32">
        <v>0</v>
      </c>
      <c r="J32">
        <v>6965</v>
      </c>
      <c r="K32">
        <v>0</v>
      </c>
      <c r="L32">
        <v>0</v>
      </c>
      <c r="M32">
        <v>0</v>
      </c>
      <c r="N32">
        <v>0</v>
      </c>
      <c r="O32">
        <v>40882</v>
      </c>
      <c r="P32">
        <v>0</v>
      </c>
      <c r="Q32">
        <v>660718</v>
      </c>
      <c r="R32">
        <v>2909</v>
      </c>
      <c r="S32">
        <v>0</v>
      </c>
      <c r="T32">
        <v>943397</v>
      </c>
      <c r="U32">
        <v>279549</v>
      </c>
      <c r="V32">
        <v>257641</v>
      </c>
      <c r="W32">
        <v>0</v>
      </c>
      <c r="Y32">
        <v>154883</v>
      </c>
      <c r="Z32">
        <v>35538</v>
      </c>
      <c r="AA32">
        <v>219201</v>
      </c>
      <c r="AB32">
        <v>261379</v>
      </c>
      <c r="AC32">
        <v>10444</v>
      </c>
      <c r="AD32">
        <v>27556</v>
      </c>
      <c r="AE32">
        <v>34098</v>
      </c>
      <c r="AF32">
        <v>56024</v>
      </c>
      <c r="AG32">
        <v>1127</v>
      </c>
      <c r="AH32">
        <v>0</v>
      </c>
      <c r="AI32">
        <v>362736</v>
      </c>
      <c r="AJ32">
        <v>0</v>
      </c>
      <c r="AM32">
        <v>177513</v>
      </c>
      <c r="AN32">
        <v>12375</v>
      </c>
      <c r="AO32">
        <v>38533</v>
      </c>
      <c r="AP32">
        <v>0</v>
      </c>
      <c r="AQ32">
        <v>0</v>
      </c>
      <c r="AR32">
        <v>34996</v>
      </c>
      <c r="AS32">
        <v>0</v>
      </c>
      <c r="AT32">
        <v>65727</v>
      </c>
      <c r="AU32">
        <v>0</v>
      </c>
      <c r="AV32">
        <v>2580147</v>
      </c>
      <c r="AW32">
        <v>0</v>
      </c>
      <c r="AX32">
        <v>0</v>
      </c>
      <c r="AY32">
        <v>0</v>
      </c>
      <c r="AZ32">
        <v>28937</v>
      </c>
      <c r="BA32">
        <v>0</v>
      </c>
      <c r="BB32">
        <v>0</v>
      </c>
      <c r="BC32">
        <v>0</v>
      </c>
      <c r="BD32">
        <v>119469</v>
      </c>
      <c r="BE32">
        <v>0</v>
      </c>
      <c r="BF32">
        <v>0</v>
      </c>
      <c r="BG32">
        <v>0</v>
      </c>
      <c r="BH32">
        <v>0</v>
      </c>
      <c r="BI32">
        <v>0</v>
      </c>
      <c r="BJ32">
        <v>0</v>
      </c>
      <c r="BK32">
        <v>62428</v>
      </c>
      <c r="BN32">
        <v>92701</v>
      </c>
      <c r="BO32">
        <v>55247</v>
      </c>
      <c r="BP32">
        <v>0</v>
      </c>
      <c r="BQ32">
        <v>0</v>
      </c>
      <c r="BR32">
        <v>23596</v>
      </c>
      <c r="BS32">
        <v>0</v>
      </c>
      <c r="BT32">
        <v>25840</v>
      </c>
      <c r="BU32">
        <v>14708</v>
      </c>
      <c r="BV32">
        <v>0</v>
      </c>
      <c r="BW32">
        <v>8833</v>
      </c>
      <c r="BX32">
        <v>0</v>
      </c>
      <c r="BY32">
        <v>0</v>
      </c>
      <c r="BZ32">
        <v>25357</v>
      </c>
      <c r="CA32">
        <v>8978</v>
      </c>
      <c r="CB32">
        <v>36924</v>
      </c>
      <c r="CD32">
        <v>0</v>
      </c>
    </row>
    <row r="33" spans="1:82" x14ac:dyDescent="0.3">
      <c r="A33">
        <v>90</v>
      </c>
      <c r="B33" t="s">
        <v>214</v>
      </c>
      <c r="E33">
        <v>0</v>
      </c>
      <c r="G33">
        <v>0</v>
      </c>
      <c r="H33">
        <v>0</v>
      </c>
      <c r="I33">
        <v>0</v>
      </c>
      <c r="J33">
        <v>0</v>
      </c>
      <c r="K33">
        <v>0</v>
      </c>
      <c r="L33">
        <v>0</v>
      </c>
      <c r="M33">
        <v>0</v>
      </c>
      <c r="N33">
        <v>0</v>
      </c>
      <c r="O33">
        <v>0</v>
      </c>
      <c r="P33">
        <v>0</v>
      </c>
      <c r="Q33">
        <v>86247244</v>
      </c>
      <c r="R33">
        <v>0</v>
      </c>
      <c r="S33">
        <v>0</v>
      </c>
      <c r="T33">
        <v>0</v>
      </c>
      <c r="U33">
        <v>0</v>
      </c>
      <c r="V33">
        <v>18584529</v>
      </c>
      <c r="W33">
        <v>0</v>
      </c>
      <c r="Y33">
        <v>0</v>
      </c>
      <c r="Z33">
        <v>0</v>
      </c>
      <c r="AA33">
        <v>0</v>
      </c>
      <c r="AB33">
        <v>0</v>
      </c>
      <c r="AC33">
        <v>0</v>
      </c>
      <c r="AD33">
        <v>0</v>
      </c>
      <c r="AE33">
        <v>0</v>
      </c>
      <c r="AF33">
        <v>0</v>
      </c>
      <c r="AG33">
        <v>0</v>
      </c>
      <c r="AH33">
        <v>0</v>
      </c>
      <c r="AI33">
        <v>12468994</v>
      </c>
      <c r="AJ33">
        <v>0</v>
      </c>
      <c r="AM33">
        <v>12880834</v>
      </c>
      <c r="AN33">
        <v>0</v>
      </c>
      <c r="AO33">
        <v>0</v>
      </c>
      <c r="AP33">
        <v>0</v>
      </c>
      <c r="AQ33">
        <v>0</v>
      </c>
      <c r="AR33">
        <v>0</v>
      </c>
      <c r="AS33">
        <v>0</v>
      </c>
      <c r="AT33">
        <v>0</v>
      </c>
      <c r="AU33">
        <v>743516</v>
      </c>
      <c r="AV33">
        <v>0</v>
      </c>
      <c r="AW33">
        <v>0</v>
      </c>
      <c r="AX33">
        <v>0</v>
      </c>
      <c r="AY33">
        <v>0</v>
      </c>
      <c r="AZ33">
        <v>0</v>
      </c>
      <c r="BA33">
        <v>0</v>
      </c>
      <c r="BB33">
        <v>0</v>
      </c>
      <c r="BC33">
        <v>0</v>
      </c>
      <c r="BD33">
        <v>0</v>
      </c>
      <c r="BE33">
        <v>0</v>
      </c>
      <c r="BF33">
        <v>0</v>
      </c>
      <c r="BG33">
        <v>0</v>
      </c>
      <c r="BH33">
        <v>0</v>
      </c>
      <c r="BI33">
        <v>0</v>
      </c>
      <c r="BJ33">
        <v>0</v>
      </c>
      <c r="BK33">
        <v>0</v>
      </c>
      <c r="BN33">
        <v>0</v>
      </c>
      <c r="BO33">
        <v>0</v>
      </c>
      <c r="BP33">
        <v>0</v>
      </c>
      <c r="BQ33">
        <v>0</v>
      </c>
      <c r="BR33">
        <v>2422334</v>
      </c>
      <c r="BS33">
        <v>3082207</v>
      </c>
      <c r="BT33">
        <v>0</v>
      </c>
      <c r="BU33">
        <v>0</v>
      </c>
      <c r="BV33">
        <v>0</v>
      </c>
      <c r="BW33">
        <v>0</v>
      </c>
      <c r="BX33">
        <v>0</v>
      </c>
      <c r="BY33">
        <v>0</v>
      </c>
      <c r="BZ33">
        <v>0</v>
      </c>
      <c r="CA33">
        <v>0</v>
      </c>
      <c r="CB33">
        <v>0</v>
      </c>
      <c r="CD33">
        <v>0</v>
      </c>
    </row>
    <row r="34" spans="1:82" x14ac:dyDescent="0.3">
      <c r="A34">
        <v>91</v>
      </c>
      <c r="B34" t="s">
        <v>215</v>
      </c>
      <c r="E34">
        <v>0</v>
      </c>
      <c r="G34">
        <v>0</v>
      </c>
      <c r="H34">
        <v>0</v>
      </c>
      <c r="I34">
        <v>0</v>
      </c>
      <c r="J34">
        <v>0</v>
      </c>
      <c r="K34">
        <v>0</v>
      </c>
      <c r="L34">
        <v>0</v>
      </c>
      <c r="M34">
        <v>0</v>
      </c>
      <c r="N34">
        <v>0</v>
      </c>
      <c r="O34">
        <v>0</v>
      </c>
      <c r="P34">
        <v>0</v>
      </c>
      <c r="Q34">
        <v>8917241</v>
      </c>
      <c r="R34">
        <v>0</v>
      </c>
      <c r="S34">
        <v>0</v>
      </c>
      <c r="T34">
        <v>0</v>
      </c>
      <c r="U34">
        <v>0</v>
      </c>
      <c r="V34">
        <v>3129495</v>
      </c>
      <c r="W34">
        <v>0</v>
      </c>
      <c r="Y34">
        <v>0</v>
      </c>
      <c r="Z34">
        <v>0</v>
      </c>
      <c r="AA34">
        <v>0</v>
      </c>
      <c r="AB34">
        <v>0</v>
      </c>
      <c r="AC34">
        <v>0</v>
      </c>
      <c r="AD34">
        <v>0</v>
      </c>
      <c r="AE34">
        <v>0</v>
      </c>
      <c r="AF34">
        <v>0</v>
      </c>
      <c r="AG34">
        <v>0</v>
      </c>
      <c r="AH34">
        <v>0</v>
      </c>
      <c r="AI34">
        <v>5709781</v>
      </c>
      <c r="AJ34">
        <v>0</v>
      </c>
      <c r="AM34">
        <v>1777400</v>
      </c>
      <c r="AN34">
        <v>0</v>
      </c>
      <c r="AO34">
        <v>0</v>
      </c>
      <c r="AP34">
        <v>0</v>
      </c>
      <c r="AQ34">
        <v>0</v>
      </c>
      <c r="AR34">
        <v>0</v>
      </c>
      <c r="AS34">
        <v>0</v>
      </c>
      <c r="AT34">
        <v>0</v>
      </c>
      <c r="AU34">
        <v>54626</v>
      </c>
      <c r="AV34">
        <v>0</v>
      </c>
      <c r="AW34">
        <v>0</v>
      </c>
      <c r="AX34">
        <v>0</v>
      </c>
      <c r="AY34">
        <v>0</v>
      </c>
      <c r="AZ34">
        <v>0</v>
      </c>
      <c r="BA34">
        <v>0</v>
      </c>
      <c r="BB34">
        <v>0</v>
      </c>
      <c r="BC34">
        <v>0</v>
      </c>
      <c r="BD34">
        <v>0</v>
      </c>
      <c r="BE34">
        <v>0</v>
      </c>
      <c r="BF34">
        <v>0</v>
      </c>
      <c r="BG34">
        <v>0</v>
      </c>
      <c r="BH34">
        <v>0</v>
      </c>
      <c r="BI34">
        <v>0</v>
      </c>
      <c r="BJ34">
        <v>0</v>
      </c>
      <c r="BK34">
        <v>0</v>
      </c>
      <c r="BN34">
        <v>0</v>
      </c>
      <c r="BO34">
        <v>0</v>
      </c>
      <c r="BP34">
        <v>0</v>
      </c>
      <c r="BQ34">
        <v>0</v>
      </c>
      <c r="BR34">
        <v>315622</v>
      </c>
      <c r="BS34">
        <v>1688093</v>
      </c>
      <c r="BT34">
        <v>0</v>
      </c>
      <c r="BU34">
        <v>0</v>
      </c>
      <c r="BV34">
        <v>0</v>
      </c>
      <c r="BW34">
        <v>0</v>
      </c>
      <c r="BX34">
        <v>0</v>
      </c>
      <c r="BY34">
        <v>0</v>
      </c>
      <c r="BZ34">
        <v>0</v>
      </c>
      <c r="CA34">
        <v>0</v>
      </c>
      <c r="CB34">
        <v>0</v>
      </c>
      <c r="CD34">
        <v>0</v>
      </c>
    </row>
    <row r="35" spans="1:82" x14ac:dyDescent="0.3">
      <c r="A35">
        <v>93</v>
      </c>
      <c r="B35" t="s">
        <v>228</v>
      </c>
      <c r="E35">
        <v>0</v>
      </c>
      <c r="G35">
        <v>0</v>
      </c>
      <c r="H35">
        <v>0</v>
      </c>
      <c r="I35">
        <v>0</v>
      </c>
      <c r="J35">
        <v>0</v>
      </c>
      <c r="K35">
        <v>0</v>
      </c>
      <c r="L35">
        <v>0</v>
      </c>
      <c r="M35">
        <v>0</v>
      </c>
      <c r="N35">
        <v>0</v>
      </c>
      <c r="O35">
        <v>0</v>
      </c>
      <c r="P35">
        <v>0</v>
      </c>
      <c r="Q35">
        <v>62111326</v>
      </c>
      <c r="R35">
        <v>0</v>
      </c>
      <c r="S35">
        <v>0</v>
      </c>
      <c r="T35">
        <v>0</v>
      </c>
      <c r="U35">
        <v>0</v>
      </c>
      <c r="V35">
        <v>28296208</v>
      </c>
      <c r="W35">
        <v>0</v>
      </c>
      <c r="Y35">
        <v>0</v>
      </c>
      <c r="Z35">
        <v>0</v>
      </c>
      <c r="AA35">
        <v>0</v>
      </c>
      <c r="AB35">
        <v>0</v>
      </c>
      <c r="AC35">
        <v>0</v>
      </c>
      <c r="AD35">
        <v>0</v>
      </c>
      <c r="AE35">
        <v>0</v>
      </c>
      <c r="AF35">
        <v>0</v>
      </c>
      <c r="AG35">
        <v>0</v>
      </c>
      <c r="AH35">
        <v>0</v>
      </c>
      <c r="AI35">
        <v>51573971</v>
      </c>
      <c r="AJ35">
        <v>0</v>
      </c>
      <c r="AM35">
        <v>16219694</v>
      </c>
      <c r="AN35">
        <v>0</v>
      </c>
      <c r="AO35">
        <v>0</v>
      </c>
      <c r="AP35">
        <v>0</v>
      </c>
      <c r="AQ35">
        <v>0</v>
      </c>
      <c r="AR35">
        <v>0</v>
      </c>
      <c r="AS35">
        <v>0</v>
      </c>
      <c r="AT35">
        <v>0</v>
      </c>
      <c r="AU35">
        <v>429198</v>
      </c>
      <c r="AV35">
        <v>0</v>
      </c>
      <c r="AW35">
        <v>0</v>
      </c>
      <c r="AX35">
        <v>0</v>
      </c>
      <c r="AY35">
        <v>0</v>
      </c>
      <c r="AZ35">
        <v>0</v>
      </c>
      <c r="BA35">
        <v>0</v>
      </c>
      <c r="BB35">
        <v>0</v>
      </c>
      <c r="BC35">
        <v>0</v>
      </c>
      <c r="BD35">
        <v>0</v>
      </c>
      <c r="BE35">
        <v>0</v>
      </c>
      <c r="BF35">
        <v>0</v>
      </c>
      <c r="BG35">
        <v>0</v>
      </c>
      <c r="BH35">
        <v>0</v>
      </c>
      <c r="BI35">
        <v>0</v>
      </c>
      <c r="BJ35">
        <v>0</v>
      </c>
      <c r="BK35">
        <v>0</v>
      </c>
      <c r="BN35">
        <v>0</v>
      </c>
      <c r="BO35">
        <v>0</v>
      </c>
      <c r="BP35">
        <v>0</v>
      </c>
      <c r="BQ35">
        <v>0</v>
      </c>
      <c r="BR35">
        <v>2735620</v>
      </c>
      <c r="BS35">
        <v>12544200</v>
      </c>
      <c r="BT35">
        <v>0</v>
      </c>
      <c r="BU35">
        <v>0</v>
      </c>
      <c r="BV35">
        <v>0</v>
      </c>
      <c r="BW35">
        <v>0</v>
      </c>
      <c r="BX35">
        <v>0</v>
      </c>
      <c r="BY35">
        <v>0</v>
      </c>
      <c r="BZ35">
        <v>0</v>
      </c>
      <c r="CA35">
        <v>0</v>
      </c>
      <c r="CB35">
        <v>0</v>
      </c>
      <c r="CD35">
        <v>0</v>
      </c>
    </row>
    <row r="36" spans="1:82" x14ac:dyDescent="0.3">
      <c r="A36">
        <v>94</v>
      </c>
      <c r="B36" t="s">
        <v>231</v>
      </c>
      <c r="E36">
        <v>0</v>
      </c>
      <c r="G36">
        <v>0</v>
      </c>
      <c r="H36">
        <v>0</v>
      </c>
      <c r="I36">
        <v>0</v>
      </c>
      <c r="J36">
        <v>0</v>
      </c>
      <c r="K36">
        <v>0</v>
      </c>
      <c r="L36">
        <v>0</v>
      </c>
      <c r="M36">
        <v>0</v>
      </c>
      <c r="N36">
        <v>0</v>
      </c>
      <c r="O36">
        <v>0</v>
      </c>
      <c r="P36">
        <v>0</v>
      </c>
      <c r="Q36">
        <v>53300938</v>
      </c>
      <c r="R36">
        <v>0</v>
      </c>
      <c r="S36">
        <v>0</v>
      </c>
      <c r="T36">
        <v>0</v>
      </c>
      <c r="U36">
        <v>0</v>
      </c>
      <c r="V36">
        <v>27293401</v>
      </c>
      <c r="W36">
        <v>0</v>
      </c>
      <c r="Y36">
        <v>0</v>
      </c>
      <c r="Z36">
        <v>0</v>
      </c>
      <c r="AA36">
        <v>0</v>
      </c>
      <c r="AB36">
        <v>0</v>
      </c>
      <c r="AC36">
        <v>0</v>
      </c>
      <c r="AD36">
        <v>0</v>
      </c>
      <c r="AE36">
        <v>0</v>
      </c>
      <c r="AF36">
        <v>0</v>
      </c>
      <c r="AG36">
        <v>0</v>
      </c>
      <c r="AH36">
        <v>0</v>
      </c>
      <c r="AI36">
        <v>52250881</v>
      </c>
      <c r="AJ36">
        <v>0</v>
      </c>
      <c r="AM36">
        <v>14779382</v>
      </c>
      <c r="AN36">
        <v>0</v>
      </c>
      <c r="AO36">
        <v>0</v>
      </c>
      <c r="AP36">
        <v>0</v>
      </c>
      <c r="AQ36">
        <v>0</v>
      </c>
      <c r="AR36">
        <v>0</v>
      </c>
      <c r="AS36">
        <v>0</v>
      </c>
      <c r="AT36">
        <v>0</v>
      </c>
      <c r="AU36">
        <v>401363</v>
      </c>
      <c r="AV36">
        <v>0</v>
      </c>
      <c r="AW36">
        <v>0</v>
      </c>
      <c r="AX36">
        <v>0</v>
      </c>
      <c r="AY36">
        <v>0</v>
      </c>
      <c r="AZ36">
        <v>0</v>
      </c>
      <c r="BA36">
        <v>0</v>
      </c>
      <c r="BB36">
        <v>0</v>
      </c>
      <c r="BC36">
        <v>0</v>
      </c>
      <c r="BD36">
        <v>0</v>
      </c>
      <c r="BE36">
        <v>0</v>
      </c>
      <c r="BF36">
        <v>0</v>
      </c>
      <c r="BG36">
        <v>0</v>
      </c>
      <c r="BH36">
        <v>0</v>
      </c>
      <c r="BI36">
        <v>0</v>
      </c>
      <c r="BJ36">
        <v>0</v>
      </c>
      <c r="BK36">
        <v>0</v>
      </c>
      <c r="BN36">
        <v>0</v>
      </c>
      <c r="BO36">
        <v>0</v>
      </c>
      <c r="BP36">
        <v>0</v>
      </c>
      <c r="BQ36">
        <v>0</v>
      </c>
      <c r="BR36">
        <v>1945795</v>
      </c>
      <c r="BS36">
        <v>11145428</v>
      </c>
      <c r="BT36">
        <v>0</v>
      </c>
      <c r="BU36">
        <v>0</v>
      </c>
      <c r="BV36">
        <v>0</v>
      </c>
      <c r="BW36">
        <v>0</v>
      </c>
      <c r="BX36">
        <v>0</v>
      </c>
      <c r="BY36">
        <v>0</v>
      </c>
      <c r="BZ36">
        <v>0</v>
      </c>
      <c r="CA36">
        <v>0</v>
      </c>
      <c r="CB36">
        <v>0</v>
      </c>
      <c r="CD36">
        <v>0</v>
      </c>
    </row>
    <row r="37" spans="1:82" x14ac:dyDescent="0.3">
      <c r="A37">
        <v>97</v>
      </c>
      <c r="B37" t="s">
        <v>227</v>
      </c>
      <c r="E37">
        <v>0</v>
      </c>
      <c r="G37">
        <v>0</v>
      </c>
      <c r="H37">
        <v>0</v>
      </c>
      <c r="I37">
        <v>0</v>
      </c>
      <c r="J37">
        <v>0</v>
      </c>
      <c r="K37">
        <v>0</v>
      </c>
      <c r="L37">
        <v>0</v>
      </c>
      <c r="M37">
        <v>0</v>
      </c>
      <c r="N37">
        <v>0</v>
      </c>
      <c r="O37">
        <v>0</v>
      </c>
      <c r="P37">
        <v>0</v>
      </c>
      <c r="Q37">
        <v>61619607</v>
      </c>
      <c r="R37">
        <v>0</v>
      </c>
      <c r="S37">
        <v>0</v>
      </c>
      <c r="T37">
        <v>0</v>
      </c>
      <c r="U37">
        <v>0</v>
      </c>
      <c r="V37">
        <v>28296208</v>
      </c>
      <c r="W37">
        <v>0</v>
      </c>
      <c r="Y37">
        <v>0</v>
      </c>
      <c r="Z37">
        <v>0</v>
      </c>
      <c r="AA37">
        <v>0</v>
      </c>
      <c r="AB37">
        <v>0</v>
      </c>
      <c r="AC37">
        <v>0</v>
      </c>
      <c r="AD37">
        <v>0</v>
      </c>
      <c r="AE37">
        <v>0</v>
      </c>
      <c r="AF37">
        <v>0</v>
      </c>
      <c r="AG37">
        <v>0</v>
      </c>
      <c r="AH37">
        <v>0</v>
      </c>
      <c r="AI37">
        <v>51438309</v>
      </c>
      <c r="AJ37">
        <v>0</v>
      </c>
      <c r="AM37">
        <v>15339754</v>
      </c>
      <c r="AN37">
        <v>0</v>
      </c>
      <c r="AO37">
        <v>0</v>
      </c>
      <c r="AP37">
        <v>0</v>
      </c>
      <c r="AQ37">
        <v>0</v>
      </c>
      <c r="AR37">
        <v>0</v>
      </c>
      <c r="AS37">
        <v>0</v>
      </c>
      <c r="AT37">
        <v>0</v>
      </c>
      <c r="AU37">
        <v>429198</v>
      </c>
      <c r="AV37">
        <v>0</v>
      </c>
      <c r="AW37">
        <v>0</v>
      </c>
      <c r="AX37">
        <v>0</v>
      </c>
      <c r="AY37">
        <v>0</v>
      </c>
      <c r="AZ37">
        <v>0</v>
      </c>
      <c r="BA37">
        <v>0</v>
      </c>
      <c r="BB37">
        <v>0</v>
      </c>
      <c r="BC37">
        <v>0</v>
      </c>
      <c r="BD37">
        <v>0</v>
      </c>
      <c r="BE37">
        <v>0</v>
      </c>
      <c r="BF37">
        <v>0</v>
      </c>
      <c r="BG37">
        <v>0</v>
      </c>
      <c r="BH37">
        <v>0</v>
      </c>
      <c r="BI37">
        <v>0</v>
      </c>
      <c r="BJ37">
        <v>0</v>
      </c>
      <c r="BK37">
        <v>0</v>
      </c>
      <c r="BN37">
        <v>0</v>
      </c>
      <c r="BO37">
        <v>0</v>
      </c>
      <c r="BP37">
        <v>0</v>
      </c>
      <c r="BQ37">
        <v>0</v>
      </c>
      <c r="BR37">
        <v>2697900</v>
      </c>
      <c r="BS37">
        <v>12338060</v>
      </c>
      <c r="BT37">
        <v>0</v>
      </c>
      <c r="BU37">
        <v>0</v>
      </c>
      <c r="BV37">
        <v>0</v>
      </c>
      <c r="BW37">
        <v>0</v>
      </c>
      <c r="BX37">
        <v>0</v>
      </c>
      <c r="BY37">
        <v>0</v>
      </c>
      <c r="BZ37">
        <v>0</v>
      </c>
      <c r="CA37">
        <v>0</v>
      </c>
      <c r="CB37">
        <v>0</v>
      </c>
      <c r="CD37">
        <v>0</v>
      </c>
    </row>
    <row r="38" spans="1:82" x14ac:dyDescent="0.3">
      <c r="A38">
        <v>98</v>
      </c>
      <c r="B38" t="s">
        <v>232</v>
      </c>
      <c r="E38">
        <v>0</v>
      </c>
      <c r="G38">
        <v>0</v>
      </c>
      <c r="H38">
        <v>0</v>
      </c>
      <c r="I38">
        <v>0</v>
      </c>
      <c r="J38">
        <v>0</v>
      </c>
      <c r="K38">
        <v>0</v>
      </c>
      <c r="L38">
        <v>0</v>
      </c>
      <c r="M38">
        <v>0</v>
      </c>
      <c r="N38">
        <v>0</v>
      </c>
      <c r="O38">
        <v>0</v>
      </c>
      <c r="P38">
        <v>0</v>
      </c>
      <c r="Q38">
        <v>517336</v>
      </c>
      <c r="R38">
        <v>0</v>
      </c>
      <c r="S38">
        <v>0</v>
      </c>
      <c r="T38">
        <v>0</v>
      </c>
      <c r="U38">
        <v>0</v>
      </c>
      <c r="V38">
        <v>3765</v>
      </c>
      <c r="W38">
        <v>0</v>
      </c>
      <c r="Y38">
        <v>0</v>
      </c>
      <c r="Z38">
        <v>0</v>
      </c>
      <c r="AA38">
        <v>0</v>
      </c>
      <c r="AB38">
        <v>0</v>
      </c>
      <c r="AC38">
        <v>0</v>
      </c>
      <c r="AD38">
        <v>0</v>
      </c>
      <c r="AE38">
        <v>0</v>
      </c>
      <c r="AF38">
        <v>0</v>
      </c>
      <c r="AG38">
        <v>0</v>
      </c>
      <c r="AH38">
        <v>0</v>
      </c>
      <c r="AI38">
        <v>86624</v>
      </c>
      <c r="AJ38">
        <v>0</v>
      </c>
      <c r="AM38">
        <v>94622</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N38">
        <v>0</v>
      </c>
      <c r="BO38">
        <v>0</v>
      </c>
      <c r="BP38">
        <v>0</v>
      </c>
      <c r="BQ38">
        <v>0</v>
      </c>
      <c r="BR38">
        <v>2254</v>
      </c>
      <c r="BS38">
        <v>0</v>
      </c>
      <c r="BT38">
        <v>0</v>
      </c>
      <c r="BU38">
        <v>0</v>
      </c>
      <c r="BV38">
        <v>0</v>
      </c>
      <c r="BW38">
        <v>0</v>
      </c>
      <c r="BX38">
        <v>0</v>
      </c>
      <c r="BY38">
        <v>0</v>
      </c>
      <c r="BZ38">
        <v>0</v>
      </c>
      <c r="CA38">
        <v>0</v>
      </c>
      <c r="CB38">
        <v>0</v>
      </c>
      <c r="CD38">
        <v>0</v>
      </c>
    </row>
    <row r="39" spans="1:82" x14ac:dyDescent="0.3">
      <c r="A39">
        <v>99</v>
      </c>
      <c r="B39" t="s">
        <v>229</v>
      </c>
      <c r="E39">
        <v>0</v>
      </c>
      <c r="G39">
        <v>0</v>
      </c>
      <c r="H39">
        <v>0</v>
      </c>
      <c r="I39">
        <v>0</v>
      </c>
      <c r="J39">
        <v>0</v>
      </c>
      <c r="K39">
        <v>0</v>
      </c>
      <c r="L39">
        <v>0</v>
      </c>
      <c r="M39">
        <v>0</v>
      </c>
      <c r="N39">
        <v>0</v>
      </c>
      <c r="O39">
        <v>0</v>
      </c>
      <c r="P39">
        <v>0</v>
      </c>
      <c r="Q39">
        <v>43241600</v>
      </c>
      <c r="R39">
        <v>0</v>
      </c>
      <c r="S39">
        <v>0</v>
      </c>
      <c r="T39">
        <v>0</v>
      </c>
      <c r="U39">
        <v>0</v>
      </c>
      <c r="V39">
        <v>20921033</v>
      </c>
      <c r="W39">
        <v>0</v>
      </c>
      <c r="Y39">
        <v>0</v>
      </c>
      <c r="Z39">
        <v>0</v>
      </c>
      <c r="AA39">
        <v>0</v>
      </c>
      <c r="AB39">
        <v>0</v>
      </c>
      <c r="AC39">
        <v>0</v>
      </c>
      <c r="AD39">
        <v>0</v>
      </c>
      <c r="AE39">
        <v>0</v>
      </c>
      <c r="AF39">
        <v>0</v>
      </c>
      <c r="AG39">
        <v>0</v>
      </c>
      <c r="AH39">
        <v>0</v>
      </c>
      <c r="AI39">
        <v>37976258</v>
      </c>
      <c r="AJ39">
        <v>0</v>
      </c>
      <c r="AM39">
        <v>10058141</v>
      </c>
      <c r="AN39">
        <v>0</v>
      </c>
      <c r="AO39">
        <v>0</v>
      </c>
      <c r="AP39">
        <v>0</v>
      </c>
      <c r="AQ39">
        <v>0</v>
      </c>
      <c r="AR39">
        <v>0</v>
      </c>
      <c r="AS39">
        <v>0</v>
      </c>
      <c r="AT39">
        <v>0</v>
      </c>
      <c r="AU39">
        <v>280074</v>
      </c>
      <c r="AV39">
        <v>0</v>
      </c>
      <c r="AW39">
        <v>0</v>
      </c>
      <c r="AX39">
        <v>0</v>
      </c>
      <c r="AY39">
        <v>0</v>
      </c>
      <c r="AZ39">
        <v>0</v>
      </c>
      <c r="BA39">
        <v>0</v>
      </c>
      <c r="BB39">
        <v>0</v>
      </c>
      <c r="BC39">
        <v>0</v>
      </c>
      <c r="BD39">
        <v>0</v>
      </c>
      <c r="BE39">
        <v>0</v>
      </c>
      <c r="BF39">
        <v>0</v>
      </c>
      <c r="BG39">
        <v>0</v>
      </c>
      <c r="BH39">
        <v>0</v>
      </c>
      <c r="BI39">
        <v>0</v>
      </c>
      <c r="BJ39">
        <v>0</v>
      </c>
      <c r="BK39">
        <v>0</v>
      </c>
      <c r="BN39">
        <v>0</v>
      </c>
      <c r="BO39">
        <v>0</v>
      </c>
      <c r="BP39">
        <v>0</v>
      </c>
      <c r="BQ39">
        <v>0</v>
      </c>
      <c r="BR39">
        <v>1195327</v>
      </c>
      <c r="BS39">
        <v>8065516</v>
      </c>
      <c r="BT39">
        <v>0</v>
      </c>
      <c r="BU39">
        <v>0</v>
      </c>
      <c r="BV39">
        <v>0</v>
      </c>
      <c r="BW39">
        <v>0</v>
      </c>
      <c r="BX39">
        <v>0</v>
      </c>
      <c r="BY39">
        <v>0</v>
      </c>
      <c r="BZ39">
        <v>0</v>
      </c>
      <c r="CA39">
        <v>0</v>
      </c>
      <c r="CB39">
        <v>0</v>
      </c>
      <c r="CD39">
        <v>0</v>
      </c>
    </row>
    <row r="40" spans="1:82" x14ac:dyDescent="0.3">
      <c r="A40">
        <v>100</v>
      </c>
      <c r="B40" t="s">
        <v>242</v>
      </c>
      <c r="E40">
        <v>0</v>
      </c>
      <c r="G40">
        <v>0</v>
      </c>
      <c r="H40">
        <v>0</v>
      </c>
      <c r="I40">
        <v>0</v>
      </c>
      <c r="J40">
        <v>0</v>
      </c>
      <c r="K40">
        <v>0</v>
      </c>
      <c r="L40">
        <v>0</v>
      </c>
      <c r="M40">
        <v>0</v>
      </c>
      <c r="N40">
        <v>0</v>
      </c>
      <c r="O40">
        <v>0</v>
      </c>
      <c r="P40">
        <v>0</v>
      </c>
      <c r="Q40">
        <v>886007</v>
      </c>
      <c r="R40">
        <v>0</v>
      </c>
      <c r="S40">
        <v>0</v>
      </c>
      <c r="T40">
        <v>0</v>
      </c>
      <c r="U40">
        <v>0</v>
      </c>
      <c r="V40">
        <v>82273</v>
      </c>
      <c r="W40">
        <v>0</v>
      </c>
      <c r="Y40">
        <v>0</v>
      </c>
      <c r="Z40">
        <v>0</v>
      </c>
      <c r="AA40">
        <v>0</v>
      </c>
      <c r="AB40">
        <v>0</v>
      </c>
      <c r="AC40">
        <v>0</v>
      </c>
      <c r="AD40">
        <v>0</v>
      </c>
      <c r="AE40">
        <v>0</v>
      </c>
      <c r="AF40">
        <v>0</v>
      </c>
      <c r="AG40">
        <v>0</v>
      </c>
      <c r="AH40">
        <v>0</v>
      </c>
      <c r="AI40">
        <v>1735868</v>
      </c>
      <c r="AJ40">
        <v>0</v>
      </c>
      <c r="AM40">
        <v>646085</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N40">
        <v>0</v>
      </c>
      <c r="BO40">
        <v>0</v>
      </c>
      <c r="BP40">
        <v>0</v>
      </c>
      <c r="BQ40">
        <v>0</v>
      </c>
      <c r="BR40">
        <v>7581</v>
      </c>
      <c r="BS40">
        <v>0</v>
      </c>
      <c r="BT40">
        <v>0</v>
      </c>
      <c r="BU40">
        <v>0</v>
      </c>
      <c r="BV40">
        <v>0</v>
      </c>
      <c r="BW40">
        <v>0</v>
      </c>
      <c r="BX40">
        <v>0</v>
      </c>
      <c r="BY40">
        <v>0</v>
      </c>
      <c r="BZ40">
        <v>0</v>
      </c>
      <c r="CA40">
        <v>0</v>
      </c>
      <c r="CB40">
        <v>0</v>
      </c>
      <c r="CD40">
        <v>0</v>
      </c>
    </row>
    <row r="41" spans="1:82" x14ac:dyDescent="0.3">
      <c r="A41">
        <v>101</v>
      </c>
      <c r="B41" t="s">
        <v>241</v>
      </c>
      <c r="E41">
        <v>0</v>
      </c>
      <c r="G41">
        <v>0</v>
      </c>
      <c r="H41">
        <v>0</v>
      </c>
      <c r="I41">
        <v>0</v>
      </c>
      <c r="J41">
        <v>0</v>
      </c>
      <c r="K41">
        <v>0</v>
      </c>
      <c r="L41">
        <v>0</v>
      </c>
      <c r="M41">
        <v>0</v>
      </c>
      <c r="N41">
        <v>0</v>
      </c>
      <c r="O41">
        <v>0</v>
      </c>
      <c r="P41">
        <v>0</v>
      </c>
      <c r="Q41">
        <v>6517484</v>
      </c>
      <c r="R41">
        <v>0</v>
      </c>
      <c r="S41">
        <v>0</v>
      </c>
      <c r="T41">
        <v>0</v>
      </c>
      <c r="U41">
        <v>0</v>
      </c>
      <c r="V41">
        <v>2838874</v>
      </c>
      <c r="W41">
        <v>0</v>
      </c>
      <c r="Y41">
        <v>0</v>
      </c>
      <c r="Z41">
        <v>0</v>
      </c>
      <c r="AA41">
        <v>0</v>
      </c>
      <c r="AB41">
        <v>0</v>
      </c>
      <c r="AC41">
        <v>0</v>
      </c>
      <c r="AD41">
        <v>0</v>
      </c>
      <c r="AE41">
        <v>0</v>
      </c>
      <c r="AF41">
        <v>0</v>
      </c>
      <c r="AG41">
        <v>0</v>
      </c>
      <c r="AH41">
        <v>0</v>
      </c>
      <c r="AI41">
        <v>3732747</v>
      </c>
      <c r="AJ41">
        <v>0</v>
      </c>
      <c r="AM41">
        <v>1124209</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N41">
        <v>0</v>
      </c>
      <c r="BO41">
        <v>0</v>
      </c>
      <c r="BP41">
        <v>0</v>
      </c>
      <c r="BQ41">
        <v>0</v>
      </c>
      <c r="BR41">
        <v>0</v>
      </c>
      <c r="BS41">
        <v>3530796</v>
      </c>
      <c r="BT41">
        <v>0</v>
      </c>
      <c r="BU41">
        <v>0</v>
      </c>
      <c r="BV41">
        <v>0</v>
      </c>
      <c r="BW41">
        <v>0</v>
      </c>
      <c r="BX41">
        <v>0</v>
      </c>
      <c r="BY41">
        <v>0</v>
      </c>
      <c r="BZ41">
        <v>0</v>
      </c>
      <c r="CA41">
        <v>0</v>
      </c>
      <c r="CB41">
        <v>0</v>
      </c>
      <c r="CD41">
        <v>0</v>
      </c>
    </row>
    <row r="42" spans="1:82" x14ac:dyDescent="0.3">
      <c r="A42">
        <v>102</v>
      </c>
      <c r="B42" t="s">
        <v>255</v>
      </c>
      <c r="E42">
        <v>98.51</v>
      </c>
      <c r="G42">
        <v>98.98</v>
      </c>
      <c r="H42">
        <v>98.13</v>
      </c>
      <c r="I42">
        <v>99.31</v>
      </c>
      <c r="J42">
        <v>97.27</v>
      </c>
      <c r="K42">
        <v>99.63</v>
      </c>
      <c r="L42">
        <v>99.51</v>
      </c>
      <c r="M42">
        <v>99.43</v>
      </c>
      <c r="N42">
        <v>96.86</v>
      </c>
      <c r="O42">
        <v>99.28</v>
      </c>
      <c r="P42">
        <v>98.51</v>
      </c>
      <c r="Q42">
        <v>99.11</v>
      </c>
      <c r="R42">
        <v>99.94</v>
      </c>
      <c r="S42">
        <v>0</v>
      </c>
      <c r="T42">
        <v>99.6</v>
      </c>
      <c r="U42">
        <v>99.26</v>
      </c>
      <c r="V42">
        <v>96.72</v>
      </c>
      <c r="W42">
        <v>99.73</v>
      </c>
      <c r="Y42">
        <v>98.72</v>
      </c>
      <c r="Z42">
        <v>95.69</v>
      </c>
      <c r="AA42">
        <v>99.52</v>
      </c>
      <c r="AB42">
        <v>97.3</v>
      </c>
      <c r="AC42">
        <v>98.94</v>
      </c>
      <c r="AD42">
        <v>97.24</v>
      </c>
      <c r="AE42">
        <v>95.14</v>
      </c>
      <c r="AF42">
        <v>99.99</v>
      </c>
      <c r="AG42">
        <v>98.53</v>
      </c>
      <c r="AH42">
        <v>90.21</v>
      </c>
      <c r="AI42">
        <v>99.21</v>
      </c>
      <c r="AJ42">
        <v>99.52</v>
      </c>
      <c r="AM42">
        <v>98.73</v>
      </c>
      <c r="AN42">
        <v>95.47</v>
      </c>
      <c r="AO42">
        <v>96.47</v>
      </c>
      <c r="AP42">
        <v>0</v>
      </c>
      <c r="AQ42">
        <v>99.2</v>
      </c>
      <c r="AR42">
        <v>99.03</v>
      </c>
      <c r="AS42">
        <v>96.56</v>
      </c>
      <c r="AT42">
        <v>98.35</v>
      </c>
      <c r="AU42">
        <v>88.51</v>
      </c>
      <c r="AV42">
        <v>98.18</v>
      </c>
      <c r="AW42">
        <v>99.71</v>
      </c>
      <c r="AX42">
        <v>98.56</v>
      </c>
      <c r="AY42">
        <v>99.97</v>
      </c>
      <c r="AZ42">
        <v>99.57</v>
      </c>
      <c r="BA42">
        <v>96.54</v>
      </c>
      <c r="BB42">
        <v>0</v>
      </c>
      <c r="BC42">
        <v>99.12</v>
      </c>
      <c r="BD42">
        <v>98.93</v>
      </c>
      <c r="BE42">
        <v>100</v>
      </c>
      <c r="BF42">
        <v>94.83</v>
      </c>
      <c r="BG42">
        <v>85</v>
      </c>
      <c r="BH42">
        <v>98.42</v>
      </c>
      <c r="BI42">
        <v>87.52</v>
      </c>
      <c r="BJ42">
        <v>96.33</v>
      </c>
      <c r="BK42">
        <v>97.24</v>
      </c>
      <c r="BN42">
        <v>99.82</v>
      </c>
      <c r="BO42">
        <v>99.96</v>
      </c>
      <c r="BP42">
        <v>99.19</v>
      </c>
      <c r="BQ42">
        <v>99.92</v>
      </c>
      <c r="BR42">
        <v>94.78</v>
      </c>
      <c r="BS42">
        <v>99.42</v>
      </c>
      <c r="BT42">
        <v>98.13</v>
      </c>
      <c r="BU42">
        <v>99.77</v>
      </c>
      <c r="BV42">
        <v>98.56</v>
      </c>
      <c r="BW42">
        <v>72.34</v>
      </c>
      <c r="BX42">
        <v>93.93</v>
      </c>
      <c r="BY42">
        <v>98.33</v>
      </c>
      <c r="BZ42">
        <v>93.74</v>
      </c>
      <c r="CA42">
        <v>95.4</v>
      </c>
      <c r="CB42">
        <v>99.71</v>
      </c>
      <c r="CD42">
        <v>92.58</v>
      </c>
    </row>
    <row r="43" spans="1:82" x14ac:dyDescent="0.3">
      <c r="A43">
        <v>103</v>
      </c>
      <c r="B43" t="s">
        <v>256</v>
      </c>
      <c r="E43">
        <v>100</v>
      </c>
      <c r="G43">
        <v>99.86</v>
      </c>
      <c r="H43">
        <v>100</v>
      </c>
      <c r="I43">
        <v>100</v>
      </c>
      <c r="J43">
        <v>100</v>
      </c>
      <c r="K43">
        <v>100</v>
      </c>
      <c r="L43">
        <v>100</v>
      </c>
      <c r="M43">
        <v>100</v>
      </c>
      <c r="N43">
        <v>100</v>
      </c>
      <c r="O43">
        <v>100</v>
      </c>
      <c r="P43">
        <v>100</v>
      </c>
      <c r="Q43">
        <v>100</v>
      </c>
      <c r="R43">
        <v>99.83</v>
      </c>
      <c r="S43">
        <v>0</v>
      </c>
      <c r="T43">
        <v>99.51</v>
      </c>
      <c r="U43">
        <v>100</v>
      </c>
      <c r="V43">
        <v>100</v>
      </c>
      <c r="W43">
        <v>100</v>
      </c>
      <c r="Y43">
        <v>99.47</v>
      </c>
      <c r="Z43">
        <v>100</v>
      </c>
      <c r="AA43">
        <v>100</v>
      </c>
      <c r="AB43">
        <v>100</v>
      </c>
      <c r="AC43">
        <v>100</v>
      </c>
      <c r="AD43">
        <v>100</v>
      </c>
      <c r="AE43">
        <v>100</v>
      </c>
      <c r="AF43">
        <v>100</v>
      </c>
      <c r="AG43">
        <v>100</v>
      </c>
      <c r="AH43">
        <v>100</v>
      </c>
      <c r="AI43">
        <v>100</v>
      </c>
      <c r="AJ43">
        <v>100</v>
      </c>
      <c r="AM43">
        <v>99.97</v>
      </c>
      <c r="AN43">
        <v>100</v>
      </c>
      <c r="AO43">
        <v>99.17</v>
      </c>
      <c r="AP43">
        <v>0</v>
      </c>
      <c r="AQ43">
        <v>100</v>
      </c>
      <c r="AR43">
        <v>100</v>
      </c>
      <c r="AS43">
        <v>100</v>
      </c>
      <c r="AT43">
        <v>100</v>
      </c>
      <c r="AU43">
        <v>100</v>
      </c>
      <c r="AV43">
        <v>100</v>
      </c>
      <c r="AW43">
        <v>100</v>
      </c>
      <c r="AX43">
        <v>100</v>
      </c>
      <c r="AY43">
        <v>100</v>
      </c>
      <c r="AZ43">
        <v>100</v>
      </c>
      <c r="BA43">
        <v>100</v>
      </c>
      <c r="BB43">
        <v>0</v>
      </c>
      <c r="BC43">
        <v>100</v>
      </c>
      <c r="BD43">
        <v>100</v>
      </c>
      <c r="BE43">
        <v>100</v>
      </c>
      <c r="BF43">
        <v>100</v>
      </c>
      <c r="BG43">
        <v>100</v>
      </c>
      <c r="BH43">
        <v>100</v>
      </c>
      <c r="BI43">
        <v>100</v>
      </c>
      <c r="BJ43">
        <v>100</v>
      </c>
      <c r="BK43">
        <v>100</v>
      </c>
      <c r="BN43">
        <v>99.97</v>
      </c>
      <c r="BO43">
        <v>100</v>
      </c>
      <c r="BP43">
        <v>100</v>
      </c>
      <c r="BQ43">
        <v>100</v>
      </c>
      <c r="BR43">
        <v>100</v>
      </c>
      <c r="BS43">
        <v>100</v>
      </c>
      <c r="BT43">
        <v>100</v>
      </c>
      <c r="BU43">
        <v>100</v>
      </c>
      <c r="BV43">
        <v>100</v>
      </c>
      <c r="BW43">
        <v>100</v>
      </c>
      <c r="BX43">
        <v>100</v>
      </c>
      <c r="BY43">
        <v>99.34</v>
      </c>
      <c r="BZ43">
        <v>100</v>
      </c>
      <c r="CA43">
        <v>100</v>
      </c>
      <c r="CB43">
        <v>100</v>
      </c>
      <c r="CD43">
        <v>100</v>
      </c>
    </row>
    <row r="44" spans="1:82" x14ac:dyDescent="0.3">
      <c r="A44">
        <v>171</v>
      </c>
      <c r="B44" t="s">
        <v>208</v>
      </c>
      <c r="E44">
        <v>0</v>
      </c>
      <c r="G44">
        <v>49799</v>
      </c>
      <c r="H44">
        <v>0</v>
      </c>
      <c r="I44">
        <v>0</v>
      </c>
      <c r="J44">
        <v>0</v>
      </c>
      <c r="K44">
        <v>0</v>
      </c>
      <c r="L44">
        <v>0</v>
      </c>
      <c r="M44">
        <v>1059118</v>
      </c>
      <c r="N44">
        <v>8750</v>
      </c>
      <c r="O44">
        <v>119156</v>
      </c>
      <c r="P44">
        <v>0</v>
      </c>
      <c r="Q44">
        <v>3336358</v>
      </c>
      <c r="R44">
        <v>108147</v>
      </c>
      <c r="S44">
        <v>0</v>
      </c>
      <c r="T44">
        <v>9289197</v>
      </c>
      <c r="U44">
        <v>901917</v>
      </c>
      <c r="V44">
        <v>1145114</v>
      </c>
      <c r="W44">
        <v>4502984</v>
      </c>
      <c r="Y44">
        <v>184927</v>
      </c>
      <c r="Z44">
        <v>0</v>
      </c>
      <c r="AA44">
        <v>1343660</v>
      </c>
      <c r="AB44">
        <v>123473</v>
      </c>
      <c r="AC44">
        <v>353566</v>
      </c>
      <c r="AD44">
        <v>0</v>
      </c>
      <c r="AE44">
        <v>169268</v>
      </c>
      <c r="AF44">
        <v>3851398</v>
      </c>
      <c r="AG44">
        <v>65051</v>
      </c>
      <c r="AH44">
        <v>8654</v>
      </c>
      <c r="AI44">
        <v>2447653</v>
      </c>
      <c r="AJ44">
        <v>0</v>
      </c>
      <c r="AM44">
        <v>1407992</v>
      </c>
      <c r="AN44">
        <v>0</v>
      </c>
      <c r="AO44">
        <v>39413</v>
      </c>
      <c r="AP44">
        <v>0</v>
      </c>
      <c r="AQ44">
        <v>5921089</v>
      </c>
      <c r="AR44">
        <v>0</v>
      </c>
      <c r="AS44">
        <v>0</v>
      </c>
      <c r="AT44">
        <v>133221</v>
      </c>
      <c r="AU44">
        <v>0</v>
      </c>
      <c r="AV44">
        <v>0</v>
      </c>
      <c r="AW44">
        <v>1235425</v>
      </c>
      <c r="AX44">
        <v>0</v>
      </c>
      <c r="AY44">
        <v>1152395</v>
      </c>
      <c r="AZ44">
        <v>0</v>
      </c>
      <c r="BA44">
        <v>0</v>
      </c>
      <c r="BB44">
        <v>0</v>
      </c>
      <c r="BC44">
        <v>0</v>
      </c>
      <c r="BD44">
        <v>251566</v>
      </c>
      <c r="BE44">
        <v>0</v>
      </c>
      <c r="BF44">
        <v>0</v>
      </c>
      <c r="BG44">
        <v>12404</v>
      </c>
      <c r="BH44">
        <v>0</v>
      </c>
      <c r="BI44">
        <v>0</v>
      </c>
      <c r="BJ44">
        <v>18940</v>
      </c>
      <c r="BK44">
        <v>273603</v>
      </c>
      <c r="BN44">
        <v>183740</v>
      </c>
      <c r="BO44">
        <v>0</v>
      </c>
      <c r="BP44">
        <v>58392</v>
      </c>
      <c r="BQ44">
        <v>161109</v>
      </c>
      <c r="BR44">
        <v>38322</v>
      </c>
      <c r="BS44">
        <v>1868346</v>
      </c>
      <c r="BT44">
        <v>37686</v>
      </c>
      <c r="BU44">
        <v>160455</v>
      </c>
      <c r="BV44">
        <v>0</v>
      </c>
      <c r="BW44">
        <v>110183</v>
      </c>
      <c r="BX44">
        <v>5693</v>
      </c>
      <c r="BY44">
        <v>0</v>
      </c>
      <c r="BZ44">
        <v>0</v>
      </c>
      <c r="CA44">
        <v>0</v>
      </c>
      <c r="CB44">
        <v>74784</v>
      </c>
      <c r="CD44">
        <v>0</v>
      </c>
    </row>
    <row r="45" spans="1:82" x14ac:dyDescent="0.3">
      <c r="A45">
        <v>191</v>
      </c>
      <c r="B45" t="s">
        <v>224</v>
      </c>
      <c r="E45">
        <v>0</v>
      </c>
      <c r="G45">
        <v>0</v>
      </c>
      <c r="H45">
        <v>0</v>
      </c>
      <c r="I45">
        <v>0</v>
      </c>
      <c r="J45">
        <v>0</v>
      </c>
      <c r="K45">
        <v>0</v>
      </c>
      <c r="L45">
        <v>0</v>
      </c>
      <c r="M45">
        <v>0</v>
      </c>
      <c r="N45">
        <v>0</v>
      </c>
      <c r="O45">
        <v>1450443</v>
      </c>
      <c r="P45">
        <v>0</v>
      </c>
      <c r="Q45">
        <v>81760</v>
      </c>
      <c r="R45">
        <v>0</v>
      </c>
      <c r="S45">
        <v>0</v>
      </c>
      <c r="T45">
        <v>0</v>
      </c>
      <c r="U45">
        <v>0</v>
      </c>
      <c r="V45">
        <v>0</v>
      </c>
      <c r="W45">
        <v>0</v>
      </c>
      <c r="Y45">
        <v>150607</v>
      </c>
      <c r="Z45">
        <v>41000</v>
      </c>
      <c r="AA45">
        <v>168545</v>
      </c>
      <c r="AB45">
        <v>1897986</v>
      </c>
      <c r="AC45">
        <v>12891</v>
      </c>
      <c r="AD45">
        <v>0</v>
      </c>
      <c r="AE45">
        <v>4354685</v>
      </c>
      <c r="AF45">
        <v>506837</v>
      </c>
      <c r="AG45">
        <v>0</v>
      </c>
      <c r="AH45">
        <v>0</v>
      </c>
      <c r="AI45">
        <v>0</v>
      </c>
      <c r="AJ45">
        <v>0</v>
      </c>
      <c r="AM45">
        <v>700823</v>
      </c>
      <c r="AN45">
        <v>0</v>
      </c>
      <c r="AO45">
        <v>0</v>
      </c>
      <c r="AP45">
        <v>0</v>
      </c>
      <c r="AQ45">
        <v>0</v>
      </c>
      <c r="AR45">
        <v>37250</v>
      </c>
      <c r="AS45">
        <v>0</v>
      </c>
      <c r="AT45">
        <v>613036</v>
      </c>
      <c r="AU45">
        <v>0</v>
      </c>
      <c r="AV45">
        <v>4967</v>
      </c>
      <c r="AW45">
        <v>0</v>
      </c>
      <c r="AX45">
        <v>674773</v>
      </c>
      <c r="AY45">
        <v>0</v>
      </c>
      <c r="AZ45">
        <v>0</v>
      </c>
      <c r="BA45">
        <v>0</v>
      </c>
      <c r="BB45">
        <v>0</v>
      </c>
      <c r="BC45">
        <v>0</v>
      </c>
      <c r="BD45">
        <v>2126893</v>
      </c>
      <c r="BE45">
        <v>0</v>
      </c>
      <c r="BF45">
        <v>0</v>
      </c>
      <c r="BG45">
        <v>0</v>
      </c>
      <c r="BH45">
        <v>0</v>
      </c>
      <c r="BI45">
        <v>0</v>
      </c>
      <c r="BJ45">
        <v>0</v>
      </c>
      <c r="BK45">
        <v>2139221</v>
      </c>
      <c r="BN45">
        <v>0</v>
      </c>
      <c r="BO45">
        <v>530315</v>
      </c>
      <c r="BP45">
        <v>0</v>
      </c>
      <c r="BQ45">
        <v>0</v>
      </c>
      <c r="BR45">
        <v>0</v>
      </c>
      <c r="BS45">
        <v>0</v>
      </c>
      <c r="BT45">
        <v>0</v>
      </c>
      <c r="BU45">
        <v>52118</v>
      </c>
      <c r="BV45">
        <v>0</v>
      </c>
      <c r="BW45">
        <v>7448</v>
      </c>
      <c r="BX45">
        <v>0</v>
      </c>
      <c r="BY45">
        <v>0</v>
      </c>
      <c r="BZ45">
        <v>67100</v>
      </c>
      <c r="CA45">
        <v>0</v>
      </c>
      <c r="CB45">
        <v>757247</v>
      </c>
      <c r="CD45">
        <v>0</v>
      </c>
    </row>
    <row r="46" spans="1:82" x14ac:dyDescent="0.3">
      <c r="A46">
        <v>192</v>
      </c>
      <c r="B46" t="s">
        <v>235</v>
      </c>
      <c r="E46">
        <v>0</v>
      </c>
      <c r="G46">
        <v>0</v>
      </c>
      <c r="H46">
        <v>0</v>
      </c>
      <c r="I46">
        <v>0</v>
      </c>
      <c r="J46">
        <v>0</v>
      </c>
      <c r="K46">
        <v>0</v>
      </c>
      <c r="L46">
        <v>0</v>
      </c>
      <c r="M46">
        <v>0</v>
      </c>
      <c r="N46">
        <v>0</v>
      </c>
      <c r="O46">
        <v>0</v>
      </c>
      <c r="P46">
        <v>0</v>
      </c>
      <c r="Q46">
        <v>0</v>
      </c>
      <c r="R46">
        <v>0</v>
      </c>
      <c r="S46">
        <v>0</v>
      </c>
      <c r="T46">
        <v>0</v>
      </c>
      <c r="U46">
        <v>0</v>
      </c>
      <c r="V46">
        <v>0</v>
      </c>
      <c r="W46">
        <v>0</v>
      </c>
      <c r="Y46">
        <v>0</v>
      </c>
      <c r="Z46">
        <v>0</v>
      </c>
      <c r="AA46">
        <v>0</v>
      </c>
      <c r="AB46">
        <v>0</v>
      </c>
      <c r="AC46">
        <v>0</v>
      </c>
      <c r="AD46">
        <v>0</v>
      </c>
      <c r="AE46">
        <v>0</v>
      </c>
      <c r="AF46">
        <v>0</v>
      </c>
      <c r="AG46">
        <v>0</v>
      </c>
      <c r="AH46">
        <v>0</v>
      </c>
      <c r="AI46">
        <v>1304594</v>
      </c>
      <c r="AJ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N46">
        <v>0</v>
      </c>
      <c r="BO46">
        <v>0</v>
      </c>
      <c r="BP46">
        <v>0</v>
      </c>
      <c r="BQ46">
        <v>0</v>
      </c>
      <c r="BR46">
        <v>0</v>
      </c>
      <c r="BS46">
        <v>0</v>
      </c>
      <c r="BT46">
        <v>0</v>
      </c>
      <c r="BU46">
        <v>0</v>
      </c>
      <c r="BV46">
        <v>0</v>
      </c>
      <c r="BW46">
        <v>0</v>
      </c>
      <c r="BX46">
        <v>0</v>
      </c>
      <c r="BY46">
        <v>0</v>
      </c>
      <c r="BZ46">
        <v>0</v>
      </c>
      <c r="CA46">
        <v>0</v>
      </c>
      <c r="CB46">
        <v>0</v>
      </c>
      <c r="CD46">
        <v>0</v>
      </c>
    </row>
    <row r="47" spans="1:82" x14ac:dyDescent="0.3">
      <c r="A47">
        <v>252</v>
      </c>
      <c r="B47" t="s">
        <v>95</v>
      </c>
      <c r="E47">
        <v>162574</v>
      </c>
      <c r="G47">
        <v>6207967</v>
      </c>
      <c r="H47">
        <v>5327942</v>
      </c>
      <c r="I47">
        <v>6737132</v>
      </c>
      <c r="J47">
        <v>10835</v>
      </c>
      <c r="K47">
        <v>1611728</v>
      </c>
      <c r="L47">
        <v>467220</v>
      </c>
      <c r="M47">
        <v>89304721</v>
      </c>
      <c r="N47">
        <v>471828</v>
      </c>
      <c r="O47">
        <v>6112829</v>
      </c>
      <c r="P47">
        <v>151643</v>
      </c>
      <c r="Q47">
        <v>81099501</v>
      </c>
      <c r="R47">
        <v>5230564</v>
      </c>
      <c r="S47">
        <v>124599</v>
      </c>
      <c r="T47">
        <v>129238966</v>
      </c>
      <c r="U47">
        <v>41205368</v>
      </c>
      <c r="V47">
        <v>27637914</v>
      </c>
      <c r="W47">
        <v>169577275</v>
      </c>
      <c r="Y47">
        <v>27628014</v>
      </c>
      <c r="Z47">
        <v>2069876</v>
      </c>
      <c r="AA47">
        <v>24181923</v>
      </c>
      <c r="AB47">
        <v>3077667</v>
      </c>
      <c r="AC47">
        <v>2123971</v>
      </c>
      <c r="AD47">
        <v>860998</v>
      </c>
      <c r="AE47">
        <v>2434324</v>
      </c>
      <c r="AF47">
        <v>41411411</v>
      </c>
      <c r="AG47">
        <v>7094079</v>
      </c>
      <c r="AH47">
        <v>2396628</v>
      </c>
      <c r="AI47">
        <v>59925734</v>
      </c>
      <c r="AJ47">
        <v>4629382</v>
      </c>
      <c r="AM47">
        <v>14182293</v>
      </c>
      <c r="AN47">
        <v>271554</v>
      </c>
      <c r="AO47">
        <v>231392</v>
      </c>
      <c r="AP47">
        <v>85137</v>
      </c>
      <c r="AQ47">
        <v>11492234</v>
      </c>
      <c r="AR47">
        <v>40274513</v>
      </c>
      <c r="AS47">
        <v>227858</v>
      </c>
      <c r="AT47">
        <v>3167810</v>
      </c>
      <c r="AU47">
        <v>239376</v>
      </c>
      <c r="AV47">
        <v>25240231</v>
      </c>
      <c r="AW47">
        <v>9056859</v>
      </c>
      <c r="AX47">
        <v>3451065</v>
      </c>
      <c r="AY47">
        <v>13013541</v>
      </c>
      <c r="AZ47">
        <v>2345242</v>
      </c>
      <c r="BA47">
        <v>2789280</v>
      </c>
      <c r="BB47">
        <v>47019</v>
      </c>
      <c r="BC47">
        <v>73552</v>
      </c>
      <c r="BD47">
        <v>3967245</v>
      </c>
      <c r="BE47">
        <v>100149</v>
      </c>
      <c r="BF47">
        <v>100580</v>
      </c>
      <c r="BG47">
        <v>182362</v>
      </c>
      <c r="BH47">
        <v>109883</v>
      </c>
      <c r="BI47">
        <v>233251</v>
      </c>
      <c r="BJ47">
        <v>470643</v>
      </c>
      <c r="BK47">
        <v>7410212</v>
      </c>
      <c r="BN47">
        <v>8383027</v>
      </c>
      <c r="BO47">
        <v>889063</v>
      </c>
      <c r="BP47">
        <v>1565267</v>
      </c>
      <c r="BQ47">
        <v>30435847</v>
      </c>
      <c r="BR47">
        <v>597117</v>
      </c>
      <c r="BS47">
        <v>39167118</v>
      </c>
      <c r="BT47">
        <v>817665</v>
      </c>
      <c r="BU47">
        <v>5620130</v>
      </c>
      <c r="BV47">
        <v>3128715</v>
      </c>
      <c r="BW47">
        <v>2668250</v>
      </c>
      <c r="BX47">
        <v>442392</v>
      </c>
      <c r="BY47">
        <v>322730</v>
      </c>
      <c r="BZ47">
        <v>1706020</v>
      </c>
      <c r="CA47">
        <v>110157</v>
      </c>
      <c r="CB47">
        <v>2035902</v>
      </c>
      <c r="CD47">
        <v>73274</v>
      </c>
    </row>
    <row r="48" spans="1:82" x14ac:dyDescent="0.3">
      <c r="A48">
        <v>253</v>
      </c>
      <c r="B48" t="s">
        <v>96</v>
      </c>
      <c r="E48">
        <v>51216</v>
      </c>
      <c r="G48">
        <v>2066211</v>
      </c>
      <c r="H48">
        <v>300624</v>
      </c>
      <c r="I48">
        <v>722744</v>
      </c>
      <c r="J48">
        <v>9326</v>
      </c>
      <c r="K48">
        <v>0</v>
      </c>
      <c r="L48">
        <v>21271</v>
      </c>
      <c r="M48">
        <v>4675732</v>
      </c>
      <c r="N48">
        <v>206580</v>
      </c>
      <c r="O48">
        <v>2563792</v>
      </c>
      <c r="P48">
        <v>18081</v>
      </c>
      <c r="Q48">
        <v>21027490</v>
      </c>
      <c r="R48">
        <v>784016</v>
      </c>
      <c r="S48">
        <v>4137</v>
      </c>
      <c r="T48">
        <v>36197625</v>
      </c>
      <c r="U48">
        <v>9657032</v>
      </c>
      <c r="V48">
        <v>13619213</v>
      </c>
      <c r="W48">
        <v>15251844</v>
      </c>
      <c r="Y48">
        <v>8265799</v>
      </c>
      <c r="Z48">
        <v>494196</v>
      </c>
      <c r="AA48">
        <v>4616840</v>
      </c>
      <c r="AB48">
        <v>1361665</v>
      </c>
      <c r="AC48">
        <v>2629102</v>
      </c>
      <c r="AD48">
        <v>974117</v>
      </c>
      <c r="AE48">
        <v>699468</v>
      </c>
      <c r="AF48">
        <v>12950862</v>
      </c>
      <c r="AG48">
        <v>2289392</v>
      </c>
      <c r="AH48">
        <v>338929</v>
      </c>
      <c r="AI48">
        <v>15371023</v>
      </c>
      <c r="AJ48">
        <v>359872</v>
      </c>
      <c r="AM48">
        <v>5515984</v>
      </c>
      <c r="AN48">
        <v>185118</v>
      </c>
      <c r="AO48">
        <v>220661</v>
      </c>
      <c r="AP48">
        <v>5505</v>
      </c>
      <c r="AQ48">
        <v>11190865</v>
      </c>
      <c r="AR48">
        <v>973700</v>
      </c>
      <c r="AS48">
        <v>117993</v>
      </c>
      <c r="AT48">
        <v>488616</v>
      </c>
      <c r="AU48">
        <v>42595</v>
      </c>
      <c r="AV48">
        <v>31267156</v>
      </c>
      <c r="AW48">
        <v>371442</v>
      </c>
      <c r="AX48">
        <v>254738</v>
      </c>
      <c r="AY48">
        <v>333327</v>
      </c>
      <c r="AZ48">
        <v>384071</v>
      </c>
      <c r="BA48">
        <v>393216</v>
      </c>
      <c r="BB48">
        <v>0</v>
      </c>
      <c r="BC48">
        <v>152675</v>
      </c>
      <c r="BD48">
        <v>1143131</v>
      </c>
      <c r="BE48">
        <v>42747</v>
      </c>
      <c r="BF48">
        <v>125200</v>
      </c>
      <c r="BG48">
        <v>51506</v>
      </c>
      <c r="BH48">
        <v>7814</v>
      </c>
      <c r="BI48">
        <v>35893</v>
      </c>
      <c r="BJ48">
        <v>92443</v>
      </c>
      <c r="BK48">
        <v>643916</v>
      </c>
      <c r="BN48">
        <v>5642562</v>
      </c>
      <c r="BO48">
        <v>497834</v>
      </c>
      <c r="BP48">
        <v>475583</v>
      </c>
      <c r="BQ48">
        <v>3086864</v>
      </c>
      <c r="BR48">
        <v>439034</v>
      </c>
      <c r="BS48">
        <v>3766966</v>
      </c>
      <c r="BT48">
        <v>417735</v>
      </c>
      <c r="BU48">
        <v>779231</v>
      </c>
      <c r="BV48">
        <v>76314</v>
      </c>
      <c r="BW48">
        <v>290528</v>
      </c>
      <c r="BX48">
        <v>343133</v>
      </c>
      <c r="BY48">
        <v>135175</v>
      </c>
      <c r="BZ48">
        <v>823390</v>
      </c>
      <c r="CA48">
        <v>20731</v>
      </c>
      <c r="CB48">
        <v>575372</v>
      </c>
      <c r="CD48">
        <v>18531</v>
      </c>
    </row>
    <row r="49" spans="1:82" x14ac:dyDescent="0.3">
      <c r="A49">
        <v>254</v>
      </c>
      <c r="B49" t="s">
        <v>97</v>
      </c>
      <c r="E49">
        <v>153348</v>
      </c>
      <c r="G49">
        <v>5307331</v>
      </c>
      <c r="H49">
        <v>7596752</v>
      </c>
      <c r="I49">
        <v>7494309</v>
      </c>
      <c r="J49">
        <v>233482</v>
      </c>
      <c r="K49">
        <v>1421710</v>
      </c>
      <c r="L49">
        <v>1012040</v>
      </c>
      <c r="M49">
        <v>-649331</v>
      </c>
      <c r="N49">
        <v>664440</v>
      </c>
      <c r="O49">
        <v>7656266</v>
      </c>
      <c r="P49">
        <v>424332</v>
      </c>
      <c r="Q49">
        <v>-4362056</v>
      </c>
      <c r="R49">
        <v>702196</v>
      </c>
      <c r="S49">
        <v>152784</v>
      </c>
      <c r="T49">
        <v>-115491</v>
      </c>
      <c r="U49">
        <v>2958961</v>
      </c>
      <c r="V49">
        <v>10933467</v>
      </c>
      <c r="W49">
        <v>21127657</v>
      </c>
      <c r="Y49">
        <v>10547056</v>
      </c>
      <c r="Z49">
        <v>529950</v>
      </c>
      <c r="AA49">
        <v>16747712</v>
      </c>
      <c r="AB49">
        <v>1314677</v>
      </c>
      <c r="AC49">
        <v>2088983</v>
      </c>
      <c r="AD49">
        <v>1492077</v>
      </c>
      <c r="AE49">
        <v>2916889</v>
      </c>
      <c r="AF49">
        <v>3207522</v>
      </c>
      <c r="AG49">
        <v>3346138</v>
      </c>
      <c r="AH49">
        <v>2241930</v>
      </c>
      <c r="AI49">
        <v>-28666755</v>
      </c>
      <c r="AJ49">
        <v>4036167</v>
      </c>
      <c r="AM49">
        <v>3911923</v>
      </c>
      <c r="AN49">
        <v>657423</v>
      </c>
      <c r="AO49">
        <v>939584</v>
      </c>
      <c r="AP49">
        <v>101396</v>
      </c>
      <c r="AQ49">
        <v>12245137</v>
      </c>
      <c r="AR49">
        <v>10072609</v>
      </c>
      <c r="AS49">
        <v>444907</v>
      </c>
      <c r="AT49">
        <v>733118</v>
      </c>
      <c r="AU49">
        <v>267886</v>
      </c>
      <c r="AV49">
        <v>10012846</v>
      </c>
      <c r="AW49">
        <v>2115351</v>
      </c>
      <c r="AX49">
        <v>886042</v>
      </c>
      <c r="AY49">
        <v>12927030</v>
      </c>
      <c r="AZ49">
        <v>2103095</v>
      </c>
      <c r="BA49">
        <v>559237</v>
      </c>
      <c r="BB49">
        <v>145225</v>
      </c>
      <c r="BC49">
        <v>878101</v>
      </c>
      <c r="BD49">
        <v>933716</v>
      </c>
      <c r="BE49">
        <v>712549</v>
      </c>
      <c r="BF49">
        <v>883406</v>
      </c>
      <c r="BG49">
        <v>168819</v>
      </c>
      <c r="BH49">
        <v>366304</v>
      </c>
      <c r="BI49">
        <v>494015</v>
      </c>
      <c r="BJ49">
        <v>302787</v>
      </c>
      <c r="BK49">
        <v>-1300696</v>
      </c>
      <c r="BN49">
        <v>1915612</v>
      </c>
      <c r="BO49">
        <v>1349492</v>
      </c>
      <c r="BP49">
        <v>1515953</v>
      </c>
      <c r="BQ49">
        <v>14706261</v>
      </c>
      <c r="BR49">
        <v>-36835</v>
      </c>
      <c r="BS49">
        <v>16246984</v>
      </c>
      <c r="BT49">
        <v>556122</v>
      </c>
      <c r="BU49">
        <v>6419615</v>
      </c>
      <c r="BV49">
        <v>2664404</v>
      </c>
      <c r="BW49">
        <v>1852959</v>
      </c>
      <c r="BX49">
        <v>1534468</v>
      </c>
      <c r="BY49">
        <v>232784</v>
      </c>
      <c r="BZ49">
        <v>-839821</v>
      </c>
      <c r="CA49">
        <v>179743</v>
      </c>
      <c r="CB49">
        <v>585947</v>
      </c>
      <c r="CD49">
        <v>375048</v>
      </c>
    </row>
    <row r="50" spans="1:82" x14ac:dyDescent="0.3">
      <c r="A50">
        <v>255</v>
      </c>
      <c r="B50" t="s">
        <v>188</v>
      </c>
      <c r="E50">
        <v>-648</v>
      </c>
      <c r="G50">
        <v>709212</v>
      </c>
      <c r="H50">
        <v>2821098</v>
      </c>
      <c r="I50">
        <v>2058329</v>
      </c>
      <c r="J50">
        <v>88391</v>
      </c>
      <c r="K50">
        <v>262974</v>
      </c>
      <c r="L50">
        <v>34611</v>
      </c>
      <c r="M50">
        <v>13001083</v>
      </c>
      <c r="N50">
        <v>171672</v>
      </c>
      <c r="O50">
        <v>3267061</v>
      </c>
      <c r="P50">
        <v>81722</v>
      </c>
      <c r="Q50">
        <v>4471175</v>
      </c>
      <c r="R50">
        <v>273792</v>
      </c>
      <c r="S50">
        <v>-15640</v>
      </c>
      <c r="T50">
        <v>31258276</v>
      </c>
      <c r="U50">
        <v>3511427</v>
      </c>
      <c r="V50">
        <v>7631902</v>
      </c>
      <c r="W50">
        <v>23417655</v>
      </c>
      <c r="Y50">
        <v>6382108</v>
      </c>
      <c r="Z50">
        <v>-59755</v>
      </c>
      <c r="AA50">
        <v>8775412</v>
      </c>
      <c r="AB50">
        <v>-220519</v>
      </c>
      <c r="AC50">
        <v>600321</v>
      </c>
      <c r="AD50">
        <v>337918</v>
      </c>
      <c r="AE50">
        <v>341708</v>
      </c>
      <c r="AF50">
        <v>8476371</v>
      </c>
      <c r="AG50">
        <v>124005</v>
      </c>
      <c r="AH50">
        <v>871390</v>
      </c>
      <c r="AI50">
        <v>8194796</v>
      </c>
      <c r="AJ50">
        <v>347417</v>
      </c>
      <c r="AM50">
        <v>2375930</v>
      </c>
      <c r="AN50">
        <v>185856</v>
      </c>
      <c r="AO50">
        <v>235694</v>
      </c>
      <c r="AP50">
        <v>5696</v>
      </c>
      <c r="AQ50">
        <v>5596768</v>
      </c>
      <c r="AR50">
        <v>1561594</v>
      </c>
      <c r="AS50">
        <v>20753</v>
      </c>
      <c r="AT50">
        <v>255023</v>
      </c>
      <c r="AU50">
        <v>47118</v>
      </c>
      <c r="AV50">
        <v>23465401</v>
      </c>
      <c r="AW50">
        <v>429129</v>
      </c>
      <c r="AX50">
        <v>87488</v>
      </c>
      <c r="AY50">
        <v>2897425</v>
      </c>
      <c r="AZ50">
        <v>251373</v>
      </c>
      <c r="BA50">
        <v>-449457</v>
      </c>
      <c r="BB50">
        <v>16507</v>
      </c>
      <c r="BC50">
        <v>162597</v>
      </c>
      <c r="BD50">
        <v>1037422</v>
      </c>
      <c r="BE50">
        <v>61246</v>
      </c>
      <c r="BF50">
        <v>84857</v>
      </c>
      <c r="BG50">
        <v>11870</v>
      </c>
      <c r="BH50">
        <v>64238</v>
      </c>
      <c r="BI50">
        <v>-17749</v>
      </c>
      <c r="BJ50">
        <v>123200</v>
      </c>
      <c r="BK50">
        <v>734118</v>
      </c>
      <c r="BN50">
        <v>2489863</v>
      </c>
      <c r="BO50">
        <v>1000513</v>
      </c>
      <c r="BP50">
        <v>-432293</v>
      </c>
      <c r="BQ50">
        <v>7212467</v>
      </c>
      <c r="BR50">
        <v>33812</v>
      </c>
      <c r="BS50">
        <v>5859312</v>
      </c>
      <c r="BT50">
        <v>-31422</v>
      </c>
      <c r="BU50">
        <v>1769531</v>
      </c>
      <c r="BV50">
        <v>102364</v>
      </c>
      <c r="BW50">
        <v>600359</v>
      </c>
      <c r="BX50">
        <v>294903</v>
      </c>
      <c r="BY50">
        <v>6804</v>
      </c>
      <c r="BZ50">
        <v>433419</v>
      </c>
      <c r="CA50">
        <v>35797</v>
      </c>
      <c r="CB50">
        <v>354147</v>
      </c>
      <c r="CD50">
        <v>-6383</v>
      </c>
    </row>
    <row r="51" spans="1:82" x14ac:dyDescent="0.3">
      <c r="A51">
        <v>327</v>
      </c>
      <c r="B51" t="s">
        <v>881</v>
      </c>
      <c r="E51">
        <v>0</v>
      </c>
      <c r="G51">
        <v>0</v>
      </c>
      <c r="H51">
        <v>0</v>
      </c>
      <c r="I51">
        <v>0</v>
      </c>
      <c r="J51">
        <v>53983</v>
      </c>
      <c r="K51">
        <v>0</v>
      </c>
      <c r="L51">
        <v>0</v>
      </c>
      <c r="M51">
        <v>0</v>
      </c>
      <c r="N51">
        <v>0</v>
      </c>
      <c r="O51">
        <v>46446</v>
      </c>
      <c r="P51">
        <v>0</v>
      </c>
      <c r="Q51">
        <v>2740380</v>
      </c>
      <c r="R51">
        <v>367968</v>
      </c>
      <c r="S51">
        <v>0</v>
      </c>
      <c r="T51">
        <v>3865259</v>
      </c>
      <c r="U51">
        <v>2395234</v>
      </c>
      <c r="V51">
        <v>14979085</v>
      </c>
      <c r="W51">
        <v>0</v>
      </c>
      <c r="Y51">
        <v>745155</v>
      </c>
      <c r="Z51">
        <v>4000</v>
      </c>
      <c r="AA51">
        <v>892384</v>
      </c>
      <c r="AB51">
        <v>23252</v>
      </c>
      <c r="AC51">
        <v>15684</v>
      </c>
      <c r="AD51">
        <v>882432</v>
      </c>
      <c r="AE51">
        <v>0</v>
      </c>
      <c r="AF51">
        <v>204205</v>
      </c>
      <c r="AG51">
        <v>514809</v>
      </c>
      <c r="AH51">
        <v>0</v>
      </c>
      <c r="AI51">
        <v>13256459</v>
      </c>
      <c r="AJ51">
        <v>6500</v>
      </c>
      <c r="AM51">
        <v>210332</v>
      </c>
      <c r="AN51">
        <v>42297</v>
      </c>
      <c r="AO51">
        <v>0</v>
      </c>
      <c r="AP51">
        <v>0</v>
      </c>
      <c r="AQ51">
        <v>0</v>
      </c>
      <c r="AR51">
        <v>44618</v>
      </c>
      <c r="AS51">
        <v>0</v>
      </c>
      <c r="AT51">
        <v>552989</v>
      </c>
      <c r="AU51">
        <v>0</v>
      </c>
      <c r="AV51">
        <v>3735076</v>
      </c>
      <c r="AW51">
        <v>0</v>
      </c>
      <c r="AX51">
        <v>76640</v>
      </c>
      <c r="AY51">
        <v>496374</v>
      </c>
      <c r="AZ51">
        <v>13825</v>
      </c>
      <c r="BA51">
        <v>0</v>
      </c>
      <c r="BB51">
        <v>0</v>
      </c>
      <c r="BC51">
        <v>0</v>
      </c>
      <c r="BD51">
        <v>217472</v>
      </c>
      <c r="BE51">
        <v>0</v>
      </c>
      <c r="BF51">
        <v>0</v>
      </c>
      <c r="BG51">
        <v>0</v>
      </c>
      <c r="BH51">
        <v>0</v>
      </c>
      <c r="BI51">
        <v>474</v>
      </c>
      <c r="BJ51">
        <v>0</v>
      </c>
      <c r="BK51">
        <v>140972</v>
      </c>
      <c r="BN51">
        <v>0</v>
      </c>
      <c r="BO51">
        <v>39115</v>
      </c>
      <c r="BP51">
        <v>12100</v>
      </c>
      <c r="BQ51">
        <v>0</v>
      </c>
      <c r="BR51">
        <v>25500</v>
      </c>
      <c r="BS51">
        <v>0</v>
      </c>
      <c r="BT51">
        <v>341062</v>
      </c>
      <c r="BU51">
        <v>10200</v>
      </c>
      <c r="BV51">
        <v>0</v>
      </c>
      <c r="BW51">
        <v>107630</v>
      </c>
      <c r="BX51">
        <v>81232</v>
      </c>
      <c r="BY51">
        <v>0</v>
      </c>
      <c r="BZ51">
        <v>21695</v>
      </c>
      <c r="CA51">
        <v>49000</v>
      </c>
      <c r="CB51">
        <v>24280</v>
      </c>
      <c r="CD51">
        <v>0</v>
      </c>
    </row>
    <row r="52" spans="1:82" x14ac:dyDescent="0.3">
      <c r="A52">
        <v>328</v>
      </c>
      <c r="B52" t="s">
        <v>304</v>
      </c>
      <c r="E52">
        <v>0</v>
      </c>
      <c r="G52">
        <v>0</v>
      </c>
      <c r="H52">
        <v>0</v>
      </c>
      <c r="I52">
        <v>0</v>
      </c>
      <c r="J52">
        <v>0</v>
      </c>
      <c r="K52">
        <v>0</v>
      </c>
      <c r="L52">
        <v>0</v>
      </c>
      <c r="M52">
        <v>0</v>
      </c>
      <c r="N52">
        <v>0</v>
      </c>
      <c r="O52">
        <v>2546706</v>
      </c>
      <c r="P52">
        <v>0</v>
      </c>
      <c r="Q52">
        <v>4648155</v>
      </c>
      <c r="R52">
        <v>0</v>
      </c>
      <c r="S52">
        <v>0</v>
      </c>
      <c r="T52">
        <v>30319942</v>
      </c>
      <c r="U52">
        <v>314628</v>
      </c>
      <c r="V52">
        <v>0</v>
      </c>
      <c r="W52">
        <v>0</v>
      </c>
      <c r="Y52">
        <v>285411</v>
      </c>
      <c r="Z52">
        <v>41000</v>
      </c>
      <c r="AA52">
        <v>3969878</v>
      </c>
      <c r="AB52">
        <v>5664018</v>
      </c>
      <c r="AC52">
        <v>395355</v>
      </c>
      <c r="AD52">
        <v>1131038</v>
      </c>
      <c r="AE52">
        <v>242350</v>
      </c>
      <c r="AF52">
        <v>848866</v>
      </c>
      <c r="AG52">
        <v>0</v>
      </c>
      <c r="AH52">
        <v>0</v>
      </c>
      <c r="AI52">
        <v>5658575</v>
      </c>
      <c r="AJ52">
        <v>0</v>
      </c>
      <c r="AM52">
        <v>5505865</v>
      </c>
      <c r="AN52">
        <v>0</v>
      </c>
      <c r="AO52">
        <v>134600</v>
      </c>
      <c r="AP52">
        <v>0</v>
      </c>
      <c r="AQ52">
        <v>0</v>
      </c>
      <c r="AR52">
        <v>3721169</v>
      </c>
      <c r="AS52">
        <v>0</v>
      </c>
      <c r="AT52">
        <v>7050655</v>
      </c>
      <c r="AU52">
        <v>0</v>
      </c>
      <c r="AV52">
        <v>0</v>
      </c>
      <c r="AW52">
        <v>0</v>
      </c>
      <c r="AX52">
        <v>9582212</v>
      </c>
      <c r="AY52">
        <v>0</v>
      </c>
      <c r="AZ52">
        <v>0</v>
      </c>
      <c r="BA52">
        <v>0</v>
      </c>
      <c r="BB52">
        <v>0</v>
      </c>
      <c r="BC52">
        <v>0</v>
      </c>
      <c r="BD52">
        <v>40606873</v>
      </c>
      <c r="BE52">
        <v>0</v>
      </c>
      <c r="BF52">
        <v>3000</v>
      </c>
      <c r="BG52">
        <v>1947194</v>
      </c>
      <c r="BH52">
        <v>0</v>
      </c>
      <c r="BI52">
        <v>54000</v>
      </c>
      <c r="BJ52">
        <v>0</v>
      </c>
      <c r="BK52">
        <v>2091357</v>
      </c>
      <c r="BN52">
        <v>88702</v>
      </c>
      <c r="BO52">
        <v>2555455</v>
      </c>
      <c r="BP52">
        <v>0</v>
      </c>
      <c r="BQ52">
        <v>0</v>
      </c>
      <c r="BR52">
        <v>1767841</v>
      </c>
      <c r="BS52">
        <v>0</v>
      </c>
      <c r="BT52">
        <v>136189</v>
      </c>
      <c r="BU52">
        <v>5628609</v>
      </c>
      <c r="BV52">
        <v>0</v>
      </c>
      <c r="BW52">
        <v>0</v>
      </c>
      <c r="BX52">
        <v>40000</v>
      </c>
      <c r="BY52">
        <v>0</v>
      </c>
      <c r="BZ52">
        <v>90700</v>
      </c>
      <c r="CA52">
        <v>0</v>
      </c>
      <c r="CB52">
        <v>1527928</v>
      </c>
      <c r="CD52">
        <v>0</v>
      </c>
    </row>
    <row r="53" spans="1:82" x14ac:dyDescent="0.3">
      <c r="A53">
        <v>331</v>
      </c>
      <c r="B53" t="s">
        <v>238</v>
      </c>
      <c r="E53">
        <v>0</v>
      </c>
      <c r="G53">
        <v>0</v>
      </c>
      <c r="H53">
        <v>0</v>
      </c>
      <c r="I53">
        <v>0</v>
      </c>
      <c r="J53">
        <v>9000</v>
      </c>
      <c r="K53">
        <v>0</v>
      </c>
      <c r="L53">
        <v>0</v>
      </c>
      <c r="M53">
        <v>0</v>
      </c>
      <c r="N53">
        <v>0</v>
      </c>
      <c r="O53">
        <v>195796</v>
      </c>
      <c r="P53">
        <v>0</v>
      </c>
      <c r="Q53">
        <v>1280134</v>
      </c>
      <c r="R53">
        <v>40322</v>
      </c>
      <c r="S53">
        <v>0</v>
      </c>
      <c r="T53">
        <v>4458000</v>
      </c>
      <c r="U53">
        <v>1217750</v>
      </c>
      <c r="V53">
        <v>1704141</v>
      </c>
      <c r="W53">
        <v>0</v>
      </c>
      <c r="Y53">
        <v>724071</v>
      </c>
      <c r="Z53">
        <v>174043</v>
      </c>
      <c r="AA53">
        <v>493722</v>
      </c>
      <c r="AB53">
        <v>192706</v>
      </c>
      <c r="AC53">
        <v>160996</v>
      </c>
      <c r="AD53">
        <v>242958</v>
      </c>
      <c r="AE53">
        <v>106512</v>
      </c>
      <c r="AF53">
        <v>28218</v>
      </c>
      <c r="AG53">
        <v>35600</v>
      </c>
      <c r="AH53">
        <v>0</v>
      </c>
      <c r="AI53">
        <v>4825860</v>
      </c>
      <c r="AJ53">
        <v>0</v>
      </c>
      <c r="AM53">
        <v>1135568</v>
      </c>
      <c r="AN53">
        <v>22000</v>
      </c>
      <c r="AO53">
        <v>40862</v>
      </c>
      <c r="AP53">
        <v>0</v>
      </c>
      <c r="AQ53">
        <v>0</v>
      </c>
      <c r="AR53">
        <v>98660</v>
      </c>
      <c r="AS53">
        <v>0</v>
      </c>
      <c r="AT53">
        <v>382301</v>
      </c>
      <c r="AU53">
        <v>0</v>
      </c>
      <c r="AV53">
        <v>4306582</v>
      </c>
      <c r="AW53">
        <v>0</v>
      </c>
      <c r="AX53">
        <v>418233</v>
      </c>
      <c r="AY53">
        <v>0</v>
      </c>
      <c r="AZ53">
        <v>36000</v>
      </c>
      <c r="BA53">
        <v>0</v>
      </c>
      <c r="BB53">
        <v>0</v>
      </c>
      <c r="BC53">
        <v>0</v>
      </c>
      <c r="BD53">
        <v>1500945</v>
      </c>
      <c r="BE53">
        <v>0</v>
      </c>
      <c r="BF53">
        <v>29802</v>
      </c>
      <c r="BG53">
        <v>0</v>
      </c>
      <c r="BH53">
        <v>0</v>
      </c>
      <c r="BI53">
        <v>5557</v>
      </c>
      <c r="BJ53">
        <v>0</v>
      </c>
      <c r="BK53">
        <v>262917</v>
      </c>
      <c r="BN53">
        <v>87500</v>
      </c>
      <c r="BO53">
        <v>63483</v>
      </c>
      <c r="BP53">
        <v>0</v>
      </c>
      <c r="BQ53">
        <v>0</v>
      </c>
      <c r="BR53">
        <v>81491</v>
      </c>
      <c r="BS53">
        <v>0</v>
      </c>
      <c r="BT53">
        <v>20306</v>
      </c>
      <c r="BU53">
        <v>129625</v>
      </c>
      <c r="BV53">
        <v>0</v>
      </c>
      <c r="BW53">
        <v>174351</v>
      </c>
      <c r="BX53">
        <v>0</v>
      </c>
      <c r="BY53">
        <v>0</v>
      </c>
      <c r="BZ53">
        <v>38583</v>
      </c>
      <c r="CA53">
        <v>8000</v>
      </c>
      <c r="CB53">
        <v>92046</v>
      </c>
      <c r="CD53">
        <v>0</v>
      </c>
    </row>
    <row r="54" spans="1:82" x14ac:dyDescent="0.3">
      <c r="A54">
        <v>332</v>
      </c>
      <c r="B54" t="s">
        <v>239</v>
      </c>
      <c r="E54">
        <v>0</v>
      </c>
      <c r="G54">
        <v>0</v>
      </c>
      <c r="H54">
        <v>0</v>
      </c>
      <c r="I54">
        <v>0</v>
      </c>
      <c r="J54">
        <v>0</v>
      </c>
      <c r="K54">
        <v>0</v>
      </c>
      <c r="L54">
        <v>0</v>
      </c>
      <c r="M54">
        <v>0</v>
      </c>
      <c r="N54">
        <v>0</v>
      </c>
      <c r="O54">
        <v>383256</v>
      </c>
      <c r="P54">
        <v>0</v>
      </c>
      <c r="Q54">
        <v>11076241</v>
      </c>
      <c r="R54">
        <v>47512</v>
      </c>
      <c r="S54">
        <v>0</v>
      </c>
      <c r="T54">
        <v>14794635</v>
      </c>
      <c r="U54">
        <v>639664</v>
      </c>
      <c r="V54">
        <v>1652639</v>
      </c>
      <c r="W54">
        <v>0</v>
      </c>
      <c r="Y54">
        <v>891253</v>
      </c>
      <c r="Z54">
        <v>68347</v>
      </c>
      <c r="AA54">
        <v>4253205</v>
      </c>
      <c r="AB54">
        <v>2054518</v>
      </c>
      <c r="AC54">
        <v>389429</v>
      </c>
      <c r="AD54">
        <v>801945</v>
      </c>
      <c r="AE54">
        <v>411213</v>
      </c>
      <c r="AF54">
        <v>1653446</v>
      </c>
      <c r="AG54">
        <v>513881</v>
      </c>
      <c r="AH54">
        <v>0</v>
      </c>
      <c r="AI54">
        <v>6036486</v>
      </c>
      <c r="AJ54">
        <v>19678</v>
      </c>
      <c r="AM54">
        <v>3894711</v>
      </c>
      <c r="AN54">
        <v>0</v>
      </c>
      <c r="AO54">
        <v>0</v>
      </c>
      <c r="AP54">
        <v>0</v>
      </c>
      <c r="AQ54">
        <v>0</v>
      </c>
      <c r="AR54">
        <v>949398</v>
      </c>
      <c r="AS54">
        <v>0</v>
      </c>
      <c r="AT54">
        <v>1923630</v>
      </c>
      <c r="AU54">
        <v>0</v>
      </c>
      <c r="AV54">
        <v>369351</v>
      </c>
      <c r="AW54">
        <v>0</v>
      </c>
      <c r="AX54">
        <v>2804337</v>
      </c>
      <c r="AY54">
        <v>137874</v>
      </c>
      <c r="AZ54">
        <v>176572</v>
      </c>
      <c r="BA54">
        <v>0</v>
      </c>
      <c r="BB54">
        <v>0</v>
      </c>
      <c r="BC54">
        <v>0</v>
      </c>
      <c r="BD54">
        <v>9653251</v>
      </c>
      <c r="BE54">
        <v>0</v>
      </c>
      <c r="BF54">
        <v>44250</v>
      </c>
      <c r="BG54">
        <v>0</v>
      </c>
      <c r="BH54">
        <v>0</v>
      </c>
      <c r="BI54">
        <v>9895</v>
      </c>
      <c r="BJ54">
        <v>0</v>
      </c>
      <c r="BK54">
        <v>2152604</v>
      </c>
      <c r="BN54">
        <v>20776</v>
      </c>
      <c r="BO54">
        <v>751515</v>
      </c>
      <c r="BP54">
        <v>0</v>
      </c>
      <c r="BQ54">
        <v>0</v>
      </c>
      <c r="BR54">
        <v>0</v>
      </c>
      <c r="BS54">
        <v>0</v>
      </c>
      <c r="BT54">
        <v>54946</v>
      </c>
      <c r="BU54">
        <v>2180334</v>
      </c>
      <c r="BV54">
        <v>0</v>
      </c>
      <c r="BW54">
        <v>451348</v>
      </c>
      <c r="BX54">
        <v>128147</v>
      </c>
      <c r="BY54">
        <v>0</v>
      </c>
      <c r="BZ54">
        <v>150079</v>
      </c>
      <c r="CA54">
        <v>0</v>
      </c>
      <c r="CB54">
        <v>1363993</v>
      </c>
      <c r="CD54">
        <v>0</v>
      </c>
    </row>
    <row r="55" spans="1:82" x14ac:dyDescent="0.3">
      <c r="A55">
        <v>333</v>
      </c>
      <c r="B55" t="s">
        <v>176</v>
      </c>
      <c r="E55">
        <v>152482</v>
      </c>
      <c r="G55">
        <v>5977415</v>
      </c>
      <c r="H55">
        <v>7725485</v>
      </c>
      <c r="I55">
        <v>7983476</v>
      </c>
      <c r="J55">
        <v>179148</v>
      </c>
      <c r="K55">
        <v>1346997</v>
      </c>
      <c r="L55">
        <v>1019971</v>
      </c>
      <c r="M55">
        <v>10088074</v>
      </c>
      <c r="N55">
        <v>853719</v>
      </c>
      <c r="O55">
        <v>9152731</v>
      </c>
      <c r="P55">
        <v>421226</v>
      </c>
      <c r="Q55">
        <v>55532897</v>
      </c>
      <c r="R55">
        <v>1247235</v>
      </c>
      <c r="S55">
        <v>142604</v>
      </c>
      <c r="T55">
        <v>87402572</v>
      </c>
      <c r="U55">
        <v>18927509</v>
      </c>
      <c r="V55">
        <v>36144646</v>
      </c>
      <c r="W55">
        <v>45028017</v>
      </c>
      <c r="Y55">
        <v>19110763</v>
      </c>
      <c r="Z55">
        <v>1089450</v>
      </c>
      <c r="AA55">
        <v>24823128</v>
      </c>
      <c r="AB55">
        <v>2293860</v>
      </c>
      <c r="AC55">
        <v>2659485</v>
      </c>
      <c r="AD55">
        <v>1984756</v>
      </c>
      <c r="AE55">
        <v>3958609</v>
      </c>
      <c r="AF55">
        <v>14557118</v>
      </c>
      <c r="AG55">
        <v>5599532</v>
      </c>
      <c r="AH55">
        <v>2214388</v>
      </c>
      <c r="AI55">
        <v>32534005</v>
      </c>
      <c r="AJ55">
        <v>4274441</v>
      </c>
      <c r="AM55">
        <v>13440806</v>
      </c>
      <c r="AN55">
        <v>803495</v>
      </c>
      <c r="AO55">
        <v>1064686</v>
      </c>
      <c r="AP55">
        <v>105935</v>
      </c>
      <c r="AQ55">
        <v>18890510</v>
      </c>
      <c r="AR55">
        <v>25415145</v>
      </c>
      <c r="AS55">
        <v>510048</v>
      </c>
      <c r="AT55">
        <v>1674270</v>
      </c>
      <c r="AU55">
        <v>238354</v>
      </c>
      <c r="AV55">
        <v>53926820</v>
      </c>
      <c r="AW55">
        <v>2855411</v>
      </c>
      <c r="AX55">
        <v>1223600</v>
      </c>
      <c r="AY55">
        <v>14425549</v>
      </c>
      <c r="AZ55">
        <v>2892628</v>
      </c>
      <c r="BA55">
        <v>668711</v>
      </c>
      <c r="BB55">
        <v>145225</v>
      </c>
      <c r="BC55">
        <v>945806</v>
      </c>
      <c r="BD55">
        <v>9672814</v>
      </c>
      <c r="BE55">
        <v>713776</v>
      </c>
      <c r="BF55">
        <v>957596</v>
      </c>
      <c r="BG55">
        <v>227676</v>
      </c>
      <c r="BH55">
        <v>367033</v>
      </c>
      <c r="BI55">
        <v>499029</v>
      </c>
      <c r="BJ55">
        <v>302214</v>
      </c>
      <c r="BK55">
        <v>967150</v>
      </c>
      <c r="BN55">
        <v>7591391</v>
      </c>
      <c r="BO55">
        <v>1764942</v>
      </c>
      <c r="BP55">
        <v>1746853</v>
      </c>
      <c r="BQ55">
        <v>20531499</v>
      </c>
      <c r="BR55">
        <v>492840</v>
      </c>
      <c r="BS55">
        <v>26163527</v>
      </c>
      <c r="BT55">
        <v>735051</v>
      </c>
      <c r="BU55">
        <v>9123648</v>
      </c>
      <c r="BV55">
        <v>2683352</v>
      </c>
      <c r="BW55">
        <v>2352321</v>
      </c>
      <c r="BX55">
        <v>2233119</v>
      </c>
      <c r="BY55">
        <v>232489</v>
      </c>
      <c r="BZ55">
        <v>361557</v>
      </c>
      <c r="CA55">
        <v>186656</v>
      </c>
      <c r="CB55">
        <v>927596</v>
      </c>
      <c r="CD55">
        <v>399584</v>
      </c>
    </row>
    <row r="56" spans="1:82" x14ac:dyDescent="0.3">
      <c r="A56">
        <v>334</v>
      </c>
      <c r="B56" t="s">
        <v>261</v>
      </c>
      <c r="E56">
        <v>257987</v>
      </c>
      <c r="G56">
        <v>8248045</v>
      </c>
      <c r="H56">
        <v>1914520</v>
      </c>
      <c r="I56">
        <v>5957009</v>
      </c>
      <c r="J56">
        <v>71608</v>
      </c>
      <c r="K56">
        <v>1154352</v>
      </c>
      <c r="L56">
        <v>818380</v>
      </c>
      <c r="M56">
        <v>116615811</v>
      </c>
      <c r="N56">
        <v>859835</v>
      </c>
      <c r="O56">
        <v>14542882</v>
      </c>
      <c r="P56">
        <v>253777</v>
      </c>
      <c r="Q56">
        <v>172003701</v>
      </c>
      <c r="R56">
        <v>6736800</v>
      </c>
      <c r="S56">
        <v>309406</v>
      </c>
      <c r="T56">
        <v>195539924</v>
      </c>
      <c r="U56">
        <v>54665124</v>
      </c>
      <c r="V56">
        <v>105285844</v>
      </c>
      <c r="W56">
        <v>172508831</v>
      </c>
      <c r="Y56">
        <v>54835264</v>
      </c>
      <c r="Z56">
        <v>3680787</v>
      </c>
      <c r="AA56">
        <v>35242561</v>
      </c>
      <c r="AB56">
        <v>12639984</v>
      </c>
      <c r="AC56">
        <v>5831099</v>
      </c>
      <c r="AD56">
        <v>4669493</v>
      </c>
      <c r="AE56">
        <v>8061120</v>
      </c>
      <c r="AF56">
        <v>130250805</v>
      </c>
      <c r="AG56">
        <v>12703261</v>
      </c>
      <c r="AH56">
        <v>3989859</v>
      </c>
      <c r="AI56">
        <v>85620258</v>
      </c>
      <c r="AJ56">
        <v>5616567</v>
      </c>
      <c r="AM56">
        <v>42459063</v>
      </c>
      <c r="AN56">
        <v>648830</v>
      </c>
      <c r="AO56">
        <v>947919</v>
      </c>
      <c r="AP56">
        <v>152271</v>
      </c>
      <c r="AQ56">
        <v>36709394</v>
      </c>
      <c r="AR56">
        <v>51165981</v>
      </c>
      <c r="AS56">
        <v>615568</v>
      </c>
      <c r="AT56">
        <v>4832673</v>
      </c>
      <c r="AU56">
        <v>472629</v>
      </c>
      <c r="AV56">
        <v>33279868</v>
      </c>
      <c r="AW56">
        <v>7254830</v>
      </c>
      <c r="AX56">
        <v>5988867</v>
      </c>
      <c r="AY56">
        <v>14713051</v>
      </c>
      <c r="AZ56">
        <v>3656130</v>
      </c>
      <c r="BA56">
        <v>3356799</v>
      </c>
      <c r="BB56">
        <v>0</v>
      </c>
      <c r="BC56">
        <v>51706</v>
      </c>
      <c r="BD56">
        <v>17343001</v>
      </c>
      <c r="BE56">
        <v>127824</v>
      </c>
      <c r="BF56">
        <v>388338</v>
      </c>
      <c r="BG56">
        <v>420904</v>
      </c>
      <c r="BH56">
        <v>199999</v>
      </c>
      <c r="BI56">
        <v>528367</v>
      </c>
      <c r="BJ56">
        <v>270427</v>
      </c>
      <c r="BK56">
        <v>12405614</v>
      </c>
      <c r="BN56">
        <v>11251287</v>
      </c>
      <c r="BO56">
        <v>3415889</v>
      </c>
      <c r="BP56">
        <v>5196736</v>
      </c>
      <c r="BQ56">
        <v>52925308</v>
      </c>
      <c r="BR56">
        <v>2240382</v>
      </c>
      <c r="BS56">
        <v>44313687</v>
      </c>
      <c r="BT56">
        <v>2923632</v>
      </c>
      <c r="BU56">
        <v>6615587</v>
      </c>
      <c r="BV56">
        <v>3735574</v>
      </c>
      <c r="BW56">
        <v>6951523</v>
      </c>
      <c r="BX56">
        <v>1139189</v>
      </c>
      <c r="BY56">
        <v>197209</v>
      </c>
      <c r="BZ56">
        <v>1729124</v>
      </c>
      <c r="CA56">
        <v>174834</v>
      </c>
      <c r="CB56">
        <v>2213624</v>
      </c>
      <c r="CD56">
        <v>218475</v>
      </c>
    </row>
    <row r="57" spans="1:82" x14ac:dyDescent="0.3">
      <c r="A57">
        <v>335</v>
      </c>
      <c r="B57" t="s">
        <v>109</v>
      </c>
      <c r="E57">
        <v>0</v>
      </c>
      <c r="G57">
        <v>0</v>
      </c>
      <c r="H57">
        <v>0</v>
      </c>
      <c r="I57">
        <v>597675</v>
      </c>
      <c r="J57">
        <v>0</v>
      </c>
      <c r="K57">
        <v>0</v>
      </c>
      <c r="L57">
        <v>70363</v>
      </c>
      <c r="M57">
        <v>4608362</v>
      </c>
      <c r="N57">
        <v>0</v>
      </c>
      <c r="O57">
        <v>0</v>
      </c>
      <c r="P57">
        <v>0</v>
      </c>
      <c r="Q57">
        <v>1922</v>
      </c>
      <c r="R57">
        <v>0</v>
      </c>
      <c r="S57">
        <v>30188</v>
      </c>
      <c r="T57">
        <v>1745684</v>
      </c>
      <c r="U57">
        <v>66280</v>
      </c>
      <c r="V57">
        <v>0</v>
      </c>
      <c r="W57">
        <v>0</v>
      </c>
      <c r="Y57">
        <v>1660724</v>
      </c>
      <c r="Z57">
        <v>0</v>
      </c>
      <c r="AA57">
        <v>0</v>
      </c>
      <c r="AB57">
        <v>0</v>
      </c>
      <c r="AC57">
        <v>0</v>
      </c>
      <c r="AD57">
        <v>0</v>
      </c>
      <c r="AE57">
        <v>0</v>
      </c>
      <c r="AF57">
        <v>167218</v>
      </c>
      <c r="AG57">
        <v>0</v>
      </c>
      <c r="AH57">
        <v>0</v>
      </c>
      <c r="AI57">
        <v>0</v>
      </c>
      <c r="AJ57">
        <v>0</v>
      </c>
      <c r="AM57">
        <v>3375654</v>
      </c>
      <c r="AN57">
        <v>26865</v>
      </c>
      <c r="AO57">
        <v>0</v>
      </c>
      <c r="AP57">
        <v>37816</v>
      </c>
      <c r="AQ57">
        <v>0</v>
      </c>
      <c r="AR57">
        <v>0</v>
      </c>
      <c r="AS57">
        <v>0</v>
      </c>
      <c r="AT57">
        <v>146572</v>
      </c>
      <c r="AU57">
        <v>0</v>
      </c>
      <c r="AV57">
        <v>0</v>
      </c>
      <c r="AW57">
        <v>1731102</v>
      </c>
      <c r="AX57">
        <v>0</v>
      </c>
      <c r="AY57">
        <v>0</v>
      </c>
      <c r="AZ57">
        <v>0</v>
      </c>
      <c r="BA57">
        <v>0</v>
      </c>
      <c r="BB57">
        <v>0</v>
      </c>
      <c r="BC57">
        <v>0</v>
      </c>
      <c r="BD57">
        <v>0</v>
      </c>
      <c r="BE57">
        <v>0</v>
      </c>
      <c r="BF57">
        <v>0</v>
      </c>
      <c r="BG57">
        <v>78235</v>
      </c>
      <c r="BH57">
        <v>0</v>
      </c>
      <c r="BI57">
        <v>0</v>
      </c>
      <c r="BJ57">
        <v>0</v>
      </c>
      <c r="BK57">
        <v>0</v>
      </c>
      <c r="BN57">
        <v>0</v>
      </c>
      <c r="BO57">
        <v>0</v>
      </c>
      <c r="BP57">
        <v>0</v>
      </c>
      <c r="BQ57">
        <v>0</v>
      </c>
      <c r="BR57">
        <v>0</v>
      </c>
      <c r="BS57">
        <v>0</v>
      </c>
      <c r="BT57">
        <v>0</v>
      </c>
      <c r="BU57">
        <v>0</v>
      </c>
      <c r="BV57">
        <v>0</v>
      </c>
      <c r="BW57">
        <v>577475</v>
      </c>
      <c r="BX57">
        <v>0</v>
      </c>
      <c r="BY57">
        <v>55719</v>
      </c>
      <c r="BZ57">
        <v>66108</v>
      </c>
      <c r="CA57">
        <v>0</v>
      </c>
      <c r="CB57">
        <v>0</v>
      </c>
      <c r="CD57">
        <v>0</v>
      </c>
    </row>
    <row r="58" spans="1:82" x14ac:dyDescent="0.3">
      <c r="A58">
        <v>336</v>
      </c>
      <c r="B58" t="s">
        <v>882</v>
      </c>
      <c r="E58">
        <v>44372</v>
      </c>
      <c r="G58">
        <v>456968</v>
      </c>
      <c r="H58">
        <v>130761</v>
      </c>
      <c r="I58">
        <v>85549</v>
      </c>
      <c r="J58">
        <v>413</v>
      </c>
      <c r="K58">
        <v>41769</v>
      </c>
      <c r="L58">
        <v>9341</v>
      </c>
      <c r="M58">
        <v>5864320</v>
      </c>
      <c r="N58">
        <v>36680</v>
      </c>
      <c r="O58">
        <v>171171</v>
      </c>
      <c r="P58">
        <v>2448</v>
      </c>
      <c r="Q58">
        <v>8588110</v>
      </c>
      <c r="R58">
        <v>96081</v>
      </c>
      <c r="S58">
        <v>30909</v>
      </c>
      <c r="T58">
        <v>15892876</v>
      </c>
      <c r="U58">
        <v>2019712</v>
      </c>
      <c r="V58">
        <v>3511874</v>
      </c>
      <c r="W58">
        <v>13958340</v>
      </c>
      <c r="Y58">
        <v>3328217</v>
      </c>
      <c r="Z58">
        <v>310776</v>
      </c>
      <c r="AA58">
        <v>2110306</v>
      </c>
      <c r="AB58">
        <v>479608</v>
      </c>
      <c r="AC58">
        <v>412576</v>
      </c>
      <c r="AD58">
        <v>71161</v>
      </c>
      <c r="AE58">
        <v>208980</v>
      </c>
      <c r="AF58">
        <v>5148630</v>
      </c>
      <c r="AG58">
        <v>438619</v>
      </c>
      <c r="AH58">
        <v>31571</v>
      </c>
      <c r="AI58">
        <v>6071163</v>
      </c>
      <c r="AJ58">
        <v>224916</v>
      </c>
      <c r="AM58">
        <v>7858202</v>
      </c>
      <c r="AN58">
        <v>42616</v>
      </c>
      <c r="AO58">
        <v>73110</v>
      </c>
      <c r="AP58">
        <v>42355</v>
      </c>
      <c r="AQ58">
        <v>2360003</v>
      </c>
      <c r="AR58">
        <v>248844</v>
      </c>
      <c r="AS58">
        <v>18669</v>
      </c>
      <c r="AT58">
        <v>296312</v>
      </c>
      <c r="AU58">
        <v>11526</v>
      </c>
      <c r="AV58">
        <v>10518521</v>
      </c>
      <c r="AW58">
        <v>2492535</v>
      </c>
      <c r="AX58">
        <v>68056</v>
      </c>
      <c r="AY58">
        <v>1293980</v>
      </c>
      <c r="AZ58">
        <v>287478</v>
      </c>
      <c r="BA58">
        <v>70101</v>
      </c>
      <c r="BB58">
        <v>0</v>
      </c>
      <c r="BC58">
        <v>11956</v>
      </c>
      <c r="BD58">
        <v>726725</v>
      </c>
      <c r="BE58">
        <v>1227</v>
      </c>
      <c r="BF58">
        <v>15322</v>
      </c>
      <c r="BG58">
        <v>30925</v>
      </c>
      <c r="BH58">
        <v>1461</v>
      </c>
      <c r="BI58">
        <v>3548</v>
      </c>
      <c r="BJ58">
        <v>6125</v>
      </c>
      <c r="BK58">
        <v>326729</v>
      </c>
      <c r="BN58">
        <v>551115</v>
      </c>
      <c r="BO58">
        <v>92474</v>
      </c>
      <c r="BP58">
        <v>21215</v>
      </c>
      <c r="BQ58">
        <v>1576869</v>
      </c>
      <c r="BR58">
        <v>118986</v>
      </c>
      <c r="BS58">
        <v>5019623</v>
      </c>
      <c r="BT58">
        <v>66927</v>
      </c>
      <c r="BU58">
        <v>378515</v>
      </c>
      <c r="BV58">
        <v>29756</v>
      </c>
      <c r="BW58">
        <v>276029</v>
      </c>
      <c r="BX58">
        <v>54314</v>
      </c>
      <c r="BY58">
        <v>61154</v>
      </c>
      <c r="BZ58">
        <v>1230094</v>
      </c>
      <c r="CA58">
        <v>8653</v>
      </c>
      <c r="CB58">
        <v>202816</v>
      </c>
      <c r="CD58">
        <v>26463</v>
      </c>
    </row>
    <row r="59" spans="1:82" x14ac:dyDescent="0.3">
      <c r="A59">
        <v>337</v>
      </c>
      <c r="B59" t="s">
        <v>245</v>
      </c>
      <c r="E59">
        <v>0</v>
      </c>
      <c r="G59">
        <v>105489</v>
      </c>
      <c r="H59">
        <v>0</v>
      </c>
      <c r="I59">
        <v>0</v>
      </c>
      <c r="J59">
        <v>0</v>
      </c>
      <c r="K59">
        <v>0</v>
      </c>
      <c r="L59">
        <v>0</v>
      </c>
      <c r="M59">
        <v>1267482</v>
      </c>
      <c r="N59">
        <v>3621</v>
      </c>
      <c r="O59">
        <v>300000</v>
      </c>
      <c r="P59">
        <v>0</v>
      </c>
      <c r="Q59">
        <v>26807126</v>
      </c>
      <c r="R59">
        <v>781932</v>
      </c>
      <c r="S59">
        <v>0</v>
      </c>
      <c r="T59">
        <v>65551162</v>
      </c>
      <c r="U59">
        <v>9055401</v>
      </c>
      <c r="V59">
        <v>5870595</v>
      </c>
      <c r="W59">
        <v>41499728</v>
      </c>
      <c r="Y59">
        <v>1372459</v>
      </c>
      <c r="Z59">
        <v>0</v>
      </c>
      <c r="AA59">
        <v>11136444</v>
      </c>
      <c r="AB59">
        <v>767793</v>
      </c>
      <c r="AC59">
        <v>4007908</v>
      </c>
      <c r="AD59">
        <v>0</v>
      </c>
      <c r="AE59">
        <v>1717669</v>
      </c>
      <c r="AF59">
        <v>20796153</v>
      </c>
      <c r="AG59">
        <v>287114</v>
      </c>
      <c r="AH59">
        <v>176548</v>
      </c>
      <c r="AI59">
        <v>11000797</v>
      </c>
      <c r="AJ59">
        <v>0</v>
      </c>
      <c r="AM59">
        <v>8591954</v>
      </c>
      <c r="AN59">
        <v>0</v>
      </c>
      <c r="AO59">
        <v>206480</v>
      </c>
      <c r="AP59">
        <v>0</v>
      </c>
      <c r="AQ59">
        <v>14264143</v>
      </c>
      <c r="AR59">
        <v>0</v>
      </c>
      <c r="AS59">
        <v>27821</v>
      </c>
      <c r="AT59">
        <v>435626</v>
      </c>
      <c r="AU59">
        <v>0</v>
      </c>
      <c r="AV59">
        <v>10061294</v>
      </c>
      <c r="AW59">
        <v>2983333</v>
      </c>
      <c r="AX59">
        <v>0</v>
      </c>
      <c r="AY59">
        <v>7364881</v>
      </c>
      <c r="AZ59">
        <v>0</v>
      </c>
      <c r="BA59">
        <v>0</v>
      </c>
      <c r="BB59">
        <v>0</v>
      </c>
      <c r="BC59">
        <v>0</v>
      </c>
      <c r="BD59">
        <v>1446366</v>
      </c>
      <c r="BE59">
        <v>0</v>
      </c>
      <c r="BF59">
        <v>0</v>
      </c>
      <c r="BG59">
        <v>58857</v>
      </c>
      <c r="BH59">
        <v>0</v>
      </c>
      <c r="BI59">
        <v>0</v>
      </c>
      <c r="BJ59">
        <v>0</v>
      </c>
      <c r="BK59">
        <v>1660507</v>
      </c>
      <c r="BN59">
        <v>1041637</v>
      </c>
      <c r="BO59">
        <v>753598</v>
      </c>
      <c r="BP59">
        <v>1077696</v>
      </c>
      <c r="BQ59">
        <v>374055</v>
      </c>
      <c r="BR59">
        <v>273621</v>
      </c>
      <c r="BS59">
        <v>19500000</v>
      </c>
      <c r="BT59">
        <v>197871</v>
      </c>
      <c r="BU59">
        <v>151716</v>
      </c>
      <c r="BV59">
        <v>0</v>
      </c>
      <c r="BW59">
        <v>218083</v>
      </c>
      <c r="BX59">
        <v>4212</v>
      </c>
      <c r="BY59">
        <v>0</v>
      </c>
      <c r="BZ59">
        <v>0</v>
      </c>
      <c r="CA59">
        <v>0</v>
      </c>
      <c r="CB59">
        <v>424894</v>
      </c>
      <c r="CD59">
        <v>0</v>
      </c>
    </row>
    <row r="60" spans="1:82" x14ac:dyDescent="0.3">
      <c r="A60">
        <v>338</v>
      </c>
      <c r="B60" t="s">
        <v>108</v>
      </c>
      <c r="E60">
        <v>66779</v>
      </c>
      <c r="G60">
        <v>1127895</v>
      </c>
      <c r="H60">
        <v>155121</v>
      </c>
      <c r="I60">
        <v>1122928</v>
      </c>
      <c r="J60">
        <v>413</v>
      </c>
      <c r="K60">
        <v>82567</v>
      </c>
      <c r="L60">
        <v>79704</v>
      </c>
      <c r="M60">
        <v>20281745</v>
      </c>
      <c r="N60">
        <v>366655</v>
      </c>
      <c r="O60">
        <v>2592626</v>
      </c>
      <c r="P60">
        <v>2448</v>
      </c>
      <c r="Q60">
        <v>98560032</v>
      </c>
      <c r="R60">
        <v>1586313</v>
      </c>
      <c r="S60">
        <v>30909</v>
      </c>
      <c r="T60">
        <v>174656069</v>
      </c>
      <c r="U60">
        <v>27878572</v>
      </c>
      <c r="V60">
        <v>35478079</v>
      </c>
      <c r="W60">
        <v>77344858</v>
      </c>
      <c r="Y60">
        <v>11211220</v>
      </c>
      <c r="Z60">
        <v>854193</v>
      </c>
      <c r="AA60">
        <v>24360808</v>
      </c>
      <c r="AB60">
        <v>3191553</v>
      </c>
      <c r="AC60">
        <v>4409982</v>
      </c>
      <c r="AD60">
        <v>1007928</v>
      </c>
      <c r="AE60">
        <v>3148593</v>
      </c>
      <c r="AF60">
        <v>37602306</v>
      </c>
      <c r="AG60">
        <v>4192944</v>
      </c>
      <c r="AH60">
        <v>296206</v>
      </c>
      <c r="AI60">
        <v>85282307</v>
      </c>
      <c r="AJ60">
        <v>278781</v>
      </c>
      <c r="AM60">
        <v>23955785</v>
      </c>
      <c r="AN60">
        <v>303843</v>
      </c>
      <c r="AO60">
        <v>497318</v>
      </c>
      <c r="AP60">
        <v>42355</v>
      </c>
      <c r="AQ60">
        <v>17470683</v>
      </c>
      <c r="AR60">
        <v>48968277</v>
      </c>
      <c r="AS60">
        <v>416649</v>
      </c>
      <c r="AT60">
        <v>2092390</v>
      </c>
      <c r="AU60">
        <v>53995</v>
      </c>
      <c r="AV60">
        <v>22156388</v>
      </c>
      <c r="AW60">
        <v>5613354</v>
      </c>
      <c r="AX60">
        <v>820366</v>
      </c>
      <c r="AY60">
        <v>10180945</v>
      </c>
      <c r="AZ60">
        <v>639866</v>
      </c>
      <c r="BA60">
        <v>306801</v>
      </c>
      <c r="BB60">
        <v>0</v>
      </c>
      <c r="BC60">
        <v>65506</v>
      </c>
      <c r="BD60">
        <v>16267593</v>
      </c>
      <c r="BE60">
        <v>57368</v>
      </c>
      <c r="BF60">
        <v>155377</v>
      </c>
      <c r="BG60">
        <v>156655</v>
      </c>
      <c r="BH60">
        <v>1461</v>
      </c>
      <c r="BI60">
        <v>67841</v>
      </c>
      <c r="BJ60">
        <v>6125</v>
      </c>
      <c r="BK60">
        <v>4915708</v>
      </c>
      <c r="BN60">
        <v>3960156</v>
      </c>
      <c r="BO60">
        <v>1398774</v>
      </c>
      <c r="BP60">
        <v>1867206</v>
      </c>
      <c r="BQ60">
        <v>10529906</v>
      </c>
      <c r="BR60">
        <v>975725</v>
      </c>
      <c r="BS60">
        <v>43393681</v>
      </c>
      <c r="BT60">
        <v>467919</v>
      </c>
      <c r="BU60">
        <v>4440501</v>
      </c>
      <c r="BV60">
        <v>1258498</v>
      </c>
      <c r="BW60">
        <v>1743567</v>
      </c>
      <c r="BX60">
        <v>1285812</v>
      </c>
      <c r="BY60">
        <v>61154</v>
      </c>
      <c r="BZ60">
        <v>1300287</v>
      </c>
      <c r="CA60">
        <v>9043</v>
      </c>
      <c r="CB60">
        <v>991822</v>
      </c>
      <c r="CD60">
        <v>26463</v>
      </c>
    </row>
    <row r="61" spans="1:82" x14ac:dyDescent="0.3">
      <c r="A61">
        <v>339</v>
      </c>
      <c r="B61" t="s">
        <v>181</v>
      </c>
      <c r="E61">
        <v>14208</v>
      </c>
      <c r="G61">
        <v>36688</v>
      </c>
      <c r="H61">
        <v>6650</v>
      </c>
      <c r="I61">
        <v>25530</v>
      </c>
      <c r="J61">
        <v>0</v>
      </c>
      <c r="K61">
        <v>6888</v>
      </c>
      <c r="L61">
        <v>5303</v>
      </c>
      <c r="M61">
        <v>0</v>
      </c>
      <c r="N61">
        <v>312254</v>
      </c>
      <c r="O61">
        <v>425660</v>
      </c>
      <c r="P61">
        <v>525</v>
      </c>
      <c r="Q61">
        <v>14053707</v>
      </c>
      <c r="R61">
        <v>114931</v>
      </c>
      <c r="S61">
        <v>0</v>
      </c>
      <c r="T61">
        <v>6708740</v>
      </c>
      <c r="U61">
        <v>2110270</v>
      </c>
      <c r="V61">
        <v>6981962</v>
      </c>
      <c r="W61">
        <v>5031718</v>
      </c>
      <c r="Y61">
        <v>1423642</v>
      </c>
      <c r="Z61">
        <v>126303</v>
      </c>
      <c r="AA61">
        <v>1214438</v>
      </c>
      <c r="AB61">
        <v>689844</v>
      </c>
      <c r="AC61">
        <v>64832</v>
      </c>
      <c r="AD61">
        <v>385413</v>
      </c>
      <c r="AE61">
        <v>34492</v>
      </c>
      <c r="AF61">
        <v>991893</v>
      </c>
      <c r="AG61">
        <v>1010183</v>
      </c>
      <c r="AH61">
        <v>43477</v>
      </c>
      <c r="AI61">
        <v>2285796</v>
      </c>
      <c r="AJ61">
        <v>12285</v>
      </c>
      <c r="AM61">
        <v>2050845</v>
      </c>
      <c r="AN61">
        <v>78210</v>
      </c>
      <c r="AO61">
        <v>3103</v>
      </c>
      <c r="AP61">
        <v>0</v>
      </c>
      <c r="AQ61">
        <v>2717217</v>
      </c>
      <c r="AR61">
        <v>517053</v>
      </c>
      <c r="AS61">
        <v>0</v>
      </c>
      <c r="AT61">
        <v>194210</v>
      </c>
      <c r="AU61">
        <v>1800</v>
      </c>
      <c r="AV61">
        <v>2659660</v>
      </c>
      <c r="AW61">
        <v>53903</v>
      </c>
      <c r="AX61">
        <v>105744</v>
      </c>
      <c r="AY61">
        <v>4209415</v>
      </c>
      <c r="AZ61">
        <v>53626</v>
      </c>
      <c r="BA61">
        <v>162442</v>
      </c>
      <c r="BB61">
        <v>0</v>
      </c>
      <c r="BC61">
        <v>30262</v>
      </c>
      <c r="BD61">
        <v>2571855</v>
      </c>
      <c r="BE61">
        <v>7250</v>
      </c>
      <c r="BF61">
        <v>63734</v>
      </c>
      <c r="BG61">
        <v>0</v>
      </c>
      <c r="BH61">
        <v>0</v>
      </c>
      <c r="BI61">
        <v>40046</v>
      </c>
      <c r="BJ61">
        <v>3225</v>
      </c>
      <c r="BK61">
        <v>588407</v>
      </c>
      <c r="BN61">
        <v>1158841</v>
      </c>
      <c r="BO61">
        <v>409726</v>
      </c>
      <c r="BP61">
        <v>29681</v>
      </c>
      <c r="BQ61">
        <v>1877712</v>
      </c>
      <c r="BR61">
        <v>141335</v>
      </c>
      <c r="BS61">
        <v>2871859</v>
      </c>
      <c r="BT61">
        <v>339289</v>
      </c>
      <c r="BU61">
        <v>1204777</v>
      </c>
      <c r="BV61">
        <v>120762</v>
      </c>
      <c r="BW61">
        <v>164484</v>
      </c>
      <c r="BX61">
        <v>52422</v>
      </c>
      <c r="BY61">
        <v>0</v>
      </c>
      <c r="BZ61">
        <v>0</v>
      </c>
      <c r="CA61">
        <v>25064</v>
      </c>
      <c r="CB61">
        <v>207671</v>
      </c>
      <c r="CD61">
        <v>0</v>
      </c>
    </row>
    <row r="62" spans="1:82" x14ac:dyDescent="0.3">
      <c r="A62">
        <v>341</v>
      </c>
      <c r="B62" t="s">
        <v>883</v>
      </c>
      <c r="E62">
        <v>51394</v>
      </c>
      <c r="G62">
        <v>2824930</v>
      </c>
      <c r="H62">
        <v>2220313</v>
      </c>
      <c r="I62">
        <v>5568729</v>
      </c>
      <c r="J62">
        <v>100981</v>
      </c>
      <c r="K62">
        <v>397363</v>
      </c>
      <c r="L62">
        <v>239142</v>
      </c>
      <c r="M62">
        <v>16510044</v>
      </c>
      <c r="N62">
        <v>344689</v>
      </c>
      <c r="O62">
        <v>7359075</v>
      </c>
      <c r="P62">
        <v>128429</v>
      </c>
      <c r="Q62">
        <v>43773498</v>
      </c>
      <c r="R62">
        <v>1983091</v>
      </c>
      <c r="S62">
        <v>24854</v>
      </c>
      <c r="T62">
        <v>84689151</v>
      </c>
      <c r="U62">
        <v>15728580</v>
      </c>
      <c r="V62">
        <v>21802991</v>
      </c>
      <c r="W62">
        <v>44335305</v>
      </c>
      <c r="Y62">
        <v>15925695</v>
      </c>
      <c r="Z62">
        <v>1182194</v>
      </c>
      <c r="AA62">
        <v>18001049</v>
      </c>
      <c r="AB62">
        <v>3946448</v>
      </c>
      <c r="AC62">
        <v>1680343</v>
      </c>
      <c r="AD62">
        <v>1777609</v>
      </c>
      <c r="AE62">
        <v>3151042</v>
      </c>
      <c r="AF62">
        <v>22110062</v>
      </c>
      <c r="AG62">
        <v>5989616</v>
      </c>
      <c r="AH62">
        <v>1702792</v>
      </c>
      <c r="AI62">
        <v>34397474</v>
      </c>
      <c r="AJ62">
        <v>833498</v>
      </c>
      <c r="AM62">
        <v>15133594</v>
      </c>
      <c r="AN62">
        <v>606553</v>
      </c>
      <c r="AO62">
        <v>902165</v>
      </c>
      <c r="AP62">
        <v>42982</v>
      </c>
      <c r="AQ62">
        <v>12959756</v>
      </c>
      <c r="AR62">
        <v>7784311</v>
      </c>
      <c r="AS62">
        <v>569689</v>
      </c>
      <c r="AT62">
        <v>2129806</v>
      </c>
      <c r="AU62">
        <v>148993</v>
      </c>
      <c r="AV62">
        <v>20410608</v>
      </c>
      <c r="AW62">
        <v>2227212</v>
      </c>
      <c r="AX62">
        <v>2286419</v>
      </c>
      <c r="AY62">
        <v>8785554</v>
      </c>
      <c r="AZ62">
        <v>1048124</v>
      </c>
      <c r="BA62">
        <v>959857</v>
      </c>
      <c r="BB62">
        <v>28955</v>
      </c>
      <c r="BC62">
        <v>284639</v>
      </c>
      <c r="BD62">
        <v>7975303</v>
      </c>
      <c r="BE62">
        <v>128670</v>
      </c>
      <c r="BF62">
        <v>491903</v>
      </c>
      <c r="BG62">
        <v>164055</v>
      </c>
      <c r="BH62">
        <v>91327</v>
      </c>
      <c r="BI62">
        <v>229954</v>
      </c>
      <c r="BJ62">
        <v>308144</v>
      </c>
      <c r="BK62">
        <v>3551845</v>
      </c>
      <c r="BN62">
        <v>4507133</v>
      </c>
      <c r="BO62">
        <v>1404030</v>
      </c>
      <c r="BP62">
        <v>1573946</v>
      </c>
      <c r="BQ62">
        <v>27381797</v>
      </c>
      <c r="BR62">
        <v>776632</v>
      </c>
      <c r="BS62">
        <v>14970971</v>
      </c>
      <c r="BT62">
        <v>405978</v>
      </c>
      <c r="BU62">
        <v>6422154</v>
      </c>
      <c r="BV62">
        <v>780359</v>
      </c>
      <c r="BW62">
        <v>2357785</v>
      </c>
      <c r="BX62">
        <v>904429</v>
      </c>
      <c r="BY62">
        <v>83501</v>
      </c>
      <c r="BZ62">
        <v>238618</v>
      </c>
      <c r="CA62">
        <v>116427</v>
      </c>
      <c r="CB62">
        <v>1084707</v>
      </c>
      <c r="CD62">
        <v>99789</v>
      </c>
    </row>
    <row r="63" spans="1:82" x14ac:dyDescent="0.3">
      <c r="A63">
        <v>343</v>
      </c>
      <c r="B63" t="s">
        <v>246</v>
      </c>
      <c r="E63">
        <v>0</v>
      </c>
      <c r="G63">
        <v>121984</v>
      </c>
      <c r="H63">
        <v>0</v>
      </c>
      <c r="I63">
        <v>0</v>
      </c>
      <c r="J63">
        <v>0</v>
      </c>
      <c r="K63">
        <v>0</v>
      </c>
      <c r="L63">
        <v>0</v>
      </c>
      <c r="M63">
        <v>1059118</v>
      </c>
      <c r="N63">
        <v>8537</v>
      </c>
      <c r="O63">
        <v>216489</v>
      </c>
      <c r="P63">
        <v>0</v>
      </c>
      <c r="Q63">
        <v>2512629</v>
      </c>
      <c r="R63">
        <v>82867</v>
      </c>
      <c r="S63">
        <v>0</v>
      </c>
      <c r="T63">
        <v>5995000</v>
      </c>
      <c r="U63">
        <v>676418</v>
      </c>
      <c r="V63">
        <v>1187115</v>
      </c>
      <c r="W63">
        <v>2970679</v>
      </c>
      <c r="Y63">
        <v>174901</v>
      </c>
      <c r="Z63">
        <v>0</v>
      </c>
      <c r="AA63">
        <v>1153496</v>
      </c>
      <c r="AB63">
        <v>34775</v>
      </c>
      <c r="AC63">
        <v>691435</v>
      </c>
      <c r="AD63">
        <v>0</v>
      </c>
      <c r="AE63">
        <v>99720</v>
      </c>
      <c r="AF63">
        <v>3627712</v>
      </c>
      <c r="AG63">
        <v>61629</v>
      </c>
      <c r="AH63">
        <v>3042</v>
      </c>
      <c r="AI63">
        <v>2124855</v>
      </c>
      <c r="AJ63">
        <v>0</v>
      </c>
      <c r="AM63">
        <v>1202715</v>
      </c>
      <c r="AN63">
        <v>0</v>
      </c>
      <c r="AO63">
        <v>31385</v>
      </c>
      <c r="AP63">
        <v>0</v>
      </c>
      <c r="AQ63">
        <v>5700499</v>
      </c>
      <c r="AR63">
        <v>776550</v>
      </c>
      <c r="AS63">
        <v>10891</v>
      </c>
      <c r="AT63">
        <v>126554</v>
      </c>
      <c r="AU63">
        <v>0</v>
      </c>
      <c r="AV63">
        <v>2014587</v>
      </c>
      <c r="AW63">
        <v>1096667</v>
      </c>
      <c r="AX63">
        <v>0</v>
      </c>
      <c r="AY63">
        <v>122554</v>
      </c>
      <c r="AZ63">
        <v>0</v>
      </c>
      <c r="BA63">
        <v>0</v>
      </c>
      <c r="BB63">
        <v>0</v>
      </c>
      <c r="BC63">
        <v>0</v>
      </c>
      <c r="BD63">
        <v>186799</v>
      </c>
      <c r="BE63">
        <v>0</v>
      </c>
      <c r="BF63">
        <v>0</v>
      </c>
      <c r="BG63">
        <v>11164</v>
      </c>
      <c r="BH63">
        <v>0</v>
      </c>
      <c r="BI63">
        <v>0</v>
      </c>
      <c r="BJ63">
        <v>18462</v>
      </c>
      <c r="BK63">
        <v>273602</v>
      </c>
      <c r="BN63">
        <v>165050</v>
      </c>
      <c r="BO63">
        <v>19136</v>
      </c>
      <c r="BP63">
        <v>17329</v>
      </c>
      <c r="BQ63">
        <v>160393</v>
      </c>
      <c r="BR63">
        <v>30552</v>
      </c>
      <c r="BS63">
        <v>1500000</v>
      </c>
      <c r="BT63">
        <v>28792</v>
      </c>
      <c r="BU63">
        <v>148832</v>
      </c>
      <c r="BV63">
        <v>0</v>
      </c>
      <c r="BW63">
        <v>100822</v>
      </c>
      <c r="BX63">
        <v>5145</v>
      </c>
      <c r="BY63">
        <v>0</v>
      </c>
      <c r="BZ63">
        <v>0</v>
      </c>
      <c r="CA63">
        <v>0</v>
      </c>
      <c r="CB63">
        <v>62757</v>
      </c>
      <c r="CD63">
        <v>0</v>
      </c>
    </row>
    <row r="64" spans="1:82" x14ac:dyDescent="0.3">
      <c r="A64">
        <v>344</v>
      </c>
      <c r="B64" t="s">
        <v>179</v>
      </c>
      <c r="E64">
        <v>0</v>
      </c>
      <c r="G64">
        <v>13903</v>
      </c>
      <c r="H64">
        <v>0</v>
      </c>
      <c r="I64">
        <v>0</v>
      </c>
      <c r="J64">
        <v>0</v>
      </c>
      <c r="K64">
        <v>0</v>
      </c>
      <c r="L64">
        <v>0</v>
      </c>
      <c r="M64">
        <v>37854</v>
      </c>
      <c r="N64">
        <v>216</v>
      </c>
      <c r="O64">
        <v>2667</v>
      </c>
      <c r="P64">
        <v>0</v>
      </c>
      <c r="Q64">
        <v>823729</v>
      </c>
      <c r="R64">
        <v>25280</v>
      </c>
      <c r="S64">
        <v>0</v>
      </c>
      <c r="T64">
        <v>1532120</v>
      </c>
      <c r="U64">
        <v>186852</v>
      </c>
      <c r="V64">
        <v>173031</v>
      </c>
      <c r="W64">
        <v>1377992</v>
      </c>
      <c r="Y64">
        <v>28536</v>
      </c>
      <c r="Z64">
        <v>0</v>
      </c>
      <c r="AA64">
        <v>286696</v>
      </c>
      <c r="AB64">
        <v>23711</v>
      </c>
      <c r="AC64">
        <v>93823</v>
      </c>
      <c r="AD64">
        <v>0</v>
      </c>
      <c r="AE64">
        <v>70008</v>
      </c>
      <c r="AF64">
        <v>329881</v>
      </c>
      <c r="AG64">
        <v>3422</v>
      </c>
      <c r="AH64">
        <v>5579</v>
      </c>
      <c r="AI64">
        <v>313146</v>
      </c>
      <c r="AJ64">
        <v>0</v>
      </c>
      <c r="AM64">
        <v>208945</v>
      </c>
      <c r="AN64">
        <v>0</v>
      </c>
      <c r="AO64">
        <v>8028</v>
      </c>
      <c r="AP64">
        <v>0</v>
      </c>
      <c r="AQ64">
        <v>216545</v>
      </c>
      <c r="AR64">
        <v>0</v>
      </c>
      <c r="AS64">
        <v>0</v>
      </c>
      <c r="AT64">
        <v>6667</v>
      </c>
      <c r="AU64">
        <v>0</v>
      </c>
      <c r="AV64">
        <v>383789</v>
      </c>
      <c r="AW64">
        <v>0</v>
      </c>
      <c r="AX64">
        <v>0</v>
      </c>
      <c r="AY64">
        <v>229841</v>
      </c>
      <c r="AZ64">
        <v>0</v>
      </c>
      <c r="BA64">
        <v>0</v>
      </c>
      <c r="BB64">
        <v>0</v>
      </c>
      <c r="BC64">
        <v>0</v>
      </c>
      <c r="BD64">
        <v>64767</v>
      </c>
      <c r="BE64">
        <v>0</v>
      </c>
      <c r="BF64">
        <v>0</v>
      </c>
      <c r="BG64">
        <v>1240</v>
      </c>
      <c r="BH64">
        <v>0</v>
      </c>
      <c r="BI64">
        <v>0</v>
      </c>
      <c r="BJ64">
        <v>478</v>
      </c>
      <c r="BK64">
        <v>7365</v>
      </c>
      <c r="BN64">
        <v>16938</v>
      </c>
      <c r="BO64">
        <v>27267</v>
      </c>
      <c r="BP64">
        <v>41063</v>
      </c>
      <c r="BQ64">
        <v>7779</v>
      </c>
      <c r="BR64">
        <v>7771</v>
      </c>
      <c r="BS64">
        <v>355371</v>
      </c>
      <c r="BT64">
        <v>8894</v>
      </c>
      <c r="BU64">
        <v>11623</v>
      </c>
      <c r="BV64">
        <v>0</v>
      </c>
      <c r="BW64">
        <v>9361</v>
      </c>
      <c r="BX64">
        <v>548</v>
      </c>
      <c r="BY64">
        <v>0</v>
      </c>
      <c r="BZ64">
        <v>0</v>
      </c>
      <c r="CA64">
        <v>0</v>
      </c>
      <c r="CB64">
        <v>12027</v>
      </c>
      <c r="CD64">
        <v>0</v>
      </c>
    </row>
    <row r="65" spans="1:82" x14ac:dyDescent="0.3">
      <c r="A65">
        <v>349</v>
      </c>
      <c r="B65" t="s">
        <v>114</v>
      </c>
      <c r="E65">
        <v>0</v>
      </c>
      <c r="G65">
        <v>0</v>
      </c>
      <c r="H65">
        <v>0</v>
      </c>
      <c r="I65">
        <v>0</v>
      </c>
      <c r="J65">
        <v>399351</v>
      </c>
      <c r="K65">
        <v>0</v>
      </c>
      <c r="L65">
        <v>0</v>
      </c>
      <c r="M65">
        <v>0</v>
      </c>
      <c r="N65">
        <v>0</v>
      </c>
      <c r="O65">
        <v>5562003</v>
      </c>
      <c r="P65">
        <v>0</v>
      </c>
      <c r="Q65">
        <v>30378032</v>
      </c>
      <c r="R65">
        <v>316181</v>
      </c>
      <c r="S65">
        <v>0</v>
      </c>
      <c r="T65">
        <v>54153751</v>
      </c>
      <c r="U65">
        <v>14912261</v>
      </c>
      <c r="V65">
        <v>16984586</v>
      </c>
      <c r="W65">
        <v>0</v>
      </c>
      <c r="Y65">
        <v>8497404</v>
      </c>
      <c r="Z65">
        <v>3953478</v>
      </c>
      <c r="AA65">
        <v>13963584</v>
      </c>
      <c r="AB65">
        <v>7926341</v>
      </c>
      <c r="AC65">
        <v>624040</v>
      </c>
      <c r="AD65">
        <v>2283694</v>
      </c>
      <c r="AE65">
        <v>2607071</v>
      </c>
      <c r="AF65">
        <v>7313788</v>
      </c>
      <c r="AG65">
        <v>1193972</v>
      </c>
      <c r="AH65">
        <v>0</v>
      </c>
      <c r="AI65">
        <v>18061466</v>
      </c>
      <c r="AJ65">
        <v>40169</v>
      </c>
      <c r="AM65">
        <v>13105193</v>
      </c>
      <c r="AN65">
        <v>287647</v>
      </c>
      <c r="AO65">
        <v>1855226</v>
      </c>
      <c r="AP65">
        <v>0</v>
      </c>
      <c r="AQ65">
        <v>0</v>
      </c>
      <c r="AR65">
        <v>2051364</v>
      </c>
      <c r="AS65">
        <v>0</v>
      </c>
      <c r="AT65">
        <v>5669742</v>
      </c>
      <c r="AU65">
        <v>0</v>
      </c>
      <c r="AV65">
        <v>72610464</v>
      </c>
      <c r="AW65">
        <v>0</v>
      </c>
      <c r="AX65">
        <v>3609891</v>
      </c>
      <c r="AY65">
        <v>1032978</v>
      </c>
      <c r="AZ65">
        <v>778562</v>
      </c>
      <c r="BA65">
        <v>287855</v>
      </c>
      <c r="BB65">
        <v>0</v>
      </c>
      <c r="BC65">
        <v>123284</v>
      </c>
      <c r="BD65">
        <v>32642868</v>
      </c>
      <c r="BE65">
        <v>0</v>
      </c>
      <c r="BF65">
        <v>634017</v>
      </c>
      <c r="BG65">
        <v>5765</v>
      </c>
      <c r="BH65">
        <v>0</v>
      </c>
      <c r="BI65">
        <v>96635</v>
      </c>
      <c r="BJ65">
        <v>0</v>
      </c>
      <c r="BK65">
        <v>4384172</v>
      </c>
      <c r="BN65">
        <v>2391720</v>
      </c>
      <c r="BO65">
        <v>3523086</v>
      </c>
      <c r="BP65">
        <v>154723</v>
      </c>
      <c r="BQ65">
        <v>0</v>
      </c>
      <c r="BR65">
        <v>1679779</v>
      </c>
      <c r="BS65">
        <v>0</v>
      </c>
      <c r="BT65">
        <v>1110015</v>
      </c>
      <c r="BU65">
        <v>2866906</v>
      </c>
      <c r="BV65">
        <v>0</v>
      </c>
      <c r="BW65">
        <v>2895873</v>
      </c>
      <c r="BX65">
        <v>233006</v>
      </c>
      <c r="BY65">
        <v>16385</v>
      </c>
      <c r="BZ65">
        <v>535209</v>
      </c>
      <c r="CA65">
        <v>395692</v>
      </c>
      <c r="CB65">
        <v>1788450</v>
      </c>
      <c r="CD65">
        <v>0</v>
      </c>
    </row>
    <row r="66" spans="1:82" x14ac:dyDescent="0.3">
      <c r="A66">
        <v>350</v>
      </c>
      <c r="B66" t="s">
        <v>884</v>
      </c>
      <c r="E66">
        <v>0</v>
      </c>
      <c r="G66">
        <v>0</v>
      </c>
      <c r="H66">
        <v>0</v>
      </c>
      <c r="I66">
        <v>0</v>
      </c>
      <c r="J66">
        <v>0</v>
      </c>
      <c r="K66">
        <v>0</v>
      </c>
      <c r="L66">
        <v>0</v>
      </c>
      <c r="M66">
        <v>0</v>
      </c>
      <c r="N66">
        <v>0</v>
      </c>
      <c r="O66">
        <v>97624</v>
      </c>
      <c r="P66">
        <v>0</v>
      </c>
      <c r="Q66">
        <v>866230</v>
      </c>
      <c r="R66">
        <v>287</v>
      </c>
      <c r="S66">
        <v>0</v>
      </c>
      <c r="T66">
        <v>6656620</v>
      </c>
      <c r="U66">
        <v>570040</v>
      </c>
      <c r="V66">
        <v>281964</v>
      </c>
      <c r="W66">
        <v>0</v>
      </c>
      <c r="Y66">
        <v>240798</v>
      </c>
      <c r="Z66">
        <v>12833</v>
      </c>
      <c r="AA66">
        <v>80667</v>
      </c>
      <c r="AB66">
        <v>91425</v>
      </c>
      <c r="AC66">
        <v>19354</v>
      </c>
      <c r="AD66">
        <v>353297</v>
      </c>
      <c r="AE66">
        <v>39807</v>
      </c>
      <c r="AF66">
        <v>143797</v>
      </c>
      <c r="AG66">
        <v>0</v>
      </c>
      <c r="AH66">
        <v>0</v>
      </c>
      <c r="AI66">
        <v>856884</v>
      </c>
      <c r="AJ66">
        <v>3409</v>
      </c>
      <c r="AM66">
        <v>369982</v>
      </c>
      <c r="AN66">
        <v>9</v>
      </c>
      <c r="AO66">
        <v>1</v>
      </c>
      <c r="AP66">
        <v>0</v>
      </c>
      <c r="AQ66">
        <v>0</v>
      </c>
      <c r="AR66">
        <v>119993</v>
      </c>
      <c r="AS66">
        <v>0</v>
      </c>
      <c r="AT66">
        <v>20550</v>
      </c>
      <c r="AU66">
        <v>0</v>
      </c>
      <c r="AV66">
        <v>835965</v>
      </c>
      <c r="AW66">
        <v>0</v>
      </c>
      <c r="AX66">
        <v>2273</v>
      </c>
      <c r="AY66">
        <v>513343</v>
      </c>
      <c r="AZ66">
        <v>131001</v>
      </c>
      <c r="BA66">
        <v>1969</v>
      </c>
      <c r="BB66">
        <v>0</v>
      </c>
      <c r="BC66">
        <v>1615</v>
      </c>
      <c r="BD66">
        <v>276424</v>
      </c>
      <c r="BE66">
        <v>0</v>
      </c>
      <c r="BF66">
        <v>142</v>
      </c>
      <c r="BG66">
        <v>0</v>
      </c>
      <c r="BH66">
        <v>0</v>
      </c>
      <c r="BI66">
        <v>566</v>
      </c>
      <c r="BJ66">
        <v>0</v>
      </c>
      <c r="BK66">
        <v>8929</v>
      </c>
      <c r="BN66">
        <v>45799</v>
      </c>
      <c r="BO66">
        <v>531628</v>
      </c>
      <c r="BP66">
        <v>864</v>
      </c>
      <c r="BQ66">
        <v>0</v>
      </c>
      <c r="BR66">
        <v>0</v>
      </c>
      <c r="BS66">
        <v>0</v>
      </c>
      <c r="BT66">
        <v>0</v>
      </c>
      <c r="BU66">
        <v>2126580</v>
      </c>
      <c r="BV66">
        <v>0</v>
      </c>
      <c r="BW66">
        <v>655</v>
      </c>
      <c r="BX66">
        <v>15615</v>
      </c>
      <c r="BY66">
        <v>42792</v>
      </c>
      <c r="BZ66">
        <v>184591</v>
      </c>
      <c r="CA66">
        <v>567</v>
      </c>
      <c r="CB66">
        <v>0</v>
      </c>
      <c r="CD66">
        <v>0</v>
      </c>
    </row>
    <row r="67" spans="1:82" x14ac:dyDescent="0.3">
      <c r="A67">
        <v>351</v>
      </c>
      <c r="B67" t="s">
        <v>223</v>
      </c>
      <c r="E67">
        <v>0</v>
      </c>
      <c r="G67">
        <v>0</v>
      </c>
      <c r="H67">
        <v>0</v>
      </c>
      <c r="I67">
        <v>0</v>
      </c>
      <c r="J67">
        <v>6965</v>
      </c>
      <c r="K67">
        <v>0</v>
      </c>
      <c r="L67">
        <v>0</v>
      </c>
      <c r="M67">
        <v>0</v>
      </c>
      <c r="N67">
        <v>0</v>
      </c>
      <c r="O67">
        <v>40882</v>
      </c>
      <c r="P67">
        <v>0</v>
      </c>
      <c r="Q67">
        <v>660718</v>
      </c>
      <c r="R67">
        <v>2909</v>
      </c>
      <c r="S67">
        <v>0</v>
      </c>
      <c r="T67">
        <v>943397</v>
      </c>
      <c r="U67">
        <v>279549</v>
      </c>
      <c r="V67">
        <v>257641</v>
      </c>
      <c r="W67">
        <v>0</v>
      </c>
      <c r="Y67">
        <v>158531</v>
      </c>
      <c r="Z67">
        <v>35538</v>
      </c>
      <c r="AA67">
        <v>219201</v>
      </c>
      <c r="AB67">
        <v>261379</v>
      </c>
      <c r="AC67">
        <v>10444</v>
      </c>
      <c r="AD67">
        <v>27556</v>
      </c>
      <c r="AE67">
        <v>34098</v>
      </c>
      <c r="AF67">
        <v>126000</v>
      </c>
      <c r="AG67">
        <v>1127</v>
      </c>
      <c r="AH67">
        <v>0</v>
      </c>
      <c r="AI67">
        <v>362736</v>
      </c>
      <c r="AJ67">
        <v>0</v>
      </c>
      <c r="AM67">
        <v>177513</v>
      </c>
      <c r="AN67">
        <v>12375</v>
      </c>
      <c r="AO67">
        <v>38533</v>
      </c>
      <c r="AP67">
        <v>0</v>
      </c>
      <c r="AQ67">
        <v>0</v>
      </c>
      <c r="AR67">
        <v>34996</v>
      </c>
      <c r="AS67">
        <v>0</v>
      </c>
      <c r="AT67">
        <v>65727</v>
      </c>
      <c r="AU67">
        <v>0</v>
      </c>
      <c r="AV67">
        <v>2580147</v>
      </c>
      <c r="AW67">
        <v>0</v>
      </c>
      <c r="AX67">
        <v>47125</v>
      </c>
      <c r="AY67">
        <v>0</v>
      </c>
      <c r="AZ67">
        <v>28937</v>
      </c>
      <c r="BA67">
        <v>0</v>
      </c>
      <c r="BB67">
        <v>0</v>
      </c>
      <c r="BC67">
        <v>0</v>
      </c>
      <c r="BD67">
        <v>119469</v>
      </c>
      <c r="BE67">
        <v>0</v>
      </c>
      <c r="BF67">
        <v>0</v>
      </c>
      <c r="BG67">
        <v>0</v>
      </c>
      <c r="BH67">
        <v>0</v>
      </c>
      <c r="BI67">
        <v>0</v>
      </c>
      <c r="BJ67">
        <v>0</v>
      </c>
      <c r="BK67">
        <v>62428</v>
      </c>
      <c r="BN67">
        <v>92701</v>
      </c>
      <c r="BO67">
        <v>555247</v>
      </c>
      <c r="BP67">
        <v>0</v>
      </c>
      <c r="BQ67">
        <v>0</v>
      </c>
      <c r="BR67">
        <v>23596</v>
      </c>
      <c r="BS67">
        <v>0</v>
      </c>
      <c r="BT67">
        <v>4513</v>
      </c>
      <c r="BU67">
        <v>14708</v>
      </c>
      <c r="BV67">
        <v>0</v>
      </c>
      <c r="BW67">
        <v>16281</v>
      </c>
      <c r="BX67">
        <v>0</v>
      </c>
      <c r="BY67">
        <v>42792</v>
      </c>
      <c r="BZ67">
        <v>25357</v>
      </c>
      <c r="CA67">
        <v>8978</v>
      </c>
      <c r="CB67">
        <v>36924</v>
      </c>
      <c r="CD67">
        <v>0</v>
      </c>
    </row>
    <row r="68" spans="1:82" x14ac:dyDescent="0.3">
      <c r="A68">
        <v>352</v>
      </c>
      <c r="B68" t="s">
        <v>225</v>
      </c>
      <c r="E68">
        <v>0</v>
      </c>
      <c r="G68">
        <v>0</v>
      </c>
      <c r="H68">
        <v>0</v>
      </c>
      <c r="I68">
        <v>0</v>
      </c>
      <c r="J68">
        <v>48294</v>
      </c>
      <c r="K68">
        <v>0</v>
      </c>
      <c r="L68">
        <v>0</v>
      </c>
      <c r="M68">
        <v>0</v>
      </c>
      <c r="N68">
        <v>0</v>
      </c>
      <c r="O68">
        <v>0</v>
      </c>
      <c r="P68">
        <v>0</v>
      </c>
      <c r="Q68">
        <v>0</v>
      </c>
      <c r="R68">
        <v>24259</v>
      </c>
      <c r="S68">
        <v>0</v>
      </c>
      <c r="T68">
        <v>0</v>
      </c>
      <c r="U68">
        <v>160000</v>
      </c>
      <c r="V68">
        <v>294485</v>
      </c>
      <c r="W68">
        <v>0</v>
      </c>
      <c r="Y68">
        <v>0</v>
      </c>
      <c r="Z68">
        <v>290962</v>
      </c>
      <c r="AA68">
        <v>0</v>
      </c>
      <c r="AB68">
        <v>569499</v>
      </c>
      <c r="AC68">
        <v>358449</v>
      </c>
      <c r="AD68">
        <v>0</v>
      </c>
      <c r="AE68">
        <v>0</v>
      </c>
      <c r="AF68">
        <v>0</v>
      </c>
      <c r="AG68">
        <v>0</v>
      </c>
      <c r="AH68">
        <v>0</v>
      </c>
      <c r="AI68">
        <v>0</v>
      </c>
      <c r="AJ68">
        <v>0</v>
      </c>
      <c r="AM68">
        <v>0</v>
      </c>
      <c r="AN68">
        <v>0</v>
      </c>
      <c r="AO68">
        <v>0</v>
      </c>
      <c r="AP68">
        <v>0</v>
      </c>
      <c r="AQ68">
        <v>0</v>
      </c>
      <c r="AR68">
        <v>184500</v>
      </c>
      <c r="AS68">
        <v>0</v>
      </c>
      <c r="AT68">
        <v>633918</v>
      </c>
      <c r="AU68">
        <v>0</v>
      </c>
      <c r="AV68">
        <v>225000</v>
      </c>
      <c r="AW68">
        <v>50000</v>
      </c>
      <c r="AX68">
        <v>0</v>
      </c>
      <c r="AY68">
        <v>0</v>
      </c>
      <c r="AZ68">
        <v>0</v>
      </c>
      <c r="BA68">
        <v>0</v>
      </c>
      <c r="BB68">
        <v>0</v>
      </c>
      <c r="BC68">
        <v>102305</v>
      </c>
      <c r="BD68">
        <v>30000</v>
      </c>
      <c r="BE68">
        <v>0</v>
      </c>
      <c r="BF68">
        <v>0</v>
      </c>
      <c r="BG68">
        <v>0</v>
      </c>
      <c r="BH68">
        <v>0</v>
      </c>
      <c r="BI68">
        <v>13434</v>
      </c>
      <c r="BJ68">
        <v>0</v>
      </c>
      <c r="BK68">
        <v>0</v>
      </c>
      <c r="BN68">
        <v>0</v>
      </c>
      <c r="BO68">
        <v>0</v>
      </c>
      <c r="BP68">
        <v>0</v>
      </c>
      <c r="BQ68">
        <v>0</v>
      </c>
      <c r="BR68">
        <v>0</v>
      </c>
      <c r="BS68">
        <v>0</v>
      </c>
      <c r="BT68">
        <v>23635</v>
      </c>
      <c r="BU68">
        <v>2112033</v>
      </c>
      <c r="BV68">
        <v>0</v>
      </c>
      <c r="BW68">
        <v>149223</v>
      </c>
      <c r="BX68">
        <v>329854</v>
      </c>
      <c r="BY68">
        <v>0</v>
      </c>
      <c r="BZ68">
        <v>89554</v>
      </c>
      <c r="CA68">
        <v>26394</v>
      </c>
      <c r="CB68">
        <v>0</v>
      </c>
      <c r="CD68">
        <v>0</v>
      </c>
    </row>
    <row r="69" spans="1:82" x14ac:dyDescent="0.3">
      <c r="A69">
        <v>353</v>
      </c>
      <c r="B69" t="s">
        <v>226</v>
      </c>
      <c r="E69">
        <v>0</v>
      </c>
      <c r="G69">
        <v>0</v>
      </c>
      <c r="H69">
        <v>0</v>
      </c>
      <c r="I69">
        <v>0</v>
      </c>
      <c r="J69">
        <v>0</v>
      </c>
      <c r="K69">
        <v>0</v>
      </c>
      <c r="L69">
        <v>0</v>
      </c>
      <c r="M69">
        <v>0</v>
      </c>
      <c r="N69">
        <v>0</v>
      </c>
      <c r="O69">
        <v>0</v>
      </c>
      <c r="P69">
        <v>0</v>
      </c>
      <c r="Q69">
        <v>126667</v>
      </c>
      <c r="R69">
        <v>0</v>
      </c>
      <c r="S69">
        <v>0</v>
      </c>
      <c r="T69">
        <v>506818</v>
      </c>
      <c r="U69">
        <v>0</v>
      </c>
      <c r="V69">
        <v>0</v>
      </c>
      <c r="W69">
        <v>0</v>
      </c>
      <c r="Y69">
        <v>0</v>
      </c>
      <c r="Z69">
        <v>29496</v>
      </c>
      <c r="AA69">
        <v>0</v>
      </c>
      <c r="AB69">
        <v>0</v>
      </c>
      <c r="AC69">
        <v>3576</v>
      </c>
      <c r="AD69">
        <v>0</v>
      </c>
      <c r="AE69">
        <v>0</v>
      </c>
      <c r="AF69">
        <v>0</v>
      </c>
      <c r="AG69">
        <v>0</v>
      </c>
      <c r="AH69">
        <v>0</v>
      </c>
      <c r="AI69">
        <v>0</v>
      </c>
      <c r="AJ69">
        <v>0</v>
      </c>
      <c r="AM69">
        <v>0</v>
      </c>
      <c r="AN69">
        <v>0</v>
      </c>
      <c r="AO69">
        <v>0</v>
      </c>
      <c r="AP69">
        <v>0</v>
      </c>
      <c r="AQ69">
        <v>0</v>
      </c>
      <c r="AR69">
        <v>0</v>
      </c>
      <c r="AS69">
        <v>0</v>
      </c>
      <c r="AT69">
        <v>0</v>
      </c>
      <c r="AU69">
        <v>0</v>
      </c>
      <c r="AV69">
        <v>613552</v>
      </c>
      <c r="AW69">
        <v>0</v>
      </c>
      <c r="AX69">
        <v>0</v>
      </c>
      <c r="AY69">
        <v>0</v>
      </c>
      <c r="AZ69">
        <v>0</v>
      </c>
      <c r="BA69">
        <v>0</v>
      </c>
      <c r="BB69">
        <v>0</v>
      </c>
      <c r="BC69">
        <v>0</v>
      </c>
      <c r="BD69">
        <v>0</v>
      </c>
      <c r="BE69">
        <v>0</v>
      </c>
      <c r="BF69">
        <v>0</v>
      </c>
      <c r="BG69">
        <v>0</v>
      </c>
      <c r="BH69">
        <v>0</v>
      </c>
      <c r="BI69">
        <v>0</v>
      </c>
      <c r="BJ69">
        <v>0</v>
      </c>
      <c r="BK69">
        <v>0</v>
      </c>
      <c r="BN69">
        <v>0</v>
      </c>
      <c r="BO69">
        <v>0</v>
      </c>
      <c r="BP69">
        <v>0</v>
      </c>
      <c r="BQ69">
        <v>0</v>
      </c>
      <c r="BR69">
        <v>0</v>
      </c>
      <c r="BS69">
        <v>0</v>
      </c>
      <c r="BT69">
        <v>0</v>
      </c>
      <c r="BU69">
        <v>2860620</v>
      </c>
      <c r="BV69">
        <v>0</v>
      </c>
      <c r="BW69">
        <v>0</v>
      </c>
      <c r="BX69">
        <v>0</v>
      </c>
      <c r="BY69">
        <v>0</v>
      </c>
      <c r="BZ69">
        <v>0</v>
      </c>
      <c r="CA69">
        <v>0</v>
      </c>
      <c r="CB69">
        <v>0</v>
      </c>
      <c r="CD69">
        <v>0</v>
      </c>
    </row>
    <row r="70" spans="1:82" x14ac:dyDescent="0.3">
      <c r="A70">
        <v>356</v>
      </c>
      <c r="B70" t="s">
        <v>305</v>
      </c>
      <c r="E70">
        <v>0</v>
      </c>
      <c r="G70">
        <v>0</v>
      </c>
      <c r="H70">
        <v>0</v>
      </c>
      <c r="I70">
        <v>0</v>
      </c>
      <c r="J70">
        <v>0</v>
      </c>
      <c r="K70">
        <v>0</v>
      </c>
      <c r="L70">
        <v>0</v>
      </c>
      <c r="M70">
        <v>0</v>
      </c>
      <c r="N70">
        <v>0</v>
      </c>
      <c r="O70">
        <v>0</v>
      </c>
      <c r="P70">
        <v>0</v>
      </c>
      <c r="Q70">
        <v>138536034</v>
      </c>
      <c r="R70">
        <v>0</v>
      </c>
      <c r="S70">
        <v>0</v>
      </c>
      <c r="T70">
        <v>0</v>
      </c>
      <c r="U70">
        <v>0</v>
      </c>
      <c r="V70">
        <v>35726797</v>
      </c>
      <c r="W70">
        <v>0</v>
      </c>
      <c r="Y70">
        <v>0</v>
      </c>
      <c r="Z70">
        <v>0</v>
      </c>
      <c r="AA70">
        <v>0</v>
      </c>
      <c r="AB70">
        <v>0</v>
      </c>
      <c r="AC70">
        <v>0</v>
      </c>
      <c r="AD70">
        <v>0</v>
      </c>
      <c r="AE70">
        <v>0</v>
      </c>
      <c r="AF70">
        <v>0</v>
      </c>
      <c r="AG70">
        <v>0</v>
      </c>
      <c r="AH70">
        <v>0</v>
      </c>
      <c r="AI70">
        <v>86977291</v>
      </c>
      <c r="AJ70">
        <v>0</v>
      </c>
      <c r="AM70">
        <v>28789903</v>
      </c>
      <c r="AN70">
        <v>0</v>
      </c>
      <c r="AO70">
        <v>0</v>
      </c>
      <c r="AP70">
        <v>0</v>
      </c>
      <c r="AQ70">
        <v>0</v>
      </c>
      <c r="AR70">
        <v>0</v>
      </c>
      <c r="AS70">
        <v>0</v>
      </c>
      <c r="AT70">
        <v>0</v>
      </c>
      <c r="AU70">
        <v>275692</v>
      </c>
      <c r="AV70">
        <v>0</v>
      </c>
      <c r="AW70">
        <v>0</v>
      </c>
      <c r="AX70">
        <v>0</v>
      </c>
      <c r="AY70">
        <v>0</v>
      </c>
      <c r="AZ70">
        <v>0</v>
      </c>
      <c r="BA70">
        <v>0</v>
      </c>
      <c r="BB70">
        <v>0</v>
      </c>
      <c r="BC70">
        <v>0</v>
      </c>
      <c r="BD70">
        <v>0</v>
      </c>
      <c r="BE70">
        <v>0</v>
      </c>
      <c r="BF70">
        <v>0</v>
      </c>
      <c r="BG70">
        <v>0</v>
      </c>
      <c r="BH70">
        <v>0</v>
      </c>
      <c r="BI70">
        <v>0</v>
      </c>
      <c r="BJ70">
        <v>0</v>
      </c>
      <c r="BK70">
        <v>0</v>
      </c>
      <c r="BN70">
        <v>0</v>
      </c>
      <c r="BO70">
        <v>0</v>
      </c>
      <c r="BP70">
        <v>0</v>
      </c>
      <c r="BQ70">
        <v>0</v>
      </c>
      <c r="BR70">
        <v>1443875</v>
      </c>
      <c r="BS70">
        <v>22504990</v>
      </c>
      <c r="BT70">
        <v>0</v>
      </c>
      <c r="BU70">
        <v>0</v>
      </c>
      <c r="BV70">
        <v>0</v>
      </c>
      <c r="BW70">
        <v>0</v>
      </c>
      <c r="BX70">
        <v>0</v>
      </c>
      <c r="BY70">
        <v>0</v>
      </c>
      <c r="BZ70">
        <v>0</v>
      </c>
      <c r="CA70">
        <v>0</v>
      </c>
      <c r="CB70">
        <v>0</v>
      </c>
      <c r="CD70">
        <v>0</v>
      </c>
    </row>
    <row r="71" spans="1:82" x14ac:dyDescent="0.3">
      <c r="A71">
        <v>357</v>
      </c>
      <c r="B71" t="s">
        <v>306</v>
      </c>
      <c r="E71">
        <v>0</v>
      </c>
      <c r="G71">
        <v>0</v>
      </c>
      <c r="H71">
        <v>0</v>
      </c>
      <c r="I71">
        <v>0</v>
      </c>
      <c r="J71">
        <v>0</v>
      </c>
      <c r="K71">
        <v>0</v>
      </c>
      <c r="L71">
        <v>0</v>
      </c>
      <c r="M71">
        <v>0</v>
      </c>
      <c r="N71">
        <v>0</v>
      </c>
      <c r="O71">
        <v>0</v>
      </c>
      <c r="P71">
        <v>0</v>
      </c>
      <c r="Q71">
        <v>57590906</v>
      </c>
      <c r="R71">
        <v>0</v>
      </c>
      <c r="S71">
        <v>0</v>
      </c>
      <c r="T71">
        <v>0</v>
      </c>
      <c r="U71">
        <v>0</v>
      </c>
      <c r="V71">
        <v>20337594</v>
      </c>
      <c r="W71">
        <v>0</v>
      </c>
      <c r="Y71">
        <v>0</v>
      </c>
      <c r="Z71">
        <v>0</v>
      </c>
      <c r="AA71">
        <v>0</v>
      </c>
      <c r="AB71">
        <v>0</v>
      </c>
      <c r="AC71">
        <v>0</v>
      </c>
      <c r="AD71">
        <v>0</v>
      </c>
      <c r="AE71">
        <v>0</v>
      </c>
      <c r="AF71">
        <v>0</v>
      </c>
      <c r="AG71">
        <v>0</v>
      </c>
      <c r="AH71">
        <v>0</v>
      </c>
      <c r="AI71">
        <v>54429216</v>
      </c>
      <c r="AJ71">
        <v>0</v>
      </c>
      <c r="AM71">
        <v>17625584</v>
      </c>
      <c r="AN71">
        <v>0</v>
      </c>
      <c r="AO71">
        <v>0</v>
      </c>
      <c r="AP71">
        <v>0</v>
      </c>
      <c r="AQ71">
        <v>0</v>
      </c>
      <c r="AR71">
        <v>0</v>
      </c>
      <c r="AS71">
        <v>0</v>
      </c>
      <c r="AT71">
        <v>0</v>
      </c>
      <c r="AU71">
        <v>239551</v>
      </c>
      <c r="AV71">
        <v>0</v>
      </c>
      <c r="AW71">
        <v>0</v>
      </c>
      <c r="AX71">
        <v>0</v>
      </c>
      <c r="AY71">
        <v>0</v>
      </c>
      <c r="AZ71">
        <v>0</v>
      </c>
      <c r="BA71">
        <v>0</v>
      </c>
      <c r="BB71">
        <v>0</v>
      </c>
      <c r="BC71">
        <v>0</v>
      </c>
      <c r="BD71">
        <v>0</v>
      </c>
      <c r="BE71">
        <v>0</v>
      </c>
      <c r="BF71">
        <v>0</v>
      </c>
      <c r="BG71">
        <v>0</v>
      </c>
      <c r="BH71">
        <v>0</v>
      </c>
      <c r="BI71">
        <v>0</v>
      </c>
      <c r="BJ71">
        <v>0</v>
      </c>
      <c r="BK71">
        <v>0</v>
      </c>
      <c r="BN71">
        <v>0</v>
      </c>
      <c r="BO71">
        <v>0</v>
      </c>
      <c r="BP71">
        <v>0</v>
      </c>
      <c r="BQ71">
        <v>0</v>
      </c>
      <c r="BR71">
        <v>1339720</v>
      </c>
      <c r="BS71">
        <v>12320269</v>
      </c>
      <c r="BT71">
        <v>0</v>
      </c>
      <c r="BU71">
        <v>0</v>
      </c>
      <c r="BV71">
        <v>0</v>
      </c>
      <c r="BW71">
        <v>0</v>
      </c>
      <c r="BX71">
        <v>0</v>
      </c>
      <c r="BY71">
        <v>0</v>
      </c>
      <c r="BZ71">
        <v>0</v>
      </c>
      <c r="CA71">
        <v>0</v>
      </c>
      <c r="CB71">
        <v>0</v>
      </c>
      <c r="CD71">
        <v>0</v>
      </c>
    </row>
    <row r="72" spans="1:82" x14ac:dyDescent="0.3">
      <c r="A72">
        <v>359</v>
      </c>
      <c r="B72" t="s">
        <v>247</v>
      </c>
      <c r="E72">
        <v>0</v>
      </c>
      <c r="G72">
        <v>0</v>
      </c>
      <c r="H72">
        <v>0</v>
      </c>
      <c r="I72">
        <v>0</v>
      </c>
      <c r="J72">
        <v>0</v>
      </c>
      <c r="K72">
        <v>0</v>
      </c>
      <c r="L72">
        <v>0</v>
      </c>
      <c r="M72">
        <v>0</v>
      </c>
      <c r="N72">
        <v>0</v>
      </c>
      <c r="O72">
        <v>0</v>
      </c>
      <c r="P72">
        <v>0</v>
      </c>
      <c r="Q72">
        <v>12596679</v>
      </c>
      <c r="R72">
        <v>0</v>
      </c>
      <c r="S72">
        <v>0</v>
      </c>
      <c r="T72">
        <v>0</v>
      </c>
      <c r="U72">
        <v>0</v>
      </c>
      <c r="V72">
        <v>450906</v>
      </c>
      <c r="W72">
        <v>0</v>
      </c>
      <c r="Y72">
        <v>0</v>
      </c>
      <c r="Z72">
        <v>0</v>
      </c>
      <c r="AA72">
        <v>0</v>
      </c>
      <c r="AB72">
        <v>0</v>
      </c>
      <c r="AC72">
        <v>0</v>
      </c>
      <c r="AD72">
        <v>0</v>
      </c>
      <c r="AE72">
        <v>0</v>
      </c>
      <c r="AF72">
        <v>0</v>
      </c>
      <c r="AG72">
        <v>0</v>
      </c>
      <c r="AH72">
        <v>0</v>
      </c>
      <c r="AI72">
        <v>2768989</v>
      </c>
      <c r="AJ72">
        <v>0</v>
      </c>
      <c r="AM72">
        <v>3422613</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N72">
        <v>0</v>
      </c>
      <c r="BO72">
        <v>0</v>
      </c>
      <c r="BP72">
        <v>0</v>
      </c>
      <c r="BQ72">
        <v>0</v>
      </c>
      <c r="BR72">
        <v>5682</v>
      </c>
      <c r="BS72">
        <v>0</v>
      </c>
      <c r="BT72">
        <v>0</v>
      </c>
      <c r="BU72">
        <v>0</v>
      </c>
      <c r="BV72">
        <v>0</v>
      </c>
      <c r="BW72">
        <v>0</v>
      </c>
      <c r="BX72">
        <v>0</v>
      </c>
      <c r="BY72">
        <v>0</v>
      </c>
      <c r="BZ72">
        <v>0</v>
      </c>
      <c r="CA72">
        <v>0</v>
      </c>
      <c r="CB72">
        <v>0</v>
      </c>
      <c r="CD72">
        <v>0</v>
      </c>
    </row>
    <row r="73" spans="1:82" x14ac:dyDescent="0.3">
      <c r="A73">
        <v>360</v>
      </c>
      <c r="B73" t="s">
        <v>117</v>
      </c>
      <c r="E73">
        <v>0</v>
      </c>
      <c r="G73">
        <v>0</v>
      </c>
      <c r="H73">
        <v>0</v>
      </c>
      <c r="I73">
        <v>0</v>
      </c>
      <c r="J73">
        <v>0</v>
      </c>
      <c r="K73">
        <v>0</v>
      </c>
      <c r="L73">
        <v>0</v>
      </c>
      <c r="M73">
        <v>0</v>
      </c>
      <c r="N73">
        <v>0</v>
      </c>
      <c r="O73">
        <v>0</v>
      </c>
      <c r="P73">
        <v>0</v>
      </c>
      <c r="Q73">
        <v>22113182</v>
      </c>
      <c r="R73">
        <v>0</v>
      </c>
      <c r="S73">
        <v>0</v>
      </c>
      <c r="T73">
        <v>0</v>
      </c>
      <c r="U73">
        <v>0</v>
      </c>
      <c r="V73">
        <v>6260487</v>
      </c>
      <c r="W73">
        <v>0</v>
      </c>
      <c r="Y73">
        <v>0</v>
      </c>
      <c r="Z73">
        <v>0</v>
      </c>
      <c r="AA73">
        <v>0</v>
      </c>
      <c r="AB73">
        <v>0</v>
      </c>
      <c r="AC73">
        <v>0</v>
      </c>
      <c r="AD73">
        <v>0</v>
      </c>
      <c r="AE73">
        <v>0</v>
      </c>
      <c r="AF73">
        <v>0</v>
      </c>
      <c r="AG73">
        <v>0</v>
      </c>
      <c r="AH73">
        <v>0</v>
      </c>
      <c r="AI73">
        <v>12200255</v>
      </c>
      <c r="AJ73">
        <v>0</v>
      </c>
      <c r="AM73">
        <v>5641508</v>
      </c>
      <c r="AN73">
        <v>0</v>
      </c>
      <c r="AO73">
        <v>0</v>
      </c>
      <c r="AP73">
        <v>0</v>
      </c>
      <c r="AQ73">
        <v>0</v>
      </c>
      <c r="AR73">
        <v>0</v>
      </c>
      <c r="AS73">
        <v>0</v>
      </c>
      <c r="AT73">
        <v>0</v>
      </c>
      <c r="AU73">
        <v>82864</v>
      </c>
      <c r="AV73">
        <v>0</v>
      </c>
      <c r="AW73">
        <v>0</v>
      </c>
      <c r="AX73">
        <v>0</v>
      </c>
      <c r="AY73">
        <v>0</v>
      </c>
      <c r="AZ73">
        <v>0</v>
      </c>
      <c r="BA73">
        <v>0</v>
      </c>
      <c r="BB73">
        <v>0</v>
      </c>
      <c r="BC73">
        <v>0</v>
      </c>
      <c r="BD73">
        <v>0</v>
      </c>
      <c r="BE73">
        <v>0</v>
      </c>
      <c r="BF73">
        <v>0</v>
      </c>
      <c r="BG73">
        <v>0</v>
      </c>
      <c r="BH73">
        <v>0</v>
      </c>
      <c r="BI73">
        <v>0</v>
      </c>
      <c r="BJ73">
        <v>0</v>
      </c>
      <c r="BK73">
        <v>0</v>
      </c>
      <c r="BN73">
        <v>0</v>
      </c>
      <c r="BO73">
        <v>0</v>
      </c>
      <c r="BP73">
        <v>0</v>
      </c>
      <c r="BQ73">
        <v>0</v>
      </c>
      <c r="BR73">
        <v>458254</v>
      </c>
      <c r="BS73">
        <v>1611812</v>
      </c>
      <c r="BT73">
        <v>0</v>
      </c>
      <c r="BU73">
        <v>0</v>
      </c>
      <c r="BV73">
        <v>0</v>
      </c>
      <c r="BW73">
        <v>0</v>
      </c>
      <c r="BX73">
        <v>0</v>
      </c>
      <c r="BY73">
        <v>0</v>
      </c>
      <c r="BZ73">
        <v>0</v>
      </c>
      <c r="CA73">
        <v>0</v>
      </c>
      <c r="CB73">
        <v>0</v>
      </c>
      <c r="CD73">
        <v>0</v>
      </c>
    </row>
    <row r="74" spans="1:82" x14ac:dyDescent="0.3">
      <c r="A74">
        <v>361</v>
      </c>
      <c r="B74" t="s">
        <v>98</v>
      </c>
      <c r="E74">
        <v>0</v>
      </c>
      <c r="G74">
        <v>0</v>
      </c>
      <c r="H74">
        <v>0</v>
      </c>
      <c r="I74">
        <v>0</v>
      </c>
      <c r="J74">
        <v>0</v>
      </c>
      <c r="K74">
        <v>0</v>
      </c>
      <c r="L74">
        <v>0</v>
      </c>
      <c r="M74">
        <v>0</v>
      </c>
      <c r="N74">
        <v>0</v>
      </c>
      <c r="O74">
        <v>0</v>
      </c>
      <c r="P74">
        <v>0</v>
      </c>
      <c r="Q74">
        <v>96445284</v>
      </c>
      <c r="R74">
        <v>0</v>
      </c>
      <c r="S74">
        <v>0</v>
      </c>
      <c r="T74">
        <v>0</v>
      </c>
      <c r="U74">
        <v>0</v>
      </c>
      <c r="V74">
        <v>17425375</v>
      </c>
      <c r="W74">
        <v>0</v>
      </c>
      <c r="Y74">
        <v>0</v>
      </c>
      <c r="Z74">
        <v>0</v>
      </c>
      <c r="AA74">
        <v>0</v>
      </c>
      <c r="AB74">
        <v>0</v>
      </c>
      <c r="AC74">
        <v>0</v>
      </c>
      <c r="AD74">
        <v>0</v>
      </c>
      <c r="AE74">
        <v>0</v>
      </c>
      <c r="AF74">
        <v>0</v>
      </c>
      <c r="AG74">
        <v>0</v>
      </c>
      <c r="AH74">
        <v>0</v>
      </c>
      <c r="AI74">
        <v>17907715</v>
      </c>
      <c r="AJ74">
        <v>0</v>
      </c>
      <c r="AM74">
        <v>14282931</v>
      </c>
      <c r="AN74">
        <v>0</v>
      </c>
      <c r="AO74">
        <v>0</v>
      </c>
      <c r="AP74">
        <v>0</v>
      </c>
      <c r="AQ74">
        <v>0</v>
      </c>
      <c r="AR74">
        <v>0</v>
      </c>
      <c r="AS74">
        <v>0</v>
      </c>
      <c r="AT74">
        <v>0</v>
      </c>
      <c r="AU74">
        <v>768850</v>
      </c>
      <c r="AV74">
        <v>0</v>
      </c>
      <c r="AW74">
        <v>0</v>
      </c>
      <c r="AX74">
        <v>0</v>
      </c>
      <c r="AY74">
        <v>0</v>
      </c>
      <c r="AZ74">
        <v>0</v>
      </c>
      <c r="BA74">
        <v>0</v>
      </c>
      <c r="BB74">
        <v>0</v>
      </c>
      <c r="BC74">
        <v>0</v>
      </c>
      <c r="BD74">
        <v>0</v>
      </c>
      <c r="BE74">
        <v>0</v>
      </c>
      <c r="BF74">
        <v>0</v>
      </c>
      <c r="BG74">
        <v>0</v>
      </c>
      <c r="BH74">
        <v>0</v>
      </c>
      <c r="BI74">
        <v>0</v>
      </c>
      <c r="BJ74">
        <v>0</v>
      </c>
      <c r="BK74">
        <v>0</v>
      </c>
      <c r="BN74">
        <v>0</v>
      </c>
      <c r="BO74">
        <v>0</v>
      </c>
      <c r="BP74">
        <v>0</v>
      </c>
      <c r="BQ74">
        <v>0</v>
      </c>
      <c r="BR74">
        <v>2567202</v>
      </c>
      <c r="BS74">
        <v>3914176</v>
      </c>
      <c r="BT74">
        <v>0</v>
      </c>
      <c r="BU74">
        <v>0</v>
      </c>
      <c r="BV74">
        <v>0</v>
      </c>
      <c r="BW74">
        <v>0</v>
      </c>
      <c r="BX74">
        <v>0</v>
      </c>
      <c r="BY74">
        <v>0</v>
      </c>
      <c r="BZ74">
        <v>0</v>
      </c>
      <c r="CA74">
        <v>0</v>
      </c>
      <c r="CB74">
        <v>0</v>
      </c>
      <c r="CD74">
        <v>0</v>
      </c>
    </row>
    <row r="75" spans="1:82" x14ac:dyDescent="0.3">
      <c r="A75">
        <v>362</v>
      </c>
      <c r="B75" t="s">
        <v>99</v>
      </c>
      <c r="E75">
        <v>0</v>
      </c>
      <c r="G75">
        <v>0</v>
      </c>
      <c r="H75">
        <v>0</v>
      </c>
      <c r="I75">
        <v>0</v>
      </c>
      <c r="J75">
        <v>0</v>
      </c>
      <c r="K75">
        <v>0</v>
      </c>
      <c r="L75">
        <v>0</v>
      </c>
      <c r="M75">
        <v>0</v>
      </c>
      <c r="N75">
        <v>0</v>
      </c>
      <c r="O75">
        <v>0</v>
      </c>
      <c r="P75">
        <v>0</v>
      </c>
      <c r="Q75">
        <v>171972850</v>
      </c>
      <c r="R75">
        <v>0</v>
      </c>
      <c r="S75">
        <v>0</v>
      </c>
      <c r="T75">
        <v>0</v>
      </c>
      <c r="U75">
        <v>0</v>
      </c>
      <c r="V75">
        <v>32419815</v>
      </c>
      <c r="W75">
        <v>0</v>
      </c>
      <c r="Y75">
        <v>0</v>
      </c>
      <c r="Z75">
        <v>0</v>
      </c>
      <c r="AA75">
        <v>0</v>
      </c>
      <c r="AB75">
        <v>0</v>
      </c>
      <c r="AC75">
        <v>0</v>
      </c>
      <c r="AD75">
        <v>0</v>
      </c>
      <c r="AE75">
        <v>0</v>
      </c>
      <c r="AF75">
        <v>0</v>
      </c>
      <c r="AG75">
        <v>0</v>
      </c>
      <c r="AH75">
        <v>0</v>
      </c>
      <c r="AI75">
        <v>52833419</v>
      </c>
      <c r="AJ75">
        <v>0</v>
      </c>
      <c r="AM75">
        <v>23149740</v>
      </c>
      <c r="AN75">
        <v>0</v>
      </c>
      <c r="AO75">
        <v>0</v>
      </c>
      <c r="AP75">
        <v>0</v>
      </c>
      <c r="AQ75">
        <v>0</v>
      </c>
      <c r="AR75">
        <v>0</v>
      </c>
      <c r="AS75">
        <v>0</v>
      </c>
      <c r="AT75">
        <v>0</v>
      </c>
      <c r="AU75">
        <v>812398</v>
      </c>
      <c r="AV75">
        <v>0</v>
      </c>
      <c r="AW75">
        <v>0</v>
      </c>
      <c r="AX75">
        <v>0</v>
      </c>
      <c r="AY75">
        <v>0</v>
      </c>
      <c r="AZ75">
        <v>0</v>
      </c>
      <c r="BA75">
        <v>0</v>
      </c>
      <c r="BB75">
        <v>0</v>
      </c>
      <c r="BC75">
        <v>0</v>
      </c>
      <c r="BD75">
        <v>0</v>
      </c>
      <c r="BE75">
        <v>0</v>
      </c>
      <c r="BF75">
        <v>0</v>
      </c>
      <c r="BG75">
        <v>0</v>
      </c>
      <c r="BH75">
        <v>0</v>
      </c>
      <c r="BI75">
        <v>0</v>
      </c>
      <c r="BJ75">
        <v>0</v>
      </c>
      <c r="BK75">
        <v>0</v>
      </c>
      <c r="BN75">
        <v>0</v>
      </c>
      <c r="BO75">
        <v>0</v>
      </c>
      <c r="BP75">
        <v>0</v>
      </c>
      <c r="BQ75">
        <v>0</v>
      </c>
      <c r="BR75">
        <v>2682957</v>
      </c>
      <c r="BS75">
        <v>24474481</v>
      </c>
      <c r="BT75">
        <v>0</v>
      </c>
      <c r="BU75">
        <v>0</v>
      </c>
      <c r="BV75">
        <v>0</v>
      </c>
      <c r="BW75">
        <v>0</v>
      </c>
      <c r="BX75">
        <v>0</v>
      </c>
      <c r="BY75">
        <v>0</v>
      </c>
      <c r="BZ75">
        <v>0</v>
      </c>
      <c r="CA75">
        <v>0</v>
      </c>
      <c r="CB75">
        <v>0</v>
      </c>
      <c r="CD75">
        <v>0</v>
      </c>
    </row>
    <row r="76" spans="1:82" x14ac:dyDescent="0.3">
      <c r="A76">
        <v>363</v>
      </c>
      <c r="B76" t="s">
        <v>233</v>
      </c>
      <c r="E76">
        <v>0</v>
      </c>
      <c r="G76">
        <v>0</v>
      </c>
      <c r="H76">
        <v>0</v>
      </c>
      <c r="I76">
        <v>0</v>
      </c>
      <c r="J76">
        <v>0</v>
      </c>
      <c r="K76">
        <v>0</v>
      </c>
      <c r="L76">
        <v>0</v>
      </c>
      <c r="M76">
        <v>0</v>
      </c>
      <c r="N76">
        <v>0</v>
      </c>
      <c r="O76">
        <v>0</v>
      </c>
      <c r="P76">
        <v>0</v>
      </c>
      <c r="Q76">
        <v>1763834</v>
      </c>
      <c r="R76">
        <v>0</v>
      </c>
      <c r="S76">
        <v>0</v>
      </c>
      <c r="T76">
        <v>0</v>
      </c>
      <c r="U76">
        <v>0</v>
      </c>
      <c r="V76">
        <v>207048</v>
      </c>
      <c r="W76">
        <v>0</v>
      </c>
      <c r="Y76">
        <v>0</v>
      </c>
      <c r="Z76">
        <v>0</v>
      </c>
      <c r="AA76">
        <v>0</v>
      </c>
      <c r="AB76">
        <v>0</v>
      </c>
      <c r="AC76">
        <v>0</v>
      </c>
      <c r="AD76">
        <v>0</v>
      </c>
      <c r="AE76">
        <v>0</v>
      </c>
      <c r="AF76">
        <v>0</v>
      </c>
      <c r="AG76">
        <v>0</v>
      </c>
      <c r="AH76">
        <v>0</v>
      </c>
      <c r="AI76">
        <v>519783</v>
      </c>
      <c r="AJ76">
        <v>0</v>
      </c>
      <c r="AM76">
        <v>1304389</v>
      </c>
      <c r="AN76">
        <v>0</v>
      </c>
      <c r="AO76">
        <v>0</v>
      </c>
      <c r="AP76">
        <v>0</v>
      </c>
      <c r="AQ76">
        <v>0</v>
      </c>
      <c r="AR76">
        <v>0</v>
      </c>
      <c r="AS76">
        <v>0</v>
      </c>
      <c r="AT76">
        <v>0</v>
      </c>
      <c r="AU76">
        <v>15939</v>
      </c>
      <c r="AV76">
        <v>0</v>
      </c>
      <c r="AW76">
        <v>0</v>
      </c>
      <c r="AX76">
        <v>0</v>
      </c>
      <c r="AY76">
        <v>0</v>
      </c>
      <c r="AZ76">
        <v>0</v>
      </c>
      <c r="BA76">
        <v>0</v>
      </c>
      <c r="BB76">
        <v>0</v>
      </c>
      <c r="BC76">
        <v>0</v>
      </c>
      <c r="BD76">
        <v>0</v>
      </c>
      <c r="BE76">
        <v>0</v>
      </c>
      <c r="BF76">
        <v>0</v>
      </c>
      <c r="BG76">
        <v>0</v>
      </c>
      <c r="BH76">
        <v>0</v>
      </c>
      <c r="BI76">
        <v>0</v>
      </c>
      <c r="BJ76">
        <v>0</v>
      </c>
      <c r="BK76">
        <v>0</v>
      </c>
      <c r="BN76">
        <v>0</v>
      </c>
      <c r="BO76">
        <v>0</v>
      </c>
      <c r="BP76">
        <v>0</v>
      </c>
      <c r="BQ76">
        <v>0</v>
      </c>
      <c r="BR76">
        <v>0</v>
      </c>
      <c r="BS76">
        <v>229268</v>
      </c>
      <c r="BT76">
        <v>0</v>
      </c>
      <c r="BU76">
        <v>0</v>
      </c>
      <c r="BV76">
        <v>0</v>
      </c>
      <c r="BW76">
        <v>0</v>
      </c>
      <c r="BX76">
        <v>0</v>
      </c>
      <c r="BY76">
        <v>0</v>
      </c>
      <c r="BZ76">
        <v>0</v>
      </c>
      <c r="CA76">
        <v>0</v>
      </c>
      <c r="CB76">
        <v>0</v>
      </c>
      <c r="CD76">
        <v>0</v>
      </c>
    </row>
    <row r="77" spans="1:82" x14ac:dyDescent="0.3">
      <c r="A77">
        <v>364</v>
      </c>
      <c r="B77" t="s">
        <v>234</v>
      </c>
      <c r="E77">
        <v>0</v>
      </c>
      <c r="G77">
        <v>0</v>
      </c>
      <c r="H77">
        <v>0</v>
      </c>
      <c r="I77">
        <v>0</v>
      </c>
      <c r="J77">
        <v>0</v>
      </c>
      <c r="K77">
        <v>0</v>
      </c>
      <c r="L77">
        <v>0</v>
      </c>
      <c r="M77">
        <v>0</v>
      </c>
      <c r="N77">
        <v>0</v>
      </c>
      <c r="O77">
        <v>0</v>
      </c>
      <c r="P77">
        <v>0</v>
      </c>
      <c r="Q77">
        <v>517336</v>
      </c>
      <c r="R77">
        <v>0</v>
      </c>
      <c r="S77">
        <v>0</v>
      </c>
      <c r="T77">
        <v>0</v>
      </c>
      <c r="U77">
        <v>0</v>
      </c>
      <c r="V77">
        <v>3765</v>
      </c>
      <c r="W77">
        <v>0</v>
      </c>
      <c r="Y77">
        <v>0</v>
      </c>
      <c r="Z77">
        <v>0</v>
      </c>
      <c r="AA77">
        <v>0</v>
      </c>
      <c r="AB77">
        <v>0</v>
      </c>
      <c r="AC77">
        <v>0</v>
      </c>
      <c r="AD77">
        <v>0</v>
      </c>
      <c r="AE77">
        <v>0</v>
      </c>
      <c r="AF77">
        <v>0</v>
      </c>
      <c r="AG77">
        <v>0</v>
      </c>
      <c r="AH77">
        <v>0</v>
      </c>
      <c r="AI77">
        <v>86624</v>
      </c>
      <c r="AJ77">
        <v>0</v>
      </c>
      <c r="AM77">
        <v>1042385</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N77">
        <v>0</v>
      </c>
      <c r="BO77">
        <v>0</v>
      </c>
      <c r="BP77">
        <v>0</v>
      </c>
      <c r="BQ77">
        <v>0</v>
      </c>
      <c r="BR77">
        <v>2254</v>
      </c>
      <c r="BS77">
        <v>0</v>
      </c>
      <c r="BT77">
        <v>0</v>
      </c>
      <c r="BU77">
        <v>0</v>
      </c>
      <c r="BV77">
        <v>0</v>
      </c>
      <c r="BW77">
        <v>0</v>
      </c>
      <c r="BX77">
        <v>0</v>
      </c>
      <c r="BY77">
        <v>0</v>
      </c>
      <c r="BZ77">
        <v>0</v>
      </c>
      <c r="CA77">
        <v>0</v>
      </c>
      <c r="CB77">
        <v>0</v>
      </c>
      <c r="CD77">
        <v>0</v>
      </c>
    </row>
    <row r="78" spans="1:82" x14ac:dyDescent="0.3">
      <c r="A78">
        <v>365</v>
      </c>
      <c r="B78" t="s">
        <v>236</v>
      </c>
      <c r="E78">
        <v>0</v>
      </c>
      <c r="G78">
        <v>0</v>
      </c>
      <c r="H78">
        <v>0</v>
      </c>
      <c r="I78">
        <v>0</v>
      </c>
      <c r="J78">
        <v>0</v>
      </c>
      <c r="K78">
        <v>0</v>
      </c>
      <c r="L78">
        <v>0</v>
      </c>
      <c r="M78">
        <v>0</v>
      </c>
      <c r="N78">
        <v>0</v>
      </c>
      <c r="O78">
        <v>0</v>
      </c>
      <c r="P78">
        <v>0</v>
      </c>
      <c r="Q78">
        <v>450000</v>
      </c>
      <c r="R78">
        <v>0</v>
      </c>
      <c r="S78">
        <v>0</v>
      </c>
      <c r="T78">
        <v>0</v>
      </c>
      <c r="U78">
        <v>0</v>
      </c>
      <c r="V78">
        <v>0</v>
      </c>
      <c r="W78">
        <v>0</v>
      </c>
      <c r="Y78">
        <v>0</v>
      </c>
      <c r="Z78">
        <v>0</v>
      </c>
      <c r="AA78">
        <v>0</v>
      </c>
      <c r="AB78">
        <v>0</v>
      </c>
      <c r="AC78">
        <v>0</v>
      </c>
      <c r="AD78">
        <v>0</v>
      </c>
      <c r="AE78">
        <v>0</v>
      </c>
      <c r="AF78">
        <v>0</v>
      </c>
      <c r="AG78">
        <v>0</v>
      </c>
      <c r="AH78">
        <v>0</v>
      </c>
      <c r="AI78">
        <v>0</v>
      </c>
      <c r="AJ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N78">
        <v>0</v>
      </c>
      <c r="BO78">
        <v>0</v>
      </c>
      <c r="BP78">
        <v>0</v>
      </c>
      <c r="BQ78">
        <v>0</v>
      </c>
      <c r="BR78">
        <v>0</v>
      </c>
      <c r="BS78">
        <v>0</v>
      </c>
      <c r="BT78">
        <v>0</v>
      </c>
      <c r="BU78">
        <v>0</v>
      </c>
      <c r="BV78">
        <v>0</v>
      </c>
      <c r="BW78">
        <v>0</v>
      </c>
      <c r="BX78">
        <v>0</v>
      </c>
      <c r="BY78">
        <v>0</v>
      </c>
      <c r="BZ78">
        <v>0</v>
      </c>
      <c r="CA78">
        <v>0</v>
      </c>
      <c r="CB78">
        <v>0</v>
      </c>
      <c r="CD78">
        <v>0</v>
      </c>
    </row>
    <row r="79" spans="1:82" x14ac:dyDescent="0.3">
      <c r="A79">
        <v>366</v>
      </c>
      <c r="B79" t="s">
        <v>885</v>
      </c>
      <c r="E79">
        <v>0</v>
      </c>
      <c r="G79">
        <v>0</v>
      </c>
      <c r="H79">
        <v>0</v>
      </c>
      <c r="I79">
        <v>0</v>
      </c>
      <c r="J79">
        <v>0</v>
      </c>
      <c r="K79">
        <v>0</v>
      </c>
      <c r="L79">
        <v>0</v>
      </c>
      <c r="M79">
        <v>0</v>
      </c>
      <c r="N79">
        <v>0</v>
      </c>
      <c r="O79">
        <v>0</v>
      </c>
      <c r="P79">
        <v>0</v>
      </c>
      <c r="Q79">
        <v>445975</v>
      </c>
      <c r="R79">
        <v>0</v>
      </c>
      <c r="S79">
        <v>0</v>
      </c>
      <c r="T79">
        <v>0</v>
      </c>
      <c r="U79">
        <v>0</v>
      </c>
      <c r="V79">
        <v>843215</v>
      </c>
      <c r="W79">
        <v>0</v>
      </c>
      <c r="Y79">
        <v>0</v>
      </c>
      <c r="Z79">
        <v>0</v>
      </c>
      <c r="AA79">
        <v>0</v>
      </c>
      <c r="AB79">
        <v>0</v>
      </c>
      <c r="AC79">
        <v>0</v>
      </c>
      <c r="AD79">
        <v>0</v>
      </c>
      <c r="AE79">
        <v>0</v>
      </c>
      <c r="AF79">
        <v>0</v>
      </c>
      <c r="AG79">
        <v>0</v>
      </c>
      <c r="AH79">
        <v>0</v>
      </c>
      <c r="AI79">
        <v>2645443</v>
      </c>
      <c r="AJ79">
        <v>0</v>
      </c>
      <c r="AM79">
        <v>34169</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N79">
        <v>0</v>
      </c>
      <c r="BO79">
        <v>0</v>
      </c>
      <c r="BP79">
        <v>0</v>
      </c>
      <c r="BQ79">
        <v>0</v>
      </c>
      <c r="BR79">
        <v>0</v>
      </c>
      <c r="BS79">
        <v>35265</v>
      </c>
      <c r="BT79">
        <v>0</v>
      </c>
      <c r="BU79">
        <v>0</v>
      </c>
      <c r="BV79">
        <v>0</v>
      </c>
      <c r="BW79">
        <v>0</v>
      </c>
      <c r="BX79">
        <v>0</v>
      </c>
      <c r="BY79">
        <v>0</v>
      </c>
      <c r="BZ79">
        <v>0</v>
      </c>
      <c r="CA79">
        <v>0</v>
      </c>
      <c r="CB79">
        <v>0</v>
      </c>
      <c r="CD79">
        <v>0</v>
      </c>
    </row>
    <row r="80" spans="1:82" x14ac:dyDescent="0.3">
      <c r="A80">
        <v>368</v>
      </c>
      <c r="B80" t="s">
        <v>191</v>
      </c>
      <c r="E80">
        <v>0</v>
      </c>
      <c r="G80">
        <v>0</v>
      </c>
      <c r="H80">
        <v>0</v>
      </c>
      <c r="I80">
        <v>0</v>
      </c>
      <c r="J80">
        <v>0</v>
      </c>
      <c r="K80">
        <v>0</v>
      </c>
      <c r="L80">
        <v>0</v>
      </c>
      <c r="M80">
        <v>0</v>
      </c>
      <c r="N80">
        <v>0</v>
      </c>
      <c r="O80">
        <v>0</v>
      </c>
      <c r="P80">
        <v>0</v>
      </c>
      <c r="Q80">
        <v>1379</v>
      </c>
      <c r="R80">
        <v>0</v>
      </c>
      <c r="S80">
        <v>0</v>
      </c>
      <c r="T80">
        <v>9871</v>
      </c>
      <c r="U80">
        <v>0</v>
      </c>
      <c r="V80">
        <v>0</v>
      </c>
      <c r="W80">
        <v>0</v>
      </c>
      <c r="Y80">
        <v>1086</v>
      </c>
      <c r="Z80">
        <v>0</v>
      </c>
      <c r="AA80">
        <v>56485</v>
      </c>
      <c r="AB80">
        <v>0</v>
      </c>
      <c r="AC80">
        <v>36354</v>
      </c>
      <c r="AD80">
        <v>0</v>
      </c>
      <c r="AE80">
        <v>0</v>
      </c>
      <c r="AF80">
        <v>57985</v>
      </c>
      <c r="AG80">
        <v>0</v>
      </c>
      <c r="AH80">
        <v>0</v>
      </c>
      <c r="AI80">
        <v>0</v>
      </c>
      <c r="AJ80">
        <v>0</v>
      </c>
      <c r="AM80">
        <v>33745</v>
      </c>
      <c r="AN80">
        <v>0</v>
      </c>
      <c r="AO80">
        <v>0</v>
      </c>
      <c r="AP80">
        <v>0</v>
      </c>
      <c r="AQ80">
        <v>0</v>
      </c>
      <c r="AR80">
        <v>0</v>
      </c>
      <c r="AS80">
        <v>0</v>
      </c>
      <c r="AT80">
        <v>0</v>
      </c>
      <c r="AU80">
        <v>0</v>
      </c>
      <c r="AV80">
        <v>94203</v>
      </c>
      <c r="AW80">
        <v>12908</v>
      </c>
      <c r="AX80">
        <v>33000</v>
      </c>
      <c r="AY80">
        <v>98010</v>
      </c>
      <c r="AZ80">
        <v>0</v>
      </c>
      <c r="BA80">
        <v>0</v>
      </c>
      <c r="BB80">
        <v>0</v>
      </c>
      <c r="BC80">
        <v>3550</v>
      </c>
      <c r="BD80">
        <v>0</v>
      </c>
      <c r="BE80">
        <v>0</v>
      </c>
      <c r="BF80">
        <v>0</v>
      </c>
      <c r="BG80">
        <v>0</v>
      </c>
      <c r="BH80">
        <v>0</v>
      </c>
      <c r="BI80">
        <v>0</v>
      </c>
      <c r="BJ80">
        <v>0</v>
      </c>
      <c r="BK80">
        <v>0</v>
      </c>
      <c r="BN80">
        <v>0</v>
      </c>
      <c r="BO80">
        <v>0</v>
      </c>
      <c r="BP80">
        <v>0</v>
      </c>
      <c r="BQ80">
        <v>0</v>
      </c>
      <c r="BR80">
        <v>0</v>
      </c>
      <c r="BS80">
        <v>0</v>
      </c>
      <c r="BT80">
        <v>0</v>
      </c>
      <c r="BU80">
        <v>0</v>
      </c>
      <c r="BV80">
        <v>1228742</v>
      </c>
      <c r="BW80">
        <v>0</v>
      </c>
      <c r="BX80">
        <v>0</v>
      </c>
      <c r="BY80">
        <v>0</v>
      </c>
      <c r="BZ80">
        <v>0</v>
      </c>
      <c r="CA80">
        <v>0</v>
      </c>
      <c r="CB80">
        <v>0</v>
      </c>
      <c r="CD80">
        <v>0</v>
      </c>
    </row>
    <row r="81" spans="1:82" x14ac:dyDescent="0.3">
      <c r="A81">
        <v>369</v>
      </c>
      <c r="B81" t="s">
        <v>196</v>
      </c>
      <c r="E81">
        <v>30807</v>
      </c>
      <c r="G81">
        <v>1236263</v>
      </c>
      <c r="H81">
        <v>2050277</v>
      </c>
      <c r="I81">
        <v>2155028</v>
      </c>
      <c r="J81">
        <v>8814</v>
      </c>
      <c r="K81">
        <v>286276</v>
      </c>
      <c r="L81">
        <v>105128</v>
      </c>
      <c r="M81">
        <v>6393412</v>
      </c>
      <c r="N81">
        <v>292903</v>
      </c>
      <c r="O81">
        <v>1446619</v>
      </c>
      <c r="P81">
        <v>9519</v>
      </c>
      <c r="Q81">
        <v>16466011</v>
      </c>
      <c r="R81">
        <v>172049</v>
      </c>
      <c r="S81">
        <v>25749</v>
      </c>
      <c r="T81">
        <v>32211157</v>
      </c>
      <c r="U81">
        <v>8630521</v>
      </c>
      <c r="V81">
        <v>3749878</v>
      </c>
      <c r="W81">
        <v>14928614</v>
      </c>
      <c r="Y81">
        <v>6656737</v>
      </c>
      <c r="Z81">
        <v>642200</v>
      </c>
      <c r="AA81">
        <v>6781688</v>
      </c>
      <c r="AB81">
        <v>2208142</v>
      </c>
      <c r="AC81">
        <v>1426728</v>
      </c>
      <c r="AD81">
        <v>1066704</v>
      </c>
      <c r="AE81">
        <v>1692544</v>
      </c>
      <c r="AF81">
        <v>1982630</v>
      </c>
      <c r="AG81">
        <v>3884585</v>
      </c>
      <c r="AH81">
        <v>736238</v>
      </c>
      <c r="AI81">
        <v>16270790</v>
      </c>
      <c r="AJ81">
        <v>454239</v>
      </c>
      <c r="AM81">
        <v>1674717</v>
      </c>
      <c r="AN81">
        <v>325835</v>
      </c>
      <c r="AO81">
        <v>652380</v>
      </c>
      <c r="AP81">
        <v>34255</v>
      </c>
      <c r="AQ81">
        <v>2961307</v>
      </c>
      <c r="AR81">
        <v>3730387</v>
      </c>
      <c r="AS81">
        <v>371169</v>
      </c>
      <c r="AT81">
        <v>1195030</v>
      </c>
      <c r="AU81">
        <v>70098</v>
      </c>
      <c r="AV81">
        <v>4538991</v>
      </c>
      <c r="AW81">
        <v>1017802</v>
      </c>
      <c r="AX81">
        <v>1140812</v>
      </c>
      <c r="AY81">
        <v>2234463</v>
      </c>
      <c r="AZ81">
        <v>281361</v>
      </c>
      <c r="BA81">
        <v>551953</v>
      </c>
      <c r="BB81">
        <v>36164</v>
      </c>
      <c r="BC81">
        <v>21901</v>
      </c>
      <c r="BD81">
        <v>3881792</v>
      </c>
      <c r="BE81">
        <v>95523</v>
      </c>
      <c r="BF81">
        <v>51504</v>
      </c>
      <c r="BG81">
        <v>63834</v>
      </c>
      <c r="BH81">
        <v>54015</v>
      </c>
      <c r="BI81">
        <v>172260</v>
      </c>
      <c r="BJ81">
        <v>146745</v>
      </c>
      <c r="BK81">
        <v>568929</v>
      </c>
      <c r="BN81">
        <v>2554248</v>
      </c>
      <c r="BO81">
        <v>568505</v>
      </c>
      <c r="BP81">
        <v>1181011</v>
      </c>
      <c r="BQ81">
        <v>9194082</v>
      </c>
      <c r="BR81">
        <v>966215</v>
      </c>
      <c r="BS81">
        <v>7584991</v>
      </c>
      <c r="BT81">
        <v>430771</v>
      </c>
      <c r="BU81">
        <v>310098</v>
      </c>
      <c r="BV81">
        <v>390397</v>
      </c>
      <c r="BW81">
        <v>1110271</v>
      </c>
      <c r="BX81">
        <v>799220</v>
      </c>
      <c r="BY81">
        <v>71510</v>
      </c>
      <c r="BZ81">
        <v>164392</v>
      </c>
      <c r="CA81">
        <v>82173</v>
      </c>
      <c r="CB81">
        <v>466014</v>
      </c>
      <c r="CD81">
        <v>57765</v>
      </c>
    </row>
    <row r="82" spans="1:82" x14ac:dyDescent="0.3">
      <c r="A82">
        <v>370</v>
      </c>
      <c r="B82" t="s">
        <v>198</v>
      </c>
      <c r="E82">
        <v>0</v>
      </c>
      <c r="G82">
        <v>49799</v>
      </c>
      <c r="H82">
        <v>0</v>
      </c>
      <c r="I82">
        <v>0</v>
      </c>
      <c r="J82">
        <v>0</v>
      </c>
      <c r="K82">
        <v>0</v>
      </c>
      <c r="L82">
        <v>0</v>
      </c>
      <c r="M82">
        <v>1059118</v>
      </c>
      <c r="N82">
        <v>8750</v>
      </c>
      <c r="O82">
        <v>119156</v>
      </c>
      <c r="P82">
        <v>0</v>
      </c>
      <c r="Q82">
        <v>3054772</v>
      </c>
      <c r="R82">
        <v>108147</v>
      </c>
      <c r="S82">
        <v>0</v>
      </c>
      <c r="T82">
        <v>9289197</v>
      </c>
      <c r="U82">
        <v>901917</v>
      </c>
      <c r="V82">
        <v>1145114</v>
      </c>
      <c r="W82">
        <v>4502984</v>
      </c>
      <c r="Y82">
        <v>184927</v>
      </c>
      <c r="Z82">
        <v>0</v>
      </c>
      <c r="AA82">
        <v>1343660</v>
      </c>
      <c r="AB82">
        <v>123473</v>
      </c>
      <c r="AC82">
        <v>353566</v>
      </c>
      <c r="AD82">
        <v>0</v>
      </c>
      <c r="AE82">
        <v>119268</v>
      </c>
      <c r="AF82">
        <v>3851398</v>
      </c>
      <c r="AG82">
        <v>65051</v>
      </c>
      <c r="AH82">
        <v>8654</v>
      </c>
      <c r="AI82">
        <v>2447653</v>
      </c>
      <c r="AJ82">
        <v>0</v>
      </c>
      <c r="AM82">
        <v>1407992</v>
      </c>
      <c r="AN82">
        <v>0</v>
      </c>
      <c r="AO82">
        <v>39413</v>
      </c>
      <c r="AP82">
        <v>0</v>
      </c>
      <c r="AQ82">
        <v>49193</v>
      </c>
      <c r="AR82">
        <v>0</v>
      </c>
      <c r="AS82">
        <v>10891</v>
      </c>
      <c r="AT82">
        <v>133221</v>
      </c>
      <c r="AU82">
        <v>0</v>
      </c>
      <c r="AV82">
        <v>0</v>
      </c>
      <c r="AW82">
        <v>1229525</v>
      </c>
      <c r="AX82">
        <v>0</v>
      </c>
      <c r="AY82">
        <v>1028335</v>
      </c>
      <c r="AZ82">
        <v>0</v>
      </c>
      <c r="BA82">
        <v>0</v>
      </c>
      <c r="BB82">
        <v>0</v>
      </c>
      <c r="BC82">
        <v>0</v>
      </c>
      <c r="BD82">
        <v>251566</v>
      </c>
      <c r="BE82">
        <v>0</v>
      </c>
      <c r="BF82">
        <v>0</v>
      </c>
      <c r="BG82">
        <v>12404</v>
      </c>
      <c r="BH82">
        <v>0</v>
      </c>
      <c r="BI82">
        <v>0</v>
      </c>
      <c r="BJ82">
        <v>18940</v>
      </c>
      <c r="BK82">
        <v>273603</v>
      </c>
      <c r="BN82">
        <v>183740</v>
      </c>
      <c r="BO82">
        <v>45966</v>
      </c>
      <c r="BP82">
        <v>58392</v>
      </c>
      <c r="BQ82">
        <v>161109</v>
      </c>
      <c r="BR82">
        <v>38322</v>
      </c>
      <c r="BS82">
        <v>1868346</v>
      </c>
      <c r="BT82">
        <v>37686</v>
      </c>
      <c r="BU82">
        <v>160455</v>
      </c>
      <c r="BV82">
        <v>0</v>
      </c>
      <c r="BW82">
        <v>110183</v>
      </c>
      <c r="BX82">
        <v>5693</v>
      </c>
      <c r="BY82">
        <v>0</v>
      </c>
      <c r="BZ82">
        <v>0</v>
      </c>
      <c r="CA82">
        <v>0</v>
      </c>
      <c r="CB82">
        <v>74784</v>
      </c>
      <c r="CD82">
        <v>0</v>
      </c>
    </row>
    <row r="83" spans="1:82" x14ac:dyDescent="0.3">
      <c r="A83">
        <v>371</v>
      </c>
      <c r="B83" t="s">
        <v>248</v>
      </c>
      <c r="E83">
        <v>0</v>
      </c>
      <c r="G83">
        <v>0</v>
      </c>
      <c r="H83">
        <v>0</v>
      </c>
      <c r="I83">
        <v>0</v>
      </c>
      <c r="J83">
        <v>0</v>
      </c>
      <c r="K83">
        <v>0</v>
      </c>
      <c r="L83">
        <v>0</v>
      </c>
      <c r="M83">
        <v>0</v>
      </c>
      <c r="N83">
        <v>0</v>
      </c>
      <c r="O83">
        <v>0</v>
      </c>
      <c r="P83">
        <v>0</v>
      </c>
      <c r="Q83">
        <v>0</v>
      </c>
      <c r="R83">
        <v>0</v>
      </c>
      <c r="S83">
        <v>0</v>
      </c>
      <c r="T83">
        <v>0</v>
      </c>
      <c r="U83">
        <v>0</v>
      </c>
      <c r="V83">
        <v>0</v>
      </c>
      <c r="W83">
        <v>0</v>
      </c>
      <c r="Y83">
        <v>0</v>
      </c>
      <c r="Z83">
        <v>0</v>
      </c>
      <c r="AA83">
        <v>0</v>
      </c>
      <c r="AB83">
        <v>0</v>
      </c>
      <c r="AC83">
        <v>0</v>
      </c>
      <c r="AD83">
        <v>0</v>
      </c>
      <c r="AE83">
        <v>0</v>
      </c>
      <c r="AF83">
        <v>0</v>
      </c>
      <c r="AG83">
        <v>0</v>
      </c>
      <c r="AH83">
        <v>0</v>
      </c>
      <c r="AI83">
        <v>0</v>
      </c>
      <c r="AJ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N83">
        <v>0</v>
      </c>
      <c r="BO83">
        <v>0</v>
      </c>
      <c r="BP83">
        <v>0</v>
      </c>
      <c r="BQ83">
        <v>0</v>
      </c>
      <c r="BR83">
        <v>0</v>
      </c>
      <c r="BS83">
        <v>0</v>
      </c>
      <c r="BT83">
        <v>0</v>
      </c>
      <c r="BU83">
        <v>0</v>
      </c>
      <c r="BV83">
        <v>0</v>
      </c>
      <c r="BW83">
        <v>0</v>
      </c>
      <c r="BX83">
        <v>0</v>
      </c>
      <c r="BY83">
        <v>0</v>
      </c>
      <c r="BZ83">
        <v>0</v>
      </c>
      <c r="CA83">
        <v>0</v>
      </c>
      <c r="CB83">
        <v>0</v>
      </c>
      <c r="CD83">
        <v>0</v>
      </c>
    </row>
    <row r="84" spans="1:82" x14ac:dyDescent="0.3">
      <c r="A84">
        <v>373</v>
      </c>
      <c r="B84" t="s">
        <v>302</v>
      </c>
      <c r="E84">
        <v>95413</v>
      </c>
      <c r="G84">
        <v>2707672</v>
      </c>
      <c r="H84">
        <v>697054</v>
      </c>
      <c r="I84">
        <v>2147863</v>
      </c>
      <c r="J84">
        <v>61774</v>
      </c>
      <c r="K84">
        <v>354874</v>
      </c>
      <c r="L84">
        <v>399473</v>
      </c>
      <c r="M84">
        <v>32700144</v>
      </c>
      <c r="N84">
        <v>431071</v>
      </c>
      <c r="O84">
        <v>9057577</v>
      </c>
      <c r="P84">
        <v>102134</v>
      </c>
      <c r="Q84">
        <v>95297905</v>
      </c>
      <c r="R84">
        <v>1781809</v>
      </c>
      <c r="S84">
        <v>209807</v>
      </c>
      <c r="T84">
        <v>103638635</v>
      </c>
      <c r="U84">
        <v>18131565</v>
      </c>
      <c r="V84">
        <v>86663730</v>
      </c>
      <c r="W84">
        <v>54521497</v>
      </c>
      <c r="Y84">
        <v>35352828</v>
      </c>
      <c r="Z84">
        <v>1834696</v>
      </c>
      <c r="AA84">
        <v>14429462</v>
      </c>
      <c r="AB84">
        <v>9210063</v>
      </c>
      <c r="AC84">
        <v>2817446</v>
      </c>
      <c r="AD84">
        <v>3932623</v>
      </c>
      <c r="AE84">
        <v>4071144</v>
      </c>
      <c r="AF84">
        <v>98060652</v>
      </c>
      <c r="AG84">
        <v>7382461</v>
      </c>
      <c r="AH84">
        <v>1416683</v>
      </c>
      <c r="AI84">
        <v>43660184</v>
      </c>
      <c r="AJ84">
        <v>1471728</v>
      </c>
      <c r="AM84">
        <v>25793027</v>
      </c>
      <c r="AN84">
        <v>535445</v>
      </c>
      <c r="AO84">
        <v>576884</v>
      </c>
      <c r="AP84">
        <v>121586</v>
      </c>
      <c r="AQ84">
        <v>14435165</v>
      </c>
      <c r="AR84">
        <v>15960675</v>
      </c>
      <c r="AS84">
        <v>451690</v>
      </c>
      <c r="AT84">
        <v>2886696</v>
      </c>
      <c r="AU84">
        <v>267579</v>
      </c>
      <c r="AV84">
        <v>17294094</v>
      </c>
      <c r="AW84">
        <v>3029437</v>
      </c>
      <c r="AX84">
        <v>3134379</v>
      </c>
      <c r="AY84">
        <v>6043299</v>
      </c>
      <c r="AZ84">
        <v>1768501</v>
      </c>
      <c r="BA84">
        <v>799626</v>
      </c>
      <c r="BB84">
        <v>0</v>
      </c>
      <c r="BC84">
        <v>24719</v>
      </c>
      <c r="BD84">
        <v>13690744</v>
      </c>
      <c r="BE84">
        <v>27675</v>
      </c>
      <c r="BF84">
        <v>301208</v>
      </c>
      <c r="BG84">
        <v>254667</v>
      </c>
      <c r="BH84">
        <v>138187</v>
      </c>
      <c r="BI84">
        <v>375667</v>
      </c>
      <c r="BJ84">
        <v>48508</v>
      </c>
      <c r="BK84">
        <v>5233170</v>
      </c>
      <c r="BN84">
        <v>5706701</v>
      </c>
      <c r="BO84">
        <v>1840428</v>
      </c>
      <c r="BP84">
        <v>2231010</v>
      </c>
      <c r="BQ84">
        <v>29172398</v>
      </c>
      <c r="BR84">
        <v>1643265</v>
      </c>
      <c r="BS84">
        <v>21454948</v>
      </c>
      <c r="BT84">
        <v>1966127</v>
      </c>
      <c r="BU84">
        <v>4325256</v>
      </c>
      <c r="BV84">
        <v>1338209</v>
      </c>
      <c r="BW84">
        <v>4761974</v>
      </c>
      <c r="BX84">
        <v>700415</v>
      </c>
      <c r="BY84">
        <v>85830</v>
      </c>
      <c r="BZ84">
        <v>314734</v>
      </c>
      <c r="CA84">
        <v>72161</v>
      </c>
      <c r="CB84">
        <v>1618241</v>
      </c>
      <c r="CD84">
        <v>145201</v>
      </c>
    </row>
    <row r="85" spans="1:82" x14ac:dyDescent="0.3">
      <c r="A85">
        <v>375</v>
      </c>
      <c r="B85" t="s">
        <v>213</v>
      </c>
      <c r="E85">
        <v>0</v>
      </c>
      <c r="G85">
        <v>0</v>
      </c>
      <c r="H85">
        <v>0</v>
      </c>
      <c r="I85">
        <v>0</v>
      </c>
      <c r="J85">
        <v>86156</v>
      </c>
      <c r="K85">
        <v>0</v>
      </c>
      <c r="L85">
        <v>0</v>
      </c>
      <c r="M85">
        <v>0</v>
      </c>
      <c r="N85">
        <v>0</v>
      </c>
      <c r="O85">
        <v>1432616</v>
      </c>
      <c r="P85">
        <v>0</v>
      </c>
      <c r="Q85">
        <v>54061118</v>
      </c>
      <c r="R85">
        <v>906204</v>
      </c>
      <c r="S85">
        <v>0</v>
      </c>
      <c r="T85">
        <v>31005442</v>
      </c>
      <c r="U85">
        <v>8319182</v>
      </c>
      <c r="V85">
        <v>19818555</v>
      </c>
      <c r="W85">
        <v>0</v>
      </c>
      <c r="Y85">
        <v>7442957</v>
      </c>
      <c r="Z85">
        <v>1931478</v>
      </c>
      <c r="AA85">
        <v>13783387</v>
      </c>
      <c r="AB85">
        <v>0</v>
      </c>
      <c r="AC85">
        <v>1649731</v>
      </c>
      <c r="AD85">
        <v>864541</v>
      </c>
      <c r="AE85">
        <v>3837897</v>
      </c>
      <c r="AF85">
        <v>3653017</v>
      </c>
      <c r="AG85">
        <v>2570789</v>
      </c>
      <c r="AH85">
        <v>0</v>
      </c>
      <c r="AI85">
        <v>17436326</v>
      </c>
      <c r="AJ85">
        <v>452074</v>
      </c>
      <c r="AM85">
        <v>6910254</v>
      </c>
      <c r="AN85">
        <v>149750</v>
      </c>
      <c r="AO85">
        <v>-174735</v>
      </c>
      <c r="AP85">
        <v>0</v>
      </c>
      <c r="AQ85">
        <v>0</v>
      </c>
      <c r="AR85">
        <v>1752837</v>
      </c>
      <c r="AS85">
        <v>0</v>
      </c>
      <c r="AT85">
        <v>2174139</v>
      </c>
      <c r="AU85">
        <v>0</v>
      </c>
      <c r="AV85">
        <v>33586316</v>
      </c>
      <c r="AW85">
        <v>50000</v>
      </c>
      <c r="AX85">
        <v>1014176</v>
      </c>
      <c r="AY85">
        <v>0</v>
      </c>
      <c r="AZ85">
        <v>1017480</v>
      </c>
      <c r="BA85">
        <v>269279</v>
      </c>
      <c r="BB85">
        <v>0</v>
      </c>
      <c r="BC85">
        <v>65656</v>
      </c>
      <c r="BD85">
        <v>13612566</v>
      </c>
      <c r="BE85">
        <v>0</v>
      </c>
      <c r="BF85">
        <v>44772</v>
      </c>
      <c r="BG85">
        <v>158661</v>
      </c>
      <c r="BH85">
        <v>0</v>
      </c>
      <c r="BI85">
        <v>502810</v>
      </c>
      <c r="BJ85">
        <v>0</v>
      </c>
      <c r="BK85">
        <v>437976</v>
      </c>
      <c r="BN85">
        <v>1347189</v>
      </c>
      <c r="BO85">
        <v>685296</v>
      </c>
      <c r="BP85">
        <v>1316659</v>
      </c>
      <c r="BQ85">
        <v>0</v>
      </c>
      <c r="BR85">
        <v>964681</v>
      </c>
      <c r="BS85">
        <v>0</v>
      </c>
      <c r="BT85">
        <v>552382</v>
      </c>
      <c r="BU85">
        <v>3555797</v>
      </c>
      <c r="BV85">
        <v>0</v>
      </c>
      <c r="BW85">
        <v>931726</v>
      </c>
      <c r="BX85">
        <v>1591129</v>
      </c>
      <c r="BY85">
        <v>932</v>
      </c>
      <c r="BZ85">
        <v>83719</v>
      </c>
      <c r="CA85">
        <v>105831</v>
      </c>
      <c r="CB85">
        <v>1256192</v>
      </c>
      <c r="CD85">
        <v>48367</v>
      </c>
    </row>
    <row r="86" spans="1:82" x14ac:dyDescent="0.3">
      <c r="A86">
        <v>376</v>
      </c>
      <c r="B86" t="s">
        <v>100</v>
      </c>
      <c r="E86">
        <v>0</v>
      </c>
      <c r="G86">
        <v>0</v>
      </c>
      <c r="H86">
        <v>1</v>
      </c>
      <c r="I86">
        <v>0</v>
      </c>
      <c r="J86">
        <v>-1</v>
      </c>
      <c r="K86">
        <v>0</v>
      </c>
      <c r="L86">
        <v>0</v>
      </c>
      <c r="M86">
        <v>0</v>
      </c>
      <c r="N86">
        <v>1</v>
      </c>
      <c r="O86">
        <v>0</v>
      </c>
      <c r="P86">
        <v>0</v>
      </c>
      <c r="Q86">
        <v>0</v>
      </c>
      <c r="R86">
        <v>0</v>
      </c>
      <c r="S86">
        <v>0</v>
      </c>
      <c r="T86">
        <v>-2074479</v>
      </c>
      <c r="U86">
        <v>0</v>
      </c>
      <c r="V86">
        <v>0</v>
      </c>
      <c r="W86">
        <v>1</v>
      </c>
      <c r="Y86">
        <v>0</v>
      </c>
      <c r="Z86">
        <v>0</v>
      </c>
      <c r="AA86">
        <v>0</v>
      </c>
      <c r="AB86">
        <v>0</v>
      </c>
      <c r="AC86">
        <v>0</v>
      </c>
      <c r="AD86">
        <v>0</v>
      </c>
      <c r="AE86">
        <v>0</v>
      </c>
      <c r="AF86">
        <v>0</v>
      </c>
      <c r="AG86">
        <v>177224</v>
      </c>
      <c r="AH86">
        <v>0</v>
      </c>
      <c r="AI86">
        <v>0</v>
      </c>
      <c r="AJ86">
        <v>1</v>
      </c>
      <c r="AM86">
        <v>-2461250</v>
      </c>
      <c r="AN86">
        <v>0</v>
      </c>
      <c r="AO86">
        <v>27615</v>
      </c>
      <c r="AP86">
        <v>0</v>
      </c>
      <c r="AQ86">
        <v>0</v>
      </c>
      <c r="AR86">
        <v>3556692</v>
      </c>
      <c r="AS86">
        <v>0</v>
      </c>
      <c r="AT86">
        <v>0</v>
      </c>
      <c r="AU86">
        <v>0</v>
      </c>
      <c r="AV86">
        <v>0</v>
      </c>
      <c r="AW86">
        <v>0</v>
      </c>
      <c r="AX86">
        <v>0</v>
      </c>
      <c r="AY86">
        <v>0</v>
      </c>
      <c r="AZ86">
        <v>0</v>
      </c>
      <c r="BA86">
        <v>0</v>
      </c>
      <c r="BB86">
        <v>0</v>
      </c>
      <c r="BC86">
        <v>0</v>
      </c>
      <c r="BD86">
        <v>0</v>
      </c>
      <c r="BE86">
        <v>0</v>
      </c>
      <c r="BF86">
        <v>0</v>
      </c>
      <c r="BG86">
        <v>0</v>
      </c>
      <c r="BH86">
        <v>0</v>
      </c>
      <c r="BI86">
        <v>0</v>
      </c>
      <c r="BJ86">
        <v>0</v>
      </c>
      <c r="BK86">
        <v>0</v>
      </c>
      <c r="BN86">
        <v>0</v>
      </c>
      <c r="BO86">
        <v>0</v>
      </c>
      <c r="BP86">
        <v>0</v>
      </c>
      <c r="BQ86">
        <v>0</v>
      </c>
      <c r="BR86">
        <v>0</v>
      </c>
      <c r="BS86">
        <v>0</v>
      </c>
      <c r="BT86">
        <v>0</v>
      </c>
      <c r="BU86">
        <v>0</v>
      </c>
      <c r="BV86">
        <v>0</v>
      </c>
      <c r="BW86">
        <v>0</v>
      </c>
      <c r="BX86">
        <v>0</v>
      </c>
      <c r="BY86">
        <v>0</v>
      </c>
      <c r="BZ86">
        <v>0</v>
      </c>
      <c r="CA86">
        <v>25945</v>
      </c>
      <c r="CB86">
        <v>0</v>
      </c>
      <c r="CD86">
        <v>0</v>
      </c>
    </row>
    <row r="87" spans="1:82" x14ac:dyDescent="0.3">
      <c r="A87">
        <v>377</v>
      </c>
      <c r="B87" t="s">
        <v>101</v>
      </c>
      <c r="E87">
        <v>0</v>
      </c>
      <c r="G87">
        <v>0</v>
      </c>
      <c r="H87">
        <v>0</v>
      </c>
      <c r="I87">
        <v>0</v>
      </c>
      <c r="J87">
        <v>-1</v>
      </c>
      <c r="K87">
        <v>0</v>
      </c>
      <c r="L87">
        <v>0</v>
      </c>
      <c r="M87">
        <v>0</v>
      </c>
      <c r="N87">
        <v>0</v>
      </c>
      <c r="O87">
        <v>-1</v>
      </c>
      <c r="P87">
        <v>0</v>
      </c>
      <c r="Q87">
        <v>0</v>
      </c>
      <c r="R87">
        <v>0</v>
      </c>
      <c r="S87">
        <v>0</v>
      </c>
      <c r="T87">
        <v>2638093</v>
      </c>
      <c r="U87">
        <v>0</v>
      </c>
      <c r="V87">
        <v>0</v>
      </c>
      <c r="W87">
        <v>0</v>
      </c>
      <c r="Y87">
        <v>0</v>
      </c>
      <c r="Z87">
        <v>0</v>
      </c>
      <c r="AA87">
        <v>0</v>
      </c>
      <c r="AB87">
        <v>0</v>
      </c>
      <c r="AC87">
        <v>0</v>
      </c>
      <c r="AD87">
        <v>0</v>
      </c>
      <c r="AE87">
        <v>0</v>
      </c>
      <c r="AF87">
        <v>0</v>
      </c>
      <c r="AG87">
        <v>1166074</v>
      </c>
      <c r="AH87">
        <v>0</v>
      </c>
      <c r="AI87">
        <v>0</v>
      </c>
      <c r="AJ87">
        <v>1</v>
      </c>
      <c r="AM87">
        <v>2461250</v>
      </c>
      <c r="AN87">
        <v>0</v>
      </c>
      <c r="AO87">
        <v>-5596</v>
      </c>
      <c r="AP87">
        <v>0</v>
      </c>
      <c r="AQ87">
        <v>0</v>
      </c>
      <c r="AR87">
        <v>3556912</v>
      </c>
      <c r="AS87">
        <v>0</v>
      </c>
      <c r="AT87">
        <v>0</v>
      </c>
      <c r="AU87">
        <v>0</v>
      </c>
      <c r="AV87">
        <v>0</v>
      </c>
      <c r="AW87">
        <v>0</v>
      </c>
      <c r="AX87">
        <v>0</v>
      </c>
      <c r="AY87">
        <v>0</v>
      </c>
      <c r="AZ87">
        <v>0</v>
      </c>
      <c r="BA87">
        <v>0</v>
      </c>
      <c r="BB87">
        <v>0</v>
      </c>
      <c r="BC87">
        <v>0</v>
      </c>
      <c r="BD87">
        <v>0</v>
      </c>
      <c r="BE87">
        <v>0</v>
      </c>
      <c r="BF87">
        <v>0</v>
      </c>
      <c r="BG87">
        <v>0</v>
      </c>
      <c r="BH87">
        <v>0</v>
      </c>
      <c r="BI87">
        <v>0</v>
      </c>
      <c r="BJ87">
        <v>0</v>
      </c>
      <c r="BK87">
        <v>0</v>
      </c>
      <c r="BN87">
        <v>0</v>
      </c>
      <c r="BO87">
        <v>0</v>
      </c>
      <c r="BP87">
        <v>0</v>
      </c>
      <c r="BQ87">
        <v>0</v>
      </c>
      <c r="BR87">
        <v>0</v>
      </c>
      <c r="BS87">
        <v>0</v>
      </c>
      <c r="BT87">
        <v>0</v>
      </c>
      <c r="BU87">
        <v>0</v>
      </c>
      <c r="BV87">
        <v>0</v>
      </c>
      <c r="BW87">
        <v>0</v>
      </c>
      <c r="BX87">
        <v>0</v>
      </c>
      <c r="BY87">
        <v>0</v>
      </c>
      <c r="BZ87">
        <v>0</v>
      </c>
      <c r="CA87">
        <v>0</v>
      </c>
      <c r="CB87">
        <v>0</v>
      </c>
      <c r="CD87">
        <v>0</v>
      </c>
    </row>
    <row r="88" spans="1:82" x14ac:dyDescent="0.3">
      <c r="A88">
        <v>378</v>
      </c>
      <c r="B88" t="s">
        <v>102</v>
      </c>
      <c r="E88">
        <v>0</v>
      </c>
      <c r="G88">
        <v>0</v>
      </c>
      <c r="H88">
        <v>0</v>
      </c>
      <c r="I88">
        <v>0</v>
      </c>
      <c r="J88">
        <v>0</v>
      </c>
      <c r="K88">
        <v>0</v>
      </c>
      <c r="L88">
        <v>0</v>
      </c>
      <c r="M88">
        <v>0</v>
      </c>
      <c r="N88">
        <v>0</v>
      </c>
      <c r="O88">
        <v>0</v>
      </c>
      <c r="P88">
        <v>0</v>
      </c>
      <c r="Q88">
        <v>0</v>
      </c>
      <c r="R88">
        <v>0</v>
      </c>
      <c r="S88">
        <v>0</v>
      </c>
      <c r="T88">
        <v>0</v>
      </c>
      <c r="U88">
        <v>0</v>
      </c>
      <c r="V88">
        <v>0</v>
      </c>
      <c r="W88">
        <v>0</v>
      </c>
      <c r="Y88">
        <v>0</v>
      </c>
      <c r="Z88">
        <v>0</v>
      </c>
      <c r="AA88">
        <v>0</v>
      </c>
      <c r="AB88">
        <v>0</v>
      </c>
      <c r="AC88">
        <v>0</v>
      </c>
      <c r="AD88">
        <v>0</v>
      </c>
      <c r="AE88">
        <v>0</v>
      </c>
      <c r="AF88">
        <v>0</v>
      </c>
      <c r="AG88">
        <v>0</v>
      </c>
      <c r="AH88">
        <v>0</v>
      </c>
      <c r="AI88">
        <v>0</v>
      </c>
      <c r="AJ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N88">
        <v>0</v>
      </c>
      <c r="BO88">
        <v>0</v>
      </c>
      <c r="BP88">
        <v>0</v>
      </c>
      <c r="BQ88">
        <v>0</v>
      </c>
      <c r="BR88">
        <v>0</v>
      </c>
      <c r="BS88">
        <v>0</v>
      </c>
      <c r="BT88">
        <v>0</v>
      </c>
      <c r="BU88">
        <v>0</v>
      </c>
      <c r="BV88">
        <v>0</v>
      </c>
      <c r="BW88">
        <v>0</v>
      </c>
      <c r="BX88">
        <v>0</v>
      </c>
      <c r="BY88">
        <v>0</v>
      </c>
      <c r="BZ88">
        <v>0</v>
      </c>
      <c r="CA88">
        <v>0</v>
      </c>
      <c r="CB88">
        <v>0</v>
      </c>
      <c r="CD88">
        <v>0</v>
      </c>
    </row>
    <row r="89" spans="1:82" x14ac:dyDescent="0.3">
      <c r="A89">
        <v>379</v>
      </c>
      <c r="B89" t="s">
        <v>110</v>
      </c>
      <c r="E89">
        <v>271072</v>
      </c>
      <c r="G89">
        <v>7217597</v>
      </c>
      <c r="H89">
        <v>8037474</v>
      </c>
      <c r="I89">
        <v>8422477</v>
      </c>
      <c r="J89">
        <v>191958</v>
      </c>
      <c r="K89">
        <v>1410530</v>
      </c>
      <c r="L89">
        <v>1042467</v>
      </c>
      <c r="M89">
        <v>14265031</v>
      </c>
      <c r="N89">
        <v>1051931</v>
      </c>
      <c r="O89">
        <v>11764744</v>
      </c>
      <c r="P89">
        <v>439816</v>
      </c>
      <c r="Q89">
        <v>46074355</v>
      </c>
      <c r="R89">
        <v>1688568</v>
      </c>
      <c r="S89">
        <v>157642</v>
      </c>
      <c r="T89">
        <v>105566044</v>
      </c>
      <c r="U89">
        <v>14574121</v>
      </c>
      <c r="V89">
        <v>39229825</v>
      </c>
      <c r="W89">
        <v>43068450</v>
      </c>
      <c r="Y89">
        <v>21630259</v>
      </c>
      <c r="Z89">
        <v>1590462</v>
      </c>
      <c r="AA89">
        <v>28332911</v>
      </c>
      <c r="AB89">
        <v>2674838</v>
      </c>
      <c r="AC89">
        <v>2664851</v>
      </c>
      <c r="AD89">
        <v>2429894</v>
      </c>
      <c r="AE89">
        <v>4030605</v>
      </c>
      <c r="AF89">
        <v>24887448</v>
      </c>
      <c r="AG89">
        <v>5865792</v>
      </c>
      <c r="AH89">
        <v>2545716</v>
      </c>
      <c r="AI89">
        <v>37774482</v>
      </c>
      <c r="AJ89">
        <v>4556354</v>
      </c>
      <c r="AM89">
        <v>16583466</v>
      </c>
      <c r="AN89">
        <v>1018548</v>
      </c>
      <c r="AO89">
        <v>1318604</v>
      </c>
      <c r="AP89">
        <v>149256</v>
      </c>
      <c r="AQ89">
        <v>8228181</v>
      </c>
      <c r="AR89">
        <v>56242972</v>
      </c>
      <c r="AS89">
        <v>912158</v>
      </c>
      <c r="AT89">
        <v>2192701</v>
      </c>
      <c r="AU89">
        <v>317154</v>
      </c>
      <c r="AV89">
        <v>28113601</v>
      </c>
      <c r="AW89">
        <v>3345968</v>
      </c>
      <c r="AX89">
        <v>1582664</v>
      </c>
      <c r="AY89">
        <v>11456603</v>
      </c>
      <c r="AZ89">
        <v>2704607</v>
      </c>
      <c r="BA89">
        <v>1113575</v>
      </c>
      <c r="BB89">
        <v>145225</v>
      </c>
      <c r="BC89">
        <v>815582</v>
      </c>
      <c r="BD89">
        <v>12730316</v>
      </c>
      <c r="BE89">
        <v>756523</v>
      </c>
      <c r="BF89">
        <v>1106659</v>
      </c>
      <c r="BG89">
        <v>357417</v>
      </c>
      <c r="BH89">
        <v>375579</v>
      </c>
      <c r="BI89">
        <v>546726</v>
      </c>
      <c r="BJ89">
        <v>401355</v>
      </c>
      <c r="BK89">
        <v>2160464</v>
      </c>
      <c r="BN89">
        <v>4218185</v>
      </c>
      <c r="BO89">
        <v>2209967</v>
      </c>
      <c r="BP89">
        <v>2227926</v>
      </c>
      <c r="BQ89">
        <v>21835774</v>
      </c>
      <c r="BR89">
        <v>1013797</v>
      </c>
      <c r="BS89">
        <v>32522438</v>
      </c>
      <c r="BT89">
        <v>887976</v>
      </c>
      <c r="BU89">
        <v>7483468</v>
      </c>
      <c r="BV89">
        <v>3999216</v>
      </c>
      <c r="BW89">
        <v>2654192</v>
      </c>
      <c r="BX89">
        <v>2615639</v>
      </c>
      <c r="BY89">
        <v>380122</v>
      </c>
      <c r="BZ89">
        <v>1164475</v>
      </c>
      <c r="CA89">
        <v>209270</v>
      </c>
      <c r="CB89">
        <v>1057153</v>
      </c>
      <c r="CD89">
        <v>420042</v>
      </c>
    </row>
    <row r="90" spans="1:82" x14ac:dyDescent="0.3">
      <c r="A90">
        <v>380</v>
      </c>
      <c r="B90" t="s">
        <v>113</v>
      </c>
      <c r="E90">
        <v>23156</v>
      </c>
      <c r="G90">
        <v>23784</v>
      </c>
      <c r="H90">
        <v>11365</v>
      </c>
      <c r="I90">
        <v>55013</v>
      </c>
      <c r="J90">
        <v>3483</v>
      </c>
      <c r="K90">
        <v>469</v>
      </c>
      <c r="L90">
        <v>1225</v>
      </c>
      <c r="M90">
        <v>112343</v>
      </c>
      <c r="N90">
        <v>1828</v>
      </c>
      <c r="O90">
        <v>48221</v>
      </c>
      <c r="P90">
        <v>509</v>
      </c>
      <c r="Q90">
        <v>793076</v>
      </c>
      <c r="R90">
        <v>822</v>
      </c>
      <c r="S90">
        <v>0</v>
      </c>
      <c r="T90">
        <v>0</v>
      </c>
      <c r="U90">
        <v>107678</v>
      </c>
      <c r="V90">
        <v>398341</v>
      </c>
      <c r="W90">
        <v>2226901</v>
      </c>
      <c r="Y90">
        <v>196946</v>
      </c>
      <c r="Z90">
        <v>26802</v>
      </c>
      <c r="AA90">
        <v>709189</v>
      </c>
      <c r="AB90">
        <v>125008</v>
      </c>
      <c r="AC90">
        <v>10082</v>
      </c>
      <c r="AD90">
        <v>83435</v>
      </c>
      <c r="AE90">
        <v>107965</v>
      </c>
      <c r="AF90">
        <v>1412337</v>
      </c>
      <c r="AG90">
        <v>91907</v>
      </c>
      <c r="AH90">
        <v>46795</v>
      </c>
      <c r="AI90">
        <v>206672</v>
      </c>
      <c r="AJ90">
        <v>2231</v>
      </c>
      <c r="AM90">
        <v>232661</v>
      </c>
      <c r="AN90">
        <v>29935</v>
      </c>
      <c r="AO90">
        <v>33257</v>
      </c>
      <c r="AP90">
        <v>0</v>
      </c>
      <c r="AQ90">
        <v>75029</v>
      </c>
      <c r="AR90">
        <v>31914713</v>
      </c>
      <c r="AS90">
        <v>8182</v>
      </c>
      <c r="AT90">
        <v>37106</v>
      </c>
      <c r="AU90">
        <v>36205</v>
      </c>
      <c r="AV90">
        <v>136894</v>
      </c>
      <c r="AW90">
        <v>17263</v>
      </c>
      <c r="AX90">
        <v>38326</v>
      </c>
      <c r="AY90">
        <v>862</v>
      </c>
      <c r="AZ90">
        <v>5689</v>
      </c>
      <c r="BA90">
        <v>51648</v>
      </c>
      <c r="BB90">
        <v>0</v>
      </c>
      <c r="BC90">
        <v>1044</v>
      </c>
      <c r="BD90">
        <v>1742214</v>
      </c>
      <c r="BE90">
        <v>0</v>
      </c>
      <c r="BF90">
        <v>74596</v>
      </c>
      <c r="BG90">
        <v>55534</v>
      </c>
      <c r="BH90">
        <v>732</v>
      </c>
      <c r="BI90">
        <v>11804</v>
      </c>
      <c r="BJ90">
        <v>5096</v>
      </c>
      <c r="BK90">
        <v>113566</v>
      </c>
      <c r="BN90">
        <v>425668</v>
      </c>
      <c r="BO90">
        <v>601</v>
      </c>
      <c r="BP90">
        <v>5490</v>
      </c>
      <c r="BQ90">
        <v>51837</v>
      </c>
      <c r="BR90">
        <v>22021</v>
      </c>
      <c r="BS90">
        <v>8287585</v>
      </c>
      <c r="BT90">
        <v>7549</v>
      </c>
      <c r="BU90">
        <v>48135</v>
      </c>
      <c r="BV90">
        <v>10458</v>
      </c>
      <c r="BW90">
        <v>597230</v>
      </c>
      <c r="BX90">
        <v>39387</v>
      </c>
      <c r="BY90">
        <v>296</v>
      </c>
      <c r="BZ90">
        <v>10647</v>
      </c>
      <c r="CA90">
        <v>1883</v>
      </c>
      <c r="CB90">
        <v>6250</v>
      </c>
      <c r="CD90">
        <v>1927</v>
      </c>
    </row>
    <row r="91" spans="1:82" x14ac:dyDescent="0.3">
      <c r="A91">
        <v>381</v>
      </c>
      <c r="B91" t="s">
        <v>105</v>
      </c>
      <c r="E91">
        <v>0</v>
      </c>
      <c r="G91">
        <v>0</v>
      </c>
      <c r="H91">
        <v>0</v>
      </c>
      <c r="I91">
        <v>0</v>
      </c>
      <c r="J91">
        <v>2288522</v>
      </c>
      <c r="K91">
        <v>0</v>
      </c>
      <c r="L91">
        <v>0</v>
      </c>
      <c r="M91">
        <v>0</v>
      </c>
      <c r="N91">
        <v>0</v>
      </c>
      <c r="O91">
        <v>23153665</v>
      </c>
      <c r="P91">
        <v>0</v>
      </c>
      <c r="Q91">
        <v>179013714</v>
      </c>
      <c r="R91">
        <v>2286733</v>
      </c>
      <c r="S91">
        <v>0</v>
      </c>
      <c r="T91">
        <v>222328337</v>
      </c>
      <c r="U91">
        <v>61500104</v>
      </c>
      <c r="V91">
        <v>84077430</v>
      </c>
      <c r="W91">
        <v>0</v>
      </c>
      <c r="Y91">
        <v>50495646</v>
      </c>
      <c r="Z91">
        <v>13662395</v>
      </c>
      <c r="AA91">
        <v>58223031</v>
      </c>
      <c r="AB91">
        <v>32363340</v>
      </c>
      <c r="AC91">
        <v>5585262</v>
      </c>
      <c r="AD91">
        <v>8650869</v>
      </c>
      <c r="AE91">
        <v>19325273</v>
      </c>
      <c r="AF91">
        <v>17816744</v>
      </c>
      <c r="AG91">
        <v>11280978</v>
      </c>
      <c r="AH91">
        <v>0</v>
      </c>
      <c r="AI91">
        <v>133347594</v>
      </c>
      <c r="AJ91">
        <v>1866835</v>
      </c>
      <c r="AM91">
        <v>41751612</v>
      </c>
      <c r="AN91">
        <v>1072477</v>
      </c>
      <c r="AO91">
        <v>2588095</v>
      </c>
      <c r="AP91">
        <v>0</v>
      </c>
      <c r="AQ91">
        <v>0</v>
      </c>
      <c r="AR91">
        <v>20667610</v>
      </c>
      <c r="AS91">
        <v>0</v>
      </c>
      <c r="AT91">
        <v>19432927</v>
      </c>
      <c r="AU91">
        <v>0</v>
      </c>
      <c r="AV91">
        <v>128488682</v>
      </c>
      <c r="AW91">
        <v>50000</v>
      </c>
      <c r="AX91">
        <v>15749370</v>
      </c>
      <c r="AY91">
        <v>24578453</v>
      </c>
      <c r="AZ91">
        <v>6657632</v>
      </c>
      <c r="BA91">
        <v>1512963</v>
      </c>
      <c r="BB91">
        <v>0</v>
      </c>
      <c r="BC91">
        <v>749003</v>
      </c>
      <c r="BD91">
        <v>77212462</v>
      </c>
      <c r="BE91">
        <v>0</v>
      </c>
      <c r="BF91">
        <v>3211748</v>
      </c>
      <c r="BG91">
        <v>4149455</v>
      </c>
      <c r="BH91">
        <v>0</v>
      </c>
      <c r="BI91">
        <v>3213070</v>
      </c>
      <c r="BJ91">
        <v>0</v>
      </c>
      <c r="BK91">
        <v>21594889</v>
      </c>
      <c r="BN91">
        <v>4595734</v>
      </c>
      <c r="BO91">
        <v>6247537</v>
      </c>
      <c r="BP91">
        <v>1914780</v>
      </c>
      <c r="BQ91">
        <v>0</v>
      </c>
      <c r="BR91">
        <v>7073061</v>
      </c>
      <c r="BS91">
        <v>0</v>
      </c>
      <c r="BT91">
        <v>6722604</v>
      </c>
      <c r="BU91">
        <v>23785172</v>
      </c>
      <c r="BV91">
        <v>0</v>
      </c>
      <c r="BW91">
        <v>14116612</v>
      </c>
      <c r="BX91">
        <v>3867149</v>
      </c>
      <c r="BY91">
        <v>593975</v>
      </c>
      <c r="BZ91">
        <v>4871163</v>
      </c>
      <c r="CA91">
        <v>4352869</v>
      </c>
      <c r="CB91">
        <v>6539905</v>
      </c>
      <c r="CD91">
        <v>750652</v>
      </c>
    </row>
    <row r="92" spans="1:82" x14ac:dyDescent="0.3">
      <c r="A92">
        <v>382</v>
      </c>
      <c r="B92" t="s">
        <v>106</v>
      </c>
      <c r="E92">
        <v>0</v>
      </c>
      <c r="G92">
        <v>0</v>
      </c>
      <c r="H92">
        <v>0</v>
      </c>
      <c r="I92">
        <v>0</v>
      </c>
      <c r="J92">
        <v>0</v>
      </c>
      <c r="K92">
        <v>0</v>
      </c>
      <c r="L92">
        <v>0</v>
      </c>
      <c r="M92">
        <v>0</v>
      </c>
      <c r="N92">
        <v>0</v>
      </c>
      <c r="O92">
        <v>0</v>
      </c>
      <c r="P92">
        <v>0</v>
      </c>
      <c r="Q92">
        <v>194086032</v>
      </c>
      <c r="R92">
        <v>0</v>
      </c>
      <c r="S92">
        <v>0</v>
      </c>
      <c r="T92">
        <v>0</v>
      </c>
      <c r="U92">
        <v>0</v>
      </c>
      <c r="V92">
        <v>38680302</v>
      </c>
      <c r="W92">
        <v>0</v>
      </c>
      <c r="Y92">
        <v>0</v>
      </c>
      <c r="Z92">
        <v>0</v>
      </c>
      <c r="AA92">
        <v>0</v>
      </c>
      <c r="AB92">
        <v>0</v>
      </c>
      <c r="AC92">
        <v>0</v>
      </c>
      <c r="AD92">
        <v>0</v>
      </c>
      <c r="AE92">
        <v>0</v>
      </c>
      <c r="AF92">
        <v>0</v>
      </c>
      <c r="AG92">
        <v>0</v>
      </c>
      <c r="AH92">
        <v>0</v>
      </c>
      <c r="AI92">
        <v>65033674</v>
      </c>
      <c r="AJ92">
        <v>0</v>
      </c>
      <c r="AM92">
        <v>28791248</v>
      </c>
      <c r="AN92">
        <v>0</v>
      </c>
      <c r="AO92">
        <v>0</v>
      </c>
      <c r="AP92">
        <v>0</v>
      </c>
      <c r="AQ92">
        <v>0</v>
      </c>
      <c r="AR92">
        <v>0</v>
      </c>
      <c r="AS92">
        <v>0</v>
      </c>
      <c r="AT92">
        <v>0</v>
      </c>
      <c r="AU92">
        <v>895262</v>
      </c>
      <c r="AV92">
        <v>0</v>
      </c>
      <c r="AW92">
        <v>0</v>
      </c>
      <c r="AX92">
        <v>0</v>
      </c>
      <c r="AY92">
        <v>0</v>
      </c>
      <c r="AZ92">
        <v>0</v>
      </c>
      <c r="BA92">
        <v>0</v>
      </c>
      <c r="BB92">
        <v>0</v>
      </c>
      <c r="BC92">
        <v>0</v>
      </c>
      <c r="BD92">
        <v>0</v>
      </c>
      <c r="BE92">
        <v>0</v>
      </c>
      <c r="BF92">
        <v>0</v>
      </c>
      <c r="BG92">
        <v>0</v>
      </c>
      <c r="BH92">
        <v>0</v>
      </c>
      <c r="BI92">
        <v>0</v>
      </c>
      <c r="BJ92">
        <v>0</v>
      </c>
      <c r="BK92">
        <v>0</v>
      </c>
      <c r="BN92">
        <v>0</v>
      </c>
      <c r="BO92">
        <v>0</v>
      </c>
      <c r="BP92">
        <v>0</v>
      </c>
      <c r="BQ92">
        <v>0</v>
      </c>
      <c r="BR92">
        <v>3141211</v>
      </c>
      <c r="BS92">
        <v>26086293</v>
      </c>
      <c r="BT92">
        <v>0</v>
      </c>
      <c r="BU92">
        <v>0</v>
      </c>
      <c r="BV92">
        <v>0</v>
      </c>
      <c r="BW92">
        <v>0</v>
      </c>
      <c r="BX92">
        <v>0</v>
      </c>
      <c r="BY92">
        <v>0</v>
      </c>
      <c r="BZ92">
        <v>0</v>
      </c>
      <c r="CA92">
        <v>0</v>
      </c>
      <c r="CB92">
        <v>0</v>
      </c>
      <c r="CD92">
        <v>0</v>
      </c>
    </row>
    <row r="93" spans="1:82" x14ac:dyDescent="0.3">
      <c r="A93">
        <v>383</v>
      </c>
      <c r="B93" t="s">
        <v>212</v>
      </c>
      <c r="E93">
        <v>0</v>
      </c>
      <c r="G93">
        <v>0</v>
      </c>
      <c r="H93">
        <v>0</v>
      </c>
      <c r="I93">
        <v>0</v>
      </c>
      <c r="J93">
        <v>0</v>
      </c>
      <c r="K93">
        <v>0</v>
      </c>
      <c r="L93">
        <v>0</v>
      </c>
      <c r="M93">
        <v>0</v>
      </c>
      <c r="N93">
        <v>0</v>
      </c>
      <c r="O93">
        <v>0</v>
      </c>
      <c r="P93">
        <v>0</v>
      </c>
      <c r="Q93">
        <v>0</v>
      </c>
      <c r="R93">
        <v>0</v>
      </c>
      <c r="S93">
        <v>0</v>
      </c>
      <c r="T93">
        <v>0</v>
      </c>
      <c r="U93">
        <v>0</v>
      </c>
      <c r="V93">
        <v>0</v>
      </c>
      <c r="W93">
        <v>0</v>
      </c>
      <c r="Y93">
        <v>31750</v>
      </c>
      <c r="Z93">
        <v>5279</v>
      </c>
      <c r="AA93">
        <v>0</v>
      </c>
      <c r="AB93">
        <v>0</v>
      </c>
      <c r="AC93">
        <v>0</v>
      </c>
      <c r="AD93">
        <v>0</v>
      </c>
      <c r="AE93">
        <v>0</v>
      </c>
      <c r="AF93">
        <v>0</v>
      </c>
      <c r="AG93">
        <v>0</v>
      </c>
      <c r="AH93">
        <v>0</v>
      </c>
      <c r="AI93">
        <v>0</v>
      </c>
      <c r="AJ93">
        <v>0</v>
      </c>
      <c r="AM93">
        <v>0</v>
      </c>
      <c r="AN93">
        <v>0</v>
      </c>
      <c r="AO93">
        <v>0</v>
      </c>
      <c r="AP93">
        <v>0</v>
      </c>
      <c r="AQ93">
        <v>0</v>
      </c>
      <c r="AR93">
        <v>0</v>
      </c>
      <c r="AS93">
        <v>0</v>
      </c>
      <c r="AT93">
        <v>54308</v>
      </c>
      <c r="AU93">
        <v>0</v>
      </c>
      <c r="AV93">
        <v>0</v>
      </c>
      <c r="AW93">
        <v>0</v>
      </c>
      <c r="AX93">
        <v>0</v>
      </c>
      <c r="AY93">
        <v>0</v>
      </c>
      <c r="AZ93">
        <v>0</v>
      </c>
      <c r="BA93">
        <v>0</v>
      </c>
      <c r="BB93">
        <v>0</v>
      </c>
      <c r="BC93">
        <v>0</v>
      </c>
      <c r="BD93">
        <v>0</v>
      </c>
      <c r="BE93">
        <v>0</v>
      </c>
      <c r="BF93">
        <v>0</v>
      </c>
      <c r="BG93">
        <v>0</v>
      </c>
      <c r="BH93">
        <v>0</v>
      </c>
      <c r="BI93">
        <v>0</v>
      </c>
      <c r="BJ93">
        <v>0</v>
      </c>
      <c r="BK93">
        <v>0</v>
      </c>
      <c r="BN93">
        <v>0</v>
      </c>
      <c r="BO93">
        <v>0</v>
      </c>
      <c r="BP93">
        <v>16694</v>
      </c>
      <c r="BQ93">
        <v>0</v>
      </c>
      <c r="BR93">
        <v>0</v>
      </c>
      <c r="BS93">
        <v>0</v>
      </c>
      <c r="BT93">
        <v>0</v>
      </c>
      <c r="BU93">
        <v>0</v>
      </c>
      <c r="BV93">
        <v>0</v>
      </c>
      <c r="BW93">
        <v>0</v>
      </c>
      <c r="BX93">
        <v>0</v>
      </c>
      <c r="BY93">
        <v>0</v>
      </c>
      <c r="BZ93">
        <v>0</v>
      </c>
      <c r="CA93">
        <v>6797</v>
      </c>
      <c r="CB93">
        <v>0</v>
      </c>
      <c r="CD93">
        <v>0</v>
      </c>
    </row>
    <row r="94" spans="1:82" x14ac:dyDescent="0.3">
      <c r="A94">
        <v>384</v>
      </c>
      <c r="B94" t="s">
        <v>116</v>
      </c>
      <c r="E94">
        <v>0</v>
      </c>
      <c r="G94">
        <v>0</v>
      </c>
      <c r="H94">
        <v>0</v>
      </c>
      <c r="I94">
        <v>0</v>
      </c>
      <c r="J94">
        <v>0</v>
      </c>
      <c r="K94">
        <v>0</v>
      </c>
      <c r="L94">
        <v>0</v>
      </c>
      <c r="M94">
        <v>0</v>
      </c>
      <c r="N94">
        <v>0</v>
      </c>
      <c r="O94">
        <v>0</v>
      </c>
      <c r="P94">
        <v>0</v>
      </c>
      <c r="Q94">
        <v>0</v>
      </c>
      <c r="R94">
        <v>0</v>
      </c>
      <c r="S94">
        <v>0</v>
      </c>
      <c r="T94">
        <v>0</v>
      </c>
      <c r="U94">
        <v>0</v>
      </c>
      <c r="V94">
        <v>0</v>
      </c>
      <c r="W94">
        <v>0</v>
      </c>
      <c r="Y94">
        <v>0</v>
      </c>
      <c r="Z94">
        <v>0</v>
      </c>
      <c r="AA94">
        <v>0</v>
      </c>
      <c r="AB94">
        <v>0</v>
      </c>
      <c r="AC94">
        <v>0</v>
      </c>
      <c r="AD94">
        <v>0</v>
      </c>
      <c r="AE94">
        <v>0</v>
      </c>
      <c r="AF94">
        <v>0</v>
      </c>
      <c r="AG94">
        <v>0</v>
      </c>
      <c r="AH94">
        <v>0</v>
      </c>
      <c r="AI94">
        <v>0</v>
      </c>
      <c r="AJ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N94">
        <v>0</v>
      </c>
      <c r="BO94">
        <v>0</v>
      </c>
      <c r="BP94">
        <v>0</v>
      </c>
      <c r="BQ94">
        <v>0</v>
      </c>
      <c r="BR94">
        <v>0</v>
      </c>
      <c r="BS94">
        <v>0</v>
      </c>
      <c r="BT94">
        <v>0</v>
      </c>
      <c r="BU94">
        <v>0</v>
      </c>
      <c r="BV94">
        <v>0</v>
      </c>
      <c r="BW94">
        <v>0</v>
      </c>
      <c r="BX94">
        <v>0</v>
      </c>
      <c r="BY94">
        <v>0</v>
      </c>
      <c r="BZ94">
        <v>0</v>
      </c>
      <c r="CA94">
        <v>0</v>
      </c>
      <c r="CB94">
        <v>0</v>
      </c>
      <c r="CD94">
        <v>0</v>
      </c>
    </row>
    <row r="95" spans="1:82" x14ac:dyDescent="0.3">
      <c r="A95">
        <v>385</v>
      </c>
      <c r="B95" t="s">
        <v>107</v>
      </c>
      <c r="E95">
        <v>433917</v>
      </c>
      <c r="G95">
        <v>14709404</v>
      </c>
      <c r="H95">
        <v>13380439</v>
      </c>
      <c r="I95">
        <v>16077113</v>
      </c>
      <c r="J95">
        <v>254056</v>
      </c>
      <c r="K95">
        <v>3116005</v>
      </c>
      <c r="L95">
        <v>1580235</v>
      </c>
      <c r="M95">
        <v>113612867</v>
      </c>
      <c r="N95">
        <v>1709503</v>
      </c>
      <c r="O95">
        <v>18925513</v>
      </c>
      <c r="P95">
        <v>596504</v>
      </c>
      <c r="Q95">
        <v>196324967</v>
      </c>
      <c r="R95">
        <v>8303089</v>
      </c>
      <c r="S95">
        <v>312429</v>
      </c>
      <c r="T95">
        <v>339977169</v>
      </c>
      <c r="U95">
        <v>81699933</v>
      </c>
      <c r="V95">
        <v>87668673</v>
      </c>
      <c r="W95">
        <v>283301634</v>
      </c>
      <c r="Y95">
        <v>57652089</v>
      </c>
      <c r="Z95">
        <v>3948215</v>
      </c>
      <c r="AA95">
        <v>69907283</v>
      </c>
      <c r="AB95">
        <v>8945562</v>
      </c>
      <c r="AC95">
        <v>11252038</v>
      </c>
      <c r="AD95">
        <v>4335120</v>
      </c>
      <c r="AE95">
        <v>9199274</v>
      </c>
      <c r="AF95">
        <v>95172101</v>
      </c>
      <c r="AG95">
        <v>16922553</v>
      </c>
      <c r="AH95">
        <v>5273693</v>
      </c>
      <c r="AI95">
        <v>131912309</v>
      </c>
      <c r="AJ95">
        <v>9304202</v>
      </c>
      <c r="AM95">
        <v>47565985</v>
      </c>
      <c r="AN95">
        <v>1417938</v>
      </c>
      <c r="AO95">
        <v>1888955</v>
      </c>
      <c r="AP95">
        <v>234393</v>
      </c>
      <c r="AQ95">
        <v>52398919</v>
      </c>
      <c r="AR95">
        <v>100289099</v>
      </c>
      <c r="AS95">
        <v>1207407</v>
      </c>
      <c r="AT95">
        <v>6481934</v>
      </c>
      <c r="AU95">
        <v>603852</v>
      </c>
      <c r="AV95">
        <v>88676621</v>
      </c>
      <c r="AW95">
        <v>17157006</v>
      </c>
      <c r="AX95">
        <v>5412211</v>
      </c>
      <c r="AY95">
        <v>36454843</v>
      </c>
      <c r="AZ95">
        <v>5472274</v>
      </c>
      <c r="BA95">
        <v>4048534</v>
      </c>
      <c r="BB95">
        <v>192244</v>
      </c>
      <c r="BC95">
        <v>1169834</v>
      </c>
      <c r="BD95">
        <v>22311685</v>
      </c>
      <c r="BE95">
        <v>912813</v>
      </c>
      <c r="BF95">
        <v>1264563</v>
      </c>
      <c r="BG95">
        <v>559342</v>
      </c>
      <c r="BH95">
        <v>485462</v>
      </c>
      <c r="BI95">
        <v>831000</v>
      </c>
      <c r="BJ95">
        <v>871998</v>
      </c>
      <c r="BK95">
        <v>11669140</v>
      </c>
      <c r="BN95">
        <v>19901357</v>
      </c>
      <c r="BO95">
        <v>4135163</v>
      </c>
      <c r="BP95">
        <v>5424009</v>
      </c>
      <c r="BQ95">
        <v>58758878</v>
      </c>
      <c r="BR95">
        <v>1975041</v>
      </c>
      <c r="BS95">
        <v>102574749</v>
      </c>
      <c r="BT95">
        <v>2259441</v>
      </c>
      <c r="BU95">
        <v>17259477</v>
      </c>
      <c r="BV95">
        <v>7127931</v>
      </c>
      <c r="BW95">
        <v>6555304</v>
      </c>
      <c r="BX95">
        <v>3605805</v>
      </c>
      <c r="BY95">
        <v>751843</v>
      </c>
      <c r="BZ95">
        <v>2989876</v>
      </c>
      <c r="CA95">
        <v>319674</v>
      </c>
      <c r="CB95">
        <v>4189043</v>
      </c>
      <c r="CD95">
        <v>493316</v>
      </c>
    </row>
    <row r="96" spans="1:82" x14ac:dyDescent="0.3">
      <c r="A96">
        <v>386</v>
      </c>
      <c r="B96" t="s">
        <v>185</v>
      </c>
      <c r="E96">
        <v>0</v>
      </c>
      <c r="G96">
        <v>0</v>
      </c>
      <c r="H96">
        <v>0</v>
      </c>
      <c r="I96">
        <v>0</v>
      </c>
      <c r="J96">
        <v>0</v>
      </c>
      <c r="K96">
        <v>230670</v>
      </c>
      <c r="L96">
        <v>0</v>
      </c>
      <c r="M96">
        <v>0</v>
      </c>
      <c r="N96">
        <v>0</v>
      </c>
      <c r="O96">
        <v>0</v>
      </c>
      <c r="P96">
        <v>0</v>
      </c>
      <c r="Q96">
        <v>17425918</v>
      </c>
      <c r="R96">
        <v>0</v>
      </c>
      <c r="S96">
        <v>0</v>
      </c>
      <c r="T96">
        <v>479296</v>
      </c>
      <c r="U96">
        <v>0</v>
      </c>
      <c r="V96">
        <v>548730</v>
      </c>
      <c r="W96">
        <v>0</v>
      </c>
      <c r="Y96">
        <v>0</v>
      </c>
      <c r="Z96">
        <v>133385</v>
      </c>
      <c r="AA96">
        <v>0</v>
      </c>
      <c r="AB96">
        <v>0</v>
      </c>
      <c r="AC96">
        <v>0</v>
      </c>
      <c r="AD96">
        <v>0</v>
      </c>
      <c r="AE96">
        <v>0</v>
      </c>
      <c r="AF96">
        <v>0</v>
      </c>
      <c r="AG96">
        <v>0</v>
      </c>
      <c r="AH96">
        <v>0</v>
      </c>
      <c r="AI96">
        <v>9566642</v>
      </c>
      <c r="AJ96">
        <v>0</v>
      </c>
      <c r="AM96">
        <v>34169</v>
      </c>
      <c r="AN96">
        <v>0</v>
      </c>
      <c r="AO96">
        <v>0</v>
      </c>
      <c r="AP96">
        <v>0</v>
      </c>
      <c r="AQ96">
        <v>0</v>
      </c>
      <c r="AR96">
        <v>0</v>
      </c>
      <c r="AS96">
        <v>0</v>
      </c>
      <c r="AT96">
        <v>0</v>
      </c>
      <c r="AU96">
        <v>0</v>
      </c>
      <c r="AV96">
        <v>0</v>
      </c>
      <c r="AW96">
        <v>0</v>
      </c>
      <c r="AX96">
        <v>0</v>
      </c>
      <c r="AY96">
        <v>0</v>
      </c>
      <c r="AZ96">
        <v>0</v>
      </c>
      <c r="BA96">
        <v>0</v>
      </c>
      <c r="BB96">
        <v>0</v>
      </c>
      <c r="BC96">
        <v>0</v>
      </c>
      <c r="BD96">
        <v>70000</v>
      </c>
      <c r="BE96">
        <v>0</v>
      </c>
      <c r="BF96">
        <v>0</v>
      </c>
      <c r="BG96">
        <v>0</v>
      </c>
      <c r="BH96">
        <v>0</v>
      </c>
      <c r="BI96">
        <v>0</v>
      </c>
      <c r="BJ96">
        <v>0</v>
      </c>
      <c r="BK96">
        <v>0</v>
      </c>
      <c r="BN96">
        <v>0</v>
      </c>
      <c r="BO96">
        <v>0</v>
      </c>
      <c r="BP96">
        <v>0</v>
      </c>
      <c r="BQ96">
        <v>0</v>
      </c>
      <c r="BR96">
        <v>0</v>
      </c>
      <c r="BS96">
        <v>50662</v>
      </c>
      <c r="BT96">
        <v>0</v>
      </c>
      <c r="BU96">
        <v>748587</v>
      </c>
      <c r="BV96">
        <v>0</v>
      </c>
      <c r="BW96">
        <v>0</v>
      </c>
      <c r="BX96">
        <v>383824</v>
      </c>
      <c r="BY96">
        <v>0</v>
      </c>
      <c r="BZ96">
        <v>0</v>
      </c>
      <c r="CA96">
        <v>0</v>
      </c>
      <c r="CB96">
        <v>0</v>
      </c>
      <c r="CD96">
        <v>0</v>
      </c>
    </row>
    <row r="97" spans="1:82" x14ac:dyDescent="0.3">
      <c r="A97">
        <v>387</v>
      </c>
      <c r="B97" t="s">
        <v>186</v>
      </c>
      <c r="E97">
        <v>0</v>
      </c>
      <c r="G97">
        <v>0</v>
      </c>
      <c r="H97">
        <v>0</v>
      </c>
      <c r="I97">
        <v>0</v>
      </c>
      <c r="J97">
        <v>48294</v>
      </c>
      <c r="K97">
        <v>0</v>
      </c>
      <c r="L97">
        <v>0</v>
      </c>
      <c r="M97">
        <v>0</v>
      </c>
      <c r="N97">
        <v>0</v>
      </c>
      <c r="O97">
        <v>0</v>
      </c>
      <c r="P97">
        <v>0</v>
      </c>
      <c r="Q97">
        <v>17803232</v>
      </c>
      <c r="R97">
        <v>24259</v>
      </c>
      <c r="S97">
        <v>0</v>
      </c>
      <c r="T97">
        <v>0</v>
      </c>
      <c r="U97">
        <v>0</v>
      </c>
      <c r="V97">
        <v>0</v>
      </c>
      <c r="W97">
        <v>0</v>
      </c>
      <c r="Y97">
        <v>0</v>
      </c>
      <c r="Z97">
        <v>394851</v>
      </c>
      <c r="AA97">
        <v>0</v>
      </c>
      <c r="AB97">
        <v>569499</v>
      </c>
      <c r="AC97">
        <v>354873</v>
      </c>
      <c r="AD97">
        <v>0</v>
      </c>
      <c r="AE97">
        <v>0</v>
      </c>
      <c r="AF97">
        <v>0</v>
      </c>
      <c r="AG97">
        <v>0</v>
      </c>
      <c r="AH97">
        <v>0</v>
      </c>
      <c r="AI97">
        <v>6921199</v>
      </c>
      <c r="AJ97">
        <v>0</v>
      </c>
      <c r="AM97">
        <v>0</v>
      </c>
      <c r="AN97">
        <v>0</v>
      </c>
      <c r="AO97">
        <v>0</v>
      </c>
      <c r="AP97">
        <v>0</v>
      </c>
      <c r="AQ97">
        <v>0</v>
      </c>
      <c r="AR97">
        <v>184500</v>
      </c>
      <c r="AS97">
        <v>0</v>
      </c>
      <c r="AT97">
        <v>0</v>
      </c>
      <c r="AU97">
        <v>0</v>
      </c>
      <c r="AV97">
        <v>99855</v>
      </c>
      <c r="AW97">
        <v>50000</v>
      </c>
      <c r="AX97">
        <v>0</v>
      </c>
      <c r="AY97">
        <v>0</v>
      </c>
      <c r="AZ97">
        <v>0</v>
      </c>
      <c r="BA97">
        <v>0</v>
      </c>
      <c r="BB97">
        <v>0</v>
      </c>
      <c r="BC97">
        <v>102305</v>
      </c>
      <c r="BD97">
        <v>0</v>
      </c>
      <c r="BE97">
        <v>0</v>
      </c>
      <c r="BF97">
        <v>0</v>
      </c>
      <c r="BG97">
        <v>0</v>
      </c>
      <c r="BH97">
        <v>0</v>
      </c>
      <c r="BI97">
        <v>13434</v>
      </c>
      <c r="BJ97">
        <v>0</v>
      </c>
      <c r="BK97">
        <v>0</v>
      </c>
      <c r="BN97">
        <v>0</v>
      </c>
      <c r="BO97">
        <v>0</v>
      </c>
      <c r="BP97">
        <v>0</v>
      </c>
      <c r="BQ97">
        <v>0</v>
      </c>
      <c r="BR97">
        <v>0</v>
      </c>
      <c r="BS97">
        <v>0</v>
      </c>
      <c r="BT97">
        <v>22027</v>
      </c>
      <c r="BU97">
        <v>0</v>
      </c>
      <c r="BV97">
        <v>0</v>
      </c>
      <c r="BW97">
        <v>149223</v>
      </c>
      <c r="BX97">
        <v>713678</v>
      </c>
      <c r="BY97">
        <v>0</v>
      </c>
      <c r="BZ97">
        <v>89554</v>
      </c>
      <c r="CA97">
        <v>26394</v>
      </c>
      <c r="CB97">
        <v>0</v>
      </c>
      <c r="CD97">
        <v>0</v>
      </c>
    </row>
    <row r="98" spans="1:82" x14ac:dyDescent="0.3">
      <c r="A98">
        <v>388</v>
      </c>
      <c r="B98" t="s">
        <v>180</v>
      </c>
      <c r="E98">
        <v>72451</v>
      </c>
      <c r="G98">
        <v>2736623</v>
      </c>
      <c r="H98">
        <v>1096307</v>
      </c>
      <c r="I98">
        <v>4736801</v>
      </c>
      <c r="J98">
        <v>62408</v>
      </c>
      <c r="K98">
        <v>371947</v>
      </c>
      <c r="L98">
        <v>261349</v>
      </c>
      <c r="M98">
        <v>21424576</v>
      </c>
      <c r="N98">
        <v>620847</v>
      </c>
      <c r="O98">
        <v>5386290</v>
      </c>
      <c r="P98">
        <v>93747</v>
      </c>
      <c r="Q98">
        <v>59340325</v>
      </c>
      <c r="R98">
        <v>2024513</v>
      </c>
      <c r="S98">
        <v>45619</v>
      </c>
      <c r="T98">
        <v>75169889</v>
      </c>
      <c r="U98">
        <v>20159771</v>
      </c>
      <c r="V98">
        <v>26007173</v>
      </c>
      <c r="W98">
        <v>40604303</v>
      </c>
      <c r="Y98">
        <v>17061178</v>
      </c>
      <c r="Z98">
        <v>1615104</v>
      </c>
      <c r="AA98">
        <v>16478891</v>
      </c>
      <c r="AB98">
        <v>5606464</v>
      </c>
      <c r="AC98">
        <v>2065245</v>
      </c>
      <c r="AD98">
        <v>2618836</v>
      </c>
      <c r="AE98">
        <v>3167944</v>
      </c>
      <c r="AF98">
        <v>28236957</v>
      </c>
      <c r="AG98">
        <v>9648263</v>
      </c>
      <c r="AH98">
        <v>921420</v>
      </c>
      <c r="AI98">
        <v>42689398</v>
      </c>
      <c r="AJ98">
        <v>659921</v>
      </c>
      <c r="AM98">
        <v>17189862</v>
      </c>
      <c r="AN98">
        <v>598084</v>
      </c>
      <c r="AO98">
        <v>705990</v>
      </c>
      <c r="AP98">
        <v>37286</v>
      </c>
      <c r="AQ98">
        <v>19290009</v>
      </c>
      <c r="AR98">
        <v>8405331</v>
      </c>
      <c r="AS98">
        <v>680442</v>
      </c>
      <c r="AT98">
        <v>2908470</v>
      </c>
      <c r="AU98">
        <v>190536</v>
      </c>
      <c r="AV98">
        <v>23983390</v>
      </c>
      <c r="AW98">
        <v>1888899</v>
      </c>
      <c r="AX98">
        <v>2685611</v>
      </c>
      <c r="AY98">
        <v>13672579</v>
      </c>
      <c r="AZ98">
        <v>1058150</v>
      </c>
      <c r="BA98">
        <v>1802744</v>
      </c>
      <c r="BB98">
        <v>19657</v>
      </c>
      <c r="BC98">
        <v>222155</v>
      </c>
      <c r="BD98">
        <v>10698963</v>
      </c>
      <c r="BE98">
        <v>81349</v>
      </c>
      <c r="BF98">
        <v>498585</v>
      </c>
      <c r="BG98">
        <v>161183</v>
      </c>
      <c r="BH98">
        <v>110365</v>
      </c>
      <c r="BI98">
        <v>413505</v>
      </c>
      <c r="BJ98">
        <v>263869</v>
      </c>
      <c r="BK98">
        <v>4109905</v>
      </c>
      <c r="BN98">
        <v>5562556</v>
      </c>
      <c r="BO98">
        <v>1569885</v>
      </c>
      <c r="BP98">
        <v>2516476</v>
      </c>
      <c r="BQ98">
        <v>23207629</v>
      </c>
      <c r="BR98">
        <v>1432703</v>
      </c>
      <c r="BS98">
        <v>15979430</v>
      </c>
      <c r="BT98">
        <v>875564</v>
      </c>
      <c r="BU98">
        <v>6779197</v>
      </c>
      <c r="BV98">
        <v>847901</v>
      </c>
      <c r="BW98">
        <v>2509506</v>
      </c>
      <c r="BX98">
        <v>877440</v>
      </c>
      <c r="BY98">
        <v>124850</v>
      </c>
      <c r="BZ98">
        <v>355682</v>
      </c>
      <c r="CA98">
        <v>163319</v>
      </c>
      <c r="CB98">
        <v>1657084</v>
      </c>
      <c r="CD98">
        <v>110800</v>
      </c>
    </row>
    <row r="99" spans="1:82" x14ac:dyDescent="0.3">
      <c r="A99">
        <v>389</v>
      </c>
      <c r="B99" t="s">
        <v>187</v>
      </c>
      <c r="E99">
        <v>0</v>
      </c>
      <c r="G99">
        <v>0</v>
      </c>
      <c r="H99">
        <v>0</v>
      </c>
      <c r="I99">
        <v>0</v>
      </c>
      <c r="J99">
        <v>0</v>
      </c>
      <c r="K99">
        <v>0</v>
      </c>
      <c r="L99">
        <v>0</v>
      </c>
      <c r="M99">
        <v>0</v>
      </c>
      <c r="N99">
        <v>0</v>
      </c>
      <c r="O99">
        <v>0</v>
      </c>
      <c r="P99">
        <v>0</v>
      </c>
      <c r="Q99">
        <v>0</v>
      </c>
      <c r="R99">
        <v>0</v>
      </c>
      <c r="S99">
        <v>0</v>
      </c>
      <c r="T99">
        <v>0</v>
      </c>
      <c r="U99">
        <v>0</v>
      </c>
      <c r="V99">
        <v>0</v>
      </c>
      <c r="W99">
        <v>0</v>
      </c>
      <c r="Y99">
        <v>0</v>
      </c>
      <c r="Z99">
        <v>0</v>
      </c>
      <c r="AA99">
        <v>0</v>
      </c>
      <c r="AB99">
        <v>0</v>
      </c>
      <c r="AC99">
        <v>0</v>
      </c>
      <c r="AD99">
        <v>0</v>
      </c>
      <c r="AE99">
        <v>0</v>
      </c>
      <c r="AF99">
        <v>0</v>
      </c>
      <c r="AG99">
        <v>0</v>
      </c>
      <c r="AH99">
        <v>0</v>
      </c>
      <c r="AI99">
        <v>0</v>
      </c>
      <c r="AJ99">
        <v>0</v>
      </c>
      <c r="AM99">
        <v>0</v>
      </c>
      <c r="AN99">
        <v>0</v>
      </c>
      <c r="AO99">
        <v>0</v>
      </c>
      <c r="AP99">
        <v>0</v>
      </c>
      <c r="AQ99">
        <v>0</v>
      </c>
      <c r="AR99">
        <v>0</v>
      </c>
      <c r="AS99">
        <v>0</v>
      </c>
      <c r="AT99">
        <v>0</v>
      </c>
      <c r="AU99">
        <v>0</v>
      </c>
      <c r="AV99">
        <v>0</v>
      </c>
      <c r="AW99">
        <v>0</v>
      </c>
      <c r="AX99">
        <v>0</v>
      </c>
      <c r="AY99">
        <v>9815</v>
      </c>
      <c r="AZ99">
        <v>0</v>
      </c>
      <c r="BA99">
        <v>0</v>
      </c>
      <c r="BB99">
        <v>0</v>
      </c>
      <c r="BC99">
        <v>0</v>
      </c>
      <c r="BD99">
        <v>33663</v>
      </c>
      <c r="BE99">
        <v>0</v>
      </c>
      <c r="BF99">
        <v>0</v>
      </c>
      <c r="BG99">
        <v>0</v>
      </c>
      <c r="BH99">
        <v>0</v>
      </c>
      <c r="BI99">
        <v>0</v>
      </c>
      <c r="BJ99">
        <v>0</v>
      </c>
      <c r="BK99">
        <v>0</v>
      </c>
      <c r="BN99">
        <v>0</v>
      </c>
      <c r="BO99">
        <v>0</v>
      </c>
      <c r="BP99">
        <v>0</v>
      </c>
      <c r="BQ99">
        <v>0</v>
      </c>
      <c r="BR99">
        <v>0</v>
      </c>
      <c r="BS99">
        <v>0</v>
      </c>
      <c r="BT99">
        <v>0</v>
      </c>
      <c r="BU99">
        <v>0</v>
      </c>
      <c r="BV99">
        <v>0</v>
      </c>
      <c r="BW99">
        <v>0</v>
      </c>
      <c r="BX99">
        <v>0</v>
      </c>
      <c r="BY99">
        <v>0</v>
      </c>
      <c r="BZ99">
        <v>0</v>
      </c>
      <c r="CA99">
        <v>0</v>
      </c>
      <c r="CB99">
        <v>0</v>
      </c>
      <c r="CD99">
        <v>0</v>
      </c>
    </row>
    <row r="100" spans="1:82" x14ac:dyDescent="0.3">
      <c r="A100">
        <v>391</v>
      </c>
      <c r="B100" t="s">
        <v>192</v>
      </c>
      <c r="E100">
        <v>5467</v>
      </c>
      <c r="G100">
        <v>638450</v>
      </c>
      <c r="H100">
        <v>300624</v>
      </c>
      <c r="I100">
        <v>406548</v>
      </c>
      <c r="J100">
        <v>9326</v>
      </c>
      <c r="K100">
        <v>0</v>
      </c>
      <c r="L100">
        <v>21271</v>
      </c>
      <c r="M100">
        <v>2716290</v>
      </c>
      <c r="N100">
        <v>68695</v>
      </c>
      <c r="O100">
        <v>1925492</v>
      </c>
      <c r="P100">
        <v>18081</v>
      </c>
      <c r="Q100">
        <v>9207281</v>
      </c>
      <c r="R100">
        <v>646418</v>
      </c>
      <c r="S100">
        <v>4137</v>
      </c>
      <c r="T100">
        <v>15627142</v>
      </c>
      <c r="U100">
        <v>2211924</v>
      </c>
      <c r="V100">
        <v>5897953</v>
      </c>
      <c r="W100">
        <v>4651520</v>
      </c>
      <c r="Y100">
        <v>4520860</v>
      </c>
      <c r="Z100">
        <v>429666</v>
      </c>
      <c r="AA100">
        <v>1559935</v>
      </c>
      <c r="AB100">
        <v>982291</v>
      </c>
      <c r="AC100">
        <v>268172</v>
      </c>
      <c r="AD100">
        <v>306691</v>
      </c>
      <c r="AE100">
        <v>36003</v>
      </c>
      <c r="AF100">
        <v>3942177</v>
      </c>
      <c r="AG100">
        <v>1163650</v>
      </c>
      <c r="AH100">
        <v>153002</v>
      </c>
      <c r="AI100">
        <v>12049856</v>
      </c>
      <c r="AJ100">
        <v>88590</v>
      </c>
      <c r="AM100">
        <v>3810453</v>
      </c>
      <c r="AN100">
        <v>61904</v>
      </c>
      <c r="AO100">
        <v>126385</v>
      </c>
      <c r="AP100">
        <v>5505</v>
      </c>
      <c r="AQ100">
        <v>722436</v>
      </c>
      <c r="AR100">
        <v>656727</v>
      </c>
      <c r="AS100">
        <v>98256</v>
      </c>
      <c r="AT100">
        <v>438882</v>
      </c>
      <c r="AU100">
        <v>12189</v>
      </c>
      <c r="AV100">
        <v>1073941</v>
      </c>
      <c r="AW100">
        <v>369528</v>
      </c>
      <c r="AX100">
        <v>173373</v>
      </c>
      <c r="AY100">
        <v>291523</v>
      </c>
      <c r="AZ100">
        <v>81262</v>
      </c>
      <c r="BA100">
        <v>63528</v>
      </c>
      <c r="BB100">
        <v>0</v>
      </c>
      <c r="BC100">
        <v>139998</v>
      </c>
      <c r="BD100">
        <v>867168</v>
      </c>
      <c r="BE100">
        <v>6146</v>
      </c>
      <c r="BF100">
        <v>63568</v>
      </c>
      <c r="BG100">
        <v>35971</v>
      </c>
      <c r="BH100">
        <v>7814</v>
      </c>
      <c r="BI100">
        <v>35888</v>
      </c>
      <c r="BJ100">
        <v>16050</v>
      </c>
      <c r="BK100">
        <v>473761</v>
      </c>
      <c r="BN100">
        <v>761508</v>
      </c>
      <c r="BO100">
        <v>179142</v>
      </c>
      <c r="BP100">
        <v>222180</v>
      </c>
      <c r="BQ100">
        <v>3067395</v>
      </c>
      <c r="BR100">
        <v>141877</v>
      </c>
      <c r="BS100">
        <v>1508037</v>
      </c>
      <c r="BT100">
        <v>82208</v>
      </c>
      <c r="BU100">
        <v>761037</v>
      </c>
      <c r="BV100">
        <v>76314</v>
      </c>
      <c r="BW100">
        <v>288255</v>
      </c>
      <c r="BX100">
        <v>141077</v>
      </c>
      <c r="BY100">
        <v>22415</v>
      </c>
      <c r="BZ100">
        <v>788217</v>
      </c>
      <c r="CA100">
        <v>8680</v>
      </c>
      <c r="CB100">
        <v>99037</v>
      </c>
      <c r="CD100">
        <v>4000</v>
      </c>
    </row>
    <row r="101" spans="1:82" x14ac:dyDescent="0.3">
      <c r="A101">
        <v>500</v>
      </c>
      <c r="B101" t="s">
        <v>175</v>
      </c>
      <c r="E101">
        <v>89410</v>
      </c>
      <c r="G101">
        <v>1427761</v>
      </c>
      <c r="H101">
        <v>0</v>
      </c>
      <c r="I101">
        <v>597675</v>
      </c>
      <c r="J101">
        <v>51263</v>
      </c>
      <c r="K101">
        <v>40578</v>
      </c>
      <c r="L101">
        <v>70548</v>
      </c>
      <c r="M101">
        <v>6866688</v>
      </c>
      <c r="N101">
        <v>137885</v>
      </c>
      <c r="O101">
        <v>638300</v>
      </c>
      <c r="P101">
        <v>0</v>
      </c>
      <c r="Q101">
        <v>5063755</v>
      </c>
      <c r="R101">
        <v>49603</v>
      </c>
      <c r="S101">
        <v>30188</v>
      </c>
      <c r="T101">
        <v>28814934</v>
      </c>
      <c r="U101">
        <v>292917</v>
      </c>
      <c r="V101">
        <v>7180302</v>
      </c>
      <c r="W101">
        <v>15734757</v>
      </c>
      <c r="Y101">
        <v>2923426</v>
      </c>
      <c r="Z101">
        <v>61095</v>
      </c>
      <c r="AA101">
        <v>34035249</v>
      </c>
      <c r="AB101">
        <v>379374</v>
      </c>
      <c r="AC101">
        <v>2008462</v>
      </c>
      <c r="AD101">
        <v>667426</v>
      </c>
      <c r="AE101">
        <v>302637</v>
      </c>
      <c r="AF101">
        <v>21595203</v>
      </c>
      <c r="AG101">
        <v>1163420</v>
      </c>
      <c r="AH101">
        <v>194581</v>
      </c>
      <c r="AI101">
        <v>1897724</v>
      </c>
      <c r="AJ101">
        <v>271282</v>
      </c>
      <c r="AM101">
        <v>6501079</v>
      </c>
      <c r="AN101">
        <v>150079</v>
      </c>
      <c r="AO101">
        <v>94276</v>
      </c>
      <c r="AP101">
        <v>37816</v>
      </c>
      <c r="AQ101">
        <v>3848777</v>
      </c>
      <c r="AR101">
        <v>316973</v>
      </c>
      <c r="AS101">
        <v>295672</v>
      </c>
      <c r="AT101">
        <v>178880</v>
      </c>
      <c r="AU101">
        <v>51642</v>
      </c>
      <c r="AV101">
        <v>4640328</v>
      </c>
      <c r="AW101">
        <v>4766178</v>
      </c>
      <c r="AX101">
        <v>114365</v>
      </c>
      <c r="AY101">
        <v>106185</v>
      </c>
      <c r="AZ101">
        <v>27919</v>
      </c>
      <c r="BA101">
        <v>329688</v>
      </c>
      <c r="BB101">
        <v>0</v>
      </c>
      <c r="BC101">
        <v>3550</v>
      </c>
      <c r="BD101">
        <v>1727647</v>
      </c>
      <c r="BE101">
        <v>92742</v>
      </c>
      <c r="BF101">
        <v>10899</v>
      </c>
      <c r="BG101">
        <v>93770</v>
      </c>
      <c r="BH101">
        <v>0</v>
      </c>
      <c r="BI101">
        <v>5</v>
      </c>
      <c r="BJ101">
        <v>76393</v>
      </c>
      <c r="BK101">
        <v>170155</v>
      </c>
      <c r="BN101">
        <v>412557</v>
      </c>
      <c r="BO101">
        <v>283413</v>
      </c>
      <c r="BP101">
        <v>526265</v>
      </c>
      <c r="BQ101">
        <v>0</v>
      </c>
      <c r="BR101">
        <v>327108</v>
      </c>
      <c r="BS101">
        <v>4907248</v>
      </c>
      <c r="BT101">
        <v>335527</v>
      </c>
      <c r="BU101">
        <v>18194</v>
      </c>
      <c r="BV101">
        <v>1228742</v>
      </c>
      <c r="BW101">
        <v>2273</v>
      </c>
      <c r="BX101">
        <v>540062</v>
      </c>
      <c r="BY101">
        <v>173913</v>
      </c>
      <c r="BZ101">
        <v>35172</v>
      </c>
      <c r="CA101">
        <v>12051</v>
      </c>
      <c r="CB101">
        <v>443088</v>
      </c>
      <c r="CD101">
        <v>14531</v>
      </c>
    </row>
    <row r="102" spans="1:82" x14ac:dyDescent="0.3">
      <c r="A102">
        <v>502</v>
      </c>
      <c r="B102" t="s">
        <v>177</v>
      </c>
      <c r="E102">
        <v>0</v>
      </c>
      <c r="G102">
        <v>0</v>
      </c>
      <c r="H102">
        <v>0</v>
      </c>
      <c r="I102">
        <v>0</v>
      </c>
      <c r="J102">
        <v>40493</v>
      </c>
      <c r="K102">
        <v>0</v>
      </c>
      <c r="L102">
        <v>0</v>
      </c>
      <c r="M102">
        <v>0</v>
      </c>
      <c r="N102">
        <v>0</v>
      </c>
      <c r="O102">
        <v>2351994</v>
      </c>
      <c r="P102">
        <v>0</v>
      </c>
      <c r="Q102">
        <v>191214572</v>
      </c>
      <c r="R102">
        <v>722197</v>
      </c>
      <c r="S102">
        <v>0</v>
      </c>
      <c r="T102">
        <v>40369055</v>
      </c>
      <c r="U102">
        <v>9600446</v>
      </c>
      <c r="V102">
        <v>42060994</v>
      </c>
      <c r="W102">
        <v>2753063</v>
      </c>
      <c r="Y102">
        <v>6864629</v>
      </c>
      <c r="Z102">
        <v>1563589</v>
      </c>
      <c r="AA102">
        <v>14466033</v>
      </c>
      <c r="AB102">
        <v>2886531</v>
      </c>
      <c r="AC102">
        <v>1531631</v>
      </c>
      <c r="AD102">
        <v>980075</v>
      </c>
      <c r="AE102">
        <v>2970652</v>
      </c>
      <c r="AF102">
        <v>3863914</v>
      </c>
      <c r="AG102">
        <v>2755427</v>
      </c>
      <c r="AH102">
        <v>0</v>
      </c>
      <c r="AI102">
        <v>31226946</v>
      </c>
      <c r="AJ102">
        <v>227108</v>
      </c>
      <c r="AM102">
        <v>17254322</v>
      </c>
      <c r="AN102">
        <v>85147</v>
      </c>
      <c r="AO102">
        <v>0</v>
      </c>
      <c r="AP102">
        <v>0</v>
      </c>
      <c r="AQ102">
        <v>0</v>
      </c>
      <c r="AR102">
        <v>1814433</v>
      </c>
      <c r="AS102">
        <v>0</v>
      </c>
      <c r="AT102">
        <v>1278847</v>
      </c>
      <c r="AU102">
        <v>743516</v>
      </c>
      <c r="AV102">
        <v>33155404</v>
      </c>
      <c r="AW102">
        <v>27821</v>
      </c>
      <c r="AX102">
        <v>774974</v>
      </c>
      <c r="AY102">
        <v>18105157</v>
      </c>
      <c r="AZ102">
        <v>1023454</v>
      </c>
      <c r="BA102">
        <v>320783</v>
      </c>
      <c r="BB102">
        <v>0</v>
      </c>
      <c r="BC102">
        <v>159795</v>
      </c>
      <c r="BD102">
        <v>9813813</v>
      </c>
      <c r="BE102">
        <v>0</v>
      </c>
      <c r="BF102">
        <v>259358</v>
      </c>
      <c r="BG102">
        <v>135801</v>
      </c>
      <c r="BH102">
        <v>0</v>
      </c>
      <c r="BI102">
        <v>462703</v>
      </c>
      <c r="BJ102">
        <v>0</v>
      </c>
      <c r="BK102">
        <v>1950707</v>
      </c>
      <c r="BN102">
        <v>1161504</v>
      </c>
      <c r="BO102">
        <v>685042</v>
      </c>
      <c r="BP102">
        <v>0</v>
      </c>
      <c r="BQ102">
        <v>0</v>
      </c>
      <c r="BR102">
        <v>3325582</v>
      </c>
      <c r="BS102">
        <v>4562250</v>
      </c>
      <c r="BT102">
        <v>544224</v>
      </c>
      <c r="BU102">
        <v>7689984</v>
      </c>
      <c r="BV102">
        <v>0</v>
      </c>
      <c r="BW102">
        <v>802750</v>
      </c>
      <c r="BX102">
        <v>1668366</v>
      </c>
      <c r="BY102">
        <v>3129</v>
      </c>
      <c r="BZ102">
        <v>644710</v>
      </c>
      <c r="CA102">
        <v>80716</v>
      </c>
      <c r="CB102">
        <v>1416563</v>
      </c>
      <c r="CD102">
        <v>783</v>
      </c>
    </row>
    <row r="103" spans="1:82" x14ac:dyDescent="0.3">
      <c r="A103">
        <v>503</v>
      </c>
      <c r="B103" t="s">
        <v>178</v>
      </c>
      <c r="E103">
        <v>0</v>
      </c>
      <c r="G103">
        <v>0</v>
      </c>
      <c r="H103">
        <v>0</v>
      </c>
      <c r="I103">
        <v>0</v>
      </c>
      <c r="J103">
        <v>10082</v>
      </c>
      <c r="K103">
        <v>0</v>
      </c>
      <c r="L103">
        <v>0</v>
      </c>
      <c r="M103">
        <v>0</v>
      </c>
      <c r="N103">
        <v>0</v>
      </c>
      <c r="O103">
        <v>132567</v>
      </c>
      <c r="P103">
        <v>0</v>
      </c>
      <c r="Q103">
        <v>403</v>
      </c>
      <c r="R103">
        <v>7993</v>
      </c>
      <c r="S103">
        <v>0</v>
      </c>
      <c r="T103">
        <v>20244047</v>
      </c>
      <c r="U103">
        <v>213782</v>
      </c>
      <c r="V103">
        <v>1030997</v>
      </c>
      <c r="W103">
        <v>0</v>
      </c>
      <c r="Y103">
        <v>67346</v>
      </c>
      <c r="Z103">
        <v>160000</v>
      </c>
      <c r="AA103">
        <v>10466157</v>
      </c>
      <c r="AB103">
        <v>200515</v>
      </c>
      <c r="AC103">
        <v>157873</v>
      </c>
      <c r="AD103">
        <v>154914</v>
      </c>
      <c r="AE103">
        <v>1270086</v>
      </c>
      <c r="AF103">
        <v>5291148</v>
      </c>
      <c r="AG103">
        <v>160609</v>
      </c>
      <c r="AH103">
        <v>0</v>
      </c>
      <c r="AI103">
        <v>2723934</v>
      </c>
      <c r="AJ103">
        <v>13995</v>
      </c>
      <c r="AM103">
        <v>1321169</v>
      </c>
      <c r="AN103">
        <v>25567</v>
      </c>
      <c r="AO103">
        <v>91976</v>
      </c>
      <c r="AP103">
        <v>0</v>
      </c>
      <c r="AQ103">
        <v>0</v>
      </c>
      <c r="AR103">
        <v>72777</v>
      </c>
      <c r="AS103">
        <v>0</v>
      </c>
      <c r="AT103">
        <v>45189</v>
      </c>
      <c r="AU103">
        <v>35778</v>
      </c>
      <c r="AV103">
        <v>6426670</v>
      </c>
      <c r="AW103">
        <v>0</v>
      </c>
      <c r="AX103">
        <v>32792</v>
      </c>
      <c r="AY103">
        <v>433296</v>
      </c>
      <c r="AZ103">
        <v>39620</v>
      </c>
      <c r="BA103">
        <v>27676</v>
      </c>
      <c r="BB103">
        <v>0</v>
      </c>
      <c r="BC103">
        <v>10135</v>
      </c>
      <c r="BD103">
        <v>145023</v>
      </c>
      <c r="BE103">
        <v>0</v>
      </c>
      <c r="BF103">
        <v>2217</v>
      </c>
      <c r="BG103">
        <v>5765</v>
      </c>
      <c r="BH103">
        <v>0</v>
      </c>
      <c r="BI103">
        <v>26719</v>
      </c>
      <c r="BJ103">
        <v>0</v>
      </c>
      <c r="BK103">
        <v>940476</v>
      </c>
      <c r="BN103">
        <v>10942</v>
      </c>
      <c r="BO103">
        <v>67860</v>
      </c>
      <c r="BP103">
        <v>0</v>
      </c>
      <c r="BQ103">
        <v>0</v>
      </c>
      <c r="BR103">
        <v>144225</v>
      </c>
      <c r="BS103">
        <v>279863</v>
      </c>
      <c r="BT103">
        <v>33630</v>
      </c>
      <c r="BU103">
        <v>95177</v>
      </c>
      <c r="BV103">
        <v>0</v>
      </c>
      <c r="BW103">
        <v>199089</v>
      </c>
      <c r="BX103">
        <v>42384</v>
      </c>
      <c r="BY103">
        <v>0</v>
      </c>
      <c r="BZ103">
        <v>46835</v>
      </c>
      <c r="CA103">
        <v>16257</v>
      </c>
      <c r="CB103">
        <v>107023</v>
      </c>
      <c r="CD103">
        <v>0</v>
      </c>
    </row>
    <row r="104" spans="1:82" x14ac:dyDescent="0.3">
      <c r="A104">
        <v>504</v>
      </c>
      <c r="B104" t="s">
        <v>182</v>
      </c>
      <c r="E104">
        <v>6201</v>
      </c>
      <c r="G104">
        <v>484784</v>
      </c>
      <c r="H104">
        <v>1565442</v>
      </c>
      <c r="I104">
        <v>1162371</v>
      </c>
      <c r="J104">
        <v>98112</v>
      </c>
      <c r="K104">
        <v>0</v>
      </c>
      <c r="L104">
        <v>51515</v>
      </c>
      <c r="M104">
        <v>2889016</v>
      </c>
      <c r="N104">
        <v>135576</v>
      </c>
      <c r="O104">
        <v>868616</v>
      </c>
      <c r="P104">
        <v>46515</v>
      </c>
      <c r="Q104">
        <v>5953372</v>
      </c>
      <c r="R104">
        <v>224542</v>
      </c>
      <c r="S104">
        <v>5125</v>
      </c>
      <c r="T104">
        <v>14325978</v>
      </c>
      <c r="U104">
        <v>2347612</v>
      </c>
      <c r="V104">
        <v>1848912</v>
      </c>
      <c r="W104">
        <v>1882056</v>
      </c>
      <c r="Y104">
        <v>4800078</v>
      </c>
      <c r="Z104">
        <v>456318</v>
      </c>
      <c r="AA104">
        <v>5525296</v>
      </c>
      <c r="AB104">
        <v>875084</v>
      </c>
      <c r="AC104">
        <v>1268264</v>
      </c>
      <c r="AD104">
        <v>793732</v>
      </c>
      <c r="AE104">
        <v>246118</v>
      </c>
      <c r="AF104">
        <v>735269</v>
      </c>
      <c r="AG104">
        <v>2772469</v>
      </c>
      <c r="AH104">
        <v>46541</v>
      </c>
      <c r="AI104">
        <v>11555481</v>
      </c>
      <c r="AJ104">
        <v>151555</v>
      </c>
      <c r="AM104">
        <v>2084480</v>
      </c>
      <c r="AN104">
        <v>99177</v>
      </c>
      <c r="AO104">
        <v>36416</v>
      </c>
      <c r="AP104">
        <v>0</v>
      </c>
      <c r="AQ104">
        <v>121511</v>
      </c>
      <c r="AR104">
        <v>897875</v>
      </c>
      <c r="AS104">
        <v>131506</v>
      </c>
      <c r="AT104">
        <v>118309</v>
      </c>
      <c r="AU104">
        <v>86861</v>
      </c>
      <c r="AV104">
        <v>24478378</v>
      </c>
      <c r="AW104">
        <v>0</v>
      </c>
      <c r="AX104">
        <v>82261</v>
      </c>
      <c r="AY104">
        <v>1219399</v>
      </c>
      <c r="AZ104">
        <v>207773</v>
      </c>
      <c r="BA104">
        <v>230988</v>
      </c>
      <c r="BB104">
        <v>7209</v>
      </c>
      <c r="BC104">
        <v>172156</v>
      </c>
      <c r="BD104">
        <v>1085564</v>
      </c>
      <c r="BE104">
        <v>6675</v>
      </c>
      <c r="BF104">
        <v>27805</v>
      </c>
      <c r="BG104">
        <v>8998</v>
      </c>
      <c r="BH104">
        <v>83276</v>
      </c>
      <c r="BI104">
        <v>139190</v>
      </c>
      <c r="BJ104">
        <v>75700</v>
      </c>
      <c r="BK104">
        <v>703771</v>
      </c>
      <c r="BN104">
        <v>143024</v>
      </c>
      <c r="BO104">
        <v>756642</v>
      </c>
      <c r="BP104">
        <v>480556</v>
      </c>
      <c r="BQ104">
        <v>773792</v>
      </c>
      <c r="BR104">
        <v>548548</v>
      </c>
      <c r="BS104">
        <v>2896243</v>
      </c>
      <c r="BT104">
        <v>120902</v>
      </c>
      <c r="BU104">
        <v>173210</v>
      </c>
      <c r="BV104">
        <v>0</v>
      </c>
      <c r="BW104">
        <v>152760</v>
      </c>
      <c r="BX104">
        <v>533549</v>
      </c>
      <c r="BY104">
        <v>34161</v>
      </c>
      <c r="BZ104">
        <v>347387</v>
      </c>
      <c r="CA104">
        <v>84019</v>
      </c>
      <c r="CB104">
        <v>489106</v>
      </c>
      <c r="CD104">
        <v>4628</v>
      </c>
    </row>
    <row r="105" spans="1:82" x14ac:dyDescent="0.3">
      <c r="A105">
        <v>505</v>
      </c>
      <c r="B105" t="s">
        <v>183</v>
      </c>
      <c r="E105">
        <v>0</v>
      </c>
      <c r="G105">
        <v>99433</v>
      </c>
      <c r="H105">
        <v>125000</v>
      </c>
      <c r="I105">
        <v>38500</v>
      </c>
      <c r="J105">
        <v>0</v>
      </c>
      <c r="K105">
        <v>0</v>
      </c>
      <c r="L105">
        <v>0</v>
      </c>
      <c r="M105">
        <v>15026599</v>
      </c>
      <c r="N105">
        <v>0</v>
      </c>
      <c r="O105">
        <v>0</v>
      </c>
      <c r="P105">
        <v>0</v>
      </c>
      <c r="Q105">
        <v>408237</v>
      </c>
      <c r="R105">
        <v>0</v>
      </c>
      <c r="S105">
        <v>0</v>
      </c>
      <c r="T105">
        <v>225000</v>
      </c>
      <c r="U105">
        <v>3484736</v>
      </c>
      <c r="V105">
        <v>2456480</v>
      </c>
      <c r="W105">
        <v>12772879</v>
      </c>
      <c r="Y105">
        <v>1293871</v>
      </c>
      <c r="Z105">
        <v>52000</v>
      </c>
      <c r="AA105">
        <v>513520</v>
      </c>
      <c r="AB105">
        <v>444068</v>
      </c>
      <c r="AC105">
        <v>7000</v>
      </c>
      <c r="AD105">
        <v>0</v>
      </c>
      <c r="AE105">
        <v>78000</v>
      </c>
      <c r="AF105">
        <v>12876104</v>
      </c>
      <c r="AG105">
        <v>0</v>
      </c>
      <c r="AH105">
        <v>0</v>
      </c>
      <c r="AI105">
        <v>0</v>
      </c>
      <c r="AJ105">
        <v>10000</v>
      </c>
      <c r="AM105">
        <v>262704</v>
      </c>
      <c r="AN105">
        <v>0</v>
      </c>
      <c r="AO105">
        <v>0</v>
      </c>
      <c r="AP105">
        <v>0</v>
      </c>
      <c r="AQ105">
        <v>9088293</v>
      </c>
      <c r="AR105">
        <v>952186</v>
      </c>
      <c r="AS105">
        <v>0</v>
      </c>
      <c r="AT105">
        <v>721168</v>
      </c>
      <c r="AU105">
        <v>0</v>
      </c>
      <c r="AV105">
        <v>0</v>
      </c>
      <c r="AW105">
        <v>86913</v>
      </c>
      <c r="AX105">
        <v>298675</v>
      </c>
      <c r="AY105">
        <v>2345821</v>
      </c>
      <c r="AZ105">
        <v>0</v>
      </c>
      <c r="BA105">
        <v>0</v>
      </c>
      <c r="BB105">
        <v>0</v>
      </c>
      <c r="BC105">
        <v>0</v>
      </c>
      <c r="BD105">
        <v>0</v>
      </c>
      <c r="BE105">
        <v>0</v>
      </c>
      <c r="BF105">
        <v>0</v>
      </c>
      <c r="BG105">
        <v>0</v>
      </c>
      <c r="BH105">
        <v>0</v>
      </c>
      <c r="BI105">
        <v>0</v>
      </c>
      <c r="BJ105">
        <v>0</v>
      </c>
      <c r="BK105">
        <v>0</v>
      </c>
      <c r="BN105">
        <v>2243421</v>
      </c>
      <c r="BO105">
        <v>0</v>
      </c>
      <c r="BP105">
        <v>0</v>
      </c>
      <c r="BQ105">
        <v>386795</v>
      </c>
      <c r="BR105">
        <v>0</v>
      </c>
      <c r="BS105">
        <v>1049007</v>
      </c>
      <c r="BT105">
        <v>0</v>
      </c>
      <c r="BU105">
        <v>0</v>
      </c>
      <c r="BV105">
        <v>49144</v>
      </c>
      <c r="BW105">
        <v>584059</v>
      </c>
      <c r="BX105">
        <v>11797</v>
      </c>
      <c r="BY105">
        <v>13992</v>
      </c>
      <c r="BZ105">
        <v>292650</v>
      </c>
      <c r="CA105">
        <v>0</v>
      </c>
      <c r="CB105">
        <v>229747</v>
      </c>
      <c r="CD105">
        <v>0</v>
      </c>
    </row>
    <row r="106" spans="1:82" x14ac:dyDescent="0.3">
      <c r="A106">
        <v>506</v>
      </c>
      <c r="B106" t="s">
        <v>189</v>
      </c>
      <c r="E106">
        <v>152482</v>
      </c>
      <c r="G106">
        <v>5977415</v>
      </c>
      <c r="H106">
        <v>7725785</v>
      </c>
      <c r="I106">
        <v>7960916</v>
      </c>
      <c r="J106">
        <v>179148</v>
      </c>
      <c r="K106">
        <v>1346997</v>
      </c>
      <c r="L106">
        <v>1019971</v>
      </c>
      <c r="M106">
        <v>9495247</v>
      </c>
      <c r="N106">
        <v>843522</v>
      </c>
      <c r="O106">
        <v>9152731</v>
      </c>
      <c r="P106">
        <v>421226</v>
      </c>
      <c r="Q106">
        <v>34075842</v>
      </c>
      <c r="R106">
        <v>993436</v>
      </c>
      <c r="S106">
        <v>142604</v>
      </c>
      <c r="T106">
        <v>75078528</v>
      </c>
      <c r="U106">
        <v>11572839</v>
      </c>
      <c r="V106">
        <v>33350715</v>
      </c>
      <c r="W106">
        <v>33864943</v>
      </c>
      <c r="Y106">
        <v>16996799</v>
      </c>
      <c r="Z106">
        <v>1070931</v>
      </c>
      <c r="AA106">
        <v>23191006</v>
      </c>
      <c r="AB106">
        <v>1173165</v>
      </c>
      <c r="AC106">
        <v>2303529</v>
      </c>
      <c r="AD106">
        <v>1984756</v>
      </c>
      <c r="AE106">
        <v>3569934</v>
      </c>
      <c r="AF106">
        <v>11611061</v>
      </c>
      <c r="AG106">
        <v>4574751</v>
      </c>
      <c r="AH106">
        <v>2151338</v>
      </c>
      <c r="AI106">
        <v>26030608</v>
      </c>
      <c r="AJ106">
        <v>4274441</v>
      </c>
      <c r="AM106">
        <v>12452775</v>
      </c>
      <c r="AN106">
        <v>803495</v>
      </c>
      <c r="AO106">
        <v>1064686</v>
      </c>
      <c r="AP106">
        <v>105935</v>
      </c>
      <c r="AQ106">
        <v>7396345</v>
      </c>
      <c r="AR106">
        <v>23354559</v>
      </c>
      <c r="AS106">
        <v>510048</v>
      </c>
      <c r="AT106">
        <v>1674270</v>
      </c>
      <c r="AU106">
        <v>238354</v>
      </c>
      <c r="AV106">
        <v>22075378</v>
      </c>
      <c r="AW106">
        <v>2855411</v>
      </c>
      <c r="AX106">
        <v>1223600</v>
      </c>
      <c r="AY106">
        <v>11058033</v>
      </c>
      <c r="AZ106">
        <v>2589738</v>
      </c>
      <c r="BA106">
        <v>668711</v>
      </c>
      <c r="BB106">
        <v>145225</v>
      </c>
      <c r="BC106">
        <v>665106</v>
      </c>
      <c r="BD106">
        <v>9672814</v>
      </c>
      <c r="BE106">
        <v>713776</v>
      </c>
      <c r="BF106">
        <v>957596</v>
      </c>
      <c r="BG106">
        <v>227676</v>
      </c>
      <c r="BH106">
        <v>367033</v>
      </c>
      <c r="BI106">
        <v>499029</v>
      </c>
      <c r="BJ106">
        <v>302214</v>
      </c>
      <c r="BK106">
        <v>1382045</v>
      </c>
      <c r="BN106">
        <v>2829044</v>
      </c>
      <c r="BO106">
        <v>1764942</v>
      </c>
      <c r="BP106">
        <v>1746853</v>
      </c>
      <c r="BQ106">
        <v>19129944</v>
      </c>
      <c r="BR106">
        <v>522791</v>
      </c>
      <c r="BS106">
        <v>22334772</v>
      </c>
      <c r="BT106">
        <v>735051</v>
      </c>
      <c r="BU106">
        <v>6640172</v>
      </c>
      <c r="BV106">
        <v>2683352</v>
      </c>
      <c r="BW106">
        <v>1766434</v>
      </c>
      <c r="BX106">
        <v>2233119</v>
      </c>
      <c r="BY106">
        <v>232489</v>
      </c>
      <c r="BZ106">
        <v>330437</v>
      </c>
      <c r="CA106">
        <v>186656</v>
      </c>
      <c r="CB106">
        <v>900900</v>
      </c>
      <c r="CD106">
        <v>399584</v>
      </c>
    </row>
    <row r="107" spans="1:82" x14ac:dyDescent="0.3">
      <c r="A107">
        <v>507</v>
      </c>
      <c r="B107" t="s">
        <v>886</v>
      </c>
      <c r="E107">
        <v>0</v>
      </c>
      <c r="G107">
        <v>0</v>
      </c>
      <c r="H107">
        <v>1</v>
      </c>
      <c r="I107">
        <v>0</v>
      </c>
      <c r="J107">
        <v>0</v>
      </c>
      <c r="K107">
        <v>0</v>
      </c>
      <c r="L107">
        <v>0</v>
      </c>
      <c r="M107">
        <v>0</v>
      </c>
      <c r="N107">
        <v>1</v>
      </c>
      <c r="O107">
        <v>-2</v>
      </c>
      <c r="P107">
        <v>0</v>
      </c>
      <c r="Q107">
        <v>0</v>
      </c>
      <c r="R107">
        <v>0</v>
      </c>
      <c r="S107">
        <v>0</v>
      </c>
      <c r="T107">
        <v>0</v>
      </c>
      <c r="U107">
        <v>0</v>
      </c>
      <c r="V107">
        <v>0</v>
      </c>
      <c r="W107">
        <v>0</v>
      </c>
      <c r="Y107">
        <v>0</v>
      </c>
      <c r="Z107">
        <v>0</v>
      </c>
      <c r="AA107">
        <v>0</v>
      </c>
      <c r="AB107">
        <v>0</v>
      </c>
      <c r="AC107">
        <v>1</v>
      </c>
      <c r="AD107">
        <v>0</v>
      </c>
      <c r="AE107">
        <v>0</v>
      </c>
      <c r="AF107">
        <v>0</v>
      </c>
      <c r="AG107">
        <v>375141</v>
      </c>
      <c r="AH107">
        <v>0</v>
      </c>
      <c r="AI107">
        <v>3</v>
      </c>
      <c r="AJ107">
        <v>1</v>
      </c>
      <c r="AM107">
        <v>-2461250</v>
      </c>
      <c r="AN107">
        <v>0</v>
      </c>
      <c r="AO107">
        <v>27615</v>
      </c>
      <c r="AP107">
        <v>0</v>
      </c>
      <c r="AQ107">
        <v>0</v>
      </c>
      <c r="AR107">
        <v>3521692</v>
      </c>
      <c r="AS107">
        <v>0</v>
      </c>
      <c r="AT107">
        <v>0</v>
      </c>
      <c r="AU107">
        <v>0</v>
      </c>
      <c r="AV107">
        <v>-4</v>
      </c>
      <c r="AW107">
        <v>0</v>
      </c>
      <c r="AX107">
        <v>1</v>
      </c>
      <c r="AY107">
        <v>0</v>
      </c>
      <c r="AZ107">
        <v>0</v>
      </c>
      <c r="BA107">
        <v>0</v>
      </c>
      <c r="BB107">
        <v>0</v>
      </c>
      <c r="BC107">
        <v>-1</v>
      </c>
      <c r="BD107">
        <v>0</v>
      </c>
      <c r="BE107">
        <v>0</v>
      </c>
      <c r="BF107">
        <v>0</v>
      </c>
      <c r="BG107">
        <v>0</v>
      </c>
      <c r="BH107">
        <v>0</v>
      </c>
      <c r="BI107">
        <v>0</v>
      </c>
      <c r="BJ107">
        <v>0</v>
      </c>
      <c r="BK107">
        <v>0</v>
      </c>
      <c r="BN107">
        <v>0</v>
      </c>
      <c r="BO107">
        <v>0</v>
      </c>
      <c r="BP107">
        <v>0</v>
      </c>
      <c r="BQ107">
        <v>0</v>
      </c>
      <c r="BR107">
        <v>0</v>
      </c>
      <c r="BS107">
        <v>0</v>
      </c>
      <c r="BT107">
        <v>0</v>
      </c>
      <c r="BU107">
        <v>0</v>
      </c>
      <c r="BV107">
        <v>0</v>
      </c>
      <c r="BW107">
        <v>0</v>
      </c>
      <c r="BX107">
        <v>0</v>
      </c>
      <c r="BY107">
        <v>0</v>
      </c>
      <c r="BZ107">
        <v>0</v>
      </c>
      <c r="CA107">
        <v>25945</v>
      </c>
      <c r="CB107">
        <v>0</v>
      </c>
      <c r="CD107">
        <v>0</v>
      </c>
    </row>
    <row r="108" spans="1:82" x14ac:dyDescent="0.3">
      <c r="A108">
        <v>508</v>
      </c>
      <c r="B108" t="s">
        <v>204</v>
      </c>
      <c r="E108">
        <v>0</v>
      </c>
      <c r="G108">
        <v>0</v>
      </c>
      <c r="H108">
        <v>0</v>
      </c>
      <c r="I108">
        <v>0</v>
      </c>
      <c r="J108">
        <v>0</v>
      </c>
      <c r="K108">
        <v>0</v>
      </c>
      <c r="L108">
        <v>0</v>
      </c>
      <c r="M108">
        <v>0</v>
      </c>
      <c r="N108">
        <v>0</v>
      </c>
      <c r="O108">
        <v>0</v>
      </c>
      <c r="P108">
        <v>0</v>
      </c>
      <c r="Q108">
        <v>0</v>
      </c>
      <c r="R108">
        <v>0</v>
      </c>
      <c r="S108">
        <v>0</v>
      </c>
      <c r="T108">
        <v>0</v>
      </c>
      <c r="U108">
        <v>0</v>
      </c>
      <c r="V108">
        <v>0</v>
      </c>
      <c r="W108">
        <v>0</v>
      </c>
      <c r="Y108">
        <v>0</v>
      </c>
      <c r="Z108">
        <v>0</v>
      </c>
      <c r="AA108">
        <v>0</v>
      </c>
      <c r="AB108">
        <v>0</v>
      </c>
      <c r="AC108">
        <v>0</v>
      </c>
      <c r="AD108">
        <v>0</v>
      </c>
      <c r="AE108">
        <v>0</v>
      </c>
      <c r="AF108">
        <v>0</v>
      </c>
      <c r="AG108">
        <v>0</v>
      </c>
      <c r="AH108">
        <v>0</v>
      </c>
      <c r="AI108">
        <v>0</v>
      </c>
      <c r="AJ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N108">
        <v>0</v>
      </c>
      <c r="BO108">
        <v>0</v>
      </c>
      <c r="BP108">
        <v>0</v>
      </c>
      <c r="BQ108">
        <v>0</v>
      </c>
      <c r="BR108">
        <v>0</v>
      </c>
      <c r="BS108">
        <v>0</v>
      </c>
      <c r="BT108">
        <v>0</v>
      </c>
      <c r="BU108">
        <v>0</v>
      </c>
      <c r="BV108">
        <v>0</v>
      </c>
      <c r="BW108">
        <v>0</v>
      </c>
      <c r="BX108">
        <v>0</v>
      </c>
      <c r="BY108">
        <v>0</v>
      </c>
      <c r="BZ108">
        <v>0</v>
      </c>
      <c r="CA108">
        <v>0</v>
      </c>
      <c r="CB108">
        <v>0</v>
      </c>
      <c r="CD108">
        <v>0</v>
      </c>
    </row>
    <row r="109" spans="1:82" x14ac:dyDescent="0.3">
      <c r="A109">
        <v>509</v>
      </c>
      <c r="B109" t="s">
        <v>205</v>
      </c>
      <c r="E109">
        <v>0</v>
      </c>
      <c r="G109">
        <v>0</v>
      </c>
      <c r="H109">
        <v>0</v>
      </c>
      <c r="I109">
        <v>0</v>
      </c>
      <c r="J109">
        <v>0</v>
      </c>
      <c r="K109">
        <v>0</v>
      </c>
      <c r="L109">
        <v>0</v>
      </c>
      <c r="M109">
        <v>0</v>
      </c>
      <c r="N109">
        <v>0</v>
      </c>
      <c r="O109">
        <v>0</v>
      </c>
      <c r="P109">
        <v>0</v>
      </c>
      <c r="Q109">
        <v>0</v>
      </c>
      <c r="R109">
        <v>0</v>
      </c>
      <c r="S109">
        <v>0</v>
      </c>
      <c r="T109">
        <v>0</v>
      </c>
      <c r="U109">
        <v>0</v>
      </c>
      <c r="V109">
        <v>0</v>
      </c>
      <c r="W109">
        <v>0</v>
      </c>
      <c r="Y109">
        <v>0</v>
      </c>
      <c r="Z109">
        <v>0</v>
      </c>
      <c r="AA109">
        <v>0</v>
      </c>
      <c r="AB109">
        <v>0</v>
      </c>
      <c r="AC109">
        <v>0</v>
      </c>
      <c r="AD109">
        <v>0</v>
      </c>
      <c r="AE109">
        <v>0</v>
      </c>
      <c r="AF109">
        <v>0</v>
      </c>
      <c r="AG109">
        <v>0</v>
      </c>
      <c r="AH109">
        <v>0</v>
      </c>
      <c r="AI109">
        <v>0</v>
      </c>
      <c r="AJ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N109">
        <v>0</v>
      </c>
      <c r="BO109">
        <v>0</v>
      </c>
      <c r="BP109">
        <v>0</v>
      </c>
      <c r="BQ109">
        <v>0</v>
      </c>
      <c r="BR109">
        <v>0</v>
      </c>
      <c r="BS109">
        <v>0</v>
      </c>
      <c r="BT109">
        <v>0</v>
      </c>
      <c r="BU109">
        <v>0</v>
      </c>
      <c r="BV109">
        <v>0</v>
      </c>
      <c r="BW109">
        <v>0</v>
      </c>
      <c r="BX109">
        <v>0</v>
      </c>
      <c r="BY109">
        <v>0</v>
      </c>
      <c r="BZ109">
        <v>0</v>
      </c>
      <c r="CA109">
        <v>0</v>
      </c>
      <c r="CB109">
        <v>0</v>
      </c>
      <c r="CD109">
        <v>0</v>
      </c>
    </row>
    <row r="110" spans="1:82" x14ac:dyDescent="0.3">
      <c r="A110">
        <v>510</v>
      </c>
      <c r="B110" t="s">
        <v>211</v>
      </c>
      <c r="E110">
        <v>0</v>
      </c>
      <c r="G110">
        <v>0</v>
      </c>
      <c r="H110">
        <v>0</v>
      </c>
      <c r="I110">
        <v>0</v>
      </c>
      <c r="J110">
        <v>24489</v>
      </c>
      <c r="K110">
        <v>0</v>
      </c>
      <c r="L110">
        <v>0</v>
      </c>
      <c r="M110">
        <v>0</v>
      </c>
      <c r="N110">
        <v>0</v>
      </c>
      <c r="O110">
        <v>101243</v>
      </c>
      <c r="P110">
        <v>0</v>
      </c>
      <c r="Q110">
        <v>699888</v>
      </c>
      <c r="R110">
        <v>16540</v>
      </c>
      <c r="S110">
        <v>0</v>
      </c>
      <c r="T110">
        <v>413610</v>
      </c>
      <c r="U110">
        <v>255170</v>
      </c>
      <c r="V110">
        <v>39649</v>
      </c>
      <c r="W110">
        <v>0</v>
      </c>
      <c r="Y110">
        <v>246839</v>
      </c>
      <c r="Z110">
        <v>25136</v>
      </c>
      <c r="AA110">
        <v>79436</v>
      </c>
      <c r="AB110">
        <v>0</v>
      </c>
      <c r="AC110">
        <v>0</v>
      </c>
      <c r="AD110">
        <v>0</v>
      </c>
      <c r="AE110">
        <v>4993</v>
      </c>
      <c r="AF110">
        <v>79975</v>
      </c>
      <c r="AG110">
        <v>110718</v>
      </c>
      <c r="AH110">
        <v>0</v>
      </c>
      <c r="AI110">
        <v>291574</v>
      </c>
      <c r="AJ110">
        <v>0</v>
      </c>
      <c r="AM110">
        <v>300724</v>
      </c>
      <c r="AN110">
        <v>994</v>
      </c>
      <c r="AO110">
        <v>0</v>
      </c>
      <c r="AP110">
        <v>0</v>
      </c>
      <c r="AQ110">
        <v>0</v>
      </c>
      <c r="AR110">
        <v>19985</v>
      </c>
      <c r="AS110">
        <v>0</v>
      </c>
      <c r="AT110">
        <v>224451</v>
      </c>
      <c r="AU110">
        <v>0</v>
      </c>
      <c r="AV110">
        <v>810894</v>
      </c>
      <c r="AW110">
        <v>22179</v>
      </c>
      <c r="AX110">
        <v>44333</v>
      </c>
      <c r="AY110">
        <v>33944</v>
      </c>
      <c r="AZ110">
        <v>7073</v>
      </c>
      <c r="BA110">
        <v>69710</v>
      </c>
      <c r="BB110">
        <v>0</v>
      </c>
      <c r="BC110">
        <v>1101</v>
      </c>
      <c r="BD110">
        <v>143072</v>
      </c>
      <c r="BE110">
        <v>0</v>
      </c>
      <c r="BF110">
        <v>0</v>
      </c>
      <c r="BG110">
        <v>0</v>
      </c>
      <c r="BH110">
        <v>0</v>
      </c>
      <c r="BI110">
        <v>0</v>
      </c>
      <c r="BJ110">
        <v>0</v>
      </c>
      <c r="BK110">
        <v>52669</v>
      </c>
      <c r="BN110">
        <v>0</v>
      </c>
      <c r="BO110">
        <v>3641</v>
      </c>
      <c r="BP110">
        <v>0</v>
      </c>
      <c r="BQ110">
        <v>0</v>
      </c>
      <c r="BR110">
        <v>73792</v>
      </c>
      <c r="BS110">
        <v>0</v>
      </c>
      <c r="BT110">
        <v>6540</v>
      </c>
      <c r="BU110">
        <v>0</v>
      </c>
      <c r="BV110">
        <v>0</v>
      </c>
      <c r="BW110">
        <v>9062</v>
      </c>
      <c r="BX110">
        <v>31074</v>
      </c>
      <c r="BY110">
        <v>12353</v>
      </c>
      <c r="BZ110">
        <v>0</v>
      </c>
      <c r="CA110">
        <v>0</v>
      </c>
      <c r="CB110">
        <v>53268</v>
      </c>
      <c r="CD110">
        <v>0</v>
      </c>
    </row>
    <row r="111" spans="1:82" x14ac:dyDescent="0.3">
      <c r="A111">
        <v>511</v>
      </c>
      <c r="B111" t="s">
        <v>216</v>
      </c>
      <c r="E111">
        <v>0</v>
      </c>
      <c r="G111">
        <v>0</v>
      </c>
      <c r="H111">
        <v>0</v>
      </c>
      <c r="I111">
        <v>0</v>
      </c>
      <c r="J111">
        <v>0</v>
      </c>
      <c r="K111">
        <v>0</v>
      </c>
      <c r="L111">
        <v>0</v>
      </c>
      <c r="M111">
        <v>0</v>
      </c>
      <c r="N111">
        <v>0</v>
      </c>
      <c r="O111">
        <v>0</v>
      </c>
      <c r="P111">
        <v>0</v>
      </c>
      <c r="Q111">
        <v>7837191</v>
      </c>
      <c r="R111">
        <v>0</v>
      </c>
      <c r="S111">
        <v>0</v>
      </c>
      <c r="T111">
        <v>0</v>
      </c>
      <c r="U111">
        <v>0</v>
      </c>
      <c r="V111">
        <v>25336</v>
      </c>
      <c r="W111">
        <v>0</v>
      </c>
      <c r="Y111">
        <v>0</v>
      </c>
      <c r="Z111">
        <v>0</v>
      </c>
      <c r="AA111">
        <v>0</v>
      </c>
      <c r="AB111">
        <v>0</v>
      </c>
      <c r="AC111">
        <v>0</v>
      </c>
      <c r="AD111">
        <v>0</v>
      </c>
      <c r="AE111">
        <v>0</v>
      </c>
      <c r="AF111">
        <v>0</v>
      </c>
      <c r="AG111">
        <v>0</v>
      </c>
      <c r="AH111">
        <v>0</v>
      </c>
      <c r="AI111">
        <v>4764280</v>
      </c>
      <c r="AJ111">
        <v>0</v>
      </c>
      <c r="AM111">
        <v>971740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N111">
        <v>0</v>
      </c>
      <c r="BO111">
        <v>0</v>
      </c>
      <c r="BP111">
        <v>0</v>
      </c>
      <c r="BQ111">
        <v>0</v>
      </c>
      <c r="BR111">
        <v>29136</v>
      </c>
      <c r="BS111">
        <v>417454</v>
      </c>
      <c r="BT111">
        <v>0</v>
      </c>
      <c r="BU111">
        <v>0</v>
      </c>
      <c r="BV111">
        <v>0</v>
      </c>
      <c r="BW111">
        <v>0</v>
      </c>
      <c r="BX111">
        <v>0</v>
      </c>
      <c r="BY111">
        <v>0</v>
      </c>
      <c r="BZ111">
        <v>0</v>
      </c>
      <c r="CA111">
        <v>0</v>
      </c>
      <c r="CB111">
        <v>0</v>
      </c>
      <c r="CD111">
        <v>0</v>
      </c>
    </row>
    <row r="112" spans="1:82" x14ac:dyDescent="0.3">
      <c r="A112">
        <v>512</v>
      </c>
      <c r="B112" t="s">
        <v>243</v>
      </c>
      <c r="E112">
        <v>0</v>
      </c>
      <c r="G112">
        <v>0</v>
      </c>
      <c r="H112">
        <v>0</v>
      </c>
      <c r="I112">
        <v>0</v>
      </c>
      <c r="J112">
        <v>0</v>
      </c>
      <c r="K112">
        <v>0</v>
      </c>
      <c r="L112">
        <v>0</v>
      </c>
      <c r="M112">
        <v>27102</v>
      </c>
      <c r="N112">
        <v>0</v>
      </c>
      <c r="O112">
        <v>0</v>
      </c>
      <c r="P112">
        <v>0</v>
      </c>
      <c r="Q112">
        <v>0</v>
      </c>
      <c r="R112">
        <v>0</v>
      </c>
      <c r="S112">
        <v>0</v>
      </c>
      <c r="T112">
        <v>871573</v>
      </c>
      <c r="U112">
        <v>0</v>
      </c>
      <c r="V112">
        <v>228432</v>
      </c>
      <c r="W112">
        <v>0</v>
      </c>
      <c r="Y112">
        <v>11644</v>
      </c>
      <c r="Z112">
        <v>0</v>
      </c>
      <c r="AA112">
        <v>0</v>
      </c>
      <c r="AB112">
        <v>0</v>
      </c>
      <c r="AC112">
        <v>0</v>
      </c>
      <c r="AD112">
        <v>0</v>
      </c>
      <c r="AE112">
        <v>0</v>
      </c>
      <c r="AF112">
        <v>0</v>
      </c>
      <c r="AG112">
        <v>0</v>
      </c>
      <c r="AH112">
        <v>0</v>
      </c>
      <c r="AI112">
        <v>0</v>
      </c>
      <c r="AJ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N112">
        <v>9798</v>
      </c>
      <c r="BO112">
        <v>0</v>
      </c>
      <c r="BP112">
        <v>0</v>
      </c>
      <c r="BQ112">
        <v>0</v>
      </c>
      <c r="BR112">
        <v>0</v>
      </c>
      <c r="BS112">
        <v>179512</v>
      </c>
      <c r="BT112">
        <v>0</v>
      </c>
      <c r="BU112">
        <v>0</v>
      </c>
      <c r="BV112">
        <v>0</v>
      </c>
      <c r="BW112">
        <v>0</v>
      </c>
      <c r="BX112">
        <v>0</v>
      </c>
      <c r="BY112">
        <v>0</v>
      </c>
      <c r="BZ112">
        <v>0</v>
      </c>
      <c r="CA112">
        <v>0</v>
      </c>
      <c r="CB112">
        <v>0</v>
      </c>
      <c r="CD112">
        <v>0</v>
      </c>
    </row>
    <row r="113" spans="1:82" x14ac:dyDescent="0.3">
      <c r="A113">
        <v>513</v>
      </c>
      <c r="B113" t="s">
        <v>249</v>
      </c>
      <c r="E113">
        <v>0</v>
      </c>
      <c r="G113">
        <v>0</v>
      </c>
      <c r="H113">
        <v>0</v>
      </c>
      <c r="I113">
        <v>0</v>
      </c>
      <c r="J113">
        <v>0</v>
      </c>
      <c r="K113">
        <v>0</v>
      </c>
      <c r="L113">
        <v>0</v>
      </c>
      <c r="M113">
        <v>0</v>
      </c>
      <c r="N113">
        <v>0</v>
      </c>
      <c r="O113">
        <v>0</v>
      </c>
      <c r="P113">
        <v>0</v>
      </c>
      <c r="Q113">
        <v>0</v>
      </c>
      <c r="R113">
        <v>0</v>
      </c>
      <c r="S113">
        <v>0</v>
      </c>
      <c r="T113">
        <v>0</v>
      </c>
      <c r="U113">
        <v>0</v>
      </c>
      <c r="V113">
        <v>0</v>
      </c>
      <c r="W113">
        <v>0</v>
      </c>
      <c r="Y113">
        <v>0</v>
      </c>
      <c r="Z113">
        <v>0</v>
      </c>
      <c r="AA113">
        <v>0</v>
      </c>
      <c r="AB113">
        <v>0</v>
      </c>
      <c r="AC113">
        <v>0</v>
      </c>
      <c r="AD113">
        <v>0</v>
      </c>
      <c r="AE113">
        <v>0</v>
      </c>
      <c r="AF113">
        <v>0</v>
      </c>
      <c r="AG113">
        <v>0</v>
      </c>
      <c r="AH113">
        <v>0</v>
      </c>
      <c r="AI113">
        <v>0</v>
      </c>
      <c r="AJ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N113">
        <v>0</v>
      </c>
      <c r="BO113">
        <v>0</v>
      </c>
      <c r="BP113">
        <v>0</v>
      </c>
      <c r="BQ113">
        <v>0</v>
      </c>
      <c r="BR113">
        <v>0</v>
      </c>
      <c r="BS113">
        <v>0</v>
      </c>
      <c r="BT113">
        <v>0</v>
      </c>
      <c r="BU113">
        <v>0</v>
      </c>
      <c r="BV113">
        <v>0</v>
      </c>
      <c r="BW113">
        <v>0</v>
      </c>
      <c r="BX113">
        <v>0</v>
      </c>
      <c r="BY113">
        <v>0</v>
      </c>
      <c r="BZ113">
        <v>0</v>
      </c>
      <c r="CA113">
        <v>0</v>
      </c>
      <c r="CB113">
        <v>0</v>
      </c>
      <c r="CD113">
        <v>0</v>
      </c>
    </row>
    <row r="114" spans="1:82" x14ac:dyDescent="0.3">
      <c r="A114">
        <v>514</v>
      </c>
      <c r="B114" t="s">
        <v>250</v>
      </c>
      <c r="E114">
        <v>0</v>
      </c>
      <c r="G114">
        <v>0</v>
      </c>
      <c r="H114">
        <v>0</v>
      </c>
      <c r="I114">
        <v>0</v>
      </c>
      <c r="J114">
        <v>0</v>
      </c>
      <c r="K114">
        <v>0</v>
      </c>
      <c r="L114">
        <v>0</v>
      </c>
      <c r="M114">
        <v>0</v>
      </c>
      <c r="N114">
        <v>0</v>
      </c>
      <c r="O114">
        <v>0</v>
      </c>
      <c r="P114">
        <v>0</v>
      </c>
      <c r="Q114">
        <v>419309</v>
      </c>
      <c r="R114">
        <v>0</v>
      </c>
      <c r="S114">
        <v>0</v>
      </c>
      <c r="T114">
        <v>0</v>
      </c>
      <c r="U114">
        <v>0</v>
      </c>
      <c r="V114">
        <v>1003426</v>
      </c>
      <c r="W114">
        <v>0</v>
      </c>
      <c r="Y114">
        <v>0</v>
      </c>
      <c r="Z114">
        <v>0</v>
      </c>
      <c r="AA114">
        <v>0</v>
      </c>
      <c r="AB114">
        <v>0</v>
      </c>
      <c r="AC114">
        <v>0</v>
      </c>
      <c r="AD114">
        <v>0</v>
      </c>
      <c r="AE114">
        <v>0</v>
      </c>
      <c r="AF114">
        <v>0</v>
      </c>
      <c r="AG114">
        <v>0</v>
      </c>
      <c r="AH114">
        <v>0</v>
      </c>
      <c r="AI114">
        <v>3069263</v>
      </c>
      <c r="AJ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N114">
        <v>0</v>
      </c>
      <c r="BO114">
        <v>0</v>
      </c>
      <c r="BP114">
        <v>0</v>
      </c>
      <c r="BQ114">
        <v>0</v>
      </c>
      <c r="BR114">
        <v>0</v>
      </c>
      <c r="BS114">
        <v>35265</v>
      </c>
      <c r="BT114">
        <v>0</v>
      </c>
      <c r="BU114">
        <v>0</v>
      </c>
      <c r="BV114">
        <v>0</v>
      </c>
      <c r="BW114">
        <v>0</v>
      </c>
      <c r="BX114">
        <v>0</v>
      </c>
      <c r="BY114">
        <v>0</v>
      </c>
      <c r="BZ114">
        <v>0</v>
      </c>
      <c r="CA114">
        <v>0</v>
      </c>
      <c r="CB114">
        <v>0</v>
      </c>
      <c r="CD114">
        <v>0</v>
      </c>
    </row>
    <row r="115" spans="1:82" x14ac:dyDescent="0.3">
      <c r="A115">
        <v>515</v>
      </c>
      <c r="B115" t="s">
        <v>262</v>
      </c>
      <c r="E115">
        <v>0</v>
      </c>
      <c r="G115">
        <v>0</v>
      </c>
      <c r="H115">
        <v>0</v>
      </c>
      <c r="I115">
        <v>0</v>
      </c>
      <c r="J115">
        <v>0</v>
      </c>
      <c r="K115">
        <v>0</v>
      </c>
      <c r="L115">
        <v>0</v>
      </c>
      <c r="M115">
        <v>0</v>
      </c>
      <c r="N115">
        <v>0</v>
      </c>
      <c r="O115">
        <v>0</v>
      </c>
      <c r="P115">
        <v>0</v>
      </c>
      <c r="Q115">
        <v>41153217</v>
      </c>
      <c r="R115">
        <v>142110</v>
      </c>
      <c r="S115">
        <v>0</v>
      </c>
      <c r="T115">
        <v>0</v>
      </c>
      <c r="U115">
        <v>6921717</v>
      </c>
      <c r="V115">
        <v>14514559</v>
      </c>
      <c r="W115">
        <v>0</v>
      </c>
      <c r="Y115">
        <v>0</v>
      </c>
      <c r="Z115">
        <v>0</v>
      </c>
      <c r="AA115">
        <v>19173470</v>
      </c>
      <c r="AB115">
        <v>5119437</v>
      </c>
      <c r="AC115">
        <v>613604</v>
      </c>
      <c r="AD115">
        <v>0</v>
      </c>
      <c r="AE115">
        <v>0</v>
      </c>
      <c r="AF115">
        <v>3283693</v>
      </c>
      <c r="AG115">
        <v>0</v>
      </c>
      <c r="AH115">
        <v>0</v>
      </c>
      <c r="AI115">
        <v>76581465</v>
      </c>
      <c r="AJ115">
        <v>0</v>
      </c>
      <c r="AM115">
        <v>25374979</v>
      </c>
      <c r="AN115">
        <v>0</v>
      </c>
      <c r="AO115">
        <v>0</v>
      </c>
      <c r="AP115">
        <v>0</v>
      </c>
      <c r="AQ115">
        <v>0</v>
      </c>
      <c r="AR115">
        <v>0</v>
      </c>
      <c r="AS115">
        <v>0</v>
      </c>
      <c r="AT115">
        <v>0</v>
      </c>
      <c r="AU115">
        <v>0</v>
      </c>
      <c r="AV115">
        <v>13430340</v>
      </c>
      <c r="AW115">
        <v>0</v>
      </c>
      <c r="AX115">
        <v>0</v>
      </c>
      <c r="AY115">
        <v>181893</v>
      </c>
      <c r="AZ115">
        <v>340690</v>
      </c>
      <c r="BA115">
        <v>0</v>
      </c>
      <c r="BB115">
        <v>0</v>
      </c>
      <c r="BC115">
        <v>22408</v>
      </c>
      <c r="BD115">
        <v>0</v>
      </c>
      <c r="BE115">
        <v>0</v>
      </c>
      <c r="BF115">
        <v>0</v>
      </c>
      <c r="BG115">
        <v>0</v>
      </c>
      <c r="BH115">
        <v>0</v>
      </c>
      <c r="BI115">
        <v>0</v>
      </c>
      <c r="BJ115">
        <v>0</v>
      </c>
      <c r="BK115">
        <v>0</v>
      </c>
      <c r="BN115">
        <v>0</v>
      </c>
      <c r="BO115">
        <v>0</v>
      </c>
      <c r="BP115">
        <v>92954</v>
      </c>
      <c r="BQ115">
        <v>0</v>
      </c>
      <c r="BR115">
        <v>0</v>
      </c>
      <c r="BS115">
        <v>0</v>
      </c>
      <c r="BT115">
        <v>21428</v>
      </c>
      <c r="BU115">
        <v>163682</v>
      </c>
      <c r="BV115">
        <v>0</v>
      </c>
      <c r="BW115">
        <v>0</v>
      </c>
      <c r="BX115">
        <v>121104</v>
      </c>
      <c r="BY115">
        <v>0</v>
      </c>
      <c r="BZ115">
        <v>0</v>
      </c>
      <c r="CA115">
        <v>0</v>
      </c>
      <c r="CB115">
        <v>0</v>
      </c>
      <c r="CD115">
        <v>0</v>
      </c>
    </row>
    <row r="116" spans="1:82" x14ac:dyDescent="0.3">
      <c r="A116">
        <v>516</v>
      </c>
      <c r="B116" t="s">
        <v>263</v>
      </c>
      <c r="E116">
        <v>0</v>
      </c>
      <c r="G116">
        <v>0</v>
      </c>
      <c r="H116">
        <v>0</v>
      </c>
      <c r="I116">
        <v>0</v>
      </c>
      <c r="J116">
        <v>3251767</v>
      </c>
      <c r="K116">
        <v>0</v>
      </c>
      <c r="L116">
        <v>0</v>
      </c>
      <c r="M116">
        <v>0</v>
      </c>
      <c r="N116">
        <v>0</v>
      </c>
      <c r="O116">
        <v>31968689</v>
      </c>
      <c r="P116">
        <v>0</v>
      </c>
      <c r="Q116">
        <v>0</v>
      </c>
      <c r="R116">
        <v>2064610</v>
      </c>
      <c r="S116">
        <v>0</v>
      </c>
      <c r="T116">
        <v>211978100</v>
      </c>
      <c r="U116">
        <v>68322805</v>
      </c>
      <c r="V116">
        <v>61000617</v>
      </c>
      <c r="W116">
        <v>0</v>
      </c>
      <c r="Y116">
        <v>83875422</v>
      </c>
      <c r="Z116">
        <v>20123492</v>
      </c>
      <c r="AA116">
        <v>26863028</v>
      </c>
      <c r="AB116">
        <v>29048439</v>
      </c>
      <c r="AC116">
        <v>4637476</v>
      </c>
      <c r="AD116">
        <v>9134292</v>
      </c>
      <c r="AE116">
        <v>27079297</v>
      </c>
      <c r="AF116">
        <v>0</v>
      </c>
      <c r="AG116">
        <v>12789154</v>
      </c>
      <c r="AH116">
        <v>0</v>
      </c>
      <c r="AI116">
        <v>70815907</v>
      </c>
      <c r="AJ116">
        <v>2726310</v>
      </c>
      <c r="AM116">
        <v>45650382</v>
      </c>
      <c r="AN116">
        <v>3427731</v>
      </c>
      <c r="AO116">
        <v>3850744</v>
      </c>
      <c r="AP116">
        <v>0</v>
      </c>
      <c r="AQ116">
        <v>0</v>
      </c>
      <c r="AR116">
        <v>32591551</v>
      </c>
      <c r="AS116">
        <v>0</v>
      </c>
      <c r="AT116">
        <v>17045235</v>
      </c>
      <c r="AU116">
        <v>0</v>
      </c>
      <c r="AV116">
        <v>91938905</v>
      </c>
      <c r="AW116">
        <v>0</v>
      </c>
      <c r="AX116">
        <v>10420210</v>
      </c>
      <c r="AY116">
        <v>5953681</v>
      </c>
      <c r="AZ116">
        <v>10142657</v>
      </c>
      <c r="BA116">
        <v>2403227</v>
      </c>
      <c r="BB116">
        <v>0</v>
      </c>
      <c r="BC116">
        <v>1121052</v>
      </c>
      <c r="BD116">
        <v>37967806</v>
      </c>
      <c r="BE116">
        <v>0</v>
      </c>
      <c r="BF116">
        <v>4723405</v>
      </c>
      <c r="BG116">
        <v>3562489</v>
      </c>
      <c r="BH116">
        <v>0</v>
      </c>
      <c r="BI116">
        <v>4523592</v>
      </c>
      <c r="BJ116">
        <v>0</v>
      </c>
      <c r="BK116">
        <v>22470075</v>
      </c>
      <c r="BN116">
        <v>4964484</v>
      </c>
      <c r="BO116">
        <v>5042504</v>
      </c>
      <c r="BP116">
        <v>1224602</v>
      </c>
      <c r="BQ116">
        <v>0</v>
      </c>
      <c r="BR116">
        <v>10097389</v>
      </c>
      <c r="BS116">
        <v>0</v>
      </c>
      <c r="BT116">
        <v>10167726</v>
      </c>
      <c r="BU116">
        <v>20170771</v>
      </c>
      <c r="BV116">
        <v>0</v>
      </c>
      <c r="BW116">
        <v>19119946</v>
      </c>
      <c r="BX116">
        <v>3176208</v>
      </c>
      <c r="BY116">
        <v>833000</v>
      </c>
      <c r="BZ116">
        <v>8041193</v>
      </c>
      <c r="CA116">
        <v>6282078</v>
      </c>
      <c r="CB116">
        <v>6876057</v>
      </c>
      <c r="CD116">
        <v>1200807</v>
      </c>
    </row>
    <row r="117" spans="1:82" x14ac:dyDescent="0.3">
      <c r="A117">
        <v>517</v>
      </c>
      <c r="B117" t="s">
        <v>264</v>
      </c>
      <c r="E117">
        <v>0</v>
      </c>
      <c r="G117">
        <v>0</v>
      </c>
      <c r="H117">
        <v>0</v>
      </c>
      <c r="I117">
        <v>0</v>
      </c>
      <c r="J117">
        <v>0</v>
      </c>
      <c r="K117">
        <v>0</v>
      </c>
      <c r="L117">
        <v>0</v>
      </c>
      <c r="M117">
        <v>0</v>
      </c>
      <c r="N117">
        <v>0</v>
      </c>
      <c r="O117">
        <v>0</v>
      </c>
      <c r="P117">
        <v>0</v>
      </c>
      <c r="Q117">
        <v>108580643</v>
      </c>
      <c r="R117">
        <v>0</v>
      </c>
      <c r="S117">
        <v>0</v>
      </c>
      <c r="T117">
        <v>0</v>
      </c>
      <c r="U117">
        <v>0</v>
      </c>
      <c r="V117">
        <v>0</v>
      </c>
      <c r="W117">
        <v>0</v>
      </c>
      <c r="Y117">
        <v>0</v>
      </c>
      <c r="Z117">
        <v>0</v>
      </c>
      <c r="AA117">
        <v>0</v>
      </c>
      <c r="AB117">
        <v>0</v>
      </c>
      <c r="AC117">
        <v>0</v>
      </c>
      <c r="AD117">
        <v>0</v>
      </c>
      <c r="AE117">
        <v>0</v>
      </c>
      <c r="AF117">
        <v>5698626</v>
      </c>
      <c r="AG117">
        <v>0</v>
      </c>
      <c r="AH117">
        <v>0</v>
      </c>
      <c r="AI117">
        <v>0</v>
      </c>
      <c r="AJ117">
        <v>0</v>
      </c>
      <c r="AM117">
        <v>0</v>
      </c>
      <c r="AN117">
        <v>0</v>
      </c>
      <c r="AO117">
        <v>0</v>
      </c>
      <c r="AP117">
        <v>0</v>
      </c>
      <c r="AQ117">
        <v>0</v>
      </c>
      <c r="AR117">
        <v>0</v>
      </c>
      <c r="AS117">
        <v>0</v>
      </c>
      <c r="AT117">
        <v>0</v>
      </c>
      <c r="AU117">
        <v>0</v>
      </c>
      <c r="AV117">
        <v>0</v>
      </c>
      <c r="AW117">
        <v>0</v>
      </c>
      <c r="AX117">
        <v>0</v>
      </c>
      <c r="AY117">
        <v>0</v>
      </c>
      <c r="AZ117">
        <v>0</v>
      </c>
      <c r="BA117">
        <v>0</v>
      </c>
      <c r="BB117">
        <v>0</v>
      </c>
      <c r="BC117">
        <v>0</v>
      </c>
      <c r="BD117">
        <v>984426</v>
      </c>
      <c r="BE117">
        <v>0</v>
      </c>
      <c r="BF117">
        <v>0</v>
      </c>
      <c r="BG117">
        <v>0</v>
      </c>
      <c r="BH117">
        <v>0</v>
      </c>
      <c r="BI117">
        <v>0</v>
      </c>
      <c r="BJ117">
        <v>0</v>
      </c>
      <c r="BK117">
        <v>0</v>
      </c>
      <c r="BN117">
        <v>0</v>
      </c>
      <c r="BO117">
        <v>0</v>
      </c>
      <c r="BP117">
        <v>0</v>
      </c>
      <c r="BQ117">
        <v>0</v>
      </c>
      <c r="BR117">
        <v>0</v>
      </c>
      <c r="BS117">
        <v>0</v>
      </c>
      <c r="BT117">
        <v>0</v>
      </c>
      <c r="BU117">
        <v>0</v>
      </c>
      <c r="BV117">
        <v>0</v>
      </c>
      <c r="BW117">
        <v>0</v>
      </c>
      <c r="BX117">
        <v>0</v>
      </c>
      <c r="BY117">
        <v>0</v>
      </c>
      <c r="BZ117">
        <v>0</v>
      </c>
      <c r="CA117">
        <v>0</v>
      </c>
      <c r="CB117">
        <v>0</v>
      </c>
      <c r="CD117">
        <v>0</v>
      </c>
    </row>
    <row r="118" spans="1:82" x14ac:dyDescent="0.3">
      <c r="A118">
        <v>518</v>
      </c>
      <c r="B118" t="s">
        <v>265</v>
      </c>
      <c r="E118">
        <v>0</v>
      </c>
      <c r="G118">
        <v>0</v>
      </c>
      <c r="H118">
        <v>0</v>
      </c>
      <c r="I118">
        <v>0</v>
      </c>
      <c r="J118">
        <v>10116</v>
      </c>
      <c r="K118">
        <v>0</v>
      </c>
      <c r="L118">
        <v>0</v>
      </c>
      <c r="M118">
        <v>0</v>
      </c>
      <c r="N118">
        <v>0</v>
      </c>
      <c r="O118">
        <v>2448589</v>
      </c>
      <c r="P118">
        <v>0</v>
      </c>
      <c r="Q118">
        <v>15715050</v>
      </c>
      <c r="R118">
        <v>821270</v>
      </c>
      <c r="S118">
        <v>0</v>
      </c>
      <c r="T118">
        <v>7657936</v>
      </c>
      <c r="U118">
        <v>4768303</v>
      </c>
      <c r="V118">
        <v>22771846</v>
      </c>
      <c r="W118">
        <v>0</v>
      </c>
      <c r="Y118">
        <v>4066014</v>
      </c>
      <c r="Z118">
        <v>0</v>
      </c>
      <c r="AA118">
        <v>10748482</v>
      </c>
      <c r="AB118">
        <v>1538997</v>
      </c>
      <c r="AC118">
        <v>451576</v>
      </c>
      <c r="AD118">
        <v>908863</v>
      </c>
      <c r="AE118">
        <v>1196030</v>
      </c>
      <c r="AF118">
        <v>6685718</v>
      </c>
      <c r="AG118">
        <v>1787792</v>
      </c>
      <c r="AH118">
        <v>0</v>
      </c>
      <c r="AI118">
        <v>14809627</v>
      </c>
      <c r="AJ118">
        <v>0</v>
      </c>
      <c r="AM118">
        <v>4110362</v>
      </c>
      <c r="AN118">
        <v>120492</v>
      </c>
      <c r="AO118">
        <v>132661</v>
      </c>
      <c r="AP118">
        <v>0</v>
      </c>
      <c r="AQ118">
        <v>0</v>
      </c>
      <c r="AR118">
        <v>2244432</v>
      </c>
      <c r="AS118">
        <v>0</v>
      </c>
      <c r="AT118">
        <v>1036287</v>
      </c>
      <c r="AU118">
        <v>0</v>
      </c>
      <c r="AV118">
        <v>25957713</v>
      </c>
      <c r="AW118">
        <v>0</v>
      </c>
      <c r="AX118">
        <v>1618541</v>
      </c>
      <c r="AY118">
        <v>1672932</v>
      </c>
      <c r="AZ118">
        <v>515378</v>
      </c>
      <c r="BA118">
        <v>97644</v>
      </c>
      <c r="BB118">
        <v>0</v>
      </c>
      <c r="BC118">
        <v>0</v>
      </c>
      <c r="BD118">
        <v>3378878</v>
      </c>
      <c r="BE118">
        <v>0</v>
      </c>
      <c r="BF118">
        <v>107941</v>
      </c>
      <c r="BG118">
        <v>41477</v>
      </c>
      <c r="BH118">
        <v>0</v>
      </c>
      <c r="BI118">
        <v>11126</v>
      </c>
      <c r="BJ118">
        <v>0</v>
      </c>
      <c r="BK118">
        <v>3982271</v>
      </c>
      <c r="BN118">
        <v>261380</v>
      </c>
      <c r="BO118">
        <v>281775</v>
      </c>
      <c r="BP118">
        <v>358736</v>
      </c>
      <c r="BQ118">
        <v>0</v>
      </c>
      <c r="BR118">
        <v>123583</v>
      </c>
      <c r="BS118">
        <v>0</v>
      </c>
      <c r="BT118">
        <v>772538</v>
      </c>
      <c r="BU118">
        <v>665212</v>
      </c>
      <c r="BV118">
        <v>0</v>
      </c>
      <c r="BW118">
        <v>1669602</v>
      </c>
      <c r="BX118">
        <v>161186</v>
      </c>
      <c r="BY118">
        <v>0</v>
      </c>
      <c r="BZ118">
        <v>134463</v>
      </c>
      <c r="CA118">
        <v>8823</v>
      </c>
      <c r="CB118">
        <v>272755</v>
      </c>
      <c r="CD118">
        <v>0</v>
      </c>
    </row>
    <row r="119" spans="1:82" x14ac:dyDescent="0.3">
      <c r="A119">
        <v>519</v>
      </c>
      <c r="B119" t="s">
        <v>266</v>
      </c>
      <c r="E119">
        <v>0</v>
      </c>
      <c r="G119">
        <v>0</v>
      </c>
      <c r="H119">
        <v>0</v>
      </c>
      <c r="I119">
        <v>0</v>
      </c>
      <c r="J119">
        <v>0</v>
      </c>
      <c r="K119">
        <v>0</v>
      </c>
      <c r="L119">
        <v>0</v>
      </c>
      <c r="M119">
        <v>0</v>
      </c>
      <c r="N119">
        <v>0</v>
      </c>
      <c r="O119">
        <v>0</v>
      </c>
      <c r="P119">
        <v>0</v>
      </c>
      <c r="Q119">
        <v>815363</v>
      </c>
      <c r="R119">
        <v>3553</v>
      </c>
      <c r="S119">
        <v>0</v>
      </c>
      <c r="T119">
        <v>2163085</v>
      </c>
      <c r="U119">
        <v>177721</v>
      </c>
      <c r="V119">
        <v>237163</v>
      </c>
      <c r="W119">
        <v>0</v>
      </c>
      <c r="Y119">
        <v>0</v>
      </c>
      <c r="Z119">
        <v>0</v>
      </c>
      <c r="AA119">
        <v>372711</v>
      </c>
      <c r="AB119">
        <v>77864</v>
      </c>
      <c r="AC119">
        <v>14545</v>
      </c>
      <c r="AD119">
        <v>0</v>
      </c>
      <c r="AE119">
        <v>0</v>
      </c>
      <c r="AF119">
        <v>41946</v>
      </c>
      <c r="AG119">
        <v>0</v>
      </c>
      <c r="AH119">
        <v>0</v>
      </c>
      <c r="AI119">
        <v>1934570</v>
      </c>
      <c r="AJ119">
        <v>0</v>
      </c>
      <c r="AM119">
        <v>470263</v>
      </c>
      <c r="AN119">
        <v>0</v>
      </c>
      <c r="AO119">
        <v>0</v>
      </c>
      <c r="AP119">
        <v>0</v>
      </c>
      <c r="AQ119">
        <v>0</v>
      </c>
      <c r="AR119">
        <v>0</v>
      </c>
      <c r="AS119">
        <v>0</v>
      </c>
      <c r="AT119">
        <v>0</v>
      </c>
      <c r="AU119">
        <v>0</v>
      </c>
      <c r="AV119">
        <v>355325</v>
      </c>
      <c r="AW119">
        <v>0</v>
      </c>
      <c r="AX119">
        <v>0</v>
      </c>
      <c r="AY119">
        <v>2398</v>
      </c>
      <c r="AZ119">
        <v>390</v>
      </c>
      <c r="BA119">
        <v>0</v>
      </c>
      <c r="BB119">
        <v>0</v>
      </c>
      <c r="BC119">
        <v>0</v>
      </c>
      <c r="BD119">
        <v>0</v>
      </c>
      <c r="BE119">
        <v>0</v>
      </c>
      <c r="BF119">
        <v>0</v>
      </c>
      <c r="BG119">
        <v>0</v>
      </c>
      <c r="BH119">
        <v>0</v>
      </c>
      <c r="BI119">
        <v>0</v>
      </c>
      <c r="BJ119">
        <v>0</v>
      </c>
      <c r="BK119">
        <v>0</v>
      </c>
      <c r="BN119">
        <v>0</v>
      </c>
      <c r="BO119">
        <v>0</v>
      </c>
      <c r="BP119">
        <v>2324</v>
      </c>
      <c r="BQ119">
        <v>0</v>
      </c>
      <c r="BR119">
        <v>0</v>
      </c>
      <c r="BS119">
        <v>0</v>
      </c>
      <c r="BT119">
        <v>785</v>
      </c>
      <c r="BU119">
        <v>1796</v>
      </c>
      <c r="BV119">
        <v>0</v>
      </c>
      <c r="BW119">
        <v>0</v>
      </c>
      <c r="BX119">
        <v>4037</v>
      </c>
      <c r="BY119">
        <v>0</v>
      </c>
      <c r="BZ119">
        <v>0</v>
      </c>
      <c r="CA119">
        <v>0</v>
      </c>
      <c r="CB119">
        <v>0</v>
      </c>
      <c r="CD119">
        <v>0</v>
      </c>
    </row>
    <row r="120" spans="1:82" x14ac:dyDescent="0.3">
      <c r="A120">
        <v>520</v>
      </c>
      <c r="B120" t="s">
        <v>267</v>
      </c>
      <c r="E120">
        <v>0</v>
      </c>
      <c r="G120">
        <v>0</v>
      </c>
      <c r="H120">
        <v>0</v>
      </c>
      <c r="I120">
        <v>0</v>
      </c>
      <c r="J120">
        <v>61318</v>
      </c>
      <c r="K120">
        <v>0</v>
      </c>
      <c r="L120">
        <v>0</v>
      </c>
      <c r="M120">
        <v>0</v>
      </c>
      <c r="N120">
        <v>0</v>
      </c>
      <c r="O120">
        <v>607637</v>
      </c>
      <c r="P120">
        <v>0</v>
      </c>
      <c r="Q120">
        <v>0</v>
      </c>
      <c r="R120">
        <v>54521</v>
      </c>
      <c r="S120">
        <v>0</v>
      </c>
      <c r="T120">
        <v>2306335</v>
      </c>
      <c r="U120">
        <v>1481518</v>
      </c>
      <c r="V120">
        <v>1645856</v>
      </c>
      <c r="W120">
        <v>0</v>
      </c>
      <c r="Y120">
        <v>1827825</v>
      </c>
      <c r="Z120">
        <v>499195</v>
      </c>
      <c r="AA120">
        <v>531553</v>
      </c>
      <c r="AB120">
        <v>487377</v>
      </c>
      <c r="AC120">
        <v>88123</v>
      </c>
      <c r="AD120">
        <v>144651</v>
      </c>
      <c r="AE120">
        <v>710117</v>
      </c>
      <c r="AF120">
        <v>0</v>
      </c>
      <c r="AG120">
        <v>304886</v>
      </c>
      <c r="AH120">
        <v>0</v>
      </c>
      <c r="AI120">
        <v>1442476</v>
      </c>
      <c r="AJ120">
        <v>72050</v>
      </c>
      <c r="AM120">
        <v>1389728</v>
      </c>
      <c r="AN120">
        <v>76444</v>
      </c>
      <c r="AO120">
        <v>82089</v>
      </c>
      <c r="AP120">
        <v>0</v>
      </c>
      <c r="AQ120">
        <v>0</v>
      </c>
      <c r="AR120">
        <v>713747</v>
      </c>
      <c r="AS120">
        <v>0</v>
      </c>
      <c r="AT120">
        <v>322712</v>
      </c>
      <c r="AU120">
        <v>0</v>
      </c>
      <c r="AV120">
        <v>2333809</v>
      </c>
      <c r="AW120">
        <v>0</v>
      </c>
      <c r="AX120">
        <v>143339</v>
      </c>
      <c r="AY120">
        <v>88084</v>
      </c>
      <c r="AZ120">
        <v>199326</v>
      </c>
      <c r="BA120">
        <v>38367</v>
      </c>
      <c r="BB120">
        <v>0</v>
      </c>
      <c r="BC120">
        <v>25924</v>
      </c>
      <c r="BD120">
        <v>825799</v>
      </c>
      <c r="BE120">
        <v>0</v>
      </c>
      <c r="BF120">
        <v>62870</v>
      </c>
      <c r="BG120">
        <v>71250</v>
      </c>
      <c r="BH120">
        <v>0</v>
      </c>
      <c r="BI120">
        <v>90595</v>
      </c>
      <c r="BJ120">
        <v>0</v>
      </c>
      <c r="BK120">
        <v>546049</v>
      </c>
      <c r="BN120">
        <v>156902</v>
      </c>
      <c r="BO120">
        <v>86958</v>
      </c>
      <c r="BP120">
        <v>24829</v>
      </c>
      <c r="BQ120">
        <v>0</v>
      </c>
      <c r="BR120">
        <v>71274</v>
      </c>
      <c r="BS120">
        <v>0</v>
      </c>
      <c r="BT120">
        <v>234827</v>
      </c>
      <c r="BU120">
        <v>514270</v>
      </c>
      <c r="BV120">
        <v>0</v>
      </c>
      <c r="BW120">
        <v>549135</v>
      </c>
      <c r="BX120">
        <v>62454</v>
      </c>
      <c r="BY120">
        <v>18215</v>
      </c>
      <c r="BZ120">
        <v>191534</v>
      </c>
      <c r="CA120">
        <v>155044</v>
      </c>
      <c r="CB120">
        <v>151252</v>
      </c>
      <c r="CD120">
        <v>30020</v>
      </c>
    </row>
    <row r="121" spans="1:82" x14ac:dyDescent="0.3">
      <c r="A121">
        <v>521</v>
      </c>
      <c r="B121" t="s">
        <v>268</v>
      </c>
      <c r="E121">
        <v>0</v>
      </c>
      <c r="G121">
        <v>0</v>
      </c>
      <c r="H121">
        <v>0</v>
      </c>
      <c r="I121">
        <v>0</v>
      </c>
      <c r="J121">
        <v>0</v>
      </c>
      <c r="K121">
        <v>0</v>
      </c>
      <c r="L121">
        <v>0</v>
      </c>
      <c r="M121">
        <v>0</v>
      </c>
      <c r="N121">
        <v>0</v>
      </c>
      <c r="O121">
        <v>0</v>
      </c>
      <c r="P121">
        <v>0</v>
      </c>
      <c r="Q121">
        <v>2147660</v>
      </c>
      <c r="R121">
        <v>0</v>
      </c>
      <c r="S121">
        <v>0</v>
      </c>
      <c r="T121">
        <v>0</v>
      </c>
      <c r="U121">
        <v>0</v>
      </c>
      <c r="V121">
        <v>0</v>
      </c>
      <c r="W121">
        <v>0</v>
      </c>
      <c r="Y121">
        <v>0</v>
      </c>
      <c r="Z121">
        <v>0</v>
      </c>
      <c r="AA121">
        <v>0</v>
      </c>
      <c r="AB121">
        <v>0</v>
      </c>
      <c r="AC121">
        <v>0</v>
      </c>
      <c r="AD121">
        <v>0</v>
      </c>
      <c r="AE121">
        <v>0</v>
      </c>
      <c r="AF121">
        <v>146139</v>
      </c>
      <c r="AG121">
        <v>0</v>
      </c>
      <c r="AH121">
        <v>0</v>
      </c>
      <c r="AI121">
        <v>0</v>
      </c>
      <c r="AJ121">
        <v>0</v>
      </c>
      <c r="AM121">
        <v>0</v>
      </c>
      <c r="AN121">
        <v>0</v>
      </c>
      <c r="AO121">
        <v>0</v>
      </c>
      <c r="AP121">
        <v>0</v>
      </c>
      <c r="AQ121">
        <v>0</v>
      </c>
      <c r="AR121">
        <v>0</v>
      </c>
      <c r="AS121">
        <v>0</v>
      </c>
      <c r="AT121">
        <v>0</v>
      </c>
      <c r="AU121">
        <v>0</v>
      </c>
      <c r="AV121">
        <v>0</v>
      </c>
      <c r="AW121">
        <v>0</v>
      </c>
      <c r="AX121">
        <v>0</v>
      </c>
      <c r="AY121">
        <v>0</v>
      </c>
      <c r="AZ121">
        <v>0</v>
      </c>
      <c r="BA121">
        <v>0</v>
      </c>
      <c r="BB121">
        <v>0</v>
      </c>
      <c r="BC121">
        <v>0</v>
      </c>
      <c r="BD121">
        <v>81723</v>
      </c>
      <c r="BE121">
        <v>0</v>
      </c>
      <c r="BF121">
        <v>0</v>
      </c>
      <c r="BG121">
        <v>0</v>
      </c>
      <c r="BH121">
        <v>0</v>
      </c>
      <c r="BI121">
        <v>0</v>
      </c>
      <c r="BJ121">
        <v>0</v>
      </c>
      <c r="BK121">
        <v>0</v>
      </c>
      <c r="BN121">
        <v>0</v>
      </c>
      <c r="BO121">
        <v>0</v>
      </c>
      <c r="BP121">
        <v>0</v>
      </c>
      <c r="BQ121">
        <v>0</v>
      </c>
      <c r="BR121">
        <v>0</v>
      </c>
      <c r="BS121">
        <v>0</v>
      </c>
      <c r="BT121">
        <v>0</v>
      </c>
      <c r="BU121">
        <v>0</v>
      </c>
      <c r="BV121">
        <v>0</v>
      </c>
      <c r="BW121">
        <v>0</v>
      </c>
      <c r="BX121">
        <v>0</v>
      </c>
      <c r="BY121">
        <v>0</v>
      </c>
      <c r="BZ121">
        <v>0</v>
      </c>
      <c r="CA121">
        <v>0</v>
      </c>
      <c r="CB121">
        <v>0</v>
      </c>
      <c r="CD121">
        <v>0</v>
      </c>
    </row>
    <row r="122" spans="1:82" x14ac:dyDescent="0.3">
      <c r="A122">
        <v>522</v>
      </c>
      <c r="B122" t="s">
        <v>269</v>
      </c>
      <c r="E122">
        <v>0</v>
      </c>
      <c r="G122">
        <v>0</v>
      </c>
      <c r="H122">
        <v>0</v>
      </c>
      <c r="I122">
        <v>0</v>
      </c>
      <c r="J122">
        <v>674</v>
      </c>
      <c r="K122">
        <v>0</v>
      </c>
      <c r="L122">
        <v>0</v>
      </c>
      <c r="M122">
        <v>0</v>
      </c>
      <c r="N122">
        <v>0</v>
      </c>
      <c r="O122">
        <v>114072</v>
      </c>
      <c r="P122">
        <v>0</v>
      </c>
      <c r="Q122">
        <v>1070169</v>
      </c>
      <c r="R122">
        <v>24163</v>
      </c>
      <c r="S122">
        <v>0</v>
      </c>
      <c r="T122">
        <v>439092</v>
      </c>
      <c r="U122">
        <v>574218</v>
      </c>
      <c r="V122">
        <v>929777</v>
      </c>
      <c r="W122">
        <v>0</v>
      </c>
      <c r="Y122">
        <v>252615</v>
      </c>
      <c r="Z122">
        <v>0</v>
      </c>
      <c r="AA122">
        <v>454216</v>
      </c>
      <c r="AB122">
        <v>72385</v>
      </c>
      <c r="AC122">
        <v>25059</v>
      </c>
      <c r="AD122">
        <v>50340</v>
      </c>
      <c r="AE122">
        <v>147685</v>
      </c>
      <c r="AF122">
        <v>199839</v>
      </c>
      <c r="AG122">
        <v>120702</v>
      </c>
      <c r="AH122">
        <v>0</v>
      </c>
      <c r="AI122">
        <v>677480</v>
      </c>
      <c r="AJ122">
        <v>0</v>
      </c>
      <c r="AM122">
        <v>300549</v>
      </c>
      <c r="AN122">
        <v>4749</v>
      </c>
      <c r="AO122">
        <v>10130</v>
      </c>
      <c r="AP122">
        <v>0</v>
      </c>
      <c r="AQ122">
        <v>0</v>
      </c>
      <c r="AR122">
        <v>110722</v>
      </c>
      <c r="AS122">
        <v>0</v>
      </c>
      <c r="AT122">
        <v>78262</v>
      </c>
      <c r="AU122">
        <v>0</v>
      </c>
      <c r="AV122">
        <v>912943</v>
      </c>
      <c r="AW122">
        <v>0</v>
      </c>
      <c r="AX122">
        <v>111402</v>
      </c>
      <c r="AY122">
        <v>98854</v>
      </c>
      <c r="AZ122">
        <v>14058</v>
      </c>
      <c r="BA122">
        <v>3605</v>
      </c>
      <c r="BB122">
        <v>0</v>
      </c>
      <c r="BC122">
        <v>0</v>
      </c>
      <c r="BD122">
        <v>162596</v>
      </c>
      <c r="BE122">
        <v>0</v>
      </c>
      <c r="BF122">
        <v>6464</v>
      </c>
      <c r="BG122">
        <v>3323</v>
      </c>
      <c r="BH122">
        <v>0</v>
      </c>
      <c r="BI122">
        <v>1670</v>
      </c>
      <c r="BJ122">
        <v>0</v>
      </c>
      <c r="BK122">
        <v>96658</v>
      </c>
      <c r="BN122">
        <v>10518</v>
      </c>
      <c r="BO122">
        <v>30166</v>
      </c>
      <c r="BP122">
        <v>14358</v>
      </c>
      <c r="BQ122">
        <v>0</v>
      </c>
      <c r="BR122">
        <v>1</v>
      </c>
      <c r="BS122">
        <v>0</v>
      </c>
      <c r="BT122">
        <v>46187</v>
      </c>
      <c r="BU122">
        <v>56011</v>
      </c>
      <c r="BV122">
        <v>0</v>
      </c>
      <c r="BW122">
        <v>64629</v>
      </c>
      <c r="BX122">
        <v>19144</v>
      </c>
      <c r="BY122">
        <v>0</v>
      </c>
      <c r="BZ122">
        <v>8975</v>
      </c>
      <c r="CA122">
        <v>0</v>
      </c>
      <c r="CB122">
        <v>7367</v>
      </c>
      <c r="CD122">
        <v>0</v>
      </c>
    </row>
    <row r="123" spans="1:82" x14ac:dyDescent="0.3">
      <c r="A123">
        <v>523</v>
      </c>
      <c r="B123" t="s">
        <v>270</v>
      </c>
      <c r="E123">
        <v>0</v>
      </c>
      <c r="G123">
        <v>0</v>
      </c>
      <c r="H123">
        <v>0</v>
      </c>
      <c r="I123">
        <v>0</v>
      </c>
      <c r="J123">
        <v>0</v>
      </c>
      <c r="K123">
        <v>0</v>
      </c>
      <c r="L123">
        <v>0</v>
      </c>
      <c r="M123">
        <v>0</v>
      </c>
      <c r="N123">
        <v>0</v>
      </c>
      <c r="O123">
        <v>0</v>
      </c>
      <c r="P123">
        <v>0</v>
      </c>
      <c r="Q123">
        <v>18724890</v>
      </c>
      <c r="R123">
        <v>85248</v>
      </c>
      <c r="S123">
        <v>0</v>
      </c>
      <c r="T123">
        <v>39858259</v>
      </c>
      <c r="U123">
        <v>1560538</v>
      </c>
      <c r="V123">
        <v>11375773</v>
      </c>
      <c r="W123">
        <v>0</v>
      </c>
      <c r="Y123">
        <v>0</v>
      </c>
      <c r="Z123">
        <v>0</v>
      </c>
      <c r="AA123">
        <v>12924023</v>
      </c>
      <c r="AB123">
        <v>5119438</v>
      </c>
      <c r="AC123">
        <v>169277</v>
      </c>
      <c r="AD123">
        <v>0</v>
      </c>
      <c r="AE123">
        <v>0</v>
      </c>
      <c r="AF123">
        <v>2492746</v>
      </c>
      <c r="AG123">
        <v>0</v>
      </c>
      <c r="AH123">
        <v>0</v>
      </c>
      <c r="AI123">
        <v>34545242</v>
      </c>
      <c r="AJ123">
        <v>0</v>
      </c>
      <c r="AM123">
        <v>20610596</v>
      </c>
      <c r="AN123">
        <v>0</v>
      </c>
      <c r="AO123">
        <v>0</v>
      </c>
      <c r="AP123">
        <v>0</v>
      </c>
      <c r="AQ123">
        <v>0</v>
      </c>
      <c r="AR123">
        <v>0</v>
      </c>
      <c r="AS123">
        <v>0</v>
      </c>
      <c r="AT123">
        <v>0</v>
      </c>
      <c r="AU123">
        <v>0</v>
      </c>
      <c r="AV123">
        <v>4358812</v>
      </c>
      <c r="AW123">
        <v>0</v>
      </c>
      <c r="AX123">
        <v>0</v>
      </c>
      <c r="AY123">
        <v>85300</v>
      </c>
      <c r="AZ123">
        <v>322002</v>
      </c>
      <c r="BA123">
        <v>0</v>
      </c>
      <c r="BB123">
        <v>0</v>
      </c>
      <c r="BC123">
        <v>22408</v>
      </c>
      <c r="BD123">
        <v>0</v>
      </c>
      <c r="BE123">
        <v>0</v>
      </c>
      <c r="BF123">
        <v>0</v>
      </c>
      <c r="BG123">
        <v>0</v>
      </c>
      <c r="BH123">
        <v>0</v>
      </c>
      <c r="BI123">
        <v>0</v>
      </c>
      <c r="BJ123">
        <v>0</v>
      </c>
      <c r="BK123">
        <v>0</v>
      </c>
      <c r="BN123">
        <v>0</v>
      </c>
      <c r="BO123">
        <v>0</v>
      </c>
      <c r="BP123">
        <v>84597</v>
      </c>
      <c r="BQ123">
        <v>0</v>
      </c>
      <c r="BR123">
        <v>0</v>
      </c>
      <c r="BS123">
        <v>0</v>
      </c>
      <c r="BT123">
        <v>10064</v>
      </c>
      <c r="BU123">
        <v>145934</v>
      </c>
      <c r="BV123">
        <v>0</v>
      </c>
      <c r="BW123">
        <v>0</v>
      </c>
      <c r="BX123">
        <v>82923</v>
      </c>
      <c r="BY123">
        <v>0</v>
      </c>
      <c r="BZ123">
        <v>0</v>
      </c>
      <c r="CA123">
        <v>0</v>
      </c>
      <c r="CB123">
        <v>0</v>
      </c>
      <c r="CD123">
        <v>0</v>
      </c>
    </row>
    <row r="124" spans="1:82" x14ac:dyDescent="0.3">
      <c r="A124">
        <v>524</v>
      </c>
      <c r="B124" t="s">
        <v>271</v>
      </c>
      <c r="E124">
        <v>0</v>
      </c>
      <c r="G124">
        <v>0</v>
      </c>
      <c r="H124">
        <v>0</v>
      </c>
      <c r="I124">
        <v>0</v>
      </c>
      <c r="J124">
        <v>1115967</v>
      </c>
      <c r="K124">
        <v>0</v>
      </c>
      <c r="L124">
        <v>0</v>
      </c>
      <c r="M124">
        <v>0</v>
      </c>
      <c r="N124">
        <v>0</v>
      </c>
      <c r="O124">
        <v>15522983</v>
      </c>
      <c r="P124">
        <v>0</v>
      </c>
      <c r="Q124">
        <v>0</v>
      </c>
      <c r="R124">
        <v>1624926</v>
      </c>
      <c r="S124">
        <v>0</v>
      </c>
      <c r="T124">
        <v>55585708</v>
      </c>
      <c r="U124">
        <v>28494699</v>
      </c>
      <c r="V124">
        <v>31305406</v>
      </c>
      <c r="W124">
        <v>0</v>
      </c>
      <c r="Y124">
        <v>46890603</v>
      </c>
      <c r="Z124">
        <v>8939324</v>
      </c>
      <c r="AA124">
        <v>15322924</v>
      </c>
      <c r="AB124">
        <v>6467102</v>
      </c>
      <c r="AC124">
        <v>2182828</v>
      </c>
      <c r="AD124">
        <v>4233890</v>
      </c>
      <c r="AE124">
        <v>12171697</v>
      </c>
      <c r="AF124">
        <v>0</v>
      </c>
      <c r="AG124">
        <v>6446584</v>
      </c>
      <c r="AH124">
        <v>0</v>
      </c>
      <c r="AI124">
        <v>27329129</v>
      </c>
      <c r="AJ124">
        <v>1358219</v>
      </c>
      <c r="AM124">
        <v>26090386</v>
      </c>
      <c r="AN124">
        <v>2672888</v>
      </c>
      <c r="AO124">
        <v>1674946</v>
      </c>
      <c r="AP124">
        <v>0</v>
      </c>
      <c r="AQ124">
        <v>0</v>
      </c>
      <c r="AR124">
        <v>19119639</v>
      </c>
      <c r="AS124">
        <v>0</v>
      </c>
      <c r="AT124">
        <v>8048248</v>
      </c>
      <c r="AU124">
        <v>0</v>
      </c>
      <c r="AV124">
        <v>30627151</v>
      </c>
      <c r="AW124">
        <v>0</v>
      </c>
      <c r="AX124">
        <v>6373368</v>
      </c>
      <c r="AY124">
        <v>2116524</v>
      </c>
      <c r="AZ124">
        <v>4844840</v>
      </c>
      <c r="BA124">
        <v>1454294</v>
      </c>
      <c r="BB124">
        <v>0</v>
      </c>
      <c r="BC124">
        <v>560990</v>
      </c>
      <c r="BD124">
        <v>18222644</v>
      </c>
      <c r="BE124">
        <v>0</v>
      </c>
      <c r="BF124">
        <v>1796718</v>
      </c>
      <c r="BG124">
        <v>1541730</v>
      </c>
      <c r="BH124">
        <v>0</v>
      </c>
      <c r="BI124">
        <v>1904865</v>
      </c>
      <c r="BJ124">
        <v>0</v>
      </c>
      <c r="BK124">
        <v>8817418</v>
      </c>
      <c r="BN124">
        <v>2092314</v>
      </c>
      <c r="BO124">
        <v>2910321</v>
      </c>
      <c r="BP124">
        <v>813251</v>
      </c>
      <c r="BQ124">
        <v>0</v>
      </c>
      <c r="BR124">
        <v>6074613</v>
      </c>
      <c r="BS124">
        <v>0</v>
      </c>
      <c r="BT124">
        <v>5034276</v>
      </c>
      <c r="BU124">
        <v>11490804</v>
      </c>
      <c r="BV124">
        <v>0</v>
      </c>
      <c r="BW124">
        <v>7543087</v>
      </c>
      <c r="BX124">
        <v>1400862</v>
      </c>
      <c r="BY124">
        <v>256342</v>
      </c>
      <c r="BZ124">
        <v>3456602</v>
      </c>
      <c r="CA124">
        <v>2118555</v>
      </c>
      <c r="CB124">
        <v>3789208</v>
      </c>
      <c r="CD124">
        <v>498522</v>
      </c>
    </row>
    <row r="125" spans="1:82" x14ac:dyDescent="0.3">
      <c r="A125">
        <v>525</v>
      </c>
      <c r="B125" t="s">
        <v>272</v>
      </c>
      <c r="E125">
        <v>0</v>
      </c>
      <c r="G125">
        <v>0</v>
      </c>
      <c r="H125">
        <v>0</v>
      </c>
      <c r="I125">
        <v>0</v>
      </c>
      <c r="J125">
        <v>0</v>
      </c>
      <c r="K125">
        <v>0</v>
      </c>
      <c r="L125">
        <v>0</v>
      </c>
      <c r="M125">
        <v>0</v>
      </c>
      <c r="N125">
        <v>0</v>
      </c>
      <c r="O125">
        <v>0</v>
      </c>
      <c r="P125">
        <v>0</v>
      </c>
      <c r="Q125">
        <v>29143139</v>
      </c>
      <c r="R125">
        <v>0</v>
      </c>
      <c r="S125">
        <v>0</v>
      </c>
      <c r="T125">
        <v>0</v>
      </c>
      <c r="U125">
        <v>0</v>
      </c>
      <c r="V125">
        <v>0</v>
      </c>
      <c r="W125">
        <v>0</v>
      </c>
      <c r="Y125">
        <v>0</v>
      </c>
      <c r="Z125">
        <v>0</v>
      </c>
      <c r="AA125">
        <v>0</v>
      </c>
      <c r="AB125">
        <v>0</v>
      </c>
      <c r="AC125">
        <v>0</v>
      </c>
      <c r="AD125">
        <v>0</v>
      </c>
      <c r="AE125">
        <v>0</v>
      </c>
      <c r="AF125">
        <v>1359075</v>
      </c>
      <c r="AG125">
        <v>0</v>
      </c>
      <c r="AH125">
        <v>0</v>
      </c>
      <c r="AI125">
        <v>0</v>
      </c>
      <c r="AJ125">
        <v>0</v>
      </c>
      <c r="AM125">
        <v>0</v>
      </c>
      <c r="AN125">
        <v>0</v>
      </c>
      <c r="AO125">
        <v>0</v>
      </c>
      <c r="AP125">
        <v>0</v>
      </c>
      <c r="AQ125">
        <v>0</v>
      </c>
      <c r="AR125">
        <v>0</v>
      </c>
      <c r="AS125">
        <v>0</v>
      </c>
      <c r="AT125">
        <v>0</v>
      </c>
      <c r="AU125">
        <v>0</v>
      </c>
      <c r="AV125">
        <v>0</v>
      </c>
      <c r="AW125">
        <v>0</v>
      </c>
      <c r="AX125">
        <v>0</v>
      </c>
      <c r="AY125">
        <v>0</v>
      </c>
      <c r="AZ125">
        <v>0</v>
      </c>
      <c r="BA125">
        <v>0</v>
      </c>
      <c r="BB125">
        <v>0</v>
      </c>
      <c r="BC125">
        <v>0</v>
      </c>
      <c r="BD125">
        <v>337545</v>
      </c>
      <c r="BE125">
        <v>0</v>
      </c>
      <c r="BF125">
        <v>0</v>
      </c>
      <c r="BG125">
        <v>0</v>
      </c>
      <c r="BH125">
        <v>0</v>
      </c>
      <c r="BI125">
        <v>0</v>
      </c>
      <c r="BJ125">
        <v>0</v>
      </c>
      <c r="BK125">
        <v>0</v>
      </c>
      <c r="BN125">
        <v>0</v>
      </c>
      <c r="BO125">
        <v>0</v>
      </c>
      <c r="BP125">
        <v>0</v>
      </c>
      <c r="BQ125">
        <v>0</v>
      </c>
      <c r="BR125">
        <v>0</v>
      </c>
      <c r="BS125">
        <v>0</v>
      </c>
      <c r="BT125">
        <v>0</v>
      </c>
      <c r="BU125">
        <v>0</v>
      </c>
      <c r="BV125">
        <v>0</v>
      </c>
      <c r="BW125">
        <v>0</v>
      </c>
      <c r="BX125">
        <v>0</v>
      </c>
      <c r="BY125">
        <v>0</v>
      </c>
      <c r="BZ125">
        <v>0</v>
      </c>
      <c r="CA125">
        <v>0</v>
      </c>
      <c r="CB125">
        <v>0</v>
      </c>
      <c r="CD125">
        <v>0</v>
      </c>
    </row>
    <row r="126" spans="1:82" x14ac:dyDescent="0.3">
      <c r="A126">
        <v>526</v>
      </c>
      <c r="B126" t="s">
        <v>273</v>
      </c>
      <c r="E126">
        <v>0</v>
      </c>
      <c r="G126">
        <v>0</v>
      </c>
      <c r="H126">
        <v>0</v>
      </c>
      <c r="I126">
        <v>0</v>
      </c>
      <c r="J126">
        <v>7884</v>
      </c>
      <c r="K126">
        <v>0</v>
      </c>
      <c r="L126">
        <v>0</v>
      </c>
      <c r="M126">
        <v>0</v>
      </c>
      <c r="N126">
        <v>0</v>
      </c>
      <c r="O126">
        <v>2052055</v>
      </c>
      <c r="P126">
        <v>0</v>
      </c>
      <c r="Q126">
        <v>11743244</v>
      </c>
      <c r="R126">
        <v>360277</v>
      </c>
      <c r="S126">
        <v>0</v>
      </c>
      <c r="T126">
        <v>5717551</v>
      </c>
      <c r="U126">
        <v>2549539</v>
      </c>
      <c r="V126">
        <v>12434997</v>
      </c>
      <c r="W126">
        <v>0</v>
      </c>
      <c r="Y126">
        <v>3110477</v>
      </c>
      <c r="Z126">
        <v>0</v>
      </c>
      <c r="AA126">
        <v>3886955</v>
      </c>
      <c r="AB126">
        <v>1214707</v>
      </c>
      <c r="AC126">
        <v>183739</v>
      </c>
      <c r="AD126">
        <v>765707</v>
      </c>
      <c r="AE126">
        <v>760476</v>
      </c>
      <c r="AF126">
        <v>5364551</v>
      </c>
      <c r="AG126">
        <v>1084454</v>
      </c>
      <c r="AH126">
        <v>0</v>
      </c>
      <c r="AI126">
        <v>8677103</v>
      </c>
      <c r="AJ126">
        <v>0</v>
      </c>
      <c r="AM126">
        <v>2663038</v>
      </c>
      <c r="AN126">
        <v>84552</v>
      </c>
      <c r="AO126">
        <v>112401</v>
      </c>
      <c r="AP126">
        <v>0</v>
      </c>
      <c r="AQ126">
        <v>0</v>
      </c>
      <c r="AR126">
        <v>1514687</v>
      </c>
      <c r="AS126">
        <v>0</v>
      </c>
      <c r="AT126">
        <v>729759</v>
      </c>
      <c r="AU126">
        <v>0</v>
      </c>
      <c r="AV126">
        <v>15376969</v>
      </c>
      <c r="AW126">
        <v>0</v>
      </c>
      <c r="AX126">
        <v>992031</v>
      </c>
      <c r="AY126">
        <v>1277516</v>
      </c>
      <c r="AZ126">
        <v>374119</v>
      </c>
      <c r="BA126">
        <v>90748</v>
      </c>
      <c r="BB126">
        <v>0</v>
      </c>
      <c r="BC126">
        <v>0</v>
      </c>
      <c r="BD126">
        <v>2952260</v>
      </c>
      <c r="BE126">
        <v>0</v>
      </c>
      <c r="BF126">
        <v>127330</v>
      </c>
      <c r="BG126">
        <v>24401</v>
      </c>
      <c r="BH126">
        <v>0</v>
      </c>
      <c r="BI126">
        <v>9570</v>
      </c>
      <c r="BJ126">
        <v>0</v>
      </c>
      <c r="BK126">
        <v>2008928</v>
      </c>
      <c r="BN126">
        <v>185499</v>
      </c>
      <c r="BO126">
        <v>234766</v>
      </c>
      <c r="BP126">
        <v>347146</v>
      </c>
      <c r="BQ126">
        <v>0</v>
      </c>
      <c r="BR126">
        <v>123583</v>
      </c>
      <c r="BS126">
        <v>0</v>
      </c>
      <c r="BT126">
        <v>401187</v>
      </c>
      <c r="BU126">
        <v>475480</v>
      </c>
      <c r="BV126">
        <v>0</v>
      </c>
      <c r="BW126">
        <v>1428287</v>
      </c>
      <c r="BX126">
        <v>52931</v>
      </c>
      <c r="BY126">
        <v>0</v>
      </c>
      <c r="BZ126">
        <v>100636</v>
      </c>
      <c r="CA126">
        <v>0</v>
      </c>
      <c r="CB126">
        <v>258042</v>
      </c>
      <c r="CD126">
        <v>0</v>
      </c>
    </row>
    <row r="127" spans="1:82" x14ac:dyDescent="0.3">
      <c r="A127">
        <v>527</v>
      </c>
      <c r="B127" t="s">
        <v>274</v>
      </c>
      <c r="E127">
        <v>0</v>
      </c>
      <c r="G127">
        <v>0</v>
      </c>
      <c r="H127">
        <v>0</v>
      </c>
      <c r="I127">
        <v>0</v>
      </c>
      <c r="J127">
        <v>0</v>
      </c>
      <c r="K127">
        <v>0</v>
      </c>
      <c r="L127">
        <v>0</v>
      </c>
      <c r="M127">
        <v>0</v>
      </c>
      <c r="N127">
        <v>0</v>
      </c>
      <c r="O127">
        <v>0</v>
      </c>
      <c r="P127">
        <v>0</v>
      </c>
      <c r="Q127">
        <v>6671499</v>
      </c>
      <c r="R127">
        <v>0</v>
      </c>
      <c r="S127">
        <v>0</v>
      </c>
      <c r="T127">
        <v>0</v>
      </c>
      <c r="U127">
        <v>0</v>
      </c>
      <c r="V127">
        <v>55950</v>
      </c>
      <c r="W127">
        <v>0</v>
      </c>
      <c r="Y127">
        <v>0</v>
      </c>
      <c r="Z127">
        <v>0</v>
      </c>
      <c r="AA127">
        <v>0</v>
      </c>
      <c r="AB127">
        <v>0</v>
      </c>
      <c r="AC127">
        <v>0</v>
      </c>
      <c r="AD127">
        <v>0</v>
      </c>
      <c r="AE127">
        <v>0</v>
      </c>
      <c r="AF127">
        <v>0</v>
      </c>
      <c r="AG127">
        <v>0</v>
      </c>
      <c r="AH127">
        <v>0</v>
      </c>
      <c r="AI127">
        <v>4388228</v>
      </c>
      <c r="AJ127">
        <v>0</v>
      </c>
      <c r="AM127">
        <v>437028</v>
      </c>
      <c r="AN127">
        <v>0</v>
      </c>
      <c r="AO127">
        <v>0</v>
      </c>
      <c r="AP127">
        <v>0</v>
      </c>
      <c r="AQ127">
        <v>0</v>
      </c>
      <c r="AR127">
        <v>0</v>
      </c>
      <c r="AS127">
        <v>0</v>
      </c>
      <c r="AT127">
        <v>0</v>
      </c>
      <c r="AU127">
        <v>7405</v>
      </c>
      <c r="AV127">
        <v>0</v>
      </c>
      <c r="AW127">
        <v>0</v>
      </c>
      <c r="AX127">
        <v>0</v>
      </c>
      <c r="AY127">
        <v>0</v>
      </c>
      <c r="AZ127">
        <v>0</v>
      </c>
      <c r="BA127">
        <v>0</v>
      </c>
      <c r="BB127">
        <v>0</v>
      </c>
      <c r="BC127">
        <v>0</v>
      </c>
      <c r="BD127">
        <v>0</v>
      </c>
      <c r="BE127">
        <v>0</v>
      </c>
      <c r="BF127">
        <v>0</v>
      </c>
      <c r="BG127">
        <v>0</v>
      </c>
      <c r="BH127">
        <v>0</v>
      </c>
      <c r="BI127">
        <v>0</v>
      </c>
      <c r="BJ127">
        <v>0</v>
      </c>
      <c r="BK127">
        <v>0</v>
      </c>
      <c r="BN127">
        <v>0</v>
      </c>
      <c r="BO127">
        <v>0</v>
      </c>
      <c r="BP127">
        <v>0</v>
      </c>
      <c r="BQ127">
        <v>0</v>
      </c>
      <c r="BR127">
        <v>11600</v>
      </c>
      <c r="BS127">
        <v>10375584</v>
      </c>
      <c r="BT127">
        <v>0</v>
      </c>
      <c r="BU127">
        <v>0</v>
      </c>
      <c r="BV127">
        <v>0</v>
      </c>
      <c r="BW127">
        <v>0</v>
      </c>
      <c r="BX127">
        <v>0</v>
      </c>
      <c r="BY127">
        <v>0</v>
      </c>
      <c r="BZ127">
        <v>0</v>
      </c>
      <c r="CA127">
        <v>0</v>
      </c>
      <c r="CB127">
        <v>0</v>
      </c>
      <c r="CD127">
        <v>0</v>
      </c>
    </row>
    <row r="128" spans="1:82" x14ac:dyDescent="0.3">
      <c r="A128">
        <v>528</v>
      </c>
      <c r="B128" t="s">
        <v>257</v>
      </c>
      <c r="E128">
        <v>22431</v>
      </c>
      <c r="G128">
        <v>1300014</v>
      </c>
      <c r="H128">
        <v>189638</v>
      </c>
      <c r="I128">
        <v>2937479</v>
      </c>
      <c r="J128">
        <v>45740</v>
      </c>
      <c r="K128">
        <v>80803</v>
      </c>
      <c r="L128">
        <v>130014</v>
      </c>
      <c r="M128">
        <v>9059619</v>
      </c>
      <c r="N128">
        <v>29815</v>
      </c>
      <c r="O128">
        <v>3073786</v>
      </c>
      <c r="P128">
        <v>15139</v>
      </c>
      <c r="Q128">
        <v>24024340</v>
      </c>
      <c r="R128">
        <v>1232934</v>
      </c>
      <c r="S128">
        <v>0</v>
      </c>
      <c r="T128">
        <v>47686406</v>
      </c>
      <c r="U128">
        <v>8584769</v>
      </c>
      <c r="V128">
        <v>10807509</v>
      </c>
      <c r="W128">
        <v>24574477</v>
      </c>
      <c r="Y128">
        <v>7156036</v>
      </c>
      <c r="Z128">
        <v>518765</v>
      </c>
      <c r="AA128">
        <v>8857441</v>
      </c>
      <c r="AB128">
        <v>1800877</v>
      </c>
      <c r="AC128">
        <v>886369</v>
      </c>
      <c r="AD128">
        <v>793624</v>
      </c>
      <c r="AE128">
        <v>1161878</v>
      </c>
      <c r="AF128">
        <v>8817725</v>
      </c>
      <c r="AG128">
        <v>2258533</v>
      </c>
      <c r="AH128">
        <v>351750</v>
      </c>
      <c r="AI128">
        <v>15453913</v>
      </c>
      <c r="AJ128">
        <v>314162</v>
      </c>
      <c r="AM128">
        <v>6305398</v>
      </c>
      <c r="AN128">
        <v>267415</v>
      </c>
      <c r="AO128">
        <v>248995</v>
      </c>
      <c r="AP128">
        <v>0</v>
      </c>
      <c r="AQ128">
        <v>6823242</v>
      </c>
      <c r="AR128">
        <v>1860000</v>
      </c>
      <c r="AS128">
        <v>188203</v>
      </c>
      <c r="AT128">
        <v>1455161</v>
      </c>
      <c r="AU128">
        <v>68936</v>
      </c>
      <c r="AV128">
        <v>9575049</v>
      </c>
      <c r="AW128">
        <v>995371</v>
      </c>
      <c r="AX128">
        <v>867148</v>
      </c>
      <c r="AY128">
        <v>3348926</v>
      </c>
      <c r="AZ128">
        <v>503330</v>
      </c>
      <c r="BA128">
        <v>545414</v>
      </c>
      <c r="BB128">
        <v>0</v>
      </c>
      <c r="BC128">
        <v>55285</v>
      </c>
      <c r="BD128">
        <v>3264112</v>
      </c>
      <c r="BE128">
        <v>34233</v>
      </c>
      <c r="BF128">
        <v>169553</v>
      </c>
      <c r="BG128">
        <v>77604</v>
      </c>
      <c r="BH128">
        <v>39360</v>
      </c>
      <c r="BI128">
        <v>50908</v>
      </c>
      <c r="BJ128">
        <v>60989</v>
      </c>
      <c r="BK128">
        <v>1412137</v>
      </c>
      <c r="BN128">
        <v>2410708</v>
      </c>
      <c r="BO128">
        <v>586188</v>
      </c>
      <c r="BP128">
        <v>498938</v>
      </c>
      <c r="BQ128">
        <v>11412341</v>
      </c>
      <c r="BR128">
        <v>232521</v>
      </c>
      <c r="BS128">
        <v>8792832</v>
      </c>
      <c r="BT128">
        <v>181783</v>
      </c>
      <c r="BU128">
        <v>3486084</v>
      </c>
      <c r="BV128">
        <v>400018</v>
      </c>
      <c r="BW128">
        <v>1321903</v>
      </c>
      <c r="BX128">
        <v>124866</v>
      </c>
      <c r="BY128">
        <v>15636</v>
      </c>
      <c r="BZ128">
        <v>70236</v>
      </c>
      <c r="CA128">
        <v>24638</v>
      </c>
      <c r="CB128">
        <v>558381</v>
      </c>
      <c r="CD128">
        <v>10700</v>
      </c>
    </row>
    <row r="129" spans="1:82" x14ac:dyDescent="0.3">
      <c r="A129">
        <v>529</v>
      </c>
      <c r="B129" t="s">
        <v>258</v>
      </c>
      <c r="E129">
        <v>3224</v>
      </c>
      <c r="G129">
        <v>155746</v>
      </c>
      <c r="H129">
        <v>26511</v>
      </c>
      <c r="I129">
        <v>254418</v>
      </c>
      <c r="J129">
        <v>503</v>
      </c>
      <c r="K129">
        <v>8284</v>
      </c>
      <c r="L129">
        <v>11567</v>
      </c>
      <c r="M129">
        <v>902218</v>
      </c>
      <c r="N129">
        <v>4903</v>
      </c>
      <c r="O129">
        <v>251976</v>
      </c>
      <c r="P129">
        <v>3767</v>
      </c>
      <c r="Q129">
        <v>2020608</v>
      </c>
      <c r="R129">
        <v>27850</v>
      </c>
      <c r="S129">
        <v>0</v>
      </c>
      <c r="T129">
        <v>4173971</v>
      </c>
      <c r="U129">
        <v>502152</v>
      </c>
      <c r="V129">
        <v>863922</v>
      </c>
      <c r="W129">
        <v>1414763</v>
      </c>
      <c r="Y129">
        <v>730215</v>
      </c>
      <c r="Z129">
        <v>65341</v>
      </c>
      <c r="AA129">
        <v>998184</v>
      </c>
      <c r="AB129">
        <v>146572</v>
      </c>
      <c r="AC129">
        <v>101501</v>
      </c>
      <c r="AD129">
        <v>119275</v>
      </c>
      <c r="AE129">
        <v>41961</v>
      </c>
      <c r="AF129">
        <v>175462</v>
      </c>
      <c r="AG129">
        <v>314117</v>
      </c>
      <c r="AH129">
        <v>34145</v>
      </c>
      <c r="AI129">
        <v>1843561</v>
      </c>
      <c r="AJ129">
        <v>31298</v>
      </c>
      <c r="AM129">
        <v>664001</v>
      </c>
      <c r="AN129">
        <v>29551</v>
      </c>
      <c r="AO129">
        <v>48829</v>
      </c>
      <c r="AP129">
        <v>0</v>
      </c>
      <c r="AQ129">
        <v>87559</v>
      </c>
      <c r="AR129">
        <v>341400</v>
      </c>
      <c r="AS129">
        <v>26555</v>
      </c>
      <c r="AT129">
        <v>107978</v>
      </c>
      <c r="AU129">
        <v>17628</v>
      </c>
      <c r="AV129">
        <v>459086</v>
      </c>
      <c r="AW129">
        <v>106276</v>
      </c>
      <c r="AX129">
        <v>148787</v>
      </c>
      <c r="AY129">
        <v>62311</v>
      </c>
      <c r="AZ129">
        <v>28911</v>
      </c>
      <c r="BA129">
        <v>34821</v>
      </c>
      <c r="BB129">
        <v>0</v>
      </c>
      <c r="BC129">
        <v>8010</v>
      </c>
      <c r="BD129">
        <v>577371</v>
      </c>
      <c r="BE129">
        <v>2893</v>
      </c>
      <c r="BF129">
        <v>33660</v>
      </c>
      <c r="BG129">
        <v>9001</v>
      </c>
      <c r="BH129">
        <v>3284</v>
      </c>
      <c r="BI129">
        <v>10387</v>
      </c>
      <c r="BJ129">
        <v>6786</v>
      </c>
      <c r="BK129">
        <v>102799</v>
      </c>
      <c r="BN129">
        <v>75263</v>
      </c>
      <c r="BO129">
        <v>88128</v>
      </c>
      <c r="BP129">
        <v>68512</v>
      </c>
      <c r="BQ129">
        <v>930635</v>
      </c>
      <c r="BR129">
        <v>42504</v>
      </c>
      <c r="BS129">
        <v>408716</v>
      </c>
      <c r="BT129">
        <v>25295</v>
      </c>
      <c r="BU129">
        <v>357393</v>
      </c>
      <c r="BV129">
        <v>39350</v>
      </c>
      <c r="BW129">
        <v>91954</v>
      </c>
      <c r="BX129">
        <v>21170</v>
      </c>
      <c r="BY129">
        <v>2274</v>
      </c>
      <c r="BZ129">
        <v>9285</v>
      </c>
      <c r="CA129">
        <v>5303</v>
      </c>
      <c r="CB129">
        <v>77939</v>
      </c>
      <c r="CD129">
        <v>1716</v>
      </c>
    </row>
    <row r="130" spans="1:82" x14ac:dyDescent="0.3">
      <c r="A130">
        <v>530</v>
      </c>
      <c r="B130" t="s">
        <v>259</v>
      </c>
      <c r="E130">
        <v>335</v>
      </c>
      <c r="G130">
        <v>13312</v>
      </c>
      <c r="H130">
        <v>3550</v>
      </c>
      <c r="I130">
        <v>20261</v>
      </c>
      <c r="J130">
        <v>1247</v>
      </c>
      <c r="K130">
        <v>295</v>
      </c>
      <c r="L130">
        <v>639</v>
      </c>
      <c r="M130">
        <v>51613</v>
      </c>
      <c r="N130">
        <v>936</v>
      </c>
      <c r="O130">
        <v>21998</v>
      </c>
      <c r="P130">
        <v>225</v>
      </c>
      <c r="Q130">
        <v>214074</v>
      </c>
      <c r="R130">
        <v>775</v>
      </c>
      <c r="S130">
        <v>0</v>
      </c>
      <c r="T130">
        <v>191405</v>
      </c>
      <c r="U130">
        <v>63888</v>
      </c>
      <c r="V130">
        <v>354804</v>
      </c>
      <c r="W130">
        <v>16719</v>
      </c>
      <c r="Y130">
        <v>91627</v>
      </c>
      <c r="Z130">
        <v>22350</v>
      </c>
      <c r="AA130">
        <v>42699</v>
      </c>
      <c r="AB130">
        <v>48668</v>
      </c>
      <c r="AC130">
        <v>9425</v>
      </c>
      <c r="AD130">
        <v>21905</v>
      </c>
      <c r="AE130">
        <v>56452</v>
      </c>
      <c r="AF130">
        <v>680</v>
      </c>
      <c r="AG130">
        <v>33249</v>
      </c>
      <c r="AH130">
        <v>34433</v>
      </c>
      <c r="AI130">
        <v>122178</v>
      </c>
      <c r="AJ130">
        <v>1516</v>
      </c>
      <c r="AM130">
        <v>79890</v>
      </c>
      <c r="AN130">
        <v>12111</v>
      </c>
      <c r="AO130">
        <v>8792</v>
      </c>
      <c r="AP130">
        <v>0</v>
      </c>
      <c r="AQ130">
        <v>54736</v>
      </c>
      <c r="AR130">
        <v>18107</v>
      </c>
      <c r="AS130">
        <v>6468</v>
      </c>
      <c r="AT130">
        <v>24064</v>
      </c>
      <c r="AU130">
        <v>7924</v>
      </c>
      <c r="AV130">
        <v>173972</v>
      </c>
      <c r="AW130">
        <v>2913</v>
      </c>
      <c r="AX130">
        <v>12502</v>
      </c>
      <c r="AY130">
        <v>862</v>
      </c>
      <c r="AZ130">
        <v>2180</v>
      </c>
      <c r="BA130">
        <v>18867</v>
      </c>
      <c r="BB130">
        <v>0</v>
      </c>
      <c r="BC130">
        <v>489</v>
      </c>
      <c r="BD130">
        <v>34772</v>
      </c>
      <c r="BE130">
        <v>0</v>
      </c>
      <c r="BF130">
        <v>8770</v>
      </c>
      <c r="BG130">
        <v>11641</v>
      </c>
      <c r="BH130">
        <v>622</v>
      </c>
      <c r="BI130">
        <v>6354</v>
      </c>
      <c r="BJ130">
        <v>2239</v>
      </c>
      <c r="BK130">
        <v>38960</v>
      </c>
      <c r="BN130">
        <v>4277</v>
      </c>
      <c r="BO130">
        <v>262</v>
      </c>
      <c r="BP130">
        <v>4050</v>
      </c>
      <c r="BQ130">
        <v>8607</v>
      </c>
      <c r="BR130">
        <v>12141</v>
      </c>
      <c r="BS130">
        <v>50998</v>
      </c>
      <c r="BT130">
        <v>3405</v>
      </c>
      <c r="BU130">
        <v>8047</v>
      </c>
      <c r="BV130">
        <v>5748</v>
      </c>
      <c r="BW130">
        <v>365703</v>
      </c>
      <c r="BX130">
        <v>7575</v>
      </c>
      <c r="BY130">
        <v>261</v>
      </c>
      <c r="BZ130">
        <v>4396</v>
      </c>
      <c r="CA130">
        <v>1134</v>
      </c>
      <c r="CB130">
        <v>1642</v>
      </c>
      <c r="CD130">
        <v>794</v>
      </c>
    </row>
    <row r="131" spans="1:82" x14ac:dyDescent="0.3">
      <c r="A131">
        <v>531</v>
      </c>
      <c r="B131" t="s">
        <v>260</v>
      </c>
      <c r="E131">
        <v>0</v>
      </c>
      <c r="G131">
        <v>212</v>
      </c>
      <c r="H131">
        <v>0</v>
      </c>
      <c r="I131">
        <v>0</v>
      </c>
      <c r="J131">
        <v>0</v>
      </c>
      <c r="K131">
        <v>0</v>
      </c>
      <c r="L131">
        <v>0</v>
      </c>
      <c r="M131">
        <v>0</v>
      </c>
      <c r="N131">
        <v>0</v>
      </c>
      <c r="O131">
        <v>0</v>
      </c>
      <c r="P131">
        <v>0</v>
      </c>
      <c r="Q131">
        <v>0</v>
      </c>
      <c r="R131">
        <v>47</v>
      </c>
      <c r="S131">
        <v>0</v>
      </c>
      <c r="T131">
        <v>20507</v>
      </c>
      <c r="U131">
        <v>0</v>
      </c>
      <c r="V131">
        <v>0</v>
      </c>
      <c r="W131">
        <v>0</v>
      </c>
      <c r="Y131">
        <v>3848</v>
      </c>
      <c r="Z131">
        <v>0</v>
      </c>
      <c r="AA131">
        <v>0</v>
      </c>
      <c r="AB131">
        <v>0</v>
      </c>
      <c r="AC131">
        <v>0</v>
      </c>
      <c r="AD131">
        <v>0</v>
      </c>
      <c r="AE131">
        <v>0</v>
      </c>
      <c r="AF131">
        <v>0</v>
      </c>
      <c r="AG131">
        <v>0</v>
      </c>
      <c r="AH131">
        <v>0</v>
      </c>
      <c r="AI131">
        <v>0</v>
      </c>
      <c r="AJ131">
        <v>0</v>
      </c>
      <c r="AM131">
        <v>193</v>
      </c>
      <c r="AN131">
        <v>0</v>
      </c>
      <c r="AO131">
        <v>406</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N131">
        <v>24</v>
      </c>
      <c r="BO131">
        <v>0</v>
      </c>
      <c r="BP131">
        <v>0</v>
      </c>
      <c r="BQ131">
        <v>0</v>
      </c>
      <c r="BR131">
        <v>0</v>
      </c>
      <c r="BS131">
        <v>0</v>
      </c>
      <c r="BT131">
        <v>0</v>
      </c>
      <c r="BU131">
        <v>0</v>
      </c>
      <c r="BV131">
        <v>0</v>
      </c>
      <c r="BW131">
        <v>0</v>
      </c>
      <c r="BX131">
        <v>0</v>
      </c>
      <c r="BY131">
        <v>15</v>
      </c>
      <c r="BZ131">
        <v>0</v>
      </c>
      <c r="CA131">
        <v>0</v>
      </c>
      <c r="CB131">
        <v>0</v>
      </c>
      <c r="CD131">
        <v>0</v>
      </c>
    </row>
    <row r="132" spans="1:82" x14ac:dyDescent="0.3">
      <c r="A132">
        <v>532</v>
      </c>
      <c r="B132" t="s">
        <v>887</v>
      </c>
      <c r="E132">
        <v>69181</v>
      </c>
      <c r="G132">
        <v>2122318</v>
      </c>
      <c r="H132">
        <v>2871021</v>
      </c>
      <c r="I132">
        <v>4940828</v>
      </c>
      <c r="J132">
        <v>59788</v>
      </c>
      <c r="K132">
        <v>306969</v>
      </c>
      <c r="L132">
        <v>239315</v>
      </c>
      <c r="M132">
        <v>18055873</v>
      </c>
      <c r="N132">
        <v>659807</v>
      </c>
      <c r="O132">
        <v>5446171</v>
      </c>
      <c r="P132">
        <v>86412</v>
      </c>
      <c r="Q132">
        <v>45719344</v>
      </c>
      <c r="R132">
        <v>1794233</v>
      </c>
      <c r="S132">
        <v>47069</v>
      </c>
      <c r="T132">
        <v>82262794</v>
      </c>
      <c r="U132">
        <v>19236117</v>
      </c>
      <c r="V132">
        <v>24177730</v>
      </c>
      <c r="W132">
        <v>40099250</v>
      </c>
      <c r="Y132">
        <v>18206205</v>
      </c>
      <c r="Z132">
        <v>1619591</v>
      </c>
      <c r="AA132">
        <v>18463432</v>
      </c>
      <c r="AB132">
        <v>5062051</v>
      </c>
      <c r="AC132">
        <v>2517717</v>
      </c>
      <c r="AD132">
        <v>2308633</v>
      </c>
      <c r="AE132">
        <v>3190435</v>
      </c>
      <c r="AF132">
        <v>22904984</v>
      </c>
      <c r="AG132">
        <v>7748651</v>
      </c>
      <c r="AH132">
        <v>449423</v>
      </c>
      <c r="AI132">
        <v>38402434</v>
      </c>
      <c r="AJ132">
        <v>512146</v>
      </c>
      <c r="AM132">
        <v>16192930</v>
      </c>
      <c r="AN132">
        <v>485564</v>
      </c>
      <c r="AO132">
        <v>720344</v>
      </c>
      <c r="AP132">
        <v>36390</v>
      </c>
      <c r="AQ132">
        <v>5978095</v>
      </c>
      <c r="AR132">
        <v>8273738</v>
      </c>
      <c r="AS132">
        <v>735329</v>
      </c>
      <c r="AT132">
        <v>3275848</v>
      </c>
      <c r="AU132">
        <v>240066</v>
      </c>
      <c r="AV132">
        <v>14258919</v>
      </c>
      <c r="AW132">
        <v>2982921</v>
      </c>
      <c r="AX132">
        <v>2219679</v>
      </c>
      <c r="AY132">
        <v>11048939</v>
      </c>
      <c r="AZ132">
        <v>1283391</v>
      </c>
      <c r="BA132">
        <v>1677185</v>
      </c>
      <c r="BB132">
        <v>18201</v>
      </c>
      <c r="BC132">
        <v>238904</v>
      </c>
      <c r="BD132">
        <v>9552410</v>
      </c>
      <c r="BE132">
        <v>87581</v>
      </c>
      <c r="BF132">
        <v>471987</v>
      </c>
      <c r="BG132">
        <v>211956</v>
      </c>
      <c r="BH132">
        <v>106453</v>
      </c>
      <c r="BI132">
        <v>392349</v>
      </c>
      <c r="BJ132">
        <v>192736</v>
      </c>
      <c r="BK132">
        <v>4113336</v>
      </c>
      <c r="BN132">
        <v>7400882</v>
      </c>
      <c r="BO132">
        <v>2166349</v>
      </c>
      <c r="BP132">
        <v>2121732</v>
      </c>
      <c r="BQ132">
        <v>24475038</v>
      </c>
      <c r="BR132">
        <v>1384064</v>
      </c>
      <c r="BS132">
        <v>21811871</v>
      </c>
      <c r="BT132">
        <v>782770</v>
      </c>
      <c r="BU132">
        <v>6648274</v>
      </c>
      <c r="BV132">
        <v>726003</v>
      </c>
      <c r="BW132">
        <v>2093658</v>
      </c>
      <c r="BX132">
        <v>955185</v>
      </c>
      <c r="BY132">
        <v>132891</v>
      </c>
      <c r="BZ132">
        <v>171617</v>
      </c>
      <c r="CA132">
        <v>210823</v>
      </c>
      <c r="CB132">
        <v>1497628</v>
      </c>
      <c r="CD132">
        <v>125796</v>
      </c>
    </row>
    <row r="133" spans="1:82" x14ac:dyDescent="0.3">
      <c r="A133">
        <v>533</v>
      </c>
      <c r="B133" t="s">
        <v>888</v>
      </c>
      <c r="E133">
        <v>0</v>
      </c>
      <c r="G133">
        <v>0</v>
      </c>
      <c r="H133">
        <v>0</v>
      </c>
      <c r="I133">
        <v>0</v>
      </c>
      <c r="J133">
        <v>0</v>
      </c>
      <c r="K133">
        <v>0</v>
      </c>
      <c r="L133">
        <v>0</v>
      </c>
      <c r="M133">
        <v>792000</v>
      </c>
      <c r="N133">
        <v>0</v>
      </c>
      <c r="O133">
        <v>0</v>
      </c>
      <c r="P133">
        <v>0</v>
      </c>
      <c r="Q133">
        <v>980601</v>
      </c>
      <c r="R133">
        <v>0</v>
      </c>
      <c r="S133">
        <v>0</v>
      </c>
      <c r="T133">
        <v>1781904</v>
      </c>
      <c r="U133">
        <v>0</v>
      </c>
      <c r="V133">
        <v>998558</v>
      </c>
      <c r="W133">
        <v>0</v>
      </c>
      <c r="Y133">
        <v>751286</v>
      </c>
      <c r="Z133">
        <v>0</v>
      </c>
      <c r="AA133">
        <v>118678</v>
      </c>
      <c r="AB133">
        <v>0</v>
      </c>
      <c r="AC133">
        <v>0</v>
      </c>
      <c r="AD133">
        <v>0</v>
      </c>
      <c r="AE133">
        <v>0</v>
      </c>
      <c r="AF133">
        <v>0</v>
      </c>
      <c r="AG133">
        <v>91945</v>
      </c>
      <c r="AH133">
        <v>0</v>
      </c>
      <c r="AI133">
        <v>387808</v>
      </c>
      <c r="AJ133">
        <v>0</v>
      </c>
      <c r="AM133">
        <v>542656</v>
      </c>
      <c r="AN133">
        <v>0</v>
      </c>
      <c r="AO133">
        <v>78387</v>
      </c>
      <c r="AP133">
        <v>0</v>
      </c>
      <c r="AQ133">
        <v>0</v>
      </c>
      <c r="AR133">
        <v>0</v>
      </c>
      <c r="AS133">
        <v>38712</v>
      </c>
      <c r="AT133">
        <v>173616</v>
      </c>
      <c r="AU133">
        <v>0</v>
      </c>
      <c r="AV133">
        <v>0</v>
      </c>
      <c r="AW133">
        <v>0</v>
      </c>
      <c r="AX133">
        <v>0</v>
      </c>
      <c r="AY133">
        <v>749210</v>
      </c>
      <c r="AZ133">
        <v>0</v>
      </c>
      <c r="BA133">
        <v>0</v>
      </c>
      <c r="BB133">
        <v>0</v>
      </c>
      <c r="BC133">
        <v>0</v>
      </c>
      <c r="BD133">
        <v>0</v>
      </c>
      <c r="BE133">
        <v>0</v>
      </c>
      <c r="BF133">
        <v>0</v>
      </c>
      <c r="BG133">
        <v>0</v>
      </c>
      <c r="BH133">
        <v>0</v>
      </c>
      <c r="BI133">
        <v>0</v>
      </c>
      <c r="BJ133">
        <v>0</v>
      </c>
      <c r="BK133">
        <v>0</v>
      </c>
      <c r="BN133">
        <v>32389</v>
      </c>
      <c r="BO133">
        <v>0</v>
      </c>
      <c r="BP133">
        <v>0</v>
      </c>
      <c r="BQ133">
        <v>0</v>
      </c>
      <c r="BR133">
        <v>0</v>
      </c>
      <c r="BS133">
        <v>0</v>
      </c>
      <c r="BT133">
        <v>0</v>
      </c>
      <c r="BU133">
        <v>0</v>
      </c>
      <c r="BV133">
        <v>0</v>
      </c>
      <c r="BW133">
        <v>0</v>
      </c>
      <c r="BX133">
        <v>0</v>
      </c>
      <c r="BY133">
        <v>0</v>
      </c>
      <c r="BZ133">
        <v>0</v>
      </c>
      <c r="CA133">
        <v>0</v>
      </c>
      <c r="CB133">
        <v>0</v>
      </c>
      <c r="CD133">
        <v>0</v>
      </c>
    </row>
    <row r="134" spans="1:82" x14ac:dyDescent="0.3">
      <c r="A134">
        <v>535</v>
      </c>
      <c r="B134" t="s">
        <v>244</v>
      </c>
      <c r="E134">
        <v>0</v>
      </c>
      <c r="G134">
        <v>0</v>
      </c>
      <c r="H134">
        <v>0</v>
      </c>
      <c r="I134">
        <v>0</v>
      </c>
      <c r="J134">
        <v>0</v>
      </c>
      <c r="K134">
        <v>0</v>
      </c>
      <c r="L134">
        <v>0</v>
      </c>
      <c r="M134">
        <v>0</v>
      </c>
      <c r="N134">
        <v>0</v>
      </c>
      <c r="O134">
        <v>0</v>
      </c>
      <c r="P134">
        <v>0</v>
      </c>
      <c r="Q134">
        <v>2058</v>
      </c>
      <c r="R134">
        <v>0</v>
      </c>
      <c r="S134">
        <v>0</v>
      </c>
      <c r="T134">
        <v>8272455</v>
      </c>
      <c r="U134">
        <v>0</v>
      </c>
      <c r="V134">
        <v>0</v>
      </c>
      <c r="W134">
        <v>4865032</v>
      </c>
      <c r="Y134">
        <v>0</v>
      </c>
      <c r="Z134">
        <v>0</v>
      </c>
      <c r="AA134">
        <v>8286636</v>
      </c>
      <c r="AB134">
        <v>0</v>
      </c>
      <c r="AC134">
        <v>0</v>
      </c>
      <c r="AD134">
        <v>0</v>
      </c>
      <c r="AE134">
        <v>0</v>
      </c>
      <c r="AF134">
        <v>17368612</v>
      </c>
      <c r="AG134">
        <v>0</v>
      </c>
      <c r="AH134">
        <v>0</v>
      </c>
      <c r="AI134">
        <v>0</v>
      </c>
      <c r="AJ134">
        <v>0</v>
      </c>
      <c r="AM134">
        <v>2672333</v>
      </c>
      <c r="AN134">
        <v>0</v>
      </c>
      <c r="AO134">
        <v>0</v>
      </c>
      <c r="AP134">
        <v>0</v>
      </c>
      <c r="AQ134">
        <v>0</v>
      </c>
      <c r="AR134">
        <v>0</v>
      </c>
      <c r="AS134">
        <v>0</v>
      </c>
      <c r="AT134">
        <v>0</v>
      </c>
      <c r="AU134">
        <v>0</v>
      </c>
      <c r="AV134">
        <v>6347236</v>
      </c>
      <c r="AW134">
        <v>0</v>
      </c>
      <c r="AX134">
        <v>0</v>
      </c>
      <c r="AY134">
        <v>0</v>
      </c>
      <c r="AZ134">
        <v>0</v>
      </c>
      <c r="BA134">
        <v>0</v>
      </c>
      <c r="BB134">
        <v>0</v>
      </c>
      <c r="BC134">
        <v>0</v>
      </c>
      <c r="BD134">
        <v>0</v>
      </c>
      <c r="BE134">
        <v>0</v>
      </c>
      <c r="BF134">
        <v>0</v>
      </c>
      <c r="BG134">
        <v>0</v>
      </c>
      <c r="BH134">
        <v>0</v>
      </c>
      <c r="BI134">
        <v>0</v>
      </c>
      <c r="BJ134">
        <v>0</v>
      </c>
      <c r="BK134">
        <v>1</v>
      </c>
      <c r="BN134">
        <v>0</v>
      </c>
      <c r="BO134">
        <v>0</v>
      </c>
      <c r="BP134">
        <v>0</v>
      </c>
      <c r="BQ134">
        <v>0</v>
      </c>
      <c r="BR134">
        <v>0</v>
      </c>
      <c r="BS134">
        <v>1131186</v>
      </c>
      <c r="BT134">
        <v>0</v>
      </c>
      <c r="BU134">
        <v>0</v>
      </c>
      <c r="BV134">
        <v>0</v>
      </c>
      <c r="BW134">
        <v>0</v>
      </c>
      <c r="BX134">
        <v>0</v>
      </c>
      <c r="BY134">
        <v>0</v>
      </c>
      <c r="BZ134">
        <v>0</v>
      </c>
      <c r="CA134">
        <v>0</v>
      </c>
      <c r="CB134">
        <v>0</v>
      </c>
      <c r="CD134">
        <v>0</v>
      </c>
    </row>
    <row r="135" spans="1:82" x14ac:dyDescent="0.3">
      <c r="A135">
        <v>536</v>
      </c>
      <c r="B135" t="s">
        <v>190</v>
      </c>
      <c r="E135">
        <v>89410</v>
      </c>
      <c r="G135">
        <v>577948</v>
      </c>
      <c r="H135">
        <v>0</v>
      </c>
      <c r="I135">
        <v>0</v>
      </c>
      <c r="J135">
        <v>0</v>
      </c>
      <c r="K135">
        <v>0</v>
      </c>
      <c r="L135">
        <v>0</v>
      </c>
      <c r="M135">
        <v>1968351</v>
      </c>
      <c r="N135">
        <v>137885</v>
      </c>
      <c r="O135">
        <v>638300</v>
      </c>
      <c r="P135">
        <v>0</v>
      </c>
      <c r="Q135">
        <v>3329602</v>
      </c>
      <c r="R135">
        <v>47892</v>
      </c>
      <c r="S135">
        <v>0</v>
      </c>
      <c r="T135">
        <v>19733259</v>
      </c>
      <c r="U135">
        <v>175298</v>
      </c>
      <c r="V135">
        <v>2141377</v>
      </c>
      <c r="W135">
        <v>3113673</v>
      </c>
      <c r="Y135">
        <v>1033861</v>
      </c>
      <c r="Z135">
        <v>61095</v>
      </c>
      <c r="AA135">
        <v>2711777</v>
      </c>
      <c r="AB135">
        <v>379374</v>
      </c>
      <c r="AC135">
        <v>83068</v>
      </c>
      <c r="AD135">
        <v>21866</v>
      </c>
      <c r="AE135">
        <v>302637</v>
      </c>
      <c r="AF135">
        <v>9015854</v>
      </c>
      <c r="AG135">
        <v>0</v>
      </c>
      <c r="AH135">
        <v>194581</v>
      </c>
      <c r="AI135">
        <v>1897724</v>
      </c>
      <c r="AJ135">
        <v>191091</v>
      </c>
      <c r="AM135">
        <v>1462686</v>
      </c>
      <c r="AN135">
        <v>123214</v>
      </c>
      <c r="AO135">
        <v>94276</v>
      </c>
      <c r="AP135">
        <v>37816</v>
      </c>
      <c r="AQ135">
        <v>34371</v>
      </c>
      <c r="AR135">
        <v>316973</v>
      </c>
      <c r="AS135">
        <v>295672</v>
      </c>
      <c r="AT135">
        <v>32308</v>
      </c>
      <c r="AU135">
        <v>30406</v>
      </c>
      <c r="AV135">
        <v>4728192</v>
      </c>
      <c r="AW135">
        <v>89822</v>
      </c>
      <c r="AX135">
        <v>114365</v>
      </c>
      <c r="AY135">
        <v>106185</v>
      </c>
      <c r="AZ135">
        <v>27919</v>
      </c>
      <c r="BA135">
        <v>329688</v>
      </c>
      <c r="BB135">
        <v>0</v>
      </c>
      <c r="BC135">
        <v>3550</v>
      </c>
      <c r="BD135">
        <v>275963</v>
      </c>
      <c r="BE135">
        <v>36601</v>
      </c>
      <c r="BF135">
        <v>10899</v>
      </c>
      <c r="BG135">
        <v>93770</v>
      </c>
      <c r="BH135">
        <v>0</v>
      </c>
      <c r="BI135">
        <v>5</v>
      </c>
      <c r="BJ135">
        <v>76393</v>
      </c>
      <c r="BK135">
        <v>170155</v>
      </c>
      <c r="BN135">
        <v>157292</v>
      </c>
      <c r="BO135">
        <v>265282</v>
      </c>
      <c r="BP135">
        <v>253403</v>
      </c>
      <c r="BQ135">
        <v>0</v>
      </c>
      <c r="BR135">
        <v>297157</v>
      </c>
      <c r="BS135">
        <v>351471</v>
      </c>
      <c r="BT135">
        <v>63168</v>
      </c>
      <c r="BU135">
        <v>18194</v>
      </c>
      <c r="BV135">
        <v>1228742</v>
      </c>
      <c r="BW135">
        <v>2273</v>
      </c>
      <c r="BX135">
        <v>202056</v>
      </c>
      <c r="BY135">
        <v>124922</v>
      </c>
      <c r="BZ135">
        <v>35172</v>
      </c>
      <c r="CA135">
        <v>12051</v>
      </c>
      <c r="CB135">
        <v>50966</v>
      </c>
      <c r="CD135">
        <v>14531</v>
      </c>
    </row>
    <row r="136" spans="1:82" x14ac:dyDescent="0.3">
      <c r="A136">
        <v>537</v>
      </c>
      <c r="B136" t="s">
        <v>280</v>
      </c>
      <c r="E136">
        <v>0</v>
      </c>
      <c r="G136">
        <v>0</v>
      </c>
      <c r="H136">
        <v>2</v>
      </c>
      <c r="I136">
        <v>0</v>
      </c>
      <c r="J136">
        <v>1</v>
      </c>
      <c r="K136">
        <v>0</v>
      </c>
      <c r="L136">
        <v>0</v>
      </c>
      <c r="M136">
        <v>0</v>
      </c>
      <c r="N136">
        <v>0</v>
      </c>
      <c r="O136">
        <v>2</v>
      </c>
      <c r="P136">
        <v>2</v>
      </c>
      <c r="Q136">
        <v>1</v>
      </c>
      <c r="R136">
        <v>2</v>
      </c>
      <c r="S136">
        <v>0</v>
      </c>
      <c r="T136">
        <v>2</v>
      </c>
      <c r="U136">
        <v>2</v>
      </c>
      <c r="V136">
        <v>2</v>
      </c>
      <c r="W136">
        <v>0</v>
      </c>
      <c r="Y136">
        <v>2</v>
      </c>
      <c r="Z136">
        <v>1</v>
      </c>
      <c r="AA136">
        <v>1</v>
      </c>
      <c r="AB136">
        <v>2</v>
      </c>
      <c r="AC136">
        <v>2</v>
      </c>
      <c r="AD136">
        <v>2</v>
      </c>
      <c r="AE136">
        <v>1</v>
      </c>
      <c r="AF136">
        <v>2</v>
      </c>
      <c r="AG136">
        <v>2</v>
      </c>
      <c r="AH136">
        <v>0</v>
      </c>
      <c r="AI136">
        <v>2</v>
      </c>
      <c r="AJ136">
        <v>2</v>
      </c>
      <c r="AM136">
        <v>1</v>
      </c>
      <c r="AN136">
        <v>1</v>
      </c>
      <c r="AO136">
        <v>2</v>
      </c>
      <c r="AP136">
        <v>0</v>
      </c>
      <c r="AQ136">
        <v>0</v>
      </c>
      <c r="AR136">
        <v>2</v>
      </c>
      <c r="AS136">
        <v>0</v>
      </c>
      <c r="AT136">
        <v>2</v>
      </c>
      <c r="AU136">
        <v>0</v>
      </c>
      <c r="AV136">
        <v>2</v>
      </c>
      <c r="AW136">
        <v>2</v>
      </c>
      <c r="AX136">
        <v>2</v>
      </c>
      <c r="AY136">
        <v>2</v>
      </c>
      <c r="AZ136">
        <v>1</v>
      </c>
      <c r="BA136">
        <v>1</v>
      </c>
      <c r="BB136">
        <v>0</v>
      </c>
      <c r="BC136">
        <v>1</v>
      </c>
      <c r="BD136">
        <v>2</v>
      </c>
      <c r="BE136">
        <v>2</v>
      </c>
      <c r="BF136">
        <v>2</v>
      </c>
      <c r="BG136">
        <v>2</v>
      </c>
      <c r="BH136">
        <v>0</v>
      </c>
      <c r="BI136">
        <v>1</v>
      </c>
      <c r="BJ136">
        <v>0</v>
      </c>
      <c r="BK136">
        <v>2</v>
      </c>
      <c r="BN136">
        <v>1</v>
      </c>
      <c r="BO136">
        <v>2</v>
      </c>
      <c r="BP136">
        <v>2</v>
      </c>
      <c r="BQ136">
        <v>0</v>
      </c>
      <c r="BR136">
        <v>2</v>
      </c>
      <c r="BS136">
        <v>0</v>
      </c>
      <c r="BT136">
        <v>1</v>
      </c>
      <c r="BU136">
        <v>1</v>
      </c>
      <c r="BV136">
        <v>0</v>
      </c>
      <c r="BW136">
        <v>2</v>
      </c>
      <c r="BX136">
        <v>2</v>
      </c>
      <c r="BY136">
        <v>2</v>
      </c>
      <c r="BZ136">
        <v>1</v>
      </c>
      <c r="CA136">
        <v>2</v>
      </c>
      <c r="CB136">
        <v>2</v>
      </c>
      <c r="CD136">
        <v>2</v>
      </c>
    </row>
    <row r="137" spans="1:82" x14ac:dyDescent="0.3">
      <c r="A137">
        <v>538</v>
      </c>
      <c r="B137" t="s">
        <v>279</v>
      </c>
      <c r="E137">
        <v>0</v>
      </c>
      <c r="G137">
        <v>0</v>
      </c>
      <c r="H137">
        <v>2</v>
      </c>
      <c r="I137">
        <v>0</v>
      </c>
      <c r="J137">
        <v>1</v>
      </c>
      <c r="K137">
        <v>0</v>
      </c>
      <c r="L137">
        <v>0</v>
      </c>
      <c r="M137">
        <v>0</v>
      </c>
      <c r="N137">
        <v>0</v>
      </c>
      <c r="O137">
        <v>2</v>
      </c>
      <c r="P137">
        <v>2</v>
      </c>
      <c r="Q137">
        <v>1</v>
      </c>
      <c r="R137">
        <v>2</v>
      </c>
      <c r="S137">
        <v>0</v>
      </c>
      <c r="T137">
        <v>1</v>
      </c>
      <c r="U137">
        <v>2</v>
      </c>
      <c r="V137">
        <v>0</v>
      </c>
      <c r="W137">
        <v>0</v>
      </c>
      <c r="Y137">
        <v>2</v>
      </c>
      <c r="Z137">
        <v>1</v>
      </c>
      <c r="AA137">
        <v>1</v>
      </c>
      <c r="AB137">
        <v>2</v>
      </c>
      <c r="AC137">
        <v>2</v>
      </c>
      <c r="AD137">
        <v>2</v>
      </c>
      <c r="AE137">
        <v>1</v>
      </c>
      <c r="AF137">
        <v>2</v>
      </c>
      <c r="AG137">
        <v>2</v>
      </c>
      <c r="AH137">
        <v>0</v>
      </c>
      <c r="AI137">
        <v>1</v>
      </c>
      <c r="AJ137">
        <v>2</v>
      </c>
      <c r="AM137">
        <v>2</v>
      </c>
      <c r="AN137">
        <v>1</v>
      </c>
      <c r="AO137">
        <v>2</v>
      </c>
      <c r="AP137">
        <v>0</v>
      </c>
      <c r="AQ137">
        <v>0</v>
      </c>
      <c r="AR137">
        <v>2</v>
      </c>
      <c r="AS137">
        <v>0</v>
      </c>
      <c r="AT137">
        <v>2</v>
      </c>
      <c r="AU137">
        <v>0</v>
      </c>
      <c r="AV137">
        <v>2</v>
      </c>
      <c r="AW137">
        <v>2</v>
      </c>
      <c r="AX137">
        <v>2</v>
      </c>
      <c r="AY137">
        <v>2</v>
      </c>
      <c r="AZ137">
        <v>2</v>
      </c>
      <c r="BA137">
        <v>1</v>
      </c>
      <c r="BB137">
        <v>0</v>
      </c>
      <c r="BC137">
        <v>2</v>
      </c>
      <c r="BD137">
        <v>2</v>
      </c>
      <c r="BE137">
        <v>2</v>
      </c>
      <c r="BF137">
        <v>2</v>
      </c>
      <c r="BG137">
        <v>2</v>
      </c>
      <c r="BH137">
        <v>0</v>
      </c>
      <c r="BI137">
        <v>1</v>
      </c>
      <c r="BJ137">
        <v>0</v>
      </c>
      <c r="BK137">
        <v>2</v>
      </c>
      <c r="BN137">
        <v>2</v>
      </c>
      <c r="BO137">
        <v>2</v>
      </c>
      <c r="BP137">
        <v>2</v>
      </c>
      <c r="BQ137">
        <v>0</v>
      </c>
      <c r="BR137">
        <v>2</v>
      </c>
      <c r="BS137">
        <v>0</v>
      </c>
      <c r="BT137">
        <v>2</v>
      </c>
      <c r="BU137">
        <v>2</v>
      </c>
      <c r="BV137">
        <v>0</v>
      </c>
      <c r="BW137">
        <v>2</v>
      </c>
      <c r="BX137">
        <v>1</v>
      </c>
      <c r="BY137">
        <v>2</v>
      </c>
      <c r="BZ137">
        <v>1</v>
      </c>
      <c r="CA137">
        <v>1</v>
      </c>
      <c r="CB137">
        <v>2</v>
      </c>
      <c r="CD137">
        <v>2</v>
      </c>
    </row>
    <row r="138" spans="1:82" x14ac:dyDescent="0.3">
      <c r="A138">
        <v>540</v>
      </c>
      <c r="B138" t="s">
        <v>253</v>
      </c>
      <c r="E138">
        <v>0</v>
      </c>
      <c r="G138">
        <v>0</v>
      </c>
      <c r="H138">
        <v>1250071</v>
      </c>
      <c r="I138">
        <v>0</v>
      </c>
      <c r="J138">
        <v>0</v>
      </c>
      <c r="K138">
        <v>0</v>
      </c>
      <c r="L138">
        <v>260243</v>
      </c>
      <c r="M138">
        <v>1574881</v>
      </c>
      <c r="N138">
        <v>0</v>
      </c>
      <c r="O138">
        <v>0</v>
      </c>
      <c r="P138">
        <v>0</v>
      </c>
      <c r="Q138">
        <v>3834828</v>
      </c>
      <c r="R138">
        <v>0</v>
      </c>
      <c r="S138">
        <v>0</v>
      </c>
      <c r="T138">
        <v>3018650</v>
      </c>
      <c r="U138">
        <v>1551209</v>
      </c>
      <c r="V138">
        <v>0</v>
      </c>
      <c r="W138">
        <v>1238800</v>
      </c>
      <c r="Y138">
        <v>39250</v>
      </c>
      <c r="Z138">
        <v>318049</v>
      </c>
      <c r="AA138">
        <v>1287968</v>
      </c>
      <c r="AB138">
        <v>0</v>
      </c>
      <c r="AC138">
        <v>38000</v>
      </c>
      <c r="AD138">
        <v>0</v>
      </c>
      <c r="AE138">
        <v>252000</v>
      </c>
      <c r="AF138">
        <v>350000</v>
      </c>
      <c r="AG138">
        <v>0</v>
      </c>
      <c r="AH138">
        <v>0</v>
      </c>
      <c r="AI138">
        <v>0</v>
      </c>
      <c r="AJ138">
        <v>0</v>
      </c>
      <c r="AM138">
        <v>1397315</v>
      </c>
      <c r="AN138">
        <v>30000</v>
      </c>
      <c r="AO138">
        <v>48386</v>
      </c>
      <c r="AP138">
        <v>20000</v>
      </c>
      <c r="AQ138">
        <v>0</v>
      </c>
      <c r="AR138">
        <v>0</v>
      </c>
      <c r="AS138">
        <v>0</v>
      </c>
      <c r="AT138">
        <v>101800</v>
      </c>
      <c r="AU138">
        <v>8573</v>
      </c>
      <c r="AV138">
        <v>0</v>
      </c>
      <c r="AW138">
        <v>135902</v>
      </c>
      <c r="AX138">
        <v>0</v>
      </c>
      <c r="AY138">
        <v>0</v>
      </c>
      <c r="AZ138">
        <v>0</v>
      </c>
      <c r="BA138">
        <v>0</v>
      </c>
      <c r="BB138">
        <v>0</v>
      </c>
      <c r="BC138">
        <v>0</v>
      </c>
      <c r="BD138">
        <v>0</v>
      </c>
      <c r="BE138">
        <v>0</v>
      </c>
      <c r="BF138">
        <v>0</v>
      </c>
      <c r="BG138">
        <v>0</v>
      </c>
      <c r="BH138">
        <v>0</v>
      </c>
      <c r="BI138">
        <v>91995</v>
      </c>
      <c r="BJ138">
        <v>5000</v>
      </c>
      <c r="BK138">
        <v>0</v>
      </c>
      <c r="BN138">
        <v>175000</v>
      </c>
      <c r="BO138">
        <v>0</v>
      </c>
      <c r="BP138">
        <v>524664</v>
      </c>
      <c r="BQ138">
        <v>600100</v>
      </c>
      <c r="BR138">
        <v>0</v>
      </c>
      <c r="BS138">
        <v>0</v>
      </c>
      <c r="BT138">
        <v>0</v>
      </c>
      <c r="BU138">
        <v>0</v>
      </c>
      <c r="BV138">
        <v>0</v>
      </c>
      <c r="BW138">
        <v>46406</v>
      </c>
      <c r="BX138">
        <v>0</v>
      </c>
      <c r="BY138">
        <v>0</v>
      </c>
      <c r="BZ138">
        <v>23094</v>
      </c>
      <c r="CA138">
        <v>0</v>
      </c>
      <c r="CB138">
        <v>0</v>
      </c>
      <c r="CD138">
        <v>0</v>
      </c>
    </row>
    <row r="139" spans="1:82" x14ac:dyDescent="0.3">
      <c r="A139">
        <v>541</v>
      </c>
      <c r="B139" t="s">
        <v>308</v>
      </c>
      <c r="E139">
        <v>0</v>
      </c>
      <c r="G139">
        <v>0</v>
      </c>
      <c r="H139">
        <v>0</v>
      </c>
      <c r="I139">
        <v>0</v>
      </c>
      <c r="J139">
        <v>24401</v>
      </c>
      <c r="K139">
        <v>0</v>
      </c>
      <c r="L139">
        <v>0</v>
      </c>
      <c r="M139">
        <v>0</v>
      </c>
      <c r="N139">
        <v>0</v>
      </c>
      <c r="O139">
        <v>1162834</v>
      </c>
      <c r="P139">
        <v>0</v>
      </c>
      <c r="Q139">
        <v>8014061</v>
      </c>
      <c r="R139">
        <v>-20417</v>
      </c>
      <c r="S139">
        <v>0</v>
      </c>
      <c r="T139">
        <v>8308786</v>
      </c>
      <c r="U139">
        <v>998427</v>
      </c>
      <c r="V139">
        <v>2117868</v>
      </c>
      <c r="W139">
        <v>0</v>
      </c>
      <c r="Y139">
        <v>1095955</v>
      </c>
      <c r="Z139">
        <v>-61513</v>
      </c>
      <c r="AA139">
        <v>638268</v>
      </c>
      <c r="AB139">
        <v>541171</v>
      </c>
      <c r="AC139">
        <v>394800</v>
      </c>
      <c r="AD139">
        <v>345976</v>
      </c>
      <c r="AE139">
        <v>245306</v>
      </c>
      <c r="AF139">
        <v>292199</v>
      </c>
      <c r="AG139">
        <v>698648</v>
      </c>
      <c r="AH139">
        <v>0</v>
      </c>
      <c r="AI139">
        <v>1177342</v>
      </c>
      <c r="AJ139">
        <v>93357</v>
      </c>
      <c r="AM139">
        <v>1209115</v>
      </c>
      <c r="AN139">
        <v>132473</v>
      </c>
      <c r="AO139">
        <v>-32677</v>
      </c>
      <c r="AP139">
        <v>0</v>
      </c>
      <c r="AQ139">
        <v>0</v>
      </c>
      <c r="AR139">
        <v>7969</v>
      </c>
      <c r="AS139">
        <v>0</v>
      </c>
      <c r="AT139">
        <v>418937</v>
      </c>
      <c r="AU139">
        <v>0</v>
      </c>
      <c r="AV139">
        <v>7404532</v>
      </c>
      <c r="AW139">
        <v>0</v>
      </c>
      <c r="AX139">
        <v>76308</v>
      </c>
      <c r="AY139">
        <v>964981</v>
      </c>
      <c r="AZ139">
        <v>4691</v>
      </c>
      <c r="BA139">
        <v>61313</v>
      </c>
      <c r="BB139">
        <v>0</v>
      </c>
      <c r="BC139">
        <v>98144</v>
      </c>
      <c r="BD139">
        <v>902379</v>
      </c>
      <c r="BE139">
        <v>0</v>
      </c>
      <c r="BF139">
        <v>-21414</v>
      </c>
      <c r="BG139">
        <v>26543</v>
      </c>
      <c r="BH139">
        <v>0</v>
      </c>
      <c r="BI139">
        <v>136744</v>
      </c>
      <c r="BJ139">
        <v>0</v>
      </c>
      <c r="BK139">
        <v>0</v>
      </c>
      <c r="BN139">
        <v>441829</v>
      </c>
      <c r="BO139">
        <v>-169234</v>
      </c>
      <c r="BP139">
        <v>130645</v>
      </c>
      <c r="BQ139">
        <v>0</v>
      </c>
      <c r="BR139">
        <v>177353</v>
      </c>
      <c r="BS139">
        <v>0</v>
      </c>
      <c r="BT139">
        <v>-58844</v>
      </c>
      <c r="BU139">
        <v>0</v>
      </c>
      <c r="BV139">
        <v>0</v>
      </c>
      <c r="BW139">
        <v>404878</v>
      </c>
      <c r="BX139">
        <v>-2864</v>
      </c>
      <c r="BY139">
        <v>-57</v>
      </c>
      <c r="BZ139">
        <v>375999</v>
      </c>
      <c r="CA139">
        <v>23133</v>
      </c>
      <c r="CB139">
        <v>202702</v>
      </c>
      <c r="CD139">
        <v>0</v>
      </c>
    </row>
    <row r="140" spans="1:82" x14ac:dyDescent="0.3">
      <c r="A140">
        <v>542</v>
      </c>
      <c r="B140" t="s">
        <v>889</v>
      </c>
      <c r="E140">
        <v>0</v>
      </c>
      <c r="G140">
        <v>0</v>
      </c>
      <c r="H140">
        <v>0</v>
      </c>
      <c r="I140">
        <v>0</v>
      </c>
      <c r="J140">
        <v>0</v>
      </c>
      <c r="K140">
        <v>0</v>
      </c>
      <c r="L140">
        <v>0</v>
      </c>
      <c r="M140">
        <v>0</v>
      </c>
      <c r="N140">
        <v>0</v>
      </c>
      <c r="O140">
        <v>0</v>
      </c>
      <c r="P140">
        <v>0</v>
      </c>
      <c r="Q140">
        <v>2000000</v>
      </c>
      <c r="R140">
        <v>0</v>
      </c>
      <c r="S140">
        <v>0</v>
      </c>
      <c r="T140">
        <v>2903500</v>
      </c>
      <c r="U140">
        <v>0</v>
      </c>
      <c r="V140">
        <v>0</v>
      </c>
      <c r="W140">
        <v>0</v>
      </c>
      <c r="Y140">
        <v>523750</v>
      </c>
      <c r="Z140">
        <v>148371</v>
      </c>
      <c r="AA140">
        <v>7458013</v>
      </c>
      <c r="AB140">
        <v>0</v>
      </c>
      <c r="AC140">
        <v>0</v>
      </c>
      <c r="AD140">
        <v>0</v>
      </c>
      <c r="AE140">
        <v>346000</v>
      </c>
      <c r="AF140">
        <v>91192</v>
      </c>
      <c r="AG140">
        <v>0</v>
      </c>
      <c r="AH140">
        <v>0</v>
      </c>
      <c r="AI140">
        <v>0</v>
      </c>
      <c r="AJ140">
        <v>0</v>
      </c>
      <c r="AM140">
        <v>461039</v>
      </c>
      <c r="AN140">
        <v>0</v>
      </c>
      <c r="AO140">
        <v>0</v>
      </c>
      <c r="AP140">
        <v>0</v>
      </c>
      <c r="AQ140">
        <v>0</v>
      </c>
      <c r="AR140">
        <v>0</v>
      </c>
      <c r="AS140">
        <v>0</v>
      </c>
      <c r="AT140">
        <v>0</v>
      </c>
      <c r="AU140">
        <v>0</v>
      </c>
      <c r="AV140">
        <v>1042020</v>
      </c>
      <c r="AW140">
        <v>0</v>
      </c>
      <c r="AX140">
        <v>0</v>
      </c>
      <c r="AY140">
        <v>0</v>
      </c>
      <c r="AZ140">
        <v>0</v>
      </c>
      <c r="BA140">
        <v>0</v>
      </c>
      <c r="BB140">
        <v>0</v>
      </c>
      <c r="BC140">
        <v>0</v>
      </c>
      <c r="BD140">
        <v>0</v>
      </c>
      <c r="BE140">
        <v>0</v>
      </c>
      <c r="BF140">
        <v>0</v>
      </c>
      <c r="BG140">
        <v>0</v>
      </c>
      <c r="BH140">
        <v>0</v>
      </c>
      <c r="BI140">
        <v>13142</v>
      </c>
      <c r="BJ140">
        <v>0</v>
      </c>
      <c r="BK140">
        <v>0</v>
      </c>
      <c r="BN140">
        <v>583000</v>
      </c>
      <c r="BO140">
        <v>0</v>
      </c>
      <c r="BP140">
        <v>195662</v>
      </c>
      <c r="BQ140">
        <v>0</v>
      </c>
      <c r="BR140">
        <v>0</v>
      </c>
      <c r="BS140">
        <v>0</v>
      </c>
      <c r="BT140">
        <v>0</v>
      </c>
      <c r="BU140">
        <v>0</v>
      </c>
      <c r="BV140">
        <v>0</v>
      </c>
      <c r="BW140">
        <v>0</v>
      </c>
      <c r="BX140">
        <v>0</v>
      </c>
      <c r="BY140">
        <v>0</v>
      </c>
      <c r="BZ140">
        <v>0</v>
      </c>
      <c r="CA140">
        <v>0</v>
      </c>
      <c r="CB140">
        <v>0</v>
      </c>
      <c r="CD140">
        <v>0</v>
      </c>
    </row>
    <row r="141" spans="1:82" x14ac:dyDescent="0.3">
      <c r="A141">
        <v>544</v>
      </c>
      <c r="B141" t="s">
        <v>52</v>
      </c>
      <c r="E141">
        <v>0</v>
      </c>
      <c r="G141">
        <v>0</v>
      </c>
      <c r="H141">
        <v>0</v>
      </c>
      <c r="I141">
        <v>0</v>
      </c>
      <c r="J141">
        <v>0</v>
      </c>
      <c r="K141">
        <v>0</v>
      </c>
      <c r="L141">
        <v>0</v>
      </c>
      <c r="M141">
        <v>0</v>
      </c>
      <c r="N141">
        <v>0</v>
      </c>
      <c r="O141">
        <v>0</v>
      </c>
      <c r="P141">
        <v>0</v>
      </c>
      <c r="Q141">
        <v>0</v>
      </c>
      <c r="R141">
        <v>0</v>
      </c>
      <c r="S141">
        <v>0</v>
      </c>
      <c r="T141">
        <v>0</v>
      </c>
      <c r="U141">
        <v>0</v>
      </c>
      <c r="V141">
        <v>0</v>
      </c>
      <c r="W141">
        <v>0</v>
      </c>
      <c r="Y141">
        <v>0</v>
      </c>
      <c r="Z141">
        <v>0</v>
      </c>
      <c r="AA141">
        <v>0</v>
      </c>
      <c r="AB141">
        <v>0</v>
      </c>
      <c r="AC141">
        <v>0</v>
      </c>
      <c r="AD141">
        <v>0</v>
      </c>
      <c r="AE141">
        <v>0.04</v>
      </c>
      <c r="AF141">
        <v>0</v>
      </c>
      <c r="AG141">
        <v>0</v>
      </c>
      <c r="AH141">
        <v>0</v>
      </c>
      <c r="AI141">
        <v>0</v>
      </c>
      <c r="AJ141">
        <v>0</v>
      </c>
      <c r="AM141">
        <v>0</v>
      </c>
      <c r="AN141">
        <v>0</v>
      </c>
      <c r="AO141">
        <v>0</v>
      </c>
      <c r="AP141">
        <v>0</v>
      </c>
      <c r="AQ141">
        <v>0</v>
      </c>
      <c r="AR141">
        <v>0</v>
      </c>
      <c r="AS141">
        <v>0</v>
      </c>
      <c r="AT141">
        <v>0</v>
      </c>
      <c r="AU141">
        <v>0</v>
      </c>
      <c r="AV141">
        <v>0</v>
      </c>
      <c r="AW141">
        <v>0</v>
      </c>
      <c r="AX141">
        <v>0</v>
      </c>
      <c r="AY141">
        <v>0</v>
      </c>
      <c r="AZ141">
        <v>0.05</v>
      </c>
      <c r="BA141">
        <v>0</v>
      </c>
      <c r="BB141">
        <v>0</v>
      </c>
      <c r="BC141">
        <v>0</v>
      </c>
      <c r="BD141">
        <v>0</v>
      </c>
      <c r="BE141">
        <v>0</v>
      </c>
      <c r="BF141">
        <v>0</v>
      </c>
      <c r="BG141">
        <v>0</v>
      </c>
      <c r="BH141">
        <v>0</v>
      </c>
      <c r="BI141">
        <v>0</v>
      </c>
      <c r="BJ141">
        <v>0</v>
      </c>
      <c r="BK141">
        <v>0</v>
      </c>
      <c r="BN141">
        <v>3.3000000000000002E-2</v>
      </c>
      <c r="BO141">
        <v>0</v>
      </c>
      <c r="BP141">
        <v>0</v>
      </c>
      <c r="BQ141">
        <v>-5.0000000000000001E-3</v>
      </c>
      <c r="BR141">
        <v>0</v>
      </c>
      <c r="BS141">
        <v>0</v>
      </c>
      <c r="BT141">
        <v>0</v>
      </c>
      <c r="BU141">
        <v>0</v>
      </c>
      <c r="BV141">
        <v>0</v>
      </c>
      <c r="BW141">
        <v>0</v>
      </c>
      <c r="BX141">
        <v>0</v>
      </c>
      <c r="BY141">
        <v>0</v>
      </c>
      <c r="BZ141">
        <v>0</v>
      </c>
      <c r="CA141">
        <v>0</v>
      </c>
      <c r="CB141">
        <v>0</v>
      </c>
      <c r="CD141">
        <v>0</v>
      </c>
    </row>
    <row r="142" spans="1:82" x14ac:dyDescent="0.3">
      <c r="A142">
        <v>545</v>
      </c>
      <c r="B142" t="s">
        <v>53</v>
      </c>
      <c r="E142">
        <v>0</v>
      </c>
      <c r="G142">
        <v>0</v>
      </c>
      <c r="H142">
        <v>0</v>
      </c>
      <c r="I142">
        <v>0</v>
      </c>
      <c r="J142">
        <v>0</v>
      </c>
      <c r="K142">
        <v>0</v>
      </c>
      <c r="L142">
        <v>0</v>
      </c>
      <c r="M142">
        <v>0</v>
      </c>
      <c r="N142">
        <v>0</v>
      </c>
      <c r="O142">
        <v>0</v>
      </c>
      <c r="P142">
        <v>0</v>
      </c>
      <c r="Q142">
        <v>0</v>
      </c>
      <c r="R142">
        <v>0</v>
      </c>
      <c r="S142">
        <v>0</v>
      </c>
      <c r="T142">
        <v>0</v>
      </c>
      <c r="U142">
        <v>0</v>
      </c>
      <c r="V142">
        <v>0</v>
      </c>
      <c r="W142">
        <v>0</v>
      </c>
      <c r="Y142">
        <v>0</v>
      </c>
      <c r="Z142">
        <v>0</v>
      </c>
      <c r="AA142">
        <v>0.08</v>
      </c>
      <c r="AB142">
        <v>0</v>
      </c>
      <c r="AC142">
        <v>0</v>
      </c>
      <c r="AD142">
        <v>0</v>
      </c>
      <c r="AE142">
        <v>0</v>
      </c>
      <c r="AF142">
        <v>0</v>
      </c>
      <c r="AG142">
        <v>0.03</v>
      </c>
      <c r="AH142">
        <v>0</v>
      </c>
      <c r="AI142">
        <v>6.6E-3</v>
      </c>
      <c r="AJ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N142">
        <v>0</v>
      </c>
      <c r="BO142">
        <v>0</v>
      </c>
      <c r="BP142">
        <v>0</v>
      </c>
      <c r="BQ142">
        <v>-0.08</v>
      </c>
      <c r="BR142">
        <v>0</v>
      </c>
      <c r="BS142">
        <v>0</v>
      </c>
      <c r="BT142">
        <v>0</v>
      </c>
      <c r="BU142">
        <v>0</v>
      </c>
      <c r="BV142">
        <v>0</v>
      </c>
      <c r="BW142">
        <v>0</v>
      </c>
      <c r="BX142">
        <v>0</v>
      </c>
      <c r="BY142">
        <v>0</v>
      </c>
      <c r="BZ142">
        <v>0</v>
      </c>
      <c r="CA142">
        <v>0</v>
      </c>
      <c r="CB142">
        <v>0</v>
      </c>
      <c r="CD142">
        <v>0</v>
      </c>
    </row>
    <row r="143" spans="1:82" x14ac:dyDescent="0.3">
      <c r="A143">
        <v>547</v>
      </c>
      <c r="B143" t="s">
        <v>890</v>
      </c>
      <c r="E143">
        <v>2</v>
      </c>
      <c r="G143">
        <v>2</v>
      </c>
      <c r="H143">
        <v>2</v>
      </c>
      <c r="I143">
        <v>2</v>
      </c>
      <c r="J143">
        <v>2</v>
      </c>
      <c r="K143">
        <v>2</v>
      </c>
      <c r="L143">
        <v>2</v>
      </c>
      <c r="M143">
        <v>3</v>
      </c>
      <c r="N143">
        <v>2</v>
      </c>
      <c r="O143">
        <v>3</v>
      </c>
      <c r="P143">
        <v>2</v>
      </c>
      <c r="Q143">
        <v>3</v>
      </c>
      <c r="R143">
        <v>2</v>
      </c>
      <c r="S143">
        <v>2</v>
      </c>
      <c r="T143">
        <v>3</v>
      </c>
      <c r="U143">
        <v>3</v>
      </c>
      <c r="V143">
        <v>3</v>
      </c>
      <c r="W143">
        <v>3</v>
      </c>
      <c r="Y143">
        <v>2</v>
      </c>
      <c r="Z143">
        <v>2</v>
      </c>
      <c r="AA143">
        <v>3</v>
      </c>
      <c r="AB143">
        <v>2</v>
      </c>
      <c r="AC143">
        <v>3</v>
      </c>
      <c r="AD143">
        <v>2</v>
      </c>
      <c r="AE143">
        <v>2</v>
      </c>
      <c r="AF143">
        <v>3</v>
      </c>
      <c r="AG143">
        <v>3</v>
      </c>
      <c r="AH143">
        <v>2</v>
      </c>
      <c r="AI143">
        <v>1</v>
      </c>
      <c r="AJ143">
        <v>2</v>
      </c>
      <c r="AM143">
        <v>3</v>
      </c>
      <c r="AN143">
        <v>2</v>
      </c>
      <c r="AO143">
        <v>2</v>
      </c>
      <c r="AP143">
        <v>2</v>
      </c>
      <c r="AQ143">
        <v>2</v>
      </c>
      <c r="AR143">
        <v>3</v>
      </c>
      <c r="AS143">
        <v>2</v>
      </c>
      <c r="AT143">
        <v>3</v>
      </c>
      <c r="AU143">
        <v>2</v>
      </c>
      <c r="AV143">
        <v>3</v>
      </c>
      <c r="AW143">
        <v>2</v>
      </c>
      <c r="AX143">
        <v>2</v>
      </c>
      <c r="AY143">
        <v>2</v>
      </c>
      <c r="AZ143">
        <v>2</v>
      </c>
      <c r="BA143">
        <v>2</v>
      </c>
      <c r="BB143">
        <v>2</v>
      </c>
      <c r="BC143">
        <v>2</v>
      </c>
      <c r="BD143">
        <v>3</v>
      </c>
      <c r="BE143">
        <v>2</v>
      </c>
      <c r="BF143">
        <v>2</v>
      </c>
      <c r="BG143">
        <v>2</v>
      </c>
      <c r="BH143">
        <v>2</v>
      </c>
      <c r="BI143">
        <v>2</v>
      </c>
      <c r="BJ143">
        <v>2</v>
      </c>
      <c r="BK143">
        <v>3</v>
      </c>
      <c r="BN143">
        <v>2</v>
      </c>
      <c r="BO143">
        <v>2</v>
      </c>
      <c r="BP143">
        <v>2</v>
      </c>
      <c r="BQ143">
        <v>2</v>
      </c>
      <c r="BR143">
        <v>4</v>
      </c>
      <c r="BS143">
        <v>3</v>
      </c>
      <c r="BT143">
        <v>0</v>
      </c>
      <c r="BU143">
        <v>3</v>
      </c>
      <c r="BV143">
        <v>2</v>
      </c>
      <c r="BW143">
        <v>2</v>
      </c>
      <c r="BX143">
        <v>3</v>
      </c>
      <c r="BY143">
        <v>2</v>
      </c>
      <c r="BZ143">
        <v>0</v>
      </c>
      <c r="CA143">
        <v>2</v>
      </c>
      <c r="CB143">
        <v>2</v>
      </c>
      <c r="CD143">
        <v>2</v>
      </c>
    </row>
    <row r="144" spans="1:82" x14ac:dyDescent="0.3">
      <c r="A144">
        <v>554</v>
      </c>
      <c r="B144" t="s">
        <v>318</v>
      </c>
      <c r="M144">
        <v>3800109</v>
      </c>
      <c r="O144">
        <v>3201761</v>
      </c>
      <c r="Q144">
        <v>4524749</v>
      </c>
      <c r="T144">
        <v>12538127</v>
      </c>
      <c r="U144">
        <v>3272054</v>
      </c>
      <c r="V144">
        <v>940666</v>
      </c>
      <c r="W144">
        <v>3738046</v>
      </c>
      <c r="Y144">
        <v>3385695</v>
      </c>
      <c r="AA144">
        <v>5744466</v>
      </c>
      <c r="AB144">
        <v>1398816</v>
      </c>
      <c r="AC144">
        <v>824547</v>
      </c>
      <c r="AE144">
        <v>829463</v>
      </c>
      <c r="AF144">
        <v>9419793</v>
      </c>
      <c r="AG144">
        <v>1765070</v>
      </c>
      <c r="AI144">
        <v>10123097</v>
      </c>
      <c r="AM144">
        <v>1882187</v>
      </c>
      <c r="AR144">
        <v>1931645</v>
      </c>
      <c r="AV144">
        <v>2192499</v>
      </c>
      <c r="AY144">
        <v>506784</v>
      </c>
      <c r="BD144">
        <v>10272256</v>
      </c>
      <c r="BK144">
        <v>584617</v>
      </c>
      <c r="BN144">
        <v>2092052</v>
      </c>
      <c r="BQ144" s="564">
        <v>5365568</v>
      </c>
      <c r="BS144">
        <v>1375628</v>
      </c>
      <c r="CB144">
        <v>1114479</v>
      </c>
    </row>
    <row r="145" spans="1:82" x14ac:dyDescent="0.3">
      <c r="A145">
        <v>555</v>
      </c>
      <c r="B145" t="s">
        <v>319</v>
      </c>
      <c r="M145">
        <v>3786784</v>
      </c>
      <c r="O145">
        <v>3201761</v>
      </c>
      <c r="Q145">
        <v>4288253</v>
      </c>
      <c r="T145">
        <v>11575109</v>
      </c>
      <c r="U145">
        <v>2841919</v>
      </c>
      <c r="V145">
        <v>587612</v>
      </c>
      <c r="W145">
        <v>1227202</v>
      </c>
      <c r="Y145">
        <v>3343949</v>
      </c>
      <c r="AA145">
        <v>5181064</v>
      </c>
      <c r="AB145">
        <v>1007481</v>
      </c>
      <c r="AC145">
        <v>454273</v>
      </c>
      <c r="AE145">
        <v>415669</v>
      </c>
      <c r="AF145">
        <v>8767119</v>
      </c>
      <c r="AG145">
        <v>1765070</v>
      </c>
      <c r="AI145">
        <v>7130546</v>
      </c>
      <c r="AM145">
        <v>877014</v>
      </c>
      <c r="AR145">
        <v>1621451</v>
      </c>
      <c r="AV145">
        <v>1519605</v>
      </c>
      <c r="AY145">
        <v>0</v>
      </c>
      <c r="BD145">
        <v>10059458</v>
      </c>
      <c r="BK145">
        <v>0</v>
      </c>
      <c r="BN145">
        <v>2092052</v>
      </c>
      <c r="BQ145" s="564">
        <v>0</v>
      </c>
      <c r="BS145">
        <v>862828</v>
      </c>
      <c r="CB145">
        <v>668940</v>
      </c>
    </row>
    <row r="146" spans="1:82" x14ac:dyDescent="0.3">
      <c r="A146">
        <v>556</v>
      </c>
      <c r="B146" t="s">
        <v>320</v>
      </c>
      <c r="M146">
        <v>333707</v>
      </c>
      <c r="O146">
        <v>34925</v>
      </c>
      <c r="Q146">
        <v>434390</v>
      </c>
      <c r="T146">
        <v>2389158</v>
      </c>
      <c r="U146">
        <v>443475</v>
      </c>
      <c r="V146">
        <v>590988</v>
      </c>
      <c r="W146">
        <v>792012</v>
      </c>
      <c r="Y146">
        <v>2127152</v>
      </c>
      <c r="AA146">
        <v>74547</v>
      </c>
      <c r="AB146">
        <v>1878629</v>
      </c>
      <c r="AC146">
        <v>56163</v>
      </c>
      <c r="AE146">
        <v>4467859</v>
      </c>
      <c r="AF146">
        <v>4710557</v>
      </c>
      <c r="AG146">
        <v>603077</v>
      </c>
      <c r="AI146">
        <v>1559737</v>
      </c>
      <c r="AM146">
        <v>996597</v>
      </c>
      <c r="AR146">
        <v>190694</v>
      </c>
      <c r="AV146">
        <v>798220</v>
      </c>
      <c r="AY146">
        <v>2141745</v>
      </c>
      <c r="BD146">
        <v>451303</v>
      </c>
      <c r="BK146">
        <v>2121120</v>
      </c>
      <c r="BN146">
        <v>92194</v>
      </c>
      <c r="BQ146" s="564">
        <v>651412</v>
      </c>
      <c r="BS146">
        <v>380469</v>
      </c>
      <c r="CB146">
        <v>846339</v>
      </c>
    </row>
    <row r="147" spans="1:82" x14ac:dyDescent="0.3">
      <c r="A147">
        <v>557</v>
      </c>
      <c r="B147" t="s">
        <v>321</v>
      </c>
      <c r="M147">
        <v>333707</v>
      </c>
      <c r="O147">
        <v>0</v>
      </c>
      <c r="Q147">
        <v>339726</v>
      </c>
      <c r="T147">
        <v>1187735</v>
      </c>
      <c r="U147">
        <v>0</v>
      </c>
      <c r="V147">
        <v>455498</v>
      </c>
      <c r="W147">
        <v>783018</v>
      </c>
      <c r="Y147">
        <v>742333</v>
      </c>
      <c r="AA147">
        <v>0</v>
      </c>
      <c r="AB147">
        <v>1769977</v>
      </c>
      <c r="AC147">
        <v>0</v>
      </c>
      <c r="AE147">
        <v>4247635</v>
      </c>
      <c r="AF147">
        <v>4348895</v>
      </c>
      <c r="AG147">
        <v>362035</v>
      </c>
      <c r="AI147">
        <v>1140455</v>
      </c>
      <c r="AM147">
        <v>413630</v>
      </c>
      <c r="AR147">
        <v>152721</v>
      </c>
      <c r="AV147">
        <v>506535</v>
      </c>
      <c r="AY147">
        <v>1950821</v>
      </c>
      <c r="BD147">
        <v>0</v>
      </c>
      <c r="BK147">
        <v>1878629</v>
      </c>
      <c r="BN147">
        <v>0</v>
      </c>
      <c r="BQ147" s="564">
        <v>579914</v>
      </c>
      <c r="BS147">
        <v>0</v>
      </c>
      <c r="CB147">
        <v>373271</v>
      </c>
    </row>
    <row r="148" spans="1:82" x14ac:dyDescent="0.3">
      <c r="A148">
        <v>575</v>
      </c>
      <c r="B148" t="s">
        <v>300</v>
      </c>
      <c r="E148">
        <v>0</v>
      </c>
      <c r="G148">
        <v>0</v>
      </c>
      <c r="H148">
        <v>0</v>
      </c>
      <c r="I148">
        <v>0</v>
      </c>
      <c r="J148">
        <v>0</v>
      </c>
      <c r="K148">
        <v>0</v>
      </c>
      <c r="L148">
        <v>0</v>
      </c>
      <c r="M148">
        <v>0</v>
      </c>
      <c r="N148">
        <v>0</v>
      </c>
      <c r="O148">
        <v>50000</v>
      </c>
      <c r="P148">
        <v>0</v>
      </c>
      <c r="Q148">
        <v>0</v>
      </c>
      <c r="R148">
        <v>0</v>
      </c>
      <c r="S148">
        <v>0</v>
      </c>
      <c r="T148">
        <v>0</v>
      </c>
      <c r="U148">
        <v>0</v>
      </c>
      <c r="V148">
        <v>0</v>
      </c>
      <c r="W148">
        <v>0</v>
      </c>
      <c r="Y148">
        <v>0</v>
      </c>
      <c r="Z148">
        <v>0</v>
      </c>
      <c r="AA148">
        <v>0</v>
      </c>
      <c r="AB148">
        <v>621034</v>
      </c>
      <c r="AC148">
        <v>0</v>
      </c>
      <c r="AD148">
        <v>16208</v>
      </c>
      <c r="AE148">
        <v>0</v>
      </c>
      <c r="AF148">
        <v>0</v>
      </c>
      <c r="AG148">
        <v>161373</v>
      </c>
      <c r="AH148">
        <v>0</v>
      </c>
      <c r="AI148">
        <v>0</v>
      </c>
      <c r="AJ148">
        <v>0</v>
      </c>
      <c r="AM148">
        <v>0</v>
      </c>
      <c r="AN148">
        <v>0</v>
      </c>
      <c r="AO148">
        <v>4195</v>
      </c>
      <c r="AP148">
        <v>0</v>
      </c>
      <c r="AQ148">
        <v>0</v>
      </c>
      <c r="AR148">
        <v>0</v>
      </c>
      <c r="AS148">
        <v>0</v>
      </c>
      <c r="AT148">
        <v>0</v>
      </c>
      <c r="AU148">
        <v>0</v>
      </c>
      <c r="AV148">
        <v>0</v>
      </c>
      <c r="AW148">
        <v>0</v>
      </c>
      <c r="AX148">
        <v>0</v>
      </c>
      <c r="AY148">
        <v>67033</v>
      </c>
      <c r="AZ148">
        <v>0</v>
      </c>
      <c r="BA148">
        <v>25950</v>
      </c>
      <c r="BB148">
        <v>0</v>
      </c>
      <c r="BC148">
        <v>4305</v>
      </c>
      <c r="BD148">
        <v>0</v>
      </c>
      <c r="BE148">
        <v>0</v>
      </c>
      <c r="BF148">
        <v>72744</v>
      </c>
      <c r="BG148">
        <v>0</v>
      </c>
      <c r="BH148">
        <v>0</v>
      </c>
      <c r="BI148">
        <v>0</v>
      </c>
      <c r="BJ148">
        <v>0</v>
      </c>
      <c r="BK148">
        <v>0</v>
      </c>
      <c r="BN148">
        <v>0</v>
      </c>
      <c r="BO148">
        <v>0</v>
      </c>
      <c r="BP148">
        <v>0</v>
      </c>
      <c r="BR148">
        <v>0</v>
      </c>
      <c r="BS148">
        <v>0</v>
      </c>
      <c r="BT148">
        <v>5453</v>
      </c>
      <c r="BU148">
        <v>0</v>
      </c>
      <c r="BV148">
        <v>0</v>
      </c>
      <c r="BW148">
        <v>45437</v>
      </c>
      <c r="BX148">
        <v>0</v>
      </c>
      <c r="BY148">
        <v>16290</v>
      </c>
      <c r="BZ148">
        <v>586520</v>
      </c>
      <c r="CA148">
        <v>1523</v>
      </c>
      <c r="CB148">
        <v>0</v>
      </c>
      <c r="CD148">
        <v>0</v>
      </c>
    </row>
    <row r="149" spans="1:82" x14ac:dyDescent="0.3">
      <c r="A149">
        <v>576</v>
      </c>
      <c r="B149" t="s">
        <v>301</v>
      </c>
      <c r="E149">
        <v>0</v>
      </c>
      <c r="G149">
        <v>0</v>
      </c>
      <c r="H149">
        <v>0</v>
      </c>
      <c r="I149">
        <v>0</v>
      </c>
      <c r="J149">
        <v>0</v>
      </c>
      <c r="K149">
        <v>0</v>
      </c>
      <c r="L149">
        <v>0</v>
      </c>
      <c r="M149">
        <v>0</v>
      </c>
      <c r="N149">
        <v>0</v>
      </c>
      <c r="O149">
        <v>0</v>
      </c>
      <c r="P149">
        <v>0</v>
      </c>
      <c r="Q149">
        <v>759390</v>
      </c>
      <c r="R149">
        <v>0</v>
      </c>
      <c r="S149">
        <v>0</v>
      </c>
      <c r="T149">
        <v>0</v>
      </c>
      <c r="U149">
        <v>0</v>
      </c>
      <c r="V149">
        <v>0</v>
      </c>
      <c r="W149">
        <v>0</v>
      </c>
      <c r="Y149">
        <v>113775</v>
      </c>
      <c r="Z149">
        <v>0</v>
      </c>
      <c r="AA149">
        <v>0</v>
      </c>
      <c r="AB149">
        <v>0</v>
      </c>
      <c r="AC149">
        <v>2975</v>
      </c>
      <c r="AD149">
        <v>0</v>
      </c>
      <c r="AE149">
        <v>0</v>
      </c>
      <c r="AF149">
        <v>0</v>
      </c>
      <c r="AG149">
        <v>0</v>
      </c>
      <c r="AH149">
        <v>0</v>
      </c>
      <c r="AI149">
        <v>1011727</v>
      </c>
      <c r="AJ149">
        <v>215629</v>
      </c>
      <c r="AM149">
        <v>2254926</v>
      </c>
      <c r="AN149">
        <v>0</v>
      </c>
      <c r="AO149">
        <v>0</v>
      </c>
      <c r="AP149">
        <v>0</v>
      </c>
      <c r="AQ149">
        <v>0</v>
      </c>
      <c r="AR149">
        <v>0</v>
      </c>
      <c r="AS149">
        <v>0</v>
      </c>
      <c r="AT149">
        <v>0</v>
      </c>
      <c r="AU149">
        <v>4820</v>
      </c>
      <c r="AV149">
        <v>0</v>
      </c>
      <c r="AW149">
        <v>0</v>
      </c>
      <c r="AX149">
        <v>0</v>
      </c>
      <c r="AY149">
        <v>0</v>
      </c>
      <c r="AZ149">
        <v>0</v>
      </c>
      <c r="BA149">
        <v>0</v>
      </c>
      <c r="BB149">
        <v>0</v>
      </c>
      <c r="BC149">
        <v>0</v>
      </c>
      <c r="BD149">
        <v>0</v>
      </c>
      <c r="BE149">
        <v>0</v>
      </c>
      <c r="BF149">
        <v>0</v>
      </c>
      <c r="BG149">
        <v>19563</v>
      </c>
      <c r="BH149">
        <v>0</v>
      </c>
      <c r="BI149">
        <v>0</v>
      </c>
      <c r="BJ149">
        <v>0</v>
      </c>
      <c r="BK149">
        <v>0</v>
      </c>
      <c r="BN149">
        <v>0</v>
      </c>
      <c r="BO149">
        <v>22349</v>
      </c>
      <c r="BP149">
        <v>0</v>
      </c>
      <c r="BQ149">
        <v>0</v>
      </c>
      <c r="BR149">
        <v>41080</v>
      </c>
      <c r="BS149">
        <v>0</v>
      </c>
      <c r="BT149">
        <v>0</v>
      </c>
      <c r="BU149">
        <v>0</v>
      </c>
      <c r="BV149">
        <v>0</v>
      </c>
      <c r="BW149">
        <v>0</v>
      </c>
      <c r="BX149">
        <v>0</v>
      </c>
      <c r="BY149">
        <v>0</v>
      </c>
      <c r="BZ149">
        <v>0</v>
      </c>
      <c r="CA149">
        <v>0</v>
      </c>
      <c r="CB149">
        <v>0</v>
      </c>
      <c r="CD149">
        <v>24168</v>
      </c>
    </row>
    <row r="150" spans="1:82" x14ac:dyDescent="0.3">
      <c r="A150">
        <v>577</v>
      </c>
      <c r="B150" t="s">
        <v>891</v>
      </c>
      <c r="E150">
        <v>0</v>
      </c>
      <c r="G150">
        <v>2</v>
      </c>
      <c r="H150">
        <v>2</v>
      </c>
      <c r="I150">
        <v>2</v>
      </c>
      <c r="J150">
        <v>0</v>
      </c>
      <c r="K150">
        <v>0</v>
      </c>
      <c r="L150">
        <v>2</v>
      </c>
      <c r="M150">
        <v>2</v>
      </c>
      <c r="N150">
        <v>2</v>
      </c>
      <c r="O150">
        <v>2</v>
      </c>
      <c r="P150">
        <v>2</v>
      </c>
      <c r="Q150">
        <v>2</v>
      </c>
      <c r="R150">
        <v>2</v>
      </c>
      <c r="S150">
        <v>0</v>
      </c>
      <c r="T150">
        <v>2</v>
      </c>
      <c r="U150">
        <v>2</v>
      </c>
      <c r="V150">
        <v>2</v>
      </c>
      <c r="W150">
        <v>2</v>
      </c>
      <c r="Y150">
        <v>2</v>
      </c>
      <c r="Z150">
        <v>2</v>
      </c>
      <c r="AA150">
        <v>2</v>
      </c>
      <c r="AB150">
        <v>2</v>
      </c>
      <c r="AC150">
        <v>2</v>
      </c>
      <c r="AD150">
        <v>2</v>
      </c>
      <c r="AE150">
        <v>2</v>
      </c>
      <c r="AF150">
        <v>2</v>
      </c>
      <c r="AG150">
        <v>2</v>
      </c>
      <c r="AH150">
        <v>2</v>
      </c>
      <c r="AI150">
        <v>2</v>
      </c>
      <c r="AJ150">
        <v>2</v>
      </c>
      <c r="AM150">
        <v>2</v>
      </c>
      <c r="AN150">
        <v>2</v>
      </c>
      <c r="AO150">
        <v>2</v>
      </c>
      <c r="AP150">
        <v>2</v>
      </c>
      <c r="AQ150">
        <v>2</v>
      </c>
      <c r="AR150">
        <v>1</v>
      </c>
      <c r="AS150">
        <v>0</v>
      </c>
      <c r="AT150">
        <v>2</v>
      </c>
      <c r="AU150">
        <v>2</v>
      </c>
      <c r="AV150">
        <v>2</v>
      </c>
      <c r="AW150">
        <v>2</v>
      </c>
      <c r="AX150">
        <v>2</v>
      </c>
      <c r="AY150">
        <v>2</v>
      </c>
      <c r="AZ150">
        <v>2</v>
      </c>
      <c r="BA150">
        <v>2</v>
      </c>
      <c r="BB150">
        <v>0</v>
      </c>
      <c r="BC150">
        <v>2</v>
      </c>
      <c r="BD150">
        <v>2</v>
      </c>
      <c r="BE150">
        <v>2</v>
      </c>
      <c r="BF150">
        <v>2</v>
      </c>
      <c r="BG150">
        <v>2</v>
      </c>
      <c r="BH150">
        <v>0</v>
      </c>
      <c r="BI150">
        <v>2</v>
      </c>
      <c r="BJ150">
        <v>2</v>
      </c>
      <c r="BK150">
        <v>2</v>
      </c>
      <c r="BN150">
        <v>2</v>
      </c>
      <c r="BO150">
        <v>2</v>
      </c>
      <c r="BP150">
        <v>2</v>
      </c>
      <c r="BQ150">
        <v>2</v>
      </c>
      <c r="BR150">
        <v>2</v>
      </c>
      <c r="BS150">
        <v>2</v>
      </c>
      <c r="BT150">
        <v>2</v>
      </c>
      <c r="BU150">
        <v>2</v>
      </c>
      <c r="BV150">
        <v>0</v>
      </c>
      <c r="BW150">
        <v>2</v>
      </c>
      <c r="BX150">
        <v>2</v>
      </c>
      <c r="BY150">
        <v>0</v>
      </c>
      <c r="BZ150">
        <v>2</v>
      </c>
      <c r="CA150">
        <v>2</v>
      </c>
      <c r="CB150">
        <v>2</v>
      </c>
      <c r="CD150">
        <v>2</v>
      </c>
    </row>
    <row r="151" spans="1:82" x14ac:dyDescent="0.3">
      <c r="A151">
        <v>578</v>
      </c>
      <c r="B151" t="s">
        <v>892</v>
      </c>
      <c r="E151">
        <v>0</v>
      </c>
      <c r="G151">
        <v>0</v>
      </c>
      <c r="H151">
        <v>0</v>
      </c>
      <c r="I151">
        <v>0</v>
      </c>
      <c r="J151">
        <v>0</v>
      </c>
      <c r="K151">
        <v>0</v>
      </c>
      <c r="L151">
        <v>0</v>
      </c>
      <c r="M151">
        <v>0</v>
      </c>
      <c r="N151">
        <v>0</v>
      </c>
      <c r="O151">
        <v>0</v>
      </c>
      <c r="P151">
        <v>0</v>
      </c>
      <c r="Q151">
        <v>0</v>
      </c>
      <c r="R151">
        <v>0</v>
      </c>
      <c r="S151">
        <v>0</v>
      </c>
      <c r="T151">
        <v>0</v>
      </c>
      <c r="U151">
        <v>0</v>
      </c>
      <c r="V151">
        <v>0</v>
      </c>
      <c r="W151">
        <v>0</v>
      </c>
      <c r="Y151">
        <v>0</v>
      </c>
      <c r="Z151">
        <v>0</v>
      </c>
      <c r="AA151">
        <v>0</v>
      </c>
      <c r="AB151">
        <v>0</v>
      </c>
      <c r="AC151">
        <v>0</v>
      </c>
      <c r="AD151">
        <v>0</v>
      </c>
      <c r="AE151">
        <v>0</v>
      </c>
      <c r="AF151">
        <v>0</v>
      </c>
      <c r="AG151">
        <v>0</v>
      </c>
      <c r="AH151">
        <v>0</v>
      </c>
      <c r="AI151">
        <v>0</v>
      </c>
      <c r="AJ151">
        <v>0</v>
      </c>
      <c r="AM151">
        <v>0</v>
      </c>
      <c r="AN151">
        <v>0</v>
      </c>
      <c r="AO151">
        <v>0</v>
      </c>
      <c r="AP151">
        <v>0</v>
      </c>
      <c r="AQ151">
        <v>0</v>
      </c>
      <c r="AR151">
        <v>0</v>
      </c>
      <c r="AS151">
        <v>0</v>
      </c>
      <c r="AT151">
        <v>0</v>
      </c>
      <c r="AU151">
        <v>0</v>
      </c>
      <c r="AV151">
        <v>0</v>
      </c>
      <c r="AW151">
        <v>0</v>
      </c>
      <c r="AX151">
        <v>0</v>
      </c>
      <c r="AY151">
        <v>0</v>
      </c>
      <c r="AZ151">
        <v>0</v>
      </c>
      <c r="BA151">
        <v>25950</v>
      </c>
      <c r="BB151">
        <v>0</v>
      </c>
      <c r="BC151">
        <v>101123</v>
      </c>
      <c r="BD151">
        <v>0</v>
      </c>
      <c r="BE151">
        <v>0</v>
      </c>
      <c r="BF151">
        <v>0</v>
      </c>
      <c r="BG151">
        <v>0</v>
      </c>
      <c r="BH151">
        <v>0</v>
      </c>
      <c r="BI151">
        <v>0</v>
      </c>
      <c r="BJ151">
        <v>0</v>
      </c>
      <c r="BK151">
        <v>0</v>
      </c>
      <c r="BN151">
        <v>0</v>
      </c>
      <c r="BO151">
        <v>0</v>
      </c>
      <c r="BP151">
        <v>0</v>
      </c>
      <c r="BQ151">
        <v>0</v>
      </c>
      <c r="BR151">
        <v>0</v>
      </c>
      <c r="BS151">
        <v>0</v>
      </c>
      <c r="BT151">
        <v>0</v>
      </c>
      <c r="BU151">
        <v>0</v>
      </c>
      <c r="BV151">
        <v>0</v>
      </c>
      <c r="BW151">
        <v>0</v>
      </c>
      <c r="BX151">
        <v>0</v>
      </c>
      <c r="BY151">
        <v>0</v>
      </c>
      <c r="BZ151">
        <v>0</v>
      </c>
      <c r="CA151">
        <v>0</v>
      </c>
      <c r="CB151">
        <v>0</v>
      </c>
      <c r="CD151">
        <v>0</v>
      </c>
    </row>
    <row r="152" spans="1:82" x14ac:dyDescent="0.3">
      <c r="A152">
        <v>579</v>
      </c>
      <c r="B152" t="s">
        <v>893</v>
      </c>
      <c r="E152">
        <v>0</v>
      </c>
      <c r="G152">
        <v>0</v>
      </c>
      <c r="H152">
        <v>0</v>
      </c>
      <c r="I152">
        <v>0</v>
      </c>
      <c r="J152">
        <v>0</v>
      </c>
      <c r="K152">
        <v>0</v>
      </c>
      <c r="L152">
        <v>0</v>
      </c>
      <c r="M152">
        <v>0</v>
      </c>
      <c r="N152">
        <v>0</v>
      </c>
      <c r="O152">
        <v>0</v>
      </c>
      <c r="P152">
        <v>0</v>
      </c>
      <c r="Q152">
        <v>0</v>
      </c>
      <c r="R152">
        <v>0</v>
      </c>
      <c r="S152">
        <v>0</v>
      </c>
      <c r="T152">
        <v>0</v>
      </c>
      <c r="U152">
        <v>0</v>
      </c>
      <c r="V152">
        <v>0</v>
      </c>
      <c r="W152">
        <v>0</v>
      </c>
      <c r="Y152">
        <v>0</v>
      </c>
      <c r="Z152">
        <v>0</v>
      </c>
      <c r="AA152">
        <v>0</v>
      </c>
      <c r="AB152">
        <v>0</v>
      </c>
      <c r="AC152">
        <v>2975</v>
      </c>
      <c r="AD152">
        <v>0</v>
      </c>
      <c r="AE152">
        <v>0</v>
      </c>
      <c r="AF152">
        <v>0</v>
      </c>
      <c r="AG152">
        <v>0</v>
      </c>
      <c r="AH152">
        <v>0</v>
      </c>
      <c r="AI152">
        <v>0</v>
      </c>
      <c r="AJ152">
        <v>215629</v>
      </c>
      <c r="AM152">
        <v>1969000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N152">
        <v>0</v>
      </c>
      <c r="BO152">
        <v>0</v>
      </c>
      <c r="BP152">
        <v>0</v>
      </c>
      <c r="BQ152">
        <v>0</v>
      </c>
      <c r="BR152">
        <v>0</v>
      </c>
      <c r="BS152">
        <v>0</v>
      </c>
      <c r="BT152">
        <v>0</v>
      </c>
      <c r="BU152">
        <v>0</v>
      </c>
      <c r="BV152">
        <v>0</v>
      </c>
      <c r="BW152">
        <v>0</v>
      </c>
      <c r="BX152">
        <v>0</v>
      </c>
      <c r="BY152">
        <v>0</v>
      </c>
      <c r="BZ152">
        <v>0</v>
      </c>
      <c r="CA152">
        <v>0</v>
      </c>
      <c r="CB152">
        <v>0</v>
      </c>
      <c r="CD152">
        <v>0</v>
      </c>
    </row>
    <row r="153" spans="1:82" x14ac:dyDescent="0.3">
      <c r="A153">
        <v>580</v>
      </c>
      <c r="B153" t="s">
        <v>894</v>
      </c>
      <c r="E153">
        <v>0</v>
      </c>
      <c r="G153">
        <v>0</v>
      </c>
      <c r="H153">
        <v>0</v>
      </c>
      <c r="I153">
        <v>0</v>
      </c>
      <c r="J153">
        <v>0</v>
      </c>
      <c r="K153">
        <v>0</v>
      </c>
      <c r="L153">
        <v>0</v>
      </c>
      <c r="M153">
        <v>0</v>
      </c>
      <c r="N153">
        <v>0</v>
      </c>
      <c r="O153">
        <v>0</v>
      </c>
      <c r="P153">
        <v>0</v>
      </c>
      <c r="Q153">
        <v>0</v>
      </c>
      <c r="R153">
        <v>0</v>
      </c>
      <c r="S153">
        <v>0</v>
      </c>
      <c r="T153">
        <v>0</v>
      </c>
      <c r="U153">
        <v>0</v>
      </c>
      <c r="V153">
        <v>0</v>
      </c>
      <c r="W153">
        <v>0</v>
      </c>
      <c r="Y153">
        <v>0</v>
      </c>
      <c r="Z153">
        <v>0</v>
      </c>
      <c r="AA153">
        <v>0</v>
      </c>
      <c r="AB153">
        <v>0</v>
      </c>
      <c r="AC153">
        <v>0</v>
      </c>
      <c r="AD153">
        <v>0</v>
      </c>
      <c r="AE153">
        <v>0</v>
      </c>
      <c r="AF153">
        <v>0</v>
      </c>
      <c r="AG153">
        <v>0</v>
      </c>
      <c r="AH153">
        <v>0</v>
      </c>
      <c r="AI153">
        <v>0</v>
      </c>
      <c r="AJ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N153">
        <v>0</v>
      </c>
      <c r="BO153">
        <v>0</v>
      </c>
      <c r="BP153">
        <v>0</v>
      </c>
      <c r="BQ153">
        <v>0</v>
      </c>
      <c r="BR153">
        <v>0</v>
      </c>
      <c r="BS153">
        <v>0</v>
      </c>
      <c r="BT153">
        <v>0</v>
      </c>
      <c r="BU153">
        <v>0</v>
      </c>
      <c r="BV153">
        <v>0</v>
      </c>
      <c r="BW153">
        <v>0</v>
      </c>
      <c r="BX153">
        <v>0</v>
      </c>
      <c r="BY153">
        <v>0</v>
      </c>
      <c r="BZ153">
        <v>0</v>
      </c>
      <c r="CA153">
        <v>0</v>
      </c>
      <c r="CB153">
        <v>0</v>
      </c>
      <c r="CD153">
        <v>0</v>
      </c>
    </row>
    <row r="154" spans="1:82" x14ac:dyDescent="0.3">
      <c r="A154">
        <v>581</v>
      </c>
      <c r="B154" t="s">
        <v>895</v>
      </c>
      <c r="E154">
        <v>0</v>
      </c>
      <c r="G154">
        <v>0</v>
      </c>
      <c r="H154">
        <v>0</v>
      </c>
      <c r="I154">
        <v>0</v>
      </c>
      <c r="J154">
        <v>0</v>
      </c>
      <c r="K154">
        <v>0</v>
      </c>
      <c r="L154">
        <v>0</v>
      </c>
      <c r="M154">
        <v>0</v>
      </c>
      <c r="N154">
        <v>0</v>
      </c>
      <c r="O154">
        <v>0</v>
      </c>
      <c r="P154">
        <v>0</v>
      </c>
      <c r="Q154">
        <v>111932</v>
      </c>
      <c r="R154">
        <v>0</v>
      </c>
      <c r="S154">
        <v>0</v>
      </c>
      <c r="T154">
        <v>0</v>
      </c>
      <c r="U154">
        <v>0</v>
      </c>
      <c r="V154">
        <v>0</v>
      </c>
      <c r="W154">
        <v>0</v>
      </c>
      <c r="Y154">
        <v>0</v>
      </c>
      <c r="Z154">
        <v>0</v>
      </c>
      <c r="AA154">
        <v>0</v>
      </c>
      <c r="AB154">
        <v>0</v>
      </c>
      <c r="AC154">
        <v>0</v>
      </c>
      <c r="AD154">
        <v>0</v>
      </c>
      <c r="AE154">
        <v>0</v>
      </c>
      <c r="AF154">
        <v>0</v>
      </c>
      <c r="AG154">
        <v>0</v>
      </c>
      <c r="AH154">
        <v>0</v>
      </c>
      <c r="AI154">
        <v>0</v>
      </c>
      <c r="AJ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N154">
        <v>0</v>
      </c>
      <c r="BO154">
        <v>0</v>
      </c>
      <c r="BP154">
        <v>0</v>
      </c>
      <c r="BQ154">
        <v>0</v>
      </c>
      <c r="BR154">
        <v>0</v>
      </c>
      <c r="BS154">
        <v>0</v>
      </c>
      <c r="BT154">
        <v>0</v>
      </c>
      <c r="BU154">
        <v>0</v>
      </c>
      <c r="BV154">
        <v>0</v>
      </c>
      <c r="BW154">
        <v>0</v>
      </c>
      <c r="BX154">
        <v>0</v>
      </c>
      <c r="BY154">
        <v>0</v>
      </c>
      <c r="BZ154">
        <v>0</v>
      </c>
      <c r="CA154">
        <v>0</v>
      </c>
      <c r="CB154">
        <v>0</v>
      </c>
      <c r="CD154">
        <v>0</v>
      </c>
    </row>
    <row r="155" spans="1:82" x14ac:dyDescent="0.3">
      <c r="A155">
        <v>586</v>
      </c>
      <c r="B155" t="s">
        <v>896</v>
      </c>
      <c r="E155">
        <v>0</v>
      </c>
      <c r="G155">
        <v>0</v>
      </c>
      <c r="H155">
        <v>0</v>
      </c>
      <c r="I155">
        <v>0</v>
      </c>
      <c r="J155">
        <v>0</v>
      </c>
      <c r="K155">
        <v>0</v>
      </c>
      <c r="L155">
        <v>0</v>
      </c>
      <c r="M155">
        <v>0</v>
      </c>
      <c r="N155">
        <v>0</v>
      </c>
      <c r="O155">
        <v>1586125</v>
      </c>
      <c r="P155">
        <v>0</v>
      </c>
      <c r="Q155">
        <v>0</v>
      </c>
      <c r="R155">
        <v>0</v>
      </c>
      <c r="S155">
        <v>0</v>
      </c>
      <c r="T155">
        <v>0</v>
      </c>
      <c r="U155">
        <v>0</v>
      </c>
      <c r="V155">
        <v>0</v>
      </c>
      <c r="W155">
        <v>0</v>
      </c>
      <c r="Y155">
        <v>0</v>
      </c>
      <c r="Z155">
        <v>0</v>
      </c>
      <c r="AA155">
        <v>0</v>
      </c>
      <c r="AB155">
        <v>0</v>
      </c>
      <c r="AC155">
        <v>0</v>
      </c>
      <c r="AD155">
        <v>0</v>
      </c>
      <c r="AE155">
        <v>0</v>
      </c>
      <c r="AF155">
        <v>0</v>
      </c>
      <c r="AG155">
        <v>0</v>
      </c>
      <c r="AH155">
        <v>0</v>
      </c>
      <c r="AI155">
        <v>0</v>
      </c>
      <c r="AJ155">
        <v>0</v>
      </c>
      <c r="AM155">
        <v>0</v>
      </c>
      <c r="AN155">
        <v>0</v>
      </c>
      <c r="AO155">
        <v>0</v>
      </c>
      <c r="AP155">
        <v>0</v>
      </c>
      <c r="AQ155">
        <v>0</v>
      </c>
      <c r="AR155">
        <v>0</v>
      </c>
      <c r="AS155">
        <v>0</v>
      </c>
      <c r="AT155">
        <v>0</v>
      </c>
      <c r="AU155">
        <v>0</v>
      </c>
      <c r="AV155">
        <v>0</v>
      </c>
      <c r="AW155">
        <v>0</v>
      </c>
      <c r="AX155">
        <v>0</v>
      </c>
      <c r="AY155">
        <v>0</v>
      </c>
      <c r="AZ155">
        <v>0</v>
      </c>
      <c r="BA155">
        <v>0</v>
      </c>
      <c r="BB155">
        <v>0</v>
      </c>
      <c r="BC155">
        <v>101122</v>
      </c>
      <c r="BD155">
        <v>0</v>
      </c>
      <c r="BE155">
        <v>0</v>
      </c>
      <c r="BF155">
        <v>0</v>
      </c>
      <c r="BG155">
        <v>0</v>
      </c>
      <c r="BH155">
        <v>0</v>
      </c>
      <c r="BI155">
        <v>0</v>
      </c>
      <c r="BJ155">
        <v>0</v>
      </c>
      <c r="BK155">
        <v>0</v>
      </c>
      <c r="BN155">
        <v>0</v>
      </c>
      <c r="BO155">
        <v>0</v>
      </c>
      <c r="BP155">
        <v>0</v>
      </c>
      <c r="BQ155">
        <v>0</v>
      </c>
      <c r="BR155">
        <v>0</v>
      </c>
      <c r="BS155">
        <v>0</v>
      </c>
      <c r="BT155">
        <v>0</v>
      </c>
      <c r="BU155">
        <v>0</v>
      </c>
      <c r="BV155">
        <v>0</v>
      </c>
      <c r="BW155">
        <v>0</v>
      </c>
      <c r="BX155">
        <v>0</v>
      </c>
      <c r="BY155">
        <v>0</v>
      </c>
      <c r="BZ155">
        <v>0</v>
      </c>
      <c r="CA155">
        <v>0</v>
      </c>
      <c r="CB155">
        <v>0</v>
      </c>
      <c r="CD155">
        <v>0</v>
      </c>
    </row>
    <row r="156" spans="1:82" x14ac:dyDescent="0.3">
      <c r="A156">
        <v>590</v>
      </c>
      <c r="B156" t="s">
        <v>1584</v>
      </c>
      <c r="E156" t="s">
        <v>1992</v>
      </c>
      <c r="G156" t="s">
        <v>1992</v>
      </c>
      <c r="H156" t="s">
        <v>1992</v>
      </c>
      <c r="I156" t="s">
        <v>1992</v>
      </c>
      <c r="J156" t="s">
        <v>1992</v>
      </c>
      <c r="K156" t="s">
        <v>1992</v>
      </c>
      <c r="L156" t="s">
        <v>1992</v>
      </c>
      <c r="M156" t="s">
        <v>1992</v>
      </c>
      <c r="N156" t="s">
        <v>1992</v>
      </c>
      <c r="O156" t="s">
        <v>1992</v>
      </c>
      <c r="P156" t="s">
        <v>1992</v>
      </c>
      <c r="Q156" t="s">
        <v>1992</v>
      </c>
      <c r="R156" t="s">
        <v>1992</v>
      </c>
      <c r="S156" t="s">
        <v>1992</v>
      </c>
      <c r="T156" t="s">
        <v>1585</v>
      </c>
      <c r="U156" t="s">
        <v>1992</v>
      </c>
      <c r="V156" t="s">
        <v>1992</v>
      </c>
      <c r="W156" t="s">
        <v>1992</v>
      </c>
      <c r="Y156" t="s">
        <v>1992</v>
      </c>
      <c r="Z156" t="s">
        <v>1586</v>
      </c>
      <c r="AA156" t="s">
        <v>1992</v>
      </c>
      <c r="AB156" t="s">
        <v>1992</v>
      </c>
      <c r="AC156" t="s">
        <v>1992</v>
      </c>
      <c r="AD156" t="s">
        <v>1992</v>
      </c>
      <c r="AE156" t="s">
        <v>2559</v>
      </c>
      <c r="AF156" t="s">
        <v>1992</v>
      </c>
      <c r="AG156" t="s">
        <v>1992</v>
      </c>
      <c r="AH156" t="s">
        <v>1992</v>
      </c>
      <c r="AI156" t="s">
        <v>1992</v>
      </c>
      <c r="AJ156" t="s">
        <v>1992</v>
      </c>
      <c r="AM156" t="s">
        <v>1992</v>
      </c>
      <c r="AN156" t="s">
        <v>1992</v>
      </c>
      <c r="AO156" t="s">
        <v>1992</v>
      </c>
      <c r="AP156" t="s">
        <v>1992</v>
      </c>
      <c r="AR156" t="s">
        <v>1992</v>
      </c>
      <c r="AS156" t="s">
        <v>1992</v>
      </c>
      <c r="AT156" t="s">
        <v>1992</v>
      </c>
      <c r="AU156" t="s">
        <v>2560</v>
      </c>
      <c r="AV156" t="s">
        <v>1992</v>
      </c>
      <c r="AW156" t="s">
        <v>1992</v>
      </c>
      <c r="AX156" t="s">
        <v>1992</v>
      </c>
      <c r="AY156" t="s">
        <v>1992</v>
      </c>
      <c r="AZ156" t="s">
        <v>1585</v>
      </c>
      <c r="BA156" t="s">
        <v>1585</v>
      </c>
      <c r="BB156" t="s">
        <v>1992</v>
      </c>
      <c r="BC156" t="s">
        <v>1992</v>
      </c>
      <c r="BD156" t="s">
        <v>1992</v>
      </c>
      <c r="BE156" t="s">
        <v>1992</v>
      </c>
      <c r="BF156" t="s">
        <v>1992</v>
      </c>
      <c r="BG156" t="s">
        <v>1586</v>
      </c>
      <c r="BH156" t="s">
        <v>1992</v>
      </c>
      <c r="BI156" t="s">
        <v>1992</v>
      </c>
      <c r="BJ156" t="s">
        <v>1992</v>
      </c>
      <c r="BK156" t="s">
        <v>1992</v>
      </c>
      <c r="BN156" t="s">
        <v>1992</v>
      </c>
      <c r="BO156" t="s">
        <v>2561</v>
      </c>
      <c r="BP156" t="s">
        <v>1586</v>
      </c>
      <c r="BQ156" t="s">
        <v>1992</v>
      </c>
      <c r="BS156" t="s">
        <v>2562</v>
      </c>
      <c r="BT156" t="s">
        <v>1992</v>
      </c>
      <c r="BU156" t="s">
        <v>1992</v>
      </c>
      <c r="BV156" t="s">
        <v>1992</v>
      </c>
      <c r="BW156" t="s">
        <v>1992</v>
      </c>
      <c r="BX156" t="s">
        <v>1992</v>
      </c>
      <c r="BY156" t="s">
        <v>1585</v>
      </c>
      <c r="BZ156" t="s">
        <v>1992</v>
      </c>
      <c r="CA156" t="s">
        <v>1992</v>
      </c>
      <c r="CB156" t="s">
        <v>1992</v>
      </c>
      <c r="CD156" t="s">
        <v>1992</v>
      </c>
    </row>
    <row r="157" spans="1:82" x14ac:dyDescent="0.3">
      <c r="A157">
        <v>591</v>
      </c>
      <c r="B157" t="s">
        <v>327</v>
      </c>
      <c r="E157">
        <v>0</v>
      </c>
      <c r="G157">
        <v>0</v>
      </c>
      <c r="H157">
        <v>0</v>
      </c>
      <c r="I157">
        <v>0</v>
      </c>
      <c r="J157">
        <v>204627</v>
      </c>
      <c r="K157">
        <v>0</v>
      </c>
      <c r="L157">
        <v>0</v>
      </c>
      <c r="M157">
        <v>0</v>
      </c>
      <c r="N157">
        <v>0</v>
      </c>
      <c r="O157">
        <v>7240829</v>
      </c>
      <c r="P157">
        <v>0</v>
      </c>
      <c r="Q157">
        <v>99896456</v>
      </c>
      <c r="R157">
        <v>369706</v>
      </c>
      <c r="S157">
        <v>0</v>
      </c>
      <c r="T157">
        <v>22047191</v>
      </c>
      <c r="U157">
        <v>10383559</v>
      </c>
      <c r="V157">
        <v>43249513</v>
      </c>
      <c r="W157">
        <v>556694</v>
      </c>
      <c r="Y157">
        <v>6567390</v>
      </c>
      <c r="Z157">
        <v>1914853</v>
      </c>
      <c r="AA157">
        <v>9557534</v>
      </c>
      <c r="AB157">
        <v>4189634</v>
      </c>
      <c r="AC157">
        <v>1512246</v>
      </c>
      <c r="AD157">
        <v>1765434</v>
      </c>
      <c r="AE157">
        <v>3392105</v>
      </c>
      <c r="AF157">
        <v>3621457</v>
      </c>
      <c r="AG157">
        <v>4256192</v>
      </c>
      <c r="AH157">
        <v>0</v>
      </c>
      <c r="AI157">
        <v>79156963</v>
      </c>
      <c r="AJ157">
        <v>365550</v>
      </c>
      <c r="AM157">
        <v>24642335</v>
      </c>
      <c r="AN157">
        <v>438749</v>
      </c>
      <c r="AO157">
        <v>889446</v>
      </c>
      <c r="AP157">
        <v>0</v>
      </c>
      <c r="AQ157">
        <v>0</v>
      </c>
      <c r="AR157">
        <v>3222280</v>
      </c>
      <c r="AS157">
        <v>0</v>
      </c>
      <c r="AT157">
        <v>2101231</v>
      </c>
      <c r="AU157">
        <v>401363</v>
      </c>
      <c r="AV157">
        <v>20852433</v>
      </c>
      <c r="AW157">
        <v>0</v>
      </c>
      <c r="AX157">
        <v>1501388</v>
      </c>
      <c r="AY157">
        <v>3445708</v>
      </c>
      <c r="AZ157">
        <v>767064</v>
      </c>
      <c r="BA157">
        <v>320038</v>
      </c>
      <c r="BB157">
        <v>0</v>
      </c>
      <c r="BC157">
        <v>166224</v>
      </c>
      <c r="BD157">
        <v>5478579</v>
      </c>
      <c r="BE157">
        <v>0</v>
      </c>
      <c r="BF157">
        <v>333260</v>
      </c>
      <c r="BG157">
        <v>165904</v>
      </c>
      <c r="BH157">
        <v>0</v>
      </c>
      <c r="BI157">
        <v>266602</v>
      </c>
      <c r="BJ157">
        <v>0</v>
      </c>
      <c r="BK157">
        <v>3067285</v>
      </c>
      <c r="BN157">
        <v>896929</v>
      </c>
      <c r="BO157">
        <v>1010163</v>
      </c>
      <c r="BP157">
        <v>408590</v>
      </c>
      <c r="BQ157">
        <v>0</v>
      </c>
      <c r="BR157">
        <v>2585715</v>
      </c>
      <c r="BS157">
        <v>13626871</v>
      </c>
      <c r="BT157">
        <v>884219</v>
      </c>
      <c r="BU157">
        <v>5318728</v>
      </c>
      <c r="BV157">
        <v>0</v>
      </c>
      <c r="BW157">
        <v>3105226</v>
      </c>
      <c r="BX157">
        <v>408110</v>
      </c>
      <c r="BY157">
        <v>79689</v>
      </c>
      <c r="BZ157">
        <v>405161</v>
      </c>
      <c r="CA157">
        <v>316372</v>
      </c>
      <c r="CB157">
        <v>820345</v>
      </c>
      <c r="CD157">
        <v>52486</v>
      </c>
    </row>
    <row r="158" spans="1:82" x14ac:dyDescent="0.3">
      <c r="A158">
        <v>592</v>
      </c>
      <c r="B158" t="s">
        <v>328</v>
      </c>
      <c r="E158">
        <v>0</v>
      </c>
      <c r="G158">
        <v>0</v>
      </c>
      <c r="H158">
        <v>0</v>
      </c>
      <c r="I158">
        <v>0</v>
      </c>
      <c r="J158">
        <v>-31309</v>
      </c>
      <c r="K158">
        <v>0</v>
      </c>
      <c r="L158">
        <v>0</v>
      </c>
      <c r="M158">
        <v>0</v>
      </c>
      <c r="N158">
        <v>0</v>
      </c>
      <c r="O158">
        <v>2484522</v>
      </c>
      <c r="P158">
        <v>0</v>
      </c>
      <c r="Q158">
        <v>27439062</v>
      </c>
      <c r="R158">
        <v>4818</v>
      </c>
      <c r="S158">
        <v>0</v>
      </c>
      <c r="T158">
        <v>13552978</v>
      </c>
      <c r="U158">
        <v>63568</v>
      </c>
      <c r="V158">
        <v>3872595</v>
      </c>
      <c r="W158">
        <v>723278</v>
      </c>
      <c r="Y158">
        <v>504266</v>
      </c>
      <c r="Z158">
        <v>-64300</v>
      </c>
      <c r="AA158">
        <v>3576766</v>
      </c>
      <c r="AB158">
        <v>2687540</v>
      </c>
      <c r="AC158">
        <v>586862</v>
      </c>
      <c r="AD158">
        <v>399642</v>
      </c>
      <c r="AE158">
        <v>4283191</v>
      </c>
      <c r="AF158">
        <v>44298</v>
      </c>
      <c r="AG158">
        <v>742644</v>
      </c>
      <c r="AH158">
        <v>0</v>
      </c>
      <c r="AI158">
        <v>-407618</v>
      </c>
      <c r="AJ158">
        <v>40985</v>
      </c>
      <c r="AM158">
        <v>2953836</v>
      </c>
      <c r="AN158">
        <v>65051</v>
      </c>
      <c r="AO158">
        <v>-95863</v>
      </c>
      <c r="AP158">
        <v>0</v>
      </c>
      <c r="AQ158">
        <v>0</v>
      </c>
      <c r="AR158">
        <v>229719</v>
      </c>
      <c r="AS158">
        <v>0</v>
      </c>
      <c r="AT158">
        <v>1627829</v>
      </c>
      <c r="AU158">
        <v>43774</v>
      </c>
      <c r="AV158">
        <v>25522897</v>
      </c>
      <c r="AW158">
        <v>50000</v>
      </c>
      <c r="AX158">
        <v>847365</v>
      </c>
      <c r="AY158">
        <v>908330</v>
      </c>
      <c r="AZ158">
        <v>-1068</v>
      </c>
      <c r="BA158">
        <v>47268</v>
      </c>
      <c r="BB158">
        <v>0</v>
      </c>
      <c r="BC158">
        <v>72221</v>
      </c>
      <c r="BD158">
        <v>3902570</v>
      </c>
      <c r="BE158">
        <v>0</v>
      </c>
      <c r="BF158">
        <v>-16554</v>
      </c>
      <c r="BG158">
        <v>-48030</v>
      </c>
      <c r="BH158">
        <v>0</v>
      </c>
      <c r="BI158">
        <v>73365</v>
      </c>
      <c r="BJ158">
        <v>0</v>
      </c>
      <c r="BK158">
        <v>1921913</v>
      </c>
      <c r="BN158">
        <v>278978</v>
      </c>
      <c r="BO158">
        <v>719820</v>
      </c>
      <c r="BP158">
        <v>89818</v>
      </c>
      <c r="BQ158">
        <v>0</v>
      </c>
      <c r="BR158">
        <v>957899</v>
      </c>
      <c r="BS158">
        <v>1571388</v>
      </c>
      <c r="BT158">
        <v>-277420</v>
      </c>
      <c r="BU158">
        <v>3562990</v>
      </c>
      <c r="BV158">
        <v>0</v>
      </c>
      <c r="BW158">
        <v>-48178</v>
      </c>
      <c r="BX158">
        <v>335416</v>
      </c>
      <c r="BY158">
        <v>-18272</v>
      </c>
      <c r="BZ158">
        <v>281148</v>
      </c>
      <c r="CA158">
        <v>-97517</v>
      </c>
      <c r="CB158">
        <v>771344</v>
      </c>
      <c r="CD158">
        <v>-17156</v>
      </c>
    </row>
    <row r="159" spans="1:82" x14ac:dyDescent="0.3">
      <c r="A159">
        <v>596</v>
      </c>
      <c r="B159" t="s">
        <v>333</v>
      </c>
      <c r="E159">
        <v>52</v>
      </c>
      <c r="G159">
        <v>52</v>
      </c>
      <c r="H159">
        <v>0</v>
      </c>
      <c r="I159">
        <v>0</v>
      </c>
      <c r="J159">
        <v>52</v>
      </c>
      <c r="K159">
        <v>0</v>
      </c>
      <c r="L159">
        <v>52</v>
      </c>
      <c r="M159">
        <v>52</v>
      </c>
      <c r="N159">
        <v>52</v>
      </c>
      <c r="O159">
        <v>52</v>
      </c>
      <c r="P159">
        <v>52</v>
      </c>
      <c r="Q159">
        <v>52</v>
      </c>
      <c r="R159">
        <v>52</v>
      </c>
      <c r="S159">
        <v>0</v>
      </c>
      <c r="T159">
        <v>52</v>
      </c>
      <c r="U159">
        <v>52</v>
      </c>
      <c r="V159">
        <v>52</v>
      </c>
      <c r="W159">
        <v>0</v>
      </c>
      <c r="Y159">
        <v>52</v>
      </c>
      <c r="Z159">
        <v>52</v>
      </c>
      <c r="AA159">
        <v>52</v>
      </c>
      <c r="AB159">
        <v>52</v>
      </c>
      <c r="AC159">
        <v>52</v>
      </c>
      <c r="AD159">
        <v>52</v>
      </c>
      <c r="AE159">
        <v>52</v>
      </c>
      <c r="AF159">
        <v>52</v>
      </c>
      <c r="AG159">
        <v>52</v>
      </c>
      <c r="AH159">
        <v>0</v>
      </c>
      <c r="AI159">
        <v>52</v>
      </c>
      <c r="AJ159">
        <v>52</v>
      </c>
      <c r="AM159">
        <v>52</v>
      </c>
      <c r="AN159">
        <v>52</v>
      </c>
      <c r="AO159">
        <v>52</v>
      </c>
      <c r="AP159">
        <v>0</v>
      </c>
      <c r="AQ159">
        <v>52</v>
      </c>
      <c r="AR159">
        <v>52</v>
      </c>
      <c r="AS159">
        <v>0</v>
      </c>
      <c r="AT159">
        <v>52</v>
      </c>
      <c r="AU159">
        <v>52</v>
      </c>
      <c r="AV159">
        <v>52</v>
      </c>
      <c r="AW159">
        <v>50</v>
      </c>
      <c r="AX159">
        <v>52</v>
      </c>
      <c r="AY159">
        <v>52</v>
      </c>
      <c r="AZ159">
        <v>52</v>
      </c>
      <c r="BA159">
        <v>52</v>
      </c>
      <c r="BB159">
        <v>0</v>
      </c>
      <c r="BC159">
        <v>52</v>
      </c>
      <c r="BD159">
        <v>52</v>
      </c>
      <c r="BE159">
        <v>52</v>
      </c>
      <c r="BF159">
        <v>0</v>
      </c>
      <c r="BG159">
        <v>52</v>
      </c>
      <c r="BH159">
        <v>0</v>
      </c>
      <c r="BI159">
        <v>52</v>
      </c>
      <c r="BJ159">
        <v>52</v>
      </c>
      <c r="BK159">
        <v>52</v>
      </c>
      <c r="BN159">
        <v>52</v>
      </c>
      <c r="BO159">
        <v>52</v>
      </c>
      <c r="BP159">
        <v>52</v>
      </c>
      <c r="BQ159">
        <v>0</v>
      </c>
      <c r="BR159">
        <v>52</v>
      </c>
      <c r="BS159">
        <v>0</v>
      </c>
      <c r="BT159">
        <v>52</v>
      </c>
      <c r="BU159">
        <v>52</v>
      </c>
      <c r="BV159">
        <v>52</v>
      </c>
      <c r="BW159">
        <v>52</v>
      </c>
      <c r="BX159">
        <v>52</v>
      </c>
      <c r="BY159">
        <v>52</v>
      </c>
      <c r="BZ159">
        <v>52</v>
      </c>
      <c r="CA159">
        <v>52</v>
      </c>
      <c r="CB159">
        <v>52</v>
      </c>
      <c r="CD159">
        <v>0</v>
      </c>
    </row>
    <row r="160" spans="1:82" x14ac:dyDescent="0.3">
      <c r="A160">
        <v>597</v>
      </c>
      <c r="B160" t="s">
        <v>336</v>
      </c>
      <c r="E160">
        <v>0</v>
      </c>
      <c r="G160">
        <v>206464</v>
      </c>
      <c r="H160">
        <v>79375</v>
      </c>
      <c r="I160">
        <v>269773</v>
      </c>
      <c r="J160">
        <v>108</v>
      </c>
      <c r="K160">
        <v>0</v>
      </c>
      <c r="L160">
        <v>10735</v>
      </c>
      <c r="M160">
        <v>503837</v>
      </c>
      <c r="N160">
        <v>11327</v>
      </c>
      <c r="O160">
        <v>258001</v>
      </c>
      <c r="P160">
        <v>3339</v>
      </c>
      <c r="Q160">
        <v>3886426</v>
      </c>
      <c r="R160">
        <v>1179</v>
      </c>
      <c r="S160">
        <v>290</v>
      </c>
      <c r="T160">
        <v>6318524</v>
      </c>
      <c r="U160">
        <v>823718</v>
      </c>
      <c r="V160">
        <v>473210</v>
      </c>
      <c r="W160">
        <v>0</v>
      </c>
      <c r="Y160">
        <v>1062797</v>
      </c>
      <c r="Z160">
        <v>20980</v>
      </c>
      <c r="AA160">
        <v>1345011</v>
      </c>
      <c r="AB160">
        <v>0</v>
      </c>
      <c r="AC160">
        <v>59265</v>
      </c>
      <c r="AD160">
        <v>83736</v>
      </c>
      <c r="AE160">
        <v>18378</v>
      </c>
      <c r="AF160">
        <v>98812</v>
      </c>
      <c r="AG160">
        <v>53720</v>
      </c>
      <c r="AH160">
        <v>407</v>
      </c>
      <c r="AI160">
        <v>2477290</v>
      </c>
      <c r="AJ160">
        <v>71808</v>
      </c>
      <c r="AM160">
        <v>1206458</v>
      </c>
      <c r="AN160">
        <v>179</v>
      </c>
      <c r="AO160">
        <v>3</v>
      </c>
      <c r="AP160">
        <v>10</v>
      </c>
      <c r="AQ160">
        <v>567366</v>
      </c>
      <c r="AR160">
        <v>930149</v>
      </c>
      <c r="AS160">
        <v>199</v>
      </c>
      <c r="AT160">
        <v>52054</v>
      </c>
      <c r="AU160">
        <v>6049</v>
      </c>
      <c r="AV160">
        <v>1390162</v>
      </c>
      <c r="AW160">
        <v>87584</v>
      </c>
      <c r="AX160">
        <v>14461</v>
      </c>
      <c r="AY160">
        <v>589862</v>
      </c>
      <c r="AZ160">
        <v>22063</v>
      </c>
      <c r="BA160">
        <v>0</v>
      </c>
      <c r="BB160">
        <v>0</v>
      </c>
      <c r="BC160">
        <v>11553</v>
      </c>
      <c r="BD160">
        <v>287892</v>
      </c>
      <c r="BE160">
        <v>1427</v>
      </c>
      <c r="BF160">
        <v>5065</v>
      </c>
      <c r="BG160">
        <v>156</v>
      </c>
      <c r="BH160">
        <v>440</v>
      </c>
      <c r="BI160">
        <v>9698</v>
      </c>
      <c r="BJ160">
        <v>26</v>
      </c>
      <c r="BK160">
        <v>22592</v>
      </c>
      <c r="BN160">
        <v>228248</v>
      </c>
      <c r="BO160">
        <v>7385</v>
      </c>
      <c r="BP160">
        <v>2602</v>
      </c>
      <c r="BQ160">
        <v>837517</v>
      </c>
      <c r="BR160">
        <v>0</v>
      </c>
      <c r="BS160">
        <v>1294689</v>
      </c>
      <c r="BT160">
        <v>1116</v>
      </c>
      <c r="BU160">
        <v>156326</v>
      </c>
      <c r="BV160">
        <v>1634</v>
      </c>
      <c r="BW160">
        <v>81313</v>
      </c>
      <c r="BX160">
        <v>35685</v>
      </c>
      <c r="BY160">
        <v>368</v>
      </c>
      <c r="BZ160">
        <v>820</v>
      </c>
      <c r="CA160">
        <v>7178</v>
      </c>
      <c r="CB160">
        <v>11844</v>
      </c>
      <c r="CD160">
        <v>11371</v>
      </c>
    </row>
    <row r="161" spans="1:82" x14ac:dyDescent="0.3">
      <c r="A161">
        <v>598</v>
      </c>
      <c r="B161" t="s">
        <v>341</v>
      </c>
      <c r="E161">
        <v>0</v>
      </c>
      <c r="G161">
        <v>0</v>
      </c>
      <c r="H161">
        <v>0</v>
      </c>
      <c r="I161">
        <v>0</v>
      </c>
      <c r="J161">
        <v>0</v>
      </c>
      <c r="K161">
        <v>0</v>
      </c>
      <c r="L161">
        <v>0</v>
      </c>
      <c r="M161">
        <v>0</v>
      </c>
      <c r="N161">
        <v>0</v>
      </c>
      <c r="O161">
        <v>76156</v>
      </c>
      <c r="P161">
        <v>0</v>
      </c>
      <c r="Q161">
        <v>405160</v>
      </c>
      <c r="R161">
        <v>12831</v>
      </c>
      <c r="S161">
        <v>0</v>
      </c>
      <c r="T161">
        <v>85449</v>
      </c>
      <c r="U161">
        <v>275884</v>
      </c>
      <c r="V161">
        <v>108150</v>
      </c>
      <c r="W161">
        <v>69908</v>
      </c>
      <c r="Y161">
        <v>141636</v>
      </c>
      <c r="Z161">
        <v>0</v>
      </c>
      <c r="AA161">
        <v>64247</v>
      </c>
      <c r="AB161">
        <v>0</v>
      </c>
      <c r="AC161">
        <v>0</v>
      </c>
      <c r="AD161">
        <v>44290</v>
      </c>
      <c r="AE161">
        <v>0</v>
      </c>
      <c r="AF161">
        <v>62476</v>
      </c>
      <c r="AG161">
        <v>54932</v>
      </c>
      <c r="AH161">
        <v>0</v>
      </c>
      <c r="AI161">
        <v>113187</v>
      </c>
      <c r="AJ161">
        <v>0</v>
      </c>
      <c r="AM161">
        <v>52168</v>
      </c>
      <c r="AN161">
        <v>0</v>
      </c>
      <c r="AO161">
        <v>0</v>
      </c>
      <c r="AP161">
        <v>0</v>
      </c>
      <c r="AQ161">
        <v>15903</v>
      </c>
      <c r="AR161">
        <v>60180</v>
      </c>
      <c r="AS161">
        <v>0</v>
      </c>
      <c r="AT161">
        <v>0</v>
      </c>
      <c r="AU161">
        <v>0</v>
      </c>
      <c r="AV161">
        <v>74553</v>
      </c>
      <c r="AW161">
        <v>0</v>
      </c>
      <c r="AX161">
        <v>0</v>
      </c>
      <c r="AY161">
        <v>2318</v>
      </c>
      <c r="AZ161">
        <v>0</v>
      </c>
      <c r="BA161">
        <v>0</v>
      </c>
      <c r="BB161">
        <v>0</v>
      </c>
      <c r="BC161">
        <v>0</v>
      </c>
      <c r="BD161">
        <v>64600</v>
      </c>
      <c r="BE161">
        <v>0</v>
      </c>
      <c r="BF161">
        <v>0</v>
      </c>
      <c r="BG161">
        <v>0</v>
      </c>
      <c r="BH161">
        <v>0</v>
      </c>
      <c r="BI161">
        <v>0</v>
      </c>
      <c r="BJ161">
        <v>0</v>
      </c>
      <c r="BK161">
        <v>10272</v>
      </c>
      <c r="BN161">
        <v>0</v>
      </c>
      <c r="BO161">
        <v>0</v>
      </c>
      <c r="BP161">
        <v>0</v>
      </c>
      <c r="BQ161">
        <v>145741</v>
      </c>
      <c r="BR161">
        <v>0</v>
      </c>
      <c r="BS161">
        <v>107040</v>
      </c>
      <c r="BT161">
        <v>0</v>
      </c>
      <c r="BU161">
        <v>42174</v>
      </c>
      <c r="BV161">
        <v>0</v>
      </c>
      <c r="BW161">
        <v>0</v>
      </c>
      <c r="BX161">
        <v>0</v>
      </c>
      <c r="BY161">
        <v>0</v>
      </c>
      <c r="BZ161">
        <v>0</v>
      </c>
      <c r="CA161">
        <v>0</v>
      </c>
      <c r="CB161">
        <v>0</v>
      </c>
      <c r="CD161">
        <v>0</v>
      </c>
    </row>
    <row r="162" spans="1:82" x14ac:dyDescent="0.3">
      <c r="A162">
        <v>599</v>
      </c>
      <c r="B162" t="s">
        <v>340</v>
      </c>
      <c r="E162">
        <v>0</v>
      </c>
      <c r="G162">
        <v>0</v>
      </c>
      <c r="H162">
        <v>0</v>
      </c>
      <c r="I162">
        <v>0</v>
      </c>
      <c r="J162">
        <v>0</v>
      </c>
      <c r="K162">
        <v>0</v>
      </c>
      <c r="L162">
        <v>0</v>
      </c>
      <c r="M162">
        <v>1238708</v>
      </c>
      <c r="N162">
        <v>67380</v>
      </c>
      <c r="O162">
        <v>202903</v>
      </c>
      <c r="P162">
        <v>0</v>
      </c>
      <c r="Q162">
        <v>4764032</v>
      </c>
      <c r="R162">
        <v>78018</v>
      </c>
      <c r="S162">
        <v>0</v>
      </c>
      <c r="T162">
        <v>4656745</v>
      </c>
      <c r="U162">
        <v>1912888</v>
      </c>
      <c r="V162">
        <v>2686366</v>
      </c>
      <c r="W162">
        <v>2069993</v>
      </c>
      <c r="Y162">
        <v>1542271</v>
      </c>
      <c r="Z162">
        <v>91923</v>
      </c>
      <c r="AA162">
        <v>1428631</v>
      </c>
      <c r="AB162">
        <v>505823</v>
      </c>
      <c r="AC162">
        <v>0</v>
      </c>
      <c r="AD162">
        <v>337369</v>
      </c>
      <c r="AE162">
        <v>282073</v>
      </c>
      <c r="AF162">
        <v>1243592</v>
      </c>
      <c r="AG162">
        <v>438548</v>
      </c>
      <c r="AH162">
        <v>5673</v>
      </c>
      <c r="AI162">
        <v>3203161</v>
      </c>
      <c r="AJ162">
        <v>0</v>
      </c>
      <c r="AM162">
        <v>1238980</v>
      </c>
      <c r="AN162">
        <v>86090</v>
      </c>
      <c r="AO162">
        <v>23748</v>
      </c>
      <c r="AP162">
        <v>0</v>
      </c>
      <c r="AQ162">
        <v>260457</v>
      </c>
      <c r="AR162">
        <v>725014</v>
      </c>
      <c r="AS162">
        <v>21674</v>
      </c>
      <c r="AT162">
        <v>198655</v>
      </c>
      <c r="AU162">
        <v>0</v>
      </c>
      <c r="AV162">
        <v>1021701</v>
      </c>
      <c r="AW162">
        <v>0</v>
      </c>
      <c r="AX162">
        <v>124853</v>
      </c>
      <c r="AY162">
        <v>317737</v>
      </c>
      <c r="AZ162">
        <v>101370</v>
      </c>
      <c r="BA162">
        <v>0</v>
      </c>
      <c r="BB162">
        <v>0</v>
      </c>
      <c r="BC162">
        <v>0</v>
      </c>
      <c r="BD162">
        <v>830120</v>
      </c>
      <c r="BE162">
        <v>0</v>
      </c>
      <c r="BF162">
        <v>10476</v>
      </c>
      <c r="BG162">
        <v>0</v>
      </c>
      <c r="BH162">
        <v>0</v>
      </c>
      <c r="BI162">
        <v>0</v>
      </c>
      <c r="BJ162">
        <v>0</v>
      </c>
      <c r="BK162">
        <v>354318</v>
      </c>
      <c r="BN162">
        <v>275979</v>
      </c>
      <c r="BO162">
        <v>177719</v>
      </c>
      <c r="BP162">
        <v>118145</v>
      </c>
      <c r="BQ162">
        <v>1440370</v>
      </c>
      <c r="BR162">
        <v>128051</v>
      </c>
      <c r="BS162">
        <v>1985911</v>
      </c>
      <c r="BT162">
        <v>47847</v>
      </c>
      <c r="BU162">
        <v>577496</v>
      </c>
      <c r="BV162">
        <v>0</v>
      </c>
      <c r="BW162">
        <v>133564</v>
      </c>
      <c r="BX162">
        <v>9050</v>
      </c>
      <c r="BY162">
        <v>0</v>
      </c>
      <c r="BZ162">
        <v>0</v>
      </c>
      <c r="CA162">
        <v>0</v>
      </c>
      <c r="CB162">
        <v>57143</v>
      </c>
      <c r="CD162">
        <v>0</v>
      </c>
    </row>
    <row r="163" spans="1:82" x14ac:dyDescent="0.3">
      <c r="A163">
        <v>602</v>
      </c>
      <c r="B163" t="s">
        <v>342</v>
      </c>
      <c r="E163">
        <v>0</v>
      </c>
      <c r="G163">
        <v>0</v>
      </c>
      <c r="H163">
        <v>0</v>
      </c>
      <c r="I163">
        <v>0</v>
      </c>
      <c r="J163">
        <v>0</v>
      </c>
      <c r="K163">
        <v>0</v>
      </c>
      <c r="L163">
        <v>0</v>
      </c>
      <c r="M163">
        <v>0</v>
      </c>
      <c r="N163">
        <v>0</v>
      </c>
      <c r="O163">
        <v>0</v>
      </c>
      <c r="P163">
        <v>0</v>
      </c>
      <c r="Q163">
        <v>0</v>
      </c>
      <c r="R163">
        <v>0</v>
      </c>
      <c r="S163">
        <v>0</v>
      </c>
      <c r="T163">
        <v>0</v>
      </c>
      <c r="U163">
        <v>0</v>
      </c>
      <c r="V163">
        <v>0</v>
      </c>
      <c r="W163">
        <v>0</v>
      </c>
      <c r="Y163">
        <v>0</v>
      </c>
      <c r="Z163">
        <v>0</v>
      </c>
      <c r="AA163">
        <v>0</v>
      </c>
      <c r="AB163">
        <v>0</v>
      </c>
      <c r="AC163">
        <v>0</v>
      </c>
      <c r="AD163">
        <v>0</v>
      </c>
      <c r="AE163">
        <v>0</v>
      </c>
      <c r="AF163">
        <v>0</v>
      </c>
      <c r="AG163">
        <v>0</v>
      </c>
      <c r="AH163">
        <v>0</v>
      </c>
      <c r="AI163">
        <v>0</v>
      </c>
      <c r="AJ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N163">
        <v>0</v>
      </c>
      <c r="BO163">
        <v>0</v>
      </c>
      <c r="BP163">
        <v>0</v>
      </c>
      <c r="BQ163">
        <v>0</v>
      </c>
      <c r="BR163">
        <v>0</v>
      </c>
      <c r="BS163">
        <v>0</v>
      </c>
      <c r="BT163">
        <v>0</v>
      </c>
      <c r="BU163">
        <v>0</v>
      </c>
      <c r="BV163">
        <v>0</v>
      </c>
      <c r="BW163">
        <v>0</v>
      </c>
      <c r="BX163">
        <v>0</v>
      </c>
      <c r="BY163">
        <v>0</v>
      </c>
      <c r="BZ163">
        <v>0</v>
      </c>
      <c r="CA163">
        <v>0</v>
      </c>
      <c r="CB163">
        <v>0</v>
      </c>
      <c r="CD163">
        <v>0</v>
      </c>
    </row>
    <row r="164" spans="1:82" x14ac:dyDescent="0.3">
      <c r="A164">
        <v>606</v>
      </c>
      <c r="B164" t="s">
        <v>897</v>
      </c>
      <c r="M164">
        <v>1</v>
      </c>
      <c r="O164">
        <v>1</v>
      </c>
      <c r="Q164">
        <v>1</v>
      </c>
      <c r="T164">
        <v>1</v>
      </c>
      <c r="U164">
        <v>1</v>
      </c>
      <c r="V164">
        <v>1</v>
      </c>
      <c r="W164">
        <v>1</v>
      </c>
      <c r="Y164">
        <v>1</v>
      </c>
      <c r="AA164">
        <v>1</v>
      </c>
      <c r="AB164">
        <v>1</v>
      </c>
      <c r="AC164">
        <v>1</v>
      </c>
      <c r="AE164">
        <v>1</v>
      </c>
      <c r="AF164">
        <v>1</v>
      </c>
      <c r="AG164">
        <v>1</v>
      </c>
      <c r="AI164">
        <v>1</v>
      </c>
      <c r="AM164">
        <v>1</v>
      </c>
      <c r="AR164">
        <v>1</v>
      </c>
      <c r="AV164">
        <v>1</v>
      </c>
      <c r="AY164">
        <v>1</v>
      </c>
      <c r="BD164">
        <v>1</v>
      </c>
      <c r="BK164">
        <v>1</v>
      </c>
      <c r="BN164">
        <v>1</v>
      </c>
      <c r="BQ164" s="564">
        <v>1</v>
      </c>
      <c r="BS164">
        <v>1</v>
      </c>
      <c r="CB164">
        <v>1</v>
      </c>
    </row>
    <row r="165" spans="1:82" x14ac:dyDescent="0.3">
      <c r="A165">
        <v>619</v>
      </c>
      <c r="B165" t="s">
        <v>898</v>
      </c>
      <c r="E165">
        <v>0</v>
      </c>
      <c r="G165">
        <v>0</v>
      </c>
      <c r="H165">
        <v>0</v>
      </c>
      <c r="I165">
        <v>0</v>
      </c>
      <c r="J165">
        <v>0</v>
      </c>
      <c r="K165">
        <v>0</v>
      </c>
      <c r="L165">
        <v>0</v>
      </c>
      <c r="M165">
        <v>0</v>
      </c>
      <c r="N165">
        <v>0</v>
      </c>
      <c r="O165">
        <v>0</v>
      </c>
      <c r="P165">
        <v>0</v>
      </c>
      <c r="Q165">
        <v>0</v>
      </c>
      <c r="R165">
        <v>0</v>
      </c>
      <c r="S165">
        <v>0</v>
      </c>
      <c r="T165">
        <v>0</v>
      </c>
      <c r="U165">
        <v>0</v>
      </c>
      <c r="V165">
        <v>0</v>
      </c>
      <c r="W165">
        <v>0</v>
      </c>
      <c r="Y165">
        <v>0</v>
      </c>
      <c r="Z165">
        <v>0</v>
      </c>
      <c r="AA165">
        <v>0</v>
      </c>
      <c r="AB165">
        <v>0</v>
      </c>
      <c r="AC165">
        <v>0</v>
      </c>
      <c r="AD165">
        <v>0</v>
      </c>
      <c r="AE165">
        <v>0</v>
      </c>
      <c r="AF165">
        <v>0</v>
      </c>
      <c r="AG165">
        <v>0</v>
      </c>
      <c r="AH165">
        <v>0</v>
      </c>
      <c r="AI165">
        <v>0</v>
      </c>
      <c r="AJ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N165">
        <v>0</v>
      </c>
      <c r="BO165">
        <v>0</v>
      </c>
      <c r="BP165">
        <v>0</v>
      </c>
      <c r="BQ165">
        <v>0</v>
      </c>
      <c r="BR165">
        <v>0</v>
      </c>
      <c r="BS165">
        <v>0</v>
      </c>
      <c r="BT165">
        <v>0</v>
      </c>
      <c r="BU165">
        <v>0</v>
      </c>
      <c r="BV165">
        <v>0</v>
      </c>
      <c r="BW165">
        <v>0</v>
      </c>
      <c r="BX165">
        <v>0</v>
      </c>
      <c r="BY165">
        <v>0</v>
      </c>
      <c r="BZ165">
        <v>0</v>
      </c>
      <c r="CA165">
        <v>0</v>
      </c>
      <c r="CB165">
        <v>0</v>
      </c>
      <c r="CD165">
        <v>0</v>
      </c>
    </row>
    <row r="166" spans="1:82" x14ac:dyDescent="0.3">
      <c r="A166">
        <v>620</v>
      </c>
      <c r="B166" t="s">
        <v>899</v>
      </c>
      <c r="E166">
        <v>2</v>
      </c>
      <c r="G166">
        <v>2</v>
      </c>
      <c r="H166">
        <v>1</v>
      </c>
      <c r="I166">
        <v>2</v>
      </c>
      <c r="J166">
        <v>1</v>
      </c>
      <c r="K166">
        <v>2</v>
      </c>
      <c r="L166">
        <v>2</v>
      </c>
      <c r="M166">
        <v>2</v>
      </c>
      <c r="N166">
        <v>2</v>
      </c>
      <c r="O166">
        <v>1</v>
      </c>
      <c r="P166">
        <v>2</v>
      </c>
      <c r="Q166">
        <v>1</v>
      </c>
      <c r="R166">
        <v>2</v>
      </c>
      <c r="S166">
        <v>2</v>
      </c>
      <c r="T166">
        <v>1</v>
      </c>
      <c r="U166">
        <v>2</v>
      </c>
      <c r="V166">
        <v>1</v>
      </c>
      <c r="W166">
        <v>1</v>
      </c>
      <c r="Y166">
        <v>2</v>
      </c>
      <c r="Z166">
        <v>2</v>
      </c>
      <c r="AA166">
        <v>2</v>
      </c>
      <c r="AB166">
        <v>2</v>
      </c>
      <c r="AC166">
        <v>1</v>
      </c>
      <c r="AD166">
        <v>2</v>
      </c>
      <c r="AE166">
        <v>2</v>
      </c>
      <c r="AF166">
        <v>1</v>
      </c>
      <c r="AG166">
        <v>2</v>
      </c>
      <c r="AH166">
        <v>2</v>
      </c>
      <c r="AI166">
        <v>1</v>
      </c>
      <c r="AJ166">
        <v>2</v>
      </c>
      <c r="AM166">
        <v>1</v>
      </c>
      <c r="AN166">
        <v>2</v>
      </c>
      <c r="AO166">
        <v>1</v>
      </c>
      <c r="AP166">
        <v>2</v>
      </c>
      <c r="AQ166">
        <v>2</v>
      </c>
      <c r="AR166">
        <v>2</v>
      </c>
      <c r="AS166">
        <v>2</v>
      </c>
      <c r="AT166">
        <v>2</v>
      </c>
      <c r="AU166">
        <v>2</v>
      </c>
      <c r="AV166">
        <v>2</v>
      </c>
      <c r="AW166">
        <v>2</v>
      </c>
      <c r="AX166">
        <v>2</v>
      </c>
      <c r="AY166">
        <v>2</v>
      </c>
      <c r="AZ166">
        <v>2</v>
      </c>
      <c r="BA166">
        <v>2</v>
      </c>
      <c r="BB166">
        <v>2</v>
      </c>
      <c r="BC166">
        <v>2</v>
      </c>
      <c r="BD166">
        <v>2</v>
      </c>
      <c r="BE166">
        <v>2</v>
      </c>
      <c r="BF166">
        <v>2</v>
      </c>
      <c r="BG166">
        <v>2</v>
      </c>
      <c r="BH166">
        <v>2</v>
      </c>
      <c r="BI166">
        <v>2</v>
      </c>
      <c r="BJ166">
        <v>2</v>
      </c>
      <c r="BK166">
        <v>2</v>
      </c>
      <c r="BN166">
        <v>2</v>
      </c>
      <c r="BO166">
        <v>2</v>
      </c>
      <c r="BP166">
        <v>2</v>
      </c>
      <c r="BQ166">
        <v>2</v>
      </c>
      <c r="BR166">
        <v>2</v>
      </c>
      <c r="BS166">
        <v>2</v>
      </c>
      <c r="BT166">
        <v>2</v>
      </c>
      <c r="BU166">
        <v>2</v>
      </c>
      <c r="BV166">
        <v>2</v>
      </c>
      <c r="BW166">
        <v>2</v>
      </c>
      <c r="BX166">
        <v>2</v>
      </c>
      <c r="BY166">
        <v>2</v>
      </c>
      <c r="BZ166">
        <v>2</v>
      </c>
      <c r="CA166">
        <v>2</v>
      </c>
      <c r="CB166">
        <v>2</v>
      </c>
      <c r="CD166">
        <v>2</v>
      </c>
    </row>
    <row r="167" spans="1:82" x14ac:dyDescent="0.3">
      <c r="A167">
        <v>621</v>
      </c>
      <c r="B167" t="s">
        <v>900</v>
      </c>
      <c r="E167">
        <v>0</v>
      </c>
      <c r="G167">
        <v>0</v>
      </c>
      <c r="H167">
        <v>0</v>
      </c>
      <c r="I167">
        <v>0</v>
      </c>
      <c r="J167">
        <v>0</v>
      </c>
      <c r="K167">
        <v>0</v>
      </c>
      <c r="L167">
        <v>0</v>
      </c>
      <c r="M167">
        <v>4487991</v>
      </c>
      <c r="N167">
        <v>0</v>
      </c>
      <c r="O167">
        <v>0</v>
      </c>
      <c r="P167">
        <v>0</v>
      </c>
      <c r="Q167">
        <v>0</v>
      </c>
      <c r="R167">
        <v>0</v>
      </c>
      <c r="S167">
        <v>0</v>
      </c>
      <c r="T167">
        <v>0</v>
      </c>
      <c r="U167">
        <v>0</v>
      </c>
      <c r="V167">
        <v>0</v>
      </c>
      <c r="W167">
        <v>0</v>
      </c>
      <c r="Y167">
        <v>0</v>
      </c>
      <c r="Z167">
        <v>0</v>
      </c>
      <c r="AA167">
        <v>0</v>
      </c>
      <c r="AB167">
        <v>0</v>
      </c>
      <c r="AC167">
        <v>0</v>
      </c>
      <c r="AD167">
        <v>0</v>
      </c>
      <c r="AE167">
        <v>0</v>
      </c>
      <c r="AF167">
        <v>0</v>
      </c>
      <c r="AG167">
        <v>0</v>
      </c>
      <c r="AH167">
        <v>0</v>
      </c>
      <c r="AI167">
        <v>0</v>
      </c>
      <c r="AJ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N167">
        <v>0</v>
      </c>
      <c r="BO167">
        <v>0</v>
      </c>
      <c r="BP167">
        <v>0</v>
      </c>
      <c r="BQ167">
        <v>0</v>
      </c>
      <c r="BR167">
        <v>0</v>
      </c>
      <c r="BS167">
        <v>0</v>
      </c>
      <c r="BT167">
        <v>0</v>
      </c>
      <c r="BU167">
        <v>0</v>
      </c>
      <c r="BV167">
        <v>0</v>
      </c>
      <c r="BW167">
        <v>0</v>
      </c>
      <c r="BX167">
        <v>0</v>
      </c>
      <c r="BY167">
        <v>0</v>
      </c>
      <c r="BZ167">
        <v>0</v>
      </c>
      <c r="CA167">
        <v>0</v>
      </c>
      <c r="CB167">
        <v>0</v>
      </c>
      <c r="CD167">
        <v>0</v>
      </c>
    </row>
    <row r="168" spans="1:82" x14ac:dyDescent="0.3">
      <c r="A168">
        <v>622</v>
      </c>
      <c r="B168" t="s">
        <v>901</v>
      </c>
      <c r="E168">
        <v>0</v>
      </c>
      <c r="G168">
        <v>188424</v>
      </c>
      <c r="H168">
        <v>24258</v>
      </c>
      <c r="I168">
        <v>365002</v>
      </c>
      <c r="J168">
        <v>0</v>
      </c>
      <c r="K168">
        <v>0</v>
      </c>
      <c r="L168">
        <v>0</v>
      </c>
      <c r="M168">
        <v>4707772</v>
      </c>
      <c r="N168">
        <v>212118</v>
      </c>
      <c r="O168">
        <v>955658</v>
      </c>
      <c r="P168">
        <v>0</v>
      </c>
      <c r="Q168">
        <v>21506797</v>
      </c>
      <c r="R168">
        <v>538192</v>
      </c>
      <c r="S168">
        <v>0</v>
      </c>
      <c r="T168">
        <v>23302482</v>
      </c>
      <c r="U168">
        <v>1768147</v>
      </c>
      <c r="V168">
        <v>10116773</v>
      </c>
      <c r="W168">
        <v>11624162</v>
      </c>
      <c r="Y168">
        <v>4735979</v>
      </c>
      <c r="Z168">
        <v>562450</v>
      </c>
      <c r="AA168">
        <v>6056073</v>
      </c>
      <c r="AB168">
        <v>2042197</v>
      </c>
      <c r="AC168">
        <v>324946</v>
      </c>
      <c r="AD168">
        <v>592350</v>
      </c>
      <c r="AE168">
        <v>1161570</v>
      </c>
      <c r="AF168">
        <v>5447363</v>
      </c>
      <c r="AG168">
        <v>2385196</v>
      </c>
      <c r="AH168">
        <v>55850</v>
      </c>
      <c r="AI168">
        <v>18435623</v>
      </c>
      <c r="AJ168">
        <v>53594</v>
      </c>
      <c r="AM168">
        <v>7055168</v>
      </c>
      <c r="AN168">
        <v>0</v>
      </c>
      <c r="AO168">
        <v>322126</v>
      </c>
      <c r="AP168">
        <v>0</v>
      </c>
      <c r="AQ168">
        <v>1864491</v>
      </c>
      <c r="AR168">
        <v>2109794</v>
      </c>
      <c r="AS168">
        <v>0</v>
      </c>
      <c r="AT168">
        <v>631840</v>
      </c>
      <c r="AU168">
        <v>46260</v>
      </c>
      <c r="AV168">
        <v>5116774</v>
      </c>
      <c r="AW168">
        <v>301816</v>
      </c>
      <c r="AX168">
        <v>684305</v>
      </c>
      <c r="AY168">
        <v>2105381</v>
      </c>
      <c r="AZ168">
        <v>254993</v>
      </c>
      <c r="BA168">
        <v>401106</v>
      </c>
      <c r="BB168">
        <v>0</v>
      </c>
      <c r="BC168">
        <v>0</v>
      </c>
      <c r="BD168">
        <v>3037345</v>
      </c>
      <c r="BE168">
        <v>0</v>
      </c>
      <c r="BF168">
        <v>76159</v>
      </c>
      <c r="BG168">
        <v>0</v>
      </c>
      <c r="BH168">
        <v>0</v>
      </c>
      <c r="BI168">
        <v>57543</v>
      </c>
      <c r="BJ168">
        <v>0</v>
      </c>
      <c r="BK168">
        <v>1365226</v>
      </c>
      <c r="BN168">
        <v>1821617</v>
      </c>
      <c r="BO168">
        <v>433826</v>
      </c>
      <c r="BP168">
        <v>349769</v>
      </c>
      <c r="BQ168">
        <v>6130540</v>
      </c>
      <c r="BR168">
        <v>574297</v>
      </c>
      <c r="BS168">
        <v>4426264</v>
      </c>
      <c r="BT168">
        <v>226785</v>
      </c>
      <c r="BU168">
        <v>2322012</v>
      </c>
      <c r="BV168">
        <v>0</v>
      </c>
      <c r="BW168">
        <v>816878</v>
      </c>
      <c r="BX168">
        <v>159088</v>
      </c>
      <c r="BY168">
        <v>0</v>
      </c>
      <c r="BZ168">
        <v>9026</v>
      </c>
      <c r="CA168">
        <v>0</v>
      </c>
      <c r="CB168">
        <v>437776</v>
      </c>
      <c r="CD168">
        <v>0</v>
      </c>
    </row>
    <row r="169" spans="1:82" x14ac:dyDescent="0.3">
      <c r="A169">
        <v>624</v>
      </c>
      <c r="B169" t="s">
        <v>355</v>
      </c>
      <c r="E169">
        <v>1</v>
      </c>
      <c r="G169">
        <v>1</v>
      </c>
      <c r="H169">
        <v>2</v>
      </c>
      <c r="I169">
        <v>2</v>
      </c>
      <c r="J169">
        <v>2</v>
      </c>
      <c r="K169">
        <v>1</v>
      </c>
      <c r="L169">
        <v>1</v>
      </c>
      <c r="M169">
        <v>1</v>
      </c>
      <c r="N169">
        <v>1</v>
      </c>
      <c r="O169">
        <v>2</v>
      </c>
      <c r="P169">
        <v>1</v>
      </c>
      <c r="Q169">
        <v>2</v>
      </c>
      <c r="R169">
        <v>1</v>
      </c>
      <c r="S169">
        <v>2</v>
      </c>
      <c r="T169">
        <v>1</v>
      </c>
      <c r="U169">
        <v>2</v>
      </c>
      <c r="V169">
        <v>2</v>
      </c>
      <c r="W169">
        <v>1</v>
      </c>
      <c r="Y169">
        <v>2</v>
      </c>
      <c r="Z169">
        <v>1</v>
      </c>
      <c r="AA169">
        <v>1</v>
      </c>
      <c r="AB169">
        <v>2</v>
      </c>
      <c r="AC169">
        <v>1</v>
      </c>
      <c r="AD169">
        <v>1</v>
      </c>
      <c r="AE169">
        <v>1</v>
      </c>
      <c r="AF169">
        <v>2</v>
      </c>
      <c r="AG169">
        <v>2</v>
      </c>
      <c r="AH169">
        <v>1</v>
      </c>
      <c r="AI169">
        <v>1</v>
      </c>
      <c r="AJ169">
        <v>1</v>
      </c>
      <c r="AM169">
        <v>1</v>
      </c>
      <c r="AN169">
        <v>1</v>
      </c>
      <c r="AO169">
        <v>1</v>
      </c>
      <c r="AP169">
        <v>2</v>
      </c>
      <c r="AQ169">
        <v>2</v>
      </c>
      <c r="AR169">
        <v>2</v>
      </c>
      <c r="AS169">
        <v>1</v>
      </c>
      <c r="AT169">
        <v>1</v>
      </c>
      <c r="AU169">
        <v>1</v>
      </c>
      <c r="AV169">
        <v>2</v>
      </c>
      <c r="AW169">
        <v>1</v>
      </c>
      <c r="AX169">
        <v>1</v>
      </c>
      <c r="AY169">
        <v>2</v>
      </c>
      <c r="AZ169">
        <v>2</v>
      </c>
      <c r="BA169">
        <v>1</v>
      </c>
      <c r="BB169">
        <v>1</v>
      </c>
      <c r="BC169">
        <v>1</v>
      </c>
      <c r="BD169">
        <v>2</v>
      </c>
      <c r="BE169">
        <v>2</v>
      </c>
      <c r="BF169">
        <v>0</v>
      </c>
      <c r="BG169">
        <v>1</v>
      </c>
      <c r="BH169">
        <v>1</v>
      </c>
      <c r="BI169">
        <v>1</v>
      </c>
      <c r="BJ169">
        <v>1</v>
      </c>
      <c r="BK169">
        <v>0</v>
      </c>
      <c r="BN169">
        <v>2</v>
      </c>
      <c r="BO169">
        <v>2</v>
      </c>
      <c r="BP169">
        <v>2</v>
      </c>
      <c r="BQ169">
        <v>1</v>
      </c>
      <c r="BR169">
        <v>1</v>
      </c>
      <c r="BS169">
        <v>1</v>
      </c>
      <c r="BT169">
        <v>2</v>
      </c>
      <c r="BU169">
        <v>1</v>
      </c>
      <c r="BV169">
        <v>1</v>
      </c>
      <c r="BW169">
        <v>1</v>
      </c>
      <c r="BX169">
        <v>1</v>
      </c>
      <c r="BY169">
        <v>1</v>
      </c>
      <c r="BZ169">
        <v>1</v>
      </c>
      <c r="CA169">
        <v>1</v>
      </c>
      <c r="CB169">
        <v>2</v>
      </c>
      <c r="CD169">
        <v>1</v>
      </c>
    </row>
    <row r="170" spans="1:82" x14ac:dyDescent="0.3">
      <c r="A170">
        <v>626</v>
      </c>
      <c r="B170" t="s">
        <v>902</v>
      </c>
      <c r="E170">
        <v>44372</v>
      </c>
      <c r="G170">
        <v>471823</v>
      </c>
      <c r="H170">
        <v>130761</v>
      </c>
      <c r="I170">
        <v>729507</v>
      </c>
      <c r="J170">
        <v>413</v>
      </c>
      <c r="K170">
        <v>41769</v>
      </c>
      <c r="L170">
        <v>79704</v>
      </c>
      <c r="M170">
        <v>6233712</v>
      </c>
      <c r="N170">
        <v>36680</v>
      </c>
      <c r="O170">
        <v>171171</v>
      </c>
      <c r="P170">
        <v>2448</v>
      </c>
      <c r="Q170">
        <v>11941440</v>
      </c>
      <c r="R170">
        <v>96081</v>
      </c>
      <c r="S170">
        <v>30909</v>
      </c>
      <c r="T170">
        <v>16630229</v>
      </c>
      <c r="U170">
        <v>2678857</v>
      </c>
      <c r="V170">
        <v>3631326</v>
      </c>
      <c r="W170">
        <v>15409685</v>
      </c>
      <c r="Y170">
        <v>3744318</v>
      </c>
      <c r="Z170">
        <v>310776</v>
      </c>
      <c r="AA170">
        <v>2351500</v>
      </c>
      <c r="AB170">
        <v>514608</v>
      </c>
      <c r="AC170">
        <v>412576</v>
      </c>
      <c r="AD170">
        <v>127933</v>
      </c>
      <c r="AE170">
        <v>257980</v>
      </c>
      <c r="AF170">
        <v>6292529</v>
      </c>
      <c r="AG170">
        <v>438619</v>
      </c>
      <c r="AH170">
        <v>31571</v>
      </c>
      <c r="AI170">
        <v>6662588</v>
      </c>
      <c r="AJ170">
        <v>224916</v>
      </c>
      <c r="AM170">
        <v>8556533</v>
      </c>
      <c r="AN170">
        <v>42616</v>
      </c>
      <c r="AO170">
        <v>74808</v>
      </c>
      <c r="AP170">
        <v>42355</v>
      </c>
      <c r="AQ170">
        <v>2610386</v>
      </c>
      <c r="AR170">
        <v>248844</v>
      </c>
      <c r="AS170">
        <v>18669</v>
      </c>
      <c r="AT170">
        <v>480987</v>
      </c>
      <c r="AU170">
        <v>32762</v>
      </c>
      <c r="AV170">
        <v>10518521</v>
      </c>
      <c r="AW170">
        <v>2526930</v>
      </c>
      <c r="AX170">
        <v>101056</v>
      </c>
      <c r="AY170">
        <v>1365936</v>
      </c>
      <c r="AZ170">
        <v>287478</v>
      </c>
      <c r="BA170">
        <v>72995</v>
      </c>
      <c r="BB170">
        <v>0</v>
      </c>
      <c r="BC170">
        <v>15506</v>
      </c>
      <c r="BD170">
        <v>726725</v>
      </c>
      <c r="BE170">
        <v>57368</v>
      </c>
      <c r="BF170">
        <v>15322</v>
      </c>
      <c r="BG170">
        <v>30925</v>
      </c>
      <c r="BH170">
        <v>1461</v>
      </c>
      <c r="BI170">
        <v>3548</v>
      </c>
      <c r="BJ170">
        <v>6125</v>
      </c>
      <c r="BK170">
        <v>326729</v>
      </c>
      <c r="BN170">
        <v>687305</v>
      </c>
      <c r="BO170">
        <v>92474</v>
      </c>
      <c r="BP170">
        <v>21215</v>
      </c>
      <c r="BQ170">
        <v>2130797</v>
      </c>
      <c r="BR170">
        <v>118986</v>
      </c>
      <c r="BS170">
        <v>7068800</v>
      </c>
      <c r="BT170">
        <v>70927</v>
      </c>
      <c r="BU170">
        <v>378515</v>
      </c>
      <c r="BV170">
        <v>1258498</v>
      </c>
      <c r="BW170">
        <v>291041</v>
      </c>
      <c r="BX170">
        <v>392320</v>
      </c>
      <c r="BY170">
        <v>61154</v>
      </c>
      <c r="BZ170">
        <v>1230094</v>
      </c>
      <c r="CA170">
        <v>8653</v>
      </c>
      <c r="CB170">
        <v>222816</v>
      </c>
      <c r="CD170">
        <v>26463</v>
      </c>
    </row>
    <row r="171" spans="1:82" x14ac:dyDescent="0.3">
      <c r="A171">
        <v>627</v>
      </c>
      <c r="B171" t="s">
        <v>903</v>
      </c>
      <c r="E171">
        <v>0</v>
      </c>
      <c r="G171">
        <v>0</v>
      </c>
      <c r="H171">
        <v>0</v>
      </c>
      <c r="I171">
        <v>0</v>
      </c>
      <c r="J171">
        <v>0</v>
      </c>
      <c r="K171">
        <v>0</v>
      </c>
      <c r="L171">
        <v>0</v>
      </c>
      <c r="M171">
        <v>0</v>
      </c>
      <c r="N171">
        <v>0</v>
      </c>
      <c r="O171">
        <v>0</v>
      </c>
      <c r="P171">
        <v>0</v>
      </c>
      <c r="Q171">
        <v>0</v>
      </c>
      <c r="R171">
        <v>0</v>
      </c>
      <c r="S171">
        <v>0</v>
      </c>
      <c r="T171">
        <v>0</v>
      </c>
      <c r="U171">
        <v>0</v>
      </c>
      <c r="V171">
        <v>0</v>
      </c>
      <c r="W171">
        <v>0</v>
      </c>
      <c r="Y171">
        <v>0</v>
      </c>
      <c r="Z171">
        <v>0</v>
      </c>
      <c r="AA171">
        <v>0</v>
      </c>
      <c r="AB171">
        <v>0</v>
      </c>
      <c r="AC171">
        <v>0</v>
      </c>
      <c r="AD171">
        <v>0</v>
      </c>
      <c r="AE171">
        <v>0</v>
      </c>
      <c r="AF171">
        <v>0</v>
      </c>
      <c r="AG171">
        <v>0</v>
      </c>
      <c r="AH171">
        <v>0</v>
      </c>
      <c r="AI171">
        <v>0</v>
      </c>
      <c r="AJ171">
        <v>0</v>
      </c>
      <c r="AM171">
        <v>0</v>
      </c>
      <c r="AN171">
        <v>0</v>
      </c>
      <c r="AO171">
        <v>0</v>
      </c>
      <c r="AP171">
        <v>0</v>
      </c>
      <c r="AQ171">
        <v>0</v>
      </c>
      <c r="AR171">
        <v>0</v>
      </c>
      <c r="AS171">
        <v>0</v>
      </c>
      <c r="AT171">
        <v>161379</v>
      </c>
      <c r="AU171">
        <v>0</v>
      </c>
      <c r="AV171">
        <v>0</v>
      </c>
      <c r="AW171">
        <v>0</v>
      </c>
      <c r="AX171">
        <v>0</v>
      </c>
      <c r="AY171">
        <v>0</v>
      </c>
      <c r="AZ171">
        <v>0</v>
      </c>
      <c r="BA171">
        <v>0</v>
      </c>
      <c r="BB171">
        <v>0</v>
      </c>
      <c r="BC171">
        <v>0</v>
      </c>
      <c r="BD171">
        <v>0</v>
      </c>
      <c r="BE171">
        <v>0</v>
      </c>
      <c r="BF171">
        <v>0</v>
      </c>
      <c r="BG171">
        <v>0</v>
      </c>
      <c r="BH171">
        <v>0</v>
      </c>
      <c r="BI171">
        <v>0</v>
      </c>
      <c r="BJ171">
        <v>0</v>
      </c>
      <c r="BK171">
        <v>0</v>
      </c>
      <c r="BN171">
        <v>0</v>
      </c>
      <c r="BO171">
        <v>0</v>
      </c>
      <c r="BP171">
        <v>0</v>
      </c>
      <c r="BQ171">
        <v>0</v>
      </c>
      <c r="BR171">
        <v>0</v>
      </c>
      <c r="BS171">
        <v>0</v>
      </c>
      <c r="BT171">
        <v>0</v>
      </c>
      <c r="BU171">
        <v>0</v>
      </c>
      <c r="BV171">
        <v>0</v>
      </c>
      <c r="BW171">
        <v>0</v>
      </c>
      <c r="BX171">
        <v>0</v>
      </c>
      <c r="BY171">
        <v>0</v>
      </c>
      <c r="BZ171">
        <v>0</v>
      </c>
      <c r="CA171">
        <v>0</v>
      </c>
      <c r="CB171">
        <v>0</v>
      </c>
      <c r="CD171">
        <v>0</v>
      </c>
    </row>
    <row r="172" spans="1:82" x14ac:dyDescent="0.3">
      <c r="A172">
        <v>628</v>
      </c>
      <c r="B172" t="s">
        <v>904</v>
      </c>
      <c r="E172">
        <v>0</v>
      </c>
      <c r="G172">
        <v>14855</v>
      </c>
      <c r="H172">
        <v>0</v>
      </c>
      <c r="I172">
        <v>46283</v>
      </c>
      <c r="J172">
        <v>0</v>
      </c>
      <c r="K172">
        <v>0</v>
      </c>
      <c r="L172">
        <v>0</v>
      </c>
      <c r="M172">
        <v>293506</v>
      </c>
      <c r="N172">
        <v>0</v>
      </c>
      <c r="O172">
        <v>0</v>
      </c>
      <c r="P172">
        <v>0</v>
      </c>
      <c r="Q172">
        <v>2441708</v>
      </c>
      <c r="R172">
        <v>0</v>
      </c>
      <c r="S172">
        <v>0</v>
      </c>
      <c r="T172">
        <v>298132</v>
      </c>
      <c r="U172">
        <v>659145</v>
      </c>
      <c r="V172">
        <v>119452</v>
      </c>
      <c r="W172">
        <v>1451345</v>
      </c>
      <c r="Y172">
        <v>278722</v>
      </c>
      <c r="Z172">
        <v>0</v>
      </c>
      <c r="AA172">
        <v>184709</v>
      </c>
      <c r="AB172">
        <v>35000</v>
      </c>
      <c r="AC172">
        <v>0</v>
      </c>
      <c r="AD172">
        <v>56772</v>
      </c>
      <c r="AE172">
        <v>49000</v>
      </c>
      <c r="AF172">
        <v>310000</v>
      </c>
      <c r="AG172">
        <v>0</v>
      </c>
      <c r="AH172">
        <v>0</v>
      </c>
      <c r="AI172">
        <v>591425</v>
      </c>
      <c r="AJ172">
        <v>0</v>
      </c>
      <c r="AM172">
        <v>469678</v>
      </c>
      <c r="AN172">
        <v>0</v>
      </c>
      <c r="AO172">
        <v>1698</v>
      </c>
      <c r="AP172">
        <v>0</v>
      </c>
      <c r="AQ172">
        <v>50000</v>
      </c>
      <c r="AR172">
        <v>0</v>
      </c>
      <c r="AS172">
        <v>0</v>
      </c>
      <c r="AT172">
        <v>23296</v>
      </c>
      <c r="AU172">
        <v>0</v>
      </c>
      <c r="AV172">
        <v>0</v>
      </c>
      <c r="AW172">
        <v>21487</v>
      </c>
      <c r="AX172">
        <v>0</v>
      </c>
      <c r="AY172">
        <v>71956</v>
      </c>
      <c r="AZ172">
        <v>0</v>
      </c>
      <c r="BA172">
        <v>2894</v>
      </c>
      <c r="BB172">
        <v>0</v>
      </c>
      <c r="BC172">
        <v>0</v>
      </c>
      <c r="BD172">
        <v>0</v>
      </c>
      <c r="BE172">
        <v>0</v>
      </c>
      <c r="BF172">
        <v>0</v>
      </c>
      <c r="BG172">
        <v>0</v>
      </c>
      <c r="BH172">
        <v>0</v>
      </c>
      <c r="BI172">
        <v>0</v>
      </c>
      <c r="BJ172">
        <v>0</v>
      </c>
      <c r="BK172">
        <v>0</v>
      </c>
      <c r="BN172">
        <v>97200</v>
      </c>
      <c r="BO172">
        <v>0</v>
      </c>
      <c r="BP172">
        <v>0</v>
      </c>
      <c r="BQ172">
        <v>553928</v>
      </c>
      <c r="BR172">
        <v>0</v>
      </c>
      <c r="BS172">
        <v>34805</v>
      </c>
      <c r="BT172">
        <v>4000</v>
      </c>
      <c r="BU172">
        <v>0</v>
      </c>
      <c r="BV172">
        <v>0</v>
      </c>
      <c r="BW172">
        <v>15012</v>
      </c>
      <c r="BX172">
        <v>0</v>
      </c>
      <c r="BY172">
        <v>0</v>
      </c>
      <c r="BZ172">
        <v>0</v>
      </c>
      <c r="CA172">
        <v>0</v>
      </c>
      <c r="CB172">
        <v>20000</v>
      </c>
      <c r="CD172">
        <v>0</v>
      </c>
    </row>
    <row r="173" spans="1:82" x14ac:dyDescent="0.3">
      <c r="A173">
        <v>629</v>
      </c>
      <c r="B173" t="s">
        <v>905</v>
      </c>
      <c r="E173">
        <v>0</v>
      </c>
      <c r="G173">
        <v>0</v>
      </c>
      <c r="H173">
        <v>0</v>
      </c>
      <c r="I173">
        <v>0</v>
      </c>
      <c r="J173">
        <v>0</v>
      </c>
      <c r="K173">
        <v>0</v>
      </c>
      <c r="L173">
        <v>0</v>
      </c>
      <c r="M173">
        <v>0</v>
      </c>
      <c r="N173">
        <v>0</v>
      </c>
      <c r="O173">
        <v>0</v>
      </c>
      <c r="P173">
        <v>0</v>
      </c>
      <c r="Q173">
        <v>275309</v>
      </c>
      <c r="R173">
        <v>0</v>
      </c>
      <c r="S173">
        <v>0</v>
      </c>
      <c r="T173">
        <v>0</v>
      </c>
      <c r="U173">
        <v>0</v>
      </c>
      <c r="V173">
        <v>0</v>
      </c>
      <c r="W173">
        <v>0</v>
      </c>
      <c r="Y173">
        <v>0</v>
      </c>
      <c r="Z173">
        <v>0</v>
      </c>
      <c r="AA173">
        <v>0</v>
      </c>
      <c r="AB173">
        <v>0</v>
      </c>
      <c r="AC173">
        <v>0</v>
      </c>
      <c r="AD173">
        <v>0</v>
      </c>
      <c r="AE173">
        <v>0</v>
      </c>
      <c r="AF173">
        <v>46111</v>
      </c>
      <c r="AG173">
        <v>0</v>
      </c>
      <c r="AH173">
        <v>0</v>
      </c>
      <c r="AI173">
        <v>0</v>
      </c>
      <c r="AJ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N173">
        <v>0</v>
      </c>
      <c r="BO173">
        <v>0</v>
      </c>
      <c r="BP173">
        <v>0</v>
      </c>
      <c r="BQ173">
        <v>0</v>
      </c>
      <c r="BR173">
        <v>0</v>
      </c>
      <c r="BS173">
        <v>0</v>
      </c>
      <c r="BT173">
        <v>0</v>
      </c>
      <c r="BU173">
        <v>0</v>
      </c>
      <c r="BV173">
        <v>0</v>
      </c>
      <c r="BW173">
        <v>0</v>
      </c>
      <c r="BX173">
        <v>0</v>
      </c>
      <c r="BY173">
        <v>0</v>
      </c>
      <c r="BZ173">
        <v>0</v>
      </c>
      <c r="CA173">
        <v>0</v>
      </c>
      <c r="CB173">
        <v>0</v>
      </c>
      <c r="CD173">
        <v>0</v>
      </c>
    </row>
    <row r="174" spans="1:82" x14ac:dyDescent="0.3">
      <c r="A174">
        <v>630</v>
      </c>
      <c r="B174" t="s">
        <v>906</v>
      </c>
      <c r="E174">
        <v>0</v>
      </c>
      <c r="G174">
        <v>0</v>
      </c>
      <c r="H174">
        <v>0</v>
      </c>
      <c r="I174">
        <v>597675</v>
      </c>
      <c r="J174">
        <v>0</v>
      </c>
      <c r="K174">
        <v>0</v>
      </c>
      <c r="L174">
        <v>70363</v>
      </c>
      <c r="M174">
        <v>75886</v>
      </c>
      <c r="N174">
        <v>0</v>
      </c>
      <c r="O174">
        <v>0</v>
      </c>
      <c r="P174">
        <v>0</v>
      </c>
      <c r="Q174">
        <v>21548</v>
      </c>
      <c r="R174">
        <v>0</v>
      </c>
      <c r="S174">
        <v>0</v>
      </c>
      <c r="T174">
        <v>439221</v>
      </c>
      <c r="U174">
        <v>0</v>
      </c>
      <c r="V174">
        <v>0</v>
      </c>
      <c r="W174">
        <v>0</v>
      </c>
      <c r="Y174">
        <v>137379</v>
      </c>
      <c r="Z174">
        <v>0</v>
      </c>
      <c r="AA174">
        <v>56485</v>
      </c>
      <c r="AB174">
        <v>0</v>
      </c>
      <c r="AC174">
        <v>0</v>
      </c>
      <c r="AD174">
        <v>0</v>
      </c>
      <c r="AE174">
        <v>0</v>
      </c>
      <c r="AF174">
        <v>650491</v>
      </c>
      <c r="AG174">
        <v>0</v>
      </c>
      <c r="AH174">
        <v>0</v>
      </c>
      <c r="AI174">
        <v>0</v>
      </c>
      <c r="AJ174">
        <v>0</v>
      </c>
      <c r="AM174">
        <v>33745</v>
      </c>
      <c r="AN174">
        <v>0</v>
      </c>
      <c r="AO174">
        <v>0</v>
      </c>
      <c r="AP174">
        <v>0</v>
      </c>
      <c r="AQ174">
        <v>200383</v>
      </c>
      <c r="AR174">
        <v>0</v>
      </c>
      <c r="AS174">
        <v>0</v>
      </c>
      <c r="AT174">
        <v>0</v>
      </c>
      <c r="AU174">
        <v>21236</v>
      </c>
      <c r="AV174">
        <v>0</v>
      </c>
      <c r="AW174">
        <v>12908</v>
      </c>
      <c r="AX174">
        <v>33000</v>
      </c>
      <c r="AY174">
        <v>0</v>
      </c>
      <c r="AZ174">
        <v>0</v>
      </c>
      <c r="BA174">
        <v>0</v>
      </c>
      <c r="BB174">
        <v>0</v>
      </c>
      <c r="BC174">
        <v>3550</v>
      </c>
      <c r="BD174">
        <v>0</v>
      </c>
      <c r="BE174">
        <v>56141</v>
      </c>
      <c r="BF174">
        <v>0</v>
      </c>
      <c r="BG174">
        <v>0</v>
      </c>
      <c r="BH174">
        <v>0</v>
      </c>
      <c r="BI174">
        <v>0</v>
      </c>
      <c r="BJ174">
        <v>0</v>
      </c>
      <c r="BK174">
        <v>0</v>
      </c>
      <c r="BN174">
        <v>38990</v>
      </c>
      <c r="BO174">
        <v>0</v>
      </c>
      <c r="BP174">
        <v>0</v>
      </c>
      <c r="BQ174">
        <v>0</v>
      </c>
      <c r="BR174">
        <v>0</v>
      </c>
      <c r="BS174">
        <v>2014372</v>
      </c>
      <c r="BT174">
        <v>0</v>
      </c>
      <c r="BU174">
        <v>0</v>
      </c>
      <c r="BV174">
        <v>1228742</v>
      </c>
      <c r="BW174">
        <v>0</v>
      </c>
      <c r="BX174">
        <v>338006</v>
      </c>
      <c r="BY174">
        <v>0</v>
      </c>
      <c r="BZ174">
        <v>0</v>
      </c>
      <c r="CA174">
        <v>0</v>
      </c>
      <c r="CB174">
        <v>0</v>
      </c>
      <c r="CD174">
        <v>0</v>
      </c>
    </row>
    <row r="175" spans="1:82" x14ac:dyDescent="0.3">
      <c r="A175">
        <v>631</v>
      </c>
      <c r="B175" t="s">
        <v>907</v>
      </c>
      <c r="E175">
        <v>0</v>
      </c>
      <c r="G175">
        <v>0</v>
      </c>
      <c r="H175">
        <v>0</v>
      </c>
      <c r="I175">
        <v>0</v>
      </c>
      <c r="J175">
        <v>0</v>
      </c>
      <c r="K175">
        <v>0</v>
      </c>
      <c r="L175">
        <v>0</v>
      </c>
      <c r="M175">
        <v>0</v>
      </c>
      <c r="N175">
        <v>0</v>
      </c>
      <c r="O175">
        <v>0</v>
      </c>
      <c r="P175">
        <v>0</v>
      </c>
      <c r="Q175">
        <v>614765</v>
      </c>
      <c r="R175">
        <v>0</v>
      </c>
      <c r="S175">
        <v>0</v>
      </c>
      <c r="T175">
        <v>0</v>
      </c>
      <c r="U175">
        <v>0</v>
      </c>
      <c r="V175">
        <v>0</v>
      </c>
      <c r="W175">
        <v>0</v>
      </c>
      <c r="Y175">
        <v>0</v>
      </c>
      <c r="Z175">
        <v>0</v>
      </c>
      <c r="AA175">
        <v>0</v>
      </c>
      <c r="AB175">
        <v>0</v>
      </c>
      <c r="AC175">
        <v>0</v>
      </c>
      <c r="AD175">
        <v>0</v>
      </c>
      <c r="AE175">
        <v>0</v>
      </c>
      <c r="AF175">
        <v>137297</v>
      </c>
      <c r="AG175">
        <v>0</v>
      </c>
      <c r="AH175">
        <v>0</v>
      </c>
      <c r="AI175">
        <v>0</v>
      </c>
      <c r="AJ175">
        <v>0</v>
      </c>
      <c r="AM175">
        <v>194908</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N175">
        <v>0</v>
      </c>
      <c r="BO175">
        <v>0</v>
      </c>
      <c r="BP175">
        <v>0</v>
      </c>
      <c r="BQ175">
        <v>0</v>
      </c>
      <c r="BR175">
        <v>0</v>
      </c>
      <c r="BS175">
        <v>0</v>
      </c>
      <c r="BT175">
        <v>0</v>
      </c>
      <c r="BU175">
        <v>0</v>
      </c>
      <c r="BV175">
        <v>0</v>
      </c>
      <c r="BW175">
        <v>0</v>
      </c>
      <c r="BX175">
        <v>0</v>
      </c>
      <c r="BY175">
        <v>0</v>
      </c>
      <c r="BZ175">
        <v>0</v>
      </c>
      <c r="CA175">
        <v>0</v>
      </c>
      <c r="CB175">
        <v>0</v>
      </c>
      <c r="CD175">
        <v>0</v>
      </c>
    </row>
    <row r="176" spans="1:82" x14ac:dyDescent="0.3">
      <c r="A176">
        <v>632</v>
      </c>
      <c r="B176" t="s">
        <v>908</v>
      </c>
      <c r="E176">
        <v>0</v>
      </c>
      <c r="G176">
        <v>0</v>
      </c>
      <c r="H176">
        <v>0</v>
      </c>
      <c r="I176">
        <v>0</v>
      </c>
      <c r="J176">
        <v>0</v>
      </c>
      <c r="K176">
        <v>0</v>
      </c>
      <c r="L176">
        <v>0</v>
      </c>
      <c r="M176">
        <v>0</v>
      </c>
      <c r="N176">
        <v>0</v>
      </c>
      <c r="O176">
        <v>0</v>
      </c>
      <c r="P176">
        <v>0</v>
      </c>
      <c r="Q176">
        <v>0</v>
      </c>
      <c r="R176">
        <v>0</v>
      </c>
      <c r="S176">
        <v>0</v>
      </c>
      <c r="T176">
        <v>0</v>
      </c>
      <c r="U176">
        <v>0</v>
      </c>
      <c r="V176">
        <v>0</v>
      </c>
      <c r="W176">
        <v>0</v>
      </c>
      <c r="Y176">
        <v>0</v>
      </c>
      <c r="Z176">
        <v>0</v>
      </c>
      <c r="AA176">
        <v>0</v>
      </c>
      <c r="AB176">
        <v>0</v>
      </c>
      <c r="AC176">
        <v>0</v>
      </c>
      <c r="AD176">
        <v>0</v>
      </c>
      <c r="AE176">
        <v>0</v>
      </c>
      <c r="AF176">
        <v>0</v>
      </c>
      <c r="AG176">
        <v>0</v>
      </c>
      <c r="AH176">
        <v>0</v>
      </c>
      <c r="AI176">
        <v>0</v>
      </c>
      <c r="AJ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N176">
        <v>0</v>
      </c>
      <c r="BO176">
        <v>0</v>
      </c>
      <c r="BP176">
        <v>0</v>
      </c>
      <c r="BQ176">
        <v>0</v>
      </c>
      <c r="BR176">
        <v>0</v>
      </c>
      <c r="BS176">
        <v>0</v>
      </c>
      <c r="BT176">
        <v>0</v>
      </c>
      <c r="BU176">
        <v>0</v>
      </c>
      <c r="BV176">
        <v>0</v>
      </c>
      <c r="BW176">
        <v>0</v>
      </c>
      <c r="BX176">
        <v>0</v>
      </c>
      <c r="BY176">
        <v>0</v>
      </c>
      <c r="BZ176">
        <v>0</v>
      </c>
      <c r="CA176">
        <v>0</v>
      </c>
      <c r="CB176">
        <v>0</v>
      </c>
      <c r="CD176">
        <v>0</v>
      </c>
    </row>
    <row r="177" spans="1:82" x14ac:dyDescent="0.3">
      <c r="A177">
        <v>633</v>
      </c>
      <c r="B177" t="s">
        <v>371</v>
      </c>
      <c r="E177">
        <v>0</v>
      </c>
      <c r="G177">
        <v>0</v>
      </c>
      <c r="H177">
        <v>0</v>
      </c>
      <c r="I177">
        <v>0</v>
      </c>
      <c r="J177">
        <v>19851</v>
      </c>
      <c r="K177">
        <v>0</v>
      </c>
      <c r="L177">
        <v>0</v>
      </c>
      <c r="M177">
        <v>0</v>
      </c>
      <c r="N177">
        <v>0</v>
      </c>
      <c r="O177">
        <v>430206</v>
      </c>
      <c r="P177">
        <v>0</v>
      </c>
      <c r="Q177">
        <v>2101112</v>
      </c>
      <c r="R177">
        <v>53244</v>
      </c>
      <c r="S177">
        <v>0</v>
      </c>
      <c r="T177">
        <v>8517323</v>
      </c>
      <c r="U177">
        <v>2116583</v>
      </c>
      <c r="V177">
        <v>2087336</v>
      </c>
      <c r="W177">
        <v>0</v>
      </c>
      <c r="Y177">
        <v>1190301</v>
      </c>
      <c r="Z177">
        <v>446864</v>
      </c>
      <c r="AA177">
        <v>1569876</v>
      </c>
      <c r="AB177">
        <v>843239</v>
      </c>
      <c r="AC177">
        <v>279508</v>
      </c>
      <c r="AD177">
        <v>802203</v>
      </c>
      <c r="AE177">
        <v>493170</v>
      </c>
      <c r="AF177">
        <v>933960</v>
      </c>
      <c r="AG177">
        <v>733603</v>
      </c>
      <c r="AH177">
        <v>0</v>
      </c>
      <c r="AI177">
        <v>3947440</v>
      </c>
      <c r="AJ177">
        <v>40169</v>
      </c>
      <c r="AM177">
        <v>2005699</v>
      </c>
      <c r="AN177">
        <v>55373</v>
      </c>
      <c r="AO177">
        <v>241638</v>
      </c>
      <c r="AP177">
        <v>0</v>
      </c>
      <c r="AQ177">
        <v>0</v>
      </c>
      <c r="AR177">
        <v>282020</v>
      </c>
      <c r="AS177">
        <v>0</v>
      </c>
      <c r="AT177">
        <v>586224</v>
      </c>
      <c r="AU177">
        <v>0</v>
      </c>
      <c r="AV177">
        <v>5599936</v>
      </c>
      <c r="AW177">
        <v>0</v>
      </c>
      <c r="AX177">
        <v>485454</v>
      </c>
      <c r="AY177">
        <v>154590</v>
      </c>
      <c r="AZ177">
        <v>168080</v>
      </c>
      <c r="BA177">
        <v>80090</v>
      </c>
      <c r="BB177">
        <v>0</v>
      </c>
      <c r="BC177">
        <v>123284</v>
      </c>
      <c r="BD177">
        <v>4094085</v>
      </c>
      <c r="BE177">
        <v>0</v>
      </c>
      <c r="BF177">
        <v>252276</v>
      </c>
      <c r="BG177">
        <v>5765</v>
      </c>
      <c r="BH177">
        <v>0</v>
      </c>
      <c r="BI177">
        <v>41060</v>
      </c>
      <c r="BJ177">
        <v>0</v>
      </c>
      <c r="BK177">
        <v>449094</v>
      </c>
      <c r="BN177">
        <v>128005</v>
      </c>
      <c r="BO177">
        <v>187121</v>
      </c>
      <c r="BP177">
        <v>116936</v>
      </c>
      <c r="BQ177">
        <v>0</v>
      </c>
      <c r="BR177">
        <v>232743</v>
      </c>
      <c r="BS177">
        <v>0</v>
      </c>
      <c r="BT177">
        <v>112842</v>
      </c>
      <c r="BU177">
        <v>398801</v>
      </c>
      <c r="BV177">
        <v>0</v>
      </c>
      <c r="BW177">
        <v>1092637</v>
      </c>
      <c r="BX177">
        <v>52412</v>
      </c>
      <c r="BY177">
        <v>16385</v>
      </c>
      <c r="BZ177">
        <v>91582</v>
      </c>
      <c r="CA177">
        <v>33692</v>
      </c>
      <c r="CB177">
        <v>862109</v>
      </c>
      <c r="CD177">
        <v>0</v>
      </c>
    </row>
    <row r="178" spans="1:82" x14ac:dyDescent="0.3">
      <c r="A178">
        <v>634</v>
      </c>
      <c r="B178" t="s">
        <v>372</v>
      </c>
      <c r="E178">
        <v>0</v>
      </c>
      <c r="G178">
        <v>0</v>
      </c>
      <c r="H178">
        <v>0</v>
      </c>
      <c r="I178">
        <v>0</v>
      </c>
      <c r="J178">
        <v>0</v>
      </c>
      <c r="K178">
        <v>0</v>
      </c>
      <c r="L178">
        <v>0</v>
      </c>
      <c r="M178">
        <v>0</v>
      </c>
      <c r="N178">
        <v>0</v>
      </c>
      <c r="O178">
        <v>0</v>
      </c>
      <c r="P178">
        <v>0</v>
      </c>
      <c r="Q178">
        <v>0</v>
      </c>
      <c r="R178">
        <v>0</v>
      </c>
      <c r="S178">
        <v>0</v>
      </c>
      <c r="T178">
        <v>0</v>
      </c>
      <c r="U178">
        <v>0</v>
      </c>
      <c r="V178">
        <v>0</v>
      </c>
      <c r="W178">
        <v>0</v>
      </c>
      <c r="Y178">
        <v>0</v>
      </c>
      <c r="Z178">
        <v>0</v>
      </c>
      <c r="AA178">
        <v>0</v>
      </c>
      <c r="AB178">
        <v>0</v>
      </c>
      <c r="AC178">
        <v>0</v>
      </c>
      <c r="AD178">
        <v>0</v>
      </c>
      <c r="AE178">
        <v>0</v>
      </c>
      <c r="AF178">
        <v>0</v>
      </c>
      <c r="AG178">
        <v>0</v>
      </c>
      <c r="AH178">
        <v>0</v>
      </c>
      <c r="AI178">
        <v>0</v>
      </c>
      <c r="AJ178">
        <v>0</v>
      </c>
      <c r="AM178">
        <v>0</v>
      </c>
      <c r="AN178">
        <v>0</v>
      </c>
      <c r="AO178">
        <v>0</v>
      </c>
      <c r="AP178">
        <v>0</v>
      </c>
      <c r="AQ178">
        <v>0</v>
      </c>
      <c r="AR178">
        <v>0</v>
      </c>
      <c r="AS178">
        <v>0</v>
      </c>
      <c r="AT178">
        <v>383221</v>
      </c>
      <c r="AU178">
        <v>0</v>
      </c>
      <c r="AV178">
        <v>0</v>
      </c>
      <c r="AW178">
        <v>0</v>
      </c>
      <c r="AX178">
        <v>0</v>
      </c>
      <c r="AY178">
        <v>0</v>
      </c>
      <c r="AZ178">
        <v>0</v>
      </c>
      <c r="BA178">
        <v>0</v>
      </c>
      <c r="BB178">
        <v>0</v>
      </c>
      <c r="BC178">
        <v>0</v>
      </c>
      <c r="BD178">
        <v>0</v>
      </c>
      <c r="BE178">
        <v>0</v>
      </c>
      <c r="BF178">
        <v>0</v>
      </c>
      <c r="BG178">
        <v>0</v>
      </c>
      <c r="BH178">
        <v>0</v>
      </c>
      <c r="BI178">
        <v>0</v>
      </c>
      <c r="BJ178">
        <v>0</v>
      </c>
      <c r="BK178">
        <v>0</v>
      </c>
      <c r="BN178">
        <v>0</v>
      </c>
      <c r="BO178">
        <v>65221</v>
      </c>
      <c r="BP178">
        <v>0</v>
      </c>
      <c r="BQ178">
        <v>0</v>
      </c>
      <c r="BR178">
        <v>0</v>
      </c>
      <c r="BS178">
        <v>0</v>
      </c>
      <c r="BT178">
        <v>0</v>
      </c>
      <c r="BU178">
        <v>20000</v>
      </c>
      <c r="BV178">
        <v>0</v>
      </c>
      <c r="BW178">
        <v>0</v>
      </c>
      <c r="BX178">
        <v>0</v>
      </c>
      <c r="BY178">
        <v>0</v>
      </c>
      <c r="BZ178">
        <v>0</v>
      </c>
      <c r="CA178">
        <v>0</v>
      </c>
      <c r="CB178">
        <v>500</v>
      </c>
      <c r="CD178">
        <v>0</v>
      </c>
    </row>
    <row r="179" spans="1:82" x14ac:dyDescent="0.3">
      <c r="A179">
        <v>635</v>
      </c>
      <c r="B179" t="s">
        <v>373</v>
      </c>
      <c r="E179">
        <v>0</v>
      </c>
      <c r="G179">
        <v>0</v>
      </c>
      <c r="H179">
        <v>0</v>
      </c>
      <c r="I179">
        <v>0</v>
      </c>
      <c r="J179">
        <v>0</v>
      </c>
      <c r="K179">
        <v>0</v>
      </c>
      <c r="L179">
        <v>0</v>
      </c>
      <c r="M179">
        <v>0</v>
      </c>
      <c r="N179">
        <v>0</v>
      </c>
      <c r="O179">
        <v>0</v>
      </c>
      <c r="P179">
        <v>0</v>
      </c>
      <c r="Q179">
        <v>249699</v>
      </c>
      <c r="R179">
        <v>0</v>
      </c>
      <c r="S179">
        <v>0</v>
      </c>
      <c r="T179">
        <v>7866</v>
      </c>
      <c r="U179">
        <v>121027</v>
      </c>
      <c r="V179">
        <v>21088</v>
      </c>
      <c r="W179">
        <v>0</v>
      </c>
      <c r="Y179">
        <v>57309</v>
      </c>
      <c r="Z179">
        <v>0</v>
      </c>
      <c r="AA179">
        <v>32013</v>
      </c>
      <c r="AB179">
        <v>0</v>
      </c>
      <c r="AC179">
        <v>0</v>
      </c>
      <c r="AD179">
        <v>15749</v>
      </c>
      <c r="AE179">
        <v>21000</v>
      </c>
      <c r="AF179">
        <v>20000</v>
      </c>
      <c r="AG179">
        <v>0</v>
      </c>
      <c r="AH179">
        <v>0</v>
      </c>
      <c r="AI179">
        <v>109112</v>
      </c>
      <c r="AJ179">
        <v>0</v>
      </c>
      <c r="AM179">
        <v>85006</v>
      </c>
      <c r="AN179">
        <v>0</v>
      </c>
      <c r="AO179">
        <v>6108</v>
      </c>
      <c r="AP179">
        <v>0</v>
      </c>
      <c r="AQ179">
        <v>0</v>
      </c>
      <c r="AR179">
        <v>16000</v>
      </c>
      <c r="AS179">
        <v>0</v>
      </c>
      <c r="AT179">
        <v>3551</v>
      </c>
      <c r="AU179">
        <v>0</v>
      </c>
      <c r="AV179">
        <v>135892</v>
      </c>
      <c r="AW179">
        <v>0</v>
      </c>
      <c r="AX179">
        <v>0</v>
      </c>
      <c r="AY179">
        <v>29097</v>
      </c>
      <c r="AZ179">
        <v>0</v>
      </c>
      <c r="BA179">
        <v>0</v>
      </c>
      <c r="BB179">
        <v>0</v>
      </c>
      <c r="BC179">
        <v>0</v>
      </c>
      <c r="BD179">
        <v>0</v>
      </c>
      <c r="BE179">
        <v>0</v>
      </c>
      <c r="BF179">
        <v>0</v>
      </c>
      <c r="BG179">
        <v>0</v>
      </c>
      <c r="BH179">
        <v>0</v>
      </c>
      <c r="BI179">
        <v>0</v>
      </c>
      <c r="BJ179">
        <v>0</v>
      </c>
      <c r="BK179">
        <v>0</v>
      </c>
      <c r="BN179">
        <v>10600</v>
      </c>
      <c r="BO179">
        <v>0</v>
      </c>
      <c r="BP179">
        <v>0</v>
      </c>
      <c r="BQ179">
        <v>0</v>
      </c>
      <c r="BR179">
        <v>0</v>
      </c>
      <c r="BS179">
        <v>0</v>
      </c>
      <c r="BT179">
        <v>5000</v>
      </c>
      <c r="BU179">
        <v>0</v>
      </c>
      <c r="BV179">
        <v>0</v>
      </c>
      <c r="BW179">
        <v>9486</v>
      </c>
      <c r="BX179">
        <v>0</v>
      </c>
      <c r="BY179">
        <v>0</v>
      </c>
      <c r="BZ179">
        <v>0</v>
      </c>
      <c r="CA179">
        <v>0</v>
      </c>
      <c r="CB179">
        <v>3000</v>
      </c>
      <c r="CD179">
        <v>0</v>
      </c>
    </row>
    <row r="180" spans="1:82" x14ac:dyDescent="0.3">
      <c r="A180">
        <v>636</v>
      </c>
      <c r="B180" t="s">
        <v>1587</v>
      </c>
      <c r="E180">
        <v>0</v>
      </c>
      <c r="G180">
        <v>0</v>
      </c>
      <c r="H180">
        <v>0</v>
      </c>
      <c r="I180">
        <v>0</v>
      </c>
      <c r="J180">
        <v>0</v>
      </c>
      <c r="K180">
        <v>0</v>
      </c>
      <c r="L180">
        <v>0</v>
      </c>
      <c r="M180">
        <v>0</v>
      </c>
      <c r="N180">
        <v>0</v>
      </c>
      <c r="O180">
        <v>0</v>
      </c>
      <c r="P180">
        <v>0</v>
      </c>
      <c r="Q180">
        <v>0</v>
      </c>
      <c r="R180">
        <v>0</v>
      </c>
      <c r="S180">
        <v>0</v>
      </c>
      <c r="T180">
        <v>0</v>
      </c>
      <c r="U180">
        <v>0</v>
      </c>
      <c r="V180">
        <v>0</v>
      </c>
      <c r="W180">
        <v>0</v>
      </c>
      <c r="Y180">
        <v>0</v>
      </c>
      <c r="Z180">
        <v>0</v>
      </c>
      <c r="AA180">
        <v>0</v>
      </c>
      <c r="AB180">
        <v>0</v>
      </c>
      <c r="AC180">
        <v>0</v>
      </c>
      <c r="AD180">
        <v>0</v>
      </c>
      <c r="AE180">
        <v>0</v>
      </c>
      <c r="AF180">
        <v>0</v>
      </c>
      <c r="AG180">
        <v>0</v>
      </c>
      <c r="AH180">
        <v>0</v>
      </c>
      <c r="AI180">
        <v>0</v>
      </c>
      <c r="AJ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N180">
        <v>0</v>
      </c>
      <c r="BO180">
        <v>0</v>
      </c>
      <c r="BP180">
        <v>0</v>
      </c>
      <c r="BQ180">
        <v>0</v>
      </c>
      <c r="BR180">
        <v>0</v>
      </c>
      <c r="BS180">
        <v>0</v>
      </c>
      <c r="BT180">
        <v>0</v>
      </c>
      <c r="BU180">
        <v>0</v>
      </c>
      <c r="BV180">
        <v>0</v>
      </c>
      <c r="BW180">
        <v>0</v>
      </c>
      <c r="BX180">
        <v>0</v>
      </c>
      <c r="BY180">
        <v>0</v>
      </c>
      <c r="BZ180">
        <v>0</v>
      </c>
      <c r="CA180">
        <v>0</v>
      </c>
      <c r="CB180">
        <v>0</v>
      </c>
      <c r="CD180">
        <v>0</v>
      </c>
    </row>
    <row r="181" spans="1:82" x14ac:dyDescent="0.3">
      <c r="A181">
        <v>637</v>
      </c>
      <c r="B181" t="s">
        <v>1588</v>
      </c>
      <c r="E181">
        <v>0</v>
      </c>
      <c r="G181">
        <v>0</v>
      </c>
      <c r="H181">
        <v>0</v>
      </c>
      <c r="I181">
        <v>0</v>
      </c>
      <c r="J181">
        <v>10082</v>
      </c>
      <c r="K181">
        <v>0</v>
      </c>
      <c r="L181">
        <v>0</v>
      </c>
      <c r="M181">
        <v>0</v>
      </c>
      <c r="N181">
        <v>0</v>
      </c>
      <c r="O181">
        <v>132567</v>
      </c>
      <c r="P181">
        <v>0</v>
      </c>
      <c r="Q181">
        <v>0</v>
      </c>
      <c r="R181">
        <v>7993</v>
      </c>
      <c r="S181">
        <v>0</v>
      </c>
      <c r="T181">
        <v>0</v>
      </c>
      <c r="U181">
        <v>0</v>
      </c>
      <c r="V181">
        <v>0</v>
      </c>
      <c r="W181">
        <v>0</v>
      </c>
      <c r="Y181">
        <v>72230</v>
      </c>
      <c r="Z181">
        <v>0</v>
      </c>
      <c r="AA181">
        <v>302424</v>
      </c>
      <c r="AB181">
        <v>0</v>
      </c>
      <c r="AC181">
        <v>98914</v>
      </c>
      <c r="AD181">
        <v>154914</v>
      </c>
      <c r="AE181">
        <v>331111</v>
      </c>
      <c r="AF181">
        <v>616908</v>
      </c>
      <c r="AG181">
        <v>160609</v>
      </c>
      <c r="AH181">
        <v>0</v>
      </c>
      <c r="AI181">
        <v>0</v>
      </c>
      <c r="AJ181">
        <v>13995</v>
      </c>
      <c r="AM181">
        <v>109968</v>
      </c>
      <c r="AN181">
        <v>25567</v>
      </c>
      <c r="AO181">
        <v>0</v>
      </c>
      <c r="AP181">
        <v>0</v>
      </c>
      <c r="AQ181">
        <v>0</v>
      </c>
      <c r="AR181">
        <v>0</v>
      </c>
      <c r="AS181">
        <v>0</v>
      </c>
      <c r="AT181">
        <v>0</v>
      </c>
      <c r="AU181">
        <v>0</v>
      </c>
      <c r="AV181">
        <v>3819434</v>
      </c>
      <c r="AW181">
        <v>0</v>
      </c>
      <c r="AX181">
        <v>32792</v>
      </c>
      <c r="AY181">
        <v>0</v>
      </c>
      <c r="AZ181">
        <v>39620</v>
      </c>
      <c r="BA181">
        <v>0</v>
      </c>
      <c r="BB181">
        <v>0</v>
      </c>
      <c r="BC181">
        <v>10135</v>
      </c>
      <c r="BD181">
        <v>0</v>
      </c>
      <c r="BE181">
        <v>0</v>
      </c>
      <c r="BF181">
        <v>0</v>
      </c>
      <c r="BG181">
        <v>5765</v>
      </c>
      <c r="BH181">
        <v>0</v>
      </c>
      <c r="BI181">
        <v>26719</v>
      </c>
      <c r="BJ181">
        <v>0</v>
      </c>
      <c r="BK181">
        <v>0</v>
      </c>
      <c r="BN181">
        <v>10942</v>
      </c>
      <c r="BO181">
        <v>67860</v>
      </c>
      <c r="BP181">
        <v>0</v>
      </c>
      <c r="BQ181">
        <v>0</v>
      </c>
      <c r="BR181">
        <v>49284</v>
      </c>
      <c r="BS181">
        <v>0</v>
      </c>
      <c r="BT181">
        <v>33630</v>
      </c>
      <c r="BU181">
        <v>95177</v>
      </c>
      <c r="BV181">
        <v>0</v>
      </c>
      <c r="BW181">
        <v>0</v>
      </c>
      <c r="BX181">
        <v>42384</v>
      </c>
      <c r="BY181">
        <v>0</v>
      </c>
      <c r="BZ181">
        <v>0</v>
      </c>
      <c r="CA181">
        <v>16257</v>
      </c>
      <c r="CB181">
        <v>54515</v>
      </c>
      <c r="CD181">
        <v>0</v>
      </c>
    </row>
    <row r="182" spans="1:82" x14ac:dyDescent="0.3">
      <c r="A182">
        <v>638</v>
      </c>
      <c r="B182" t="s">
        <v>1589</v>
      </c>
      <c r="E182">
        <v>0</v>
      </c>
      <c r="G182">
        <v>0</v>
      </c>
      <c r="H182">
        <v>0</v>
      </c>
      <c r="I182">
        <v>0</v>
      </c>
      <c r="J182">
        <v>0</v>
      </c>
      <c r="K182">
        <v>0</v>
      </c>
      <c r="L182">
        <v>0</v>
      </c>
      <c r="M182">
        <v>0</v>
      </c>
      <c r="N182">
        <v>0</v>
      </c>
      <c r="O182">
        <v>0</v>
      </c>
      <c r="P182">
        <v>0</v>
      </c>
      <c r="Q182">
        <v>114647</v>
      </c>
      <c r="R182">
        <v>0</v>
      </c>
      <c r="S182">
        <v>0</v>
      </c>
      <c r="T182">
        <v>0</v>
      </c>
      <c r="U182">
        <v>0</v>
      </c>
      <c r="V182">
        <v>0</v>
      </c>
      <c r="W182">
        <v>0</v>
      </c>
      <c r="Y182">
        <v>0</v>
      </c>
      <c r="Z182">
        <v>0</v>
      </c>
      <c r="AA182">
        <v>0</v>
      </c>
      <c r="AB182">
        <v>0</v>
      </c>
      <c r="AC182">
        <v>0</v>
      </c>
      <c r="AD182">
        <v>0</v>
      </c>
      <c r="AE182">
        <v>0</v>
      </c>
      <c r="AF182">
        <v>0</v>
      </c>
      <c r="AG182">
        <v>0</v>
      </c>
      <c r="AH182">
        <v>0</v>
      </c>
      <c r="AI182">
        <v>0</v>
      </c>
      <c r="AJ182">
        <v>0</v>
      </c>
      <c r="AM182">
        <v>56345</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N182">
        <v>0</v>
      </c>
      <c r="BO182">
        <v>0</v>
      </c>
      <c r="BP182">
        <v>0</v>
      </c>
      <c r="BQ182">
        <v>0</v>
      </c>
      <c r="BR182">
        <v>0</v>
      </c>
      <c r="BS182">
        <v>0</v>
      </c>
      <c r="BT182">
        <v>0</v>
      </c>
      <c r="BU182">
        <v>0</v>
      </c>
      <c r="BV182">
        <v>0</v>
      </c>
      <c r="BW182">
        <v>0</v>
      </c>
      <c r="BX182">
        <v>0</v>
      </c>
      <c r="BY182">
        <v>0</v>
      </c>
      <c r="BZ182">
        <v>0</v>
      </c>
      <c r="CA182">
        <v>0</v>
      </c>
      <c r="CB182">
        <v>0</v>
      </c>
      <c r="CD182">
        <v>0</v>
      </c>
    </row>
    <row r="183" spans="1:82" x14ac:dyDescent="0.3">
      <c r="A183">
        <v>639</v>
      </c>
      <c r="B183" t="s">
        <v>1590</v>
      </c>
      <c r="E183">
        <v>0</v>
      </c>
      <c r="G183">
        <v>0</v>
      </c>
      <c r="H183">
        <v>0</v>
      </c>
      <c r="I183">
        <v>0</v>
      </c>
      <c r="J183">
        <v>0</v>
      </c>
      <c r="K183">
        <v>0</v>
      </c>
      <c r="L183">
        <v>0</v>
      </c>
      <c r="M183">
        <v>0</v>
      </c>
      <c r="N183">
        <v>0</v>
      </c>
      <c r="O183">
        <v>0</v>
      </c>
      <c r="P183">
        <v>0</v>
      </c>
      <c r="Q183">
        <v>5559567</v>
      </c>
      <c r="R183">
        <v>0</v>
      </c>
      <c r="S183">
        <v>0</v>
      </c>
      <c r="T183">
        <v>0</v>
      </c>
      <c r="U183">
        <v>0</v>
      </c>
      <c r="V183">
        <v>2110705</v>
      </c>
      <c r="W183">
        <v>0</v>
      </c>
      <c r="Y183">
        <v>0</v>
      </c>
      <c r="Z183">
        <v>0</v>
      </c>
      <c r="AA183">
        <v>0</v>
      </c>
      <c r="AB183">
        <v>0</v>
      </c>
      <c r="AC183">
        <v>0</v>
      </c>
      <c r="AD183">
        <v>0</v>
      </c>
      <c r="AE183">
        <v>0</v>
      </c>
      <c r="AF183">
        <v>0</v>
      </c>
      <c r="AG183">
        <v>0</v>
      </c>
      <c r="AH183">
        <v>0</v>
      </c>
      <c r="AI183">
        <v>7790641</v>
      </c>
      <c r="AJ183">
        <v>0</v>
      </c>
      <c r="AM183">
        <v>2048581</v>
      </c>
      <c r="AN183">
        <v>0</v>
      </c>
      <c r="AO183">
        <v>0</v>
      </c>
      <c r="AP183">
        <v>0</v>
      </c>
      <c r="AQ183">
        <v>0</v>
      </c>
      <c r="AR183">
        <v>0</v>
      </c>
      <c r="AS183">
        <v>0</v>
      </c>
      <c r="AT183">
        <v>0</v>
      </c>
      <c r="AU183">
        <v>56907</v>
      </c>
      <c r="AV183">
        <v>0</v>
      </c>
      <c r="AW183">
        <v>0</v>
      </c>
      <c r="AX183">
        <v>0</v>
      </c>
      <c r="AY183">
        <v>0</v>
      </c>
      <c r="AZ183">
        <v>0</v>
      </c>
      <c r="BA183">
        <v>0</v>
      </c>
      <c r="BB183">
        <v>0</v>
      </c>
      <c r="BC183">
        <v>0</v>
      </c>
      <c r="BD183">
        <v>0</v>
      </c>
      <c r="BE183">
        <v>0</v>
      </c>
      <c r="BF183">
        <v>0</v>
      </c>
      <c r="BG183">
        <v>0</v>
      </c>
      <c r="BH183">
        <v>0</v>
      </c>
      <c r="BI183">
        <v>0</v>
      </c>
      <c r="BJ183">
        <v>0</v>
      </c>
      <c r="BK183">
        <v>0</v>
      </c>
      <c r="BN183">
        <v>0</v>
      </c>
      <c r="BO183">
        <v>0</v>
      </c>
      <c r="BP183">
        <v>0</v>
      </c>
      <c r="BQ183">
        <v>0</v>
      </c>
      <c r="BR183">
        <v>250569</v>
      </c>
      <c r="BS183">
        <v>1327555</v>
      </c>
      <c r="BT183">
        <v>0</v>
      </c>
      <c r="BU183">
        <v>0</v>
      </c>
      <c r="BV183">
        <v>0</v>
      </c>
      <c r="BW183">
        <v>0</v>
      </c>
      <c r="BX183">
        <v>0</v>
      </c>
      <c r="BY183">
        <v>0</v>
      </c>
      <c r="BZ183">
        <v>0</v>
      </c>
      <c r="CA183">
        <v>0</v>
      </c>
      <c r="CB183">
        <v>0</v>
      </c>
      <c r="CD183">
        <v>0</v>
      </c>
    </row>
    <row r="184" spans="1:82" x14ac:dyDescent="0.3">
      <c r="A184">
        <v>640</v>
      </c>
      <c r="B184" t="s">
        <v>1591</v>
      </c>
      <c r="E184">
        <v>0</v>
      </c>
      <c r="G184">
        <v>0</v>
      </c>
      <c r="H184">
        <v>0</v>
      </c>
      <c r="I184">
        <v>0</v>
      </c>
      <c r="J184">
        <v>0</v>
      </c>
      <c r="K184">
        <v>0</v>
      </c>
      <c r="L184">
        <v>0</v>
      </c>
      <c r="M184">
        <v>0</v>
      </c>
      <c r="N184">
        <v>0</v>
      </c>
      <c r="O184">
        <v>0</v>
      </c>
      <c r="P184">
        <v>0</v>
      </c>
      <c r="Q184">
        <v>0</v>
      </c>
      <c r="R184">
        <v>0</v>
      </c>
      <c r="S184">
        <v>0</v>
      </c>
      <c r="T184">
        <v>0</v>
      </c>
      <c r="U184">
        <v>0</v>
      </c>
      <c r="V184">
        <v>0</v>
      </c>
      <c r="W184">
        <v>0</v>
      </c>
      <c r="Y184">
        <v>0</v>
      </c>
      <c r="Z184">
        <v>0</v>
      </c>
      <c r="AA184">
        <v>0</v>
      </c>
      <c r="AB184">
        <v>0</v>
      </c>
      <c r="AC184">
        <v>0</v>
      </c>
      <c r="AD184">
        <v>0</v>
      </c>
      <c r="AE184">
        <v>0</v>
      </c>
      <c r="AF184">
        <v>0</v>
      </c>
      <c r="AG184">
        <v>0</v>
      </c>
      <c r="AH184">
        <v>0</v>
      </c>
      <c r="AI184">
        <v>0</v>
      </c>
      <c r="AJ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N184">
        <v>0</v>
      </c>
      <c r="BO184">
        <v>0</v>
      </c>
      <c r="BP184">
        <v>0</v>
      </c>
      <c r="BQ184">
        <v>0</v>
      </c>
      <c r="BR184">
        <v>0</v>
      </c>
      <c r="BS184">
        <v>0</v>
      </c>
      <c r="BT184">
        <v>0</v>
      </c>
      <c r="BU184">
        <v>0</v>
      </c>
      <c r="BV184">
        <v>0</v>
      </c>
      <c r="BW184">
        <v>0</v>
      </c>
      <c r="BX184">
        <v>0</v>
      </c>
      <c r="BY184">
        <v>0</v>
      </c>
      <c r="BZ184">
        <v>0</v>
      </c>
      <c r="CA184">
        <v>0</v>
      </c>
      <c r="CB184">
        <v>0</v>
      </c>
      <c r="CD184">
        <v>0</v>
      </c>
    </row>
    <row r="185" spans="1:82" x14ac:dyDescent="0.3">
      <c r="A185">
        <v>641</v>
      </c>
      <c r="B185" t="s">
        <v>1592</v>
      </c>
      <c r="E185">
        <v>0</v>
      </c>
      <c r="G185">
        <v>0</v>
      </c>
      <c r="H185">
        <v>0</v>
      </c>
      <c r="I185">
        <v>0</v>
      </c>
      <c r="J185">
        <v>0</v>
      </c>
      <c r="K185">
        <v>0</v>
      </c>
      <c r="L185">
        <v>0</v>
      </c>
      <c r="M185">
        <v>0</v>
      </c>
      <c r="N185">
        <v>0</v>
      </c>
      <c r="O185">
        <v>0</v>
      </c>
      <c r="P185">
        <v>0</v>
      </c>
      <c r="Q185">
        <v>290530</v>
      </c>
      <c r="R185">
        <v>0</v>
      </c>
      <c r="S185">
        <v>0</v>
      </c>
      <c r="T185">
        <v>0</v>
      </c>
      <c r="U185">
        <v>0</v>
      </c>
      <c r="V185">
        <v>15258</v>
      </c>
      <c r="W185">
        <v>0</v>
      </c>
      <c r="Y185">
        <v>0</v>
      </c>
      <c r="Z185">
        <v>0</v>
      </c>
      <c r="AA185">
        <v>0</v>
      </c>
      <c r="AB185">
        <v>0</v>
      </c>
      <c r="AC185">
        <v>0</v>
      </c>
      <c r="AD185">
        <v>0</v>
      </c>
      <c r="AE185">
        <v>0</v>
      </c>
      <c r="AF185">
        <v>0</v>
      </c>
      <c r="AG185">
        <v>0</v>
      </c>
      <c r="AH185">
        <v>0</v>
      </c>
      <c r="AI185">
        <v>124921</v>
      </c>
      <c r="AJ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N185">
        <v>0</v>
      </c>
      <c r="BO185">
        <v>0</v>
      </c>
      <c r="BP185">
        <v>0</v>
      </c>
      <c r="BQ185">
        <v>0</v>
      </c>
      <c r="BR185">
        <v>0</v>
      </c>
      <c r="BS185">
        <v>125</v>
      </c>
      <c r="BT185">
        <v>0</v>
      </c>
      <c r="BU185">
        <v>0</v>
      </c>
      <c r="BV185">
        <v>0</v>
      </c>
      <c r="BW185">
        <v>0</v>
      </c>
      <c r="BX185">
        <v>0</v>
      </c>
      <c r="BY185">
        <v>0</v>
      </c>
      <c r="BZ185">
        <v>0</v>
      </c>
      <c r="CA185">
        <v>0</v>
      </c>
      <c r="CB185">
        <v>0</v>
      </c>
      <c r="CD185">
        <v>0</v>
      </c>
    </row>
    <row r="186" spans="1:82" x14ac:dyDescent="0.3">
      <c r="A186">
        <v>642</v>
      </c>
      <c r="B186" t="s">
        <v>1593</v>
      </c>
      <c r="E186">
        <v>0</v>
      </c>
      <c r="G186">
        <v>0</v>
      </c>
      <c r="H186">
        <v>0</v>
      </c>
      <c r="I186">
        <v>0</v>
      </c>
      <c r="J186">
        <v>0</v>
      </c>
      <c r="K186">
        <v>0</v>
      </c>
      <c r="L186">
        <v>0</v>
      </c>
      <c r="M186">
        <v>0</v>
      </c>
      <c r="N186">
        <v>0</v>
      </c>
      <c r="O186">
        <v>0</v>
      </c>
      <c r="P186">
        <v>0</v>
      </c>
      <c r="Q186">
        <v>0</v>
      </c>
      <c r="R186">
        <v>0</v>
      </c>
      <c r="S186">
        <v>0</v>
      </c>
      <c r="T186">
        <v>0</v>
      </c>
      <c r="U186">
        <v>0</v>
      </c>
      <c r="V186">
        <v>0</v>
      </c>
      <c r="W186">
        <v>0</v>
      </c>
      <c r="Y186">
        <v>0</v>
      </c>
      <c r="Z186">
        <v>0</v>
      </c>
      <c r="AA186">
        <v>0</v>
      </c>
      <c r="AB186">
        <v>0</v>
      </c>
      <c r="AC186">
        <v>0</v>
      </c>
      <c r="AD186">
        <v>0</v>
      </c>
      <c r="AE186">
        <v>0</v>
      </c>
      <c r="AF186">
        <v>0</v>
      </c>
      <c r="AG186">
        <v>0</v>
      </c>
      <c r="AH186">
        <v>0</v>
      </c>
      <c r="AI186">
        <v>0</v>
      </c>
      <c r="AJ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N186">
        <v>0</v>
      </c>
      <c r="BO186">
        <v>0</v>
      </c>
      <c r="BP186">
        <v>0</v>
      </c>
      <c r="BQ186">
        <v>0</v>
      </c>
      <c r="BR186">
        <v>0</v>
      </c>
      <c r="BS186">
        <v>0</v>
      </c>
      <c r="BT186">
        <v>0</v>
      </c>
      <c r="BU186">
        <v>0</v>
      </c>
      <c r="BV186">
        <v>0</v>
      </c>
      <c r="BW186">
        <v>0</v>
      </c>
      <c r="BX186">
        <v>0</v>
      </c>
      <c r="BY186">
        <v>0</v>
      </c>
      <c r="BZ186">
        <v>0</v>
      </c>
      <c r="CA186">
        <v>0</v>
      </c>
      <c r="CB186">
        <v>0</v>
      </c>
      <c r="CD186">
        <v>0</v>
      </c>
    </row>
    <row r="187" spans="1:82" x14ac:dyDescent="0.3">
      <c r="A187">
        <v>643</v>
      </c>
      <c r="B187" t="s">
        <v>1594</v>
      </c>
      <c r="E187">
        <v>0</v>
      </c>
      <c r="G187">
        <v>0</v>
      </c>
      <c r="H187">
        <v>0</v>
      </c>
      <c r="I187">
        <v>0</v>
      </c>
      <c r="J187">
        <v>0</v>
      </c>
      <c r="K187">
        <v>0</v>
      </c>
      <c r="L187">
        <v>0</v>
      </c>
      <c r="M187">
        <v>0</v>
      </c>
      <c r="N187">
        <v>0</v>
      </c>
      <c r="O187">
        <v>0</v>
      </c>
      <c r="P187">
        <v>0</v>
      </c>
      <c r="Q187">
        <v>0</v>
      </c>
      <c r="R187">
        <v>0</v>
      </c>
      <c r="S187">
        <v>0</v>
      </c>
      <c r="T187">
        <v>0</v>
      </c>
      <c r="U187">
        <v>0</v>
      </c>
      <c r="V187">
        <v>0</v>
      </c>
      <c r="W187">
        <v>0</v>
      </c>
      <c r="Y187">
        <v>0</v>
      </c>
      <c r="Z187">
        <v>0</v>
      </c>
      <c r="AA187">
        <v>0</v>
      </c>
      <c r="AB187">
        <v>0</v>
      </c>
      <c r="AC187">
        <v>0</v>
      </c>
      <c r="AD187">
        <v>0</v>
      </c>
      <c r="AE187">
        <v>0</v>
      </c>
      <c r="AF187">
        <v>0</v>
      </c>
      <c r="AG187">
        <v>0</v>
      </c>
      <c r="AH187">
        <v>0</v>
      </c>
      <c r="AI187">
        <v>2723934</v>
      </c>
      <c r="AJ187">
        <v>0</v>
      </c>
      <c r="AM187">
        <v>321645</v>
      </c>
      <c r="AN187">
        <v>0</v>
      </c>
      <c r="AO187">
        <v>0</v>
      </c>
      <c r="AP187">
        <v>0</v>
      </c>
      <c r="AQ187">
        <v>0</v>
      </c>
      <c r="AR187">
        <v>0</v>
      </c>
      <c r="AS187">
        <v>0</v>
      </c>
      <c r="AT187">
        <v>0</v>
      </c>
      <c r="AU187">
        <v>35778</v>
      </c>
      <c r="AV187">
        <v>0</v>
      </c>
      <c r="AW187">
        <v>0</v>
      </c>
      <c r="AX187">
        <v>0</v>
      </c>
      <c r="AY187">
        <v>0</v>
      </c>
      <c r="AZ187">
        <v>0</v>
      </c>
      <c r="BA187">
        <v>0</v>
      </c>
      <c r="BB187">
        <v>0</v>
      </c>
      <c r="BC187">
        <v>0</v>
      </c>
      <c r="BD187">
        <v>0</v>
      </c>
      <c r="BE187">
        <v>0</v>
      </c>
      <c r="BF187">
        <v>0</v>
      </c>
      <c r="BG187">
        <v>0</v>
      </c>
      <c r="BH187">
        <v>0</v>
      </c>
      <c r="BI187">
        <v>0</v>
      </c>
      <c r="BJ187">
        <v>0</v>
      </c>
      <c r="BK187">
        <v>0</v>
      </c>
      <c r="BN187">
        <v>0</v>
      </c>
      <c r="BO187">
        <v>0</v>
      </c>
      <c r="BP187">
        <v>0</v>
      </c>
      <c r="BQ187">
        <v>0</v>
      </c>
      <c r="BR187">
        <v>80333</v>
      </c>
      <c r="BS187">
        <v>279700</v>
      </c>
      <c r="BT187">
        <v>0</v>
      </c>
      <c r="BU187">
        <v>0</v>
      </c>
      <c r="BV187">
        <v>0</v>
      </c>
      <c r="BW187">
        <v>0</v>
      </c>
      <c r="BX187">
        <v>0</v>
      </c>
      <c r="BY187">
        <v>0</v>
      </c>
      <c r="BZ187">
        <v>0</v>
      </c>
      <c r="CA187">
        <v>0</v>
      </c>
      <c r="CB187">
        <v>0</v>
      </c>
      <c r="CD187">
        <v>0</v>
      </c>
    </row>
    <row r="188" spans="1:82" x14ac:dyDescent="0.3">
      <c r="A188">
        <v>644</v>
      </c>
      <c r="B188" t="s">
        <v>1595</v>
      </c>
      <c r="E188">
        <v>0</v>
      </c>
      <c r="G188">
        <v>0</v>
      </c>
      <c r="H188">
        <v>0</v>
      </c>
      <c r="I188">
        <v>0</v>
      </c>
      <c r="J188">
        <v>0</v>
      </c>
      <c r="K188">
        <v>0</v>
      </c>
      <c r="L188">
        <v>0</v>
      </c>
      <c r="M188">
        <v>0</v>
      </c>
      <c r="N188">
        <v>0</v>
      </c>
      <c r="O188">
        <v>0</v>
      </c>
      <c r="P188">
        <v>0</v>
      </c>
      <c r="Q188">
        <v>50047</v>
      </c>
      <c r="R188">
        <v>0</v>
      </c>
      <c r="S188">
        <v>0</v>
      </c>
      <c r="T188">
        <v>0</v>
      </c>
      <c r="U188">
        <v>0</v>
      </c>
      <c r="V188">
        <v>0</v>
      </c>
      <c r="W188">
        <v>0</v>
      </c>
      <c r="Y188">
        <v>0</v>
      </c>
      <c r="Z188">
        <v>0</v>
      </c>
      <c r="AA188">
        <v>0</v>
      </c>
      <c r="AB188">
        <v>0</v>
      </c>
      <c r="AC188">
        <v>0</v>
      </c>
      <c r="AD188">
        <v>0</v>
      </c>
      <c r="AE188">
        <v>0</v>
      </c>
      <c r="AF188">
        <v>0</v>
      </c>
      <c r="AG188">
        <v>0</v>
      </c>
      <c r="AH188">
        <v>0</v>
      </c>
      <c r="AI188">
        <v>0</v>
      </c>
      <c r="AJ188">
        <v>0</v>
      </c>
      <c r="AM188">
        <v>21607</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N188">
        <v>0</v>
      </c>
      <c r="BO188">
        <v>0</v>
      </c>
      <c r="BP188">
        <v>0</v>
      </c>
      <c r="BQ188">
        <v>0</v>
      </c>
      <c r="BR188">
        <v>0</v>
      </c>
      <c r="BS188">
        <v>0</v>
      </c>
      <c r="BT188">
        <v>0</v>
      </c>
      <c r="BU188">
        <v>0</v>
      </c>
      <c r="BV188">
        <v>0</v>
      </c>
      <c r="BW188">
        <v>0</v>
      </c>
      <c r="BX188">
        <v>0</v>
      </c>
      <c r="BY188">
        <v>0</v>
      </c>
      <c r="BZ188">
        <v>0</v>
      </c>
      <c r="CA188">
        <v>0</v>
      </c>
      <c r="CB188">
        <v>0</v>
      </c>
      <c r="CD188">
        <v>0</v>
      </c>
    </row>
    <row r="189" spans="1:82" x14ac:dyDescent="0.3">
      <c r="A189">
        <v>645</v>
      </c>
      <c r="B189" t="s">
        <v>384</v>
      </c>
      <c r="E189">
        <v>0</v>
      </c>
      <c r="G189">
        <v>0</v>
      </c>
      <c r="H189">
        <v>1250071</v>
      </c>
      <c r="I189">
        <v>46869</v>
      </c>
      <c r="J189">
        <v>0</v>
      </c>
      <c r="K189">
        <v>0</v>
      </c>
      <c r="L189">
        <v>260243</v>
      </c>
      <c r="M189">
        <v>647712</v>
      </c>
      <c r="N189">
        <v>0</v>
      </c>
      <c r="O189">
        <v>221275</v>
      </c>
      <c r="P189">
        <v>0</v>
      </c>
      <c r="Q189">
        <v>19275429</v>
      </c>
      <c r="R189">
        <v>0</v>
      </c>
      <c r="S189">
        <v>0</v>
      </c>
      <c r="T189">
        <v>3018650</v>
      </c>
      <c r="U189">
        <v>1551209</v>
      </c>
      <c r="V189">
        <v>0</v>
      </c>
      <c r="W189">
        <v>1241287</v>
      </c>
      <c r="Y189">
        <v>39250</v>
      </c>
      <c r="Z189">
        <v>530327</v>
      </c>
      <c r="AA189">
        <v>2722659</v>
      </c>
      <c r="AB189">
        <v>0</v>
      </c>
      <c r="AC189">
        <v>65568</v>
      </c>
      <c r="AD189">
        <v>0</v>
      </c>
      <c r="AE189">
        <v>252000</v>
      </c>
      <c r="AF189">
        <v>350000</v>
      </c>
      <c r="AG189">
        <v>338359</v>
      </c>
      <c r="AH189">
        <v>0</v>
      </c>
      <c r="AI189">
        <v>0</v>
      </c>
      <c r="AJ189">
        <v>0</v>
      </c>
      <c r="AM189">
        <v>1481525</v>
      </c>
      <c r="AN189">
        <v>30000</v>
      </c>
      <c r="AO189">
        <v>48386</v>
      </c>
      <c r="AP189">
        <v>20000</v>
      </c>
      <c r="AQ189">
        <v>0</v>
      </c>
      <c r="AR189">
        <v>0</v>
      </c>
      <c r="AS189">
        <v>0</v>
      </c>
      <c r="AT189">
        <v>101800</v>
      </c>
      <c r="AU189">
        <v>8573</v>
      </c>
      <c r="AV189">
        <v>0</v>
      </c>
      <c r="AW189">
        <v>135902</v>
      </c>
      <c r="AX189">
        <v>0</v>
      </c>
      <c r="AY189">
        <v>0</v>
      </c>
      <c r="AZ189">
        <v>0</v>
      </c>
      <c r="BA189">
        <v>257792</v>
      </c>
      <c r="BB189">
        <v>0</v>
      </c>
      <c r="BC189">
        <v>0</v>
      </c>
      <c r="BD189">
        <v>137047</v>
      </c>
      <c r="BE189">
        <v>0</v>
      </c>
      <c r="BF189">
        <v>0</v>
      </c>
      <c r="BG189">
        <v>0</v>
      </c>
      <c r="BH189">
        <v>0</v>
      </c>
      <c r="BI189">
        <v>91995</v>
      </c>
      <c r="BJ189">
        <v>79745</v>
      </c>
      <c r="BK189">
        <v>0</v>
      </c>
      <c r="BN189">
        <v>175000</v>
      </c>
      <c r="BO189">
        <v>0</v>
      </c>
      <c r="BP189">
        <v>524664</v>
      </c>
      <c r="BQ189">
        <v>600100</v>
      </c>
      <c r="BR189">
        <v>0</v>
      </c>
      <c r="BS189">
        <v>0</v>
      </c>
      <c r="BT189">
        <v>31437</v>
      </c>
      <c r="BU189">
        <v>0</v>
      </c>
      <c r="BV189">
        <v>0</v>
      </c>
      <c r="BW189">
        <v>46406</v>
      </c>
      <c r="BX189">
        <v>0</v>
      </c>
      <c r="BY189">
        <v>0</v>
      </c>
      <c r="BZ189">
        <v>23094</v>
      </c>
      <c r="CA189">
        <v>0</v>
      </c>
      <c r="CB189">
        <v>0</v>
      </c>
      <c r="CD189">
        <v>0</v>
      </c>
    </row>
    <row r="190" spans="1:82" x14ac:dyDescent="0.3">
      <c r="A190">
        <v>646</v>
      </c>
      <c r="B190" t="s">
        <v>359</v>
      </c>
      <c r="E190">
        <v>138880</v>
      </c>
      <c r="G190">
        <v>3214601</v>
      </c>
      <c r="H190">
        <v>6344653</v>
      </c>
      <c r="I190">
        <v>2562952</v>
      </c>
      <c r="J190">
        <v>178736</v>
      </c>
      <c r="K190">
        <v>1408230</v>
      </c>
      <c r="L190">
        <v>750387</v>
      </c>
      <c r="M190">
        <v>6899626</v>
      </c>
      <c r="N190">
        <v>837392</v>
      </c>
      <c r="O190">
        <v>8860286</v>
      </c>
      <c r="P190">
        <v>0</v>
      </c>
      <c r="Q190">
        <v>5824240</v>
      </c>
      <c r="R190">
        <v>947104</v>
      </c>
      <c r="S190">
        <v>141883</v>
      </c>
      <c r="T190">
        <v>57164723</v>
      </c>
      <c r="U190">
        <v>8848210</v>
      </c>
      <c r="V190">
        <v>26440611</v>
      </c>
      <c r="W190">
        <v>16566070</v>
      </c>
      <c r="Y190">
        <v>13430900</v>
      </c>
      <c r="Z190">
        <v>249198</v>
      </c>
      <c r="AA190">
        <v>18457479</v>
      </c>
      <c r="AB190">
        <v>803286</v>
      </c>
      <c r="AC190">
        <v>2117683</v>
      </c>
      <c r="AD190">
        <v>1913595</v>
      </c>
      <c r="AE190">
        <v>3254364</v>
      </c>
      <c r="AF190">
        <v>8562014</v>
      </c>
      <c r="AG190">
        <v>3852441</v>
      </c>
      <c r="AH190">
        <v>2133478</v>
      </c>
      <c r="AI190">
        <v>21429284</v>
      </c>
      <c r="AJ190">
        <v>4049526</v>
      </c>
      <c r="AM190">
        <v>6880983</v>
      </c>
      <c r="AN190">
        <v>756523</v>
      </c>
      <c r="AO190">
        <v>982233</v>
      </c>
      <c r="AP190">
        <v>71396</v>
      </c>
      <c r="AQ190">
        <v>6990676</v>
      </c>
      <c r="AR190">
        <v>10938997</v>
      </c>
      <c r="AS190">
        <v>499908</v>
      </c>
      <c r="AT190">
        <v>1414242</v>
      </c>
      <c r="AU190">
        <v>218255</v>
      </c>
      <c r="AV190">
        <v>26368634</v>
      </c>
      <c r="AW190">
        <v>971068</v>
      </c>
      <c r="AX190">
        <v>1188544</v>
      </c>
      <c r="AY190">
        <v>4912057</v>
      </c>
      <c r="AZ190">
        <v>2267260</v>
      </c>
      <c r="BA190">
        <v>598610</v>
      </c>
      <c r="BB190">
        <v>145225</v>
      </c>
      <c r="BC190">
        <v>603150</v>
      </c>
      <c r="BD190">
        <v>8902287</v>
      </c>
      <c r="BE190">
        <v>712549</v>
      </c>
      <c r="BF190">
        <v>891541</v>
      </c>
      <c r="BG190">
        <v>93907</v>
      </c>
      <c r="BH190">
        <v>365572</v>
      </c>
      <c r="BI190">
        <v>403486</v>
      </c>
      <c r="BJ190">
        <v>216344</v>
      </c>
      <c r="BK190">
        <v>1266324</v>
      </c>
      <c r="BN190">
        <v>2222979</v>
      </c>
      <c r="BO190">
        <v>1655197</v>
      </c>
      <c r="BP190">
        <v>1188714</v>
      </c>
      <c r="BQ190">
        <v>5405436</v>
      </c>
      <c r="BR190">
        <v>437619</v>
      </c>
      <c r="BS190">
        <v>14806886</v>
      </c>
      <c r="BT190">
        <v>687759</v>
      </c>
      <c r="BU190">
        <v>5914010</v>
      </c>
      <c r="BV190">
        <v>1459240</v>
      </c>
      <c r="BW190">
        <v>1537545</v>
      </c>
      <c r="BX190">
        <v>2183017</v>
      </c>
      <c r="BY190">
        <v>220325</v>
      </c>
      <c r="BZ190">
        <v>239261</v>
      </c>
      <c r="CA190">
        <v>177613</v>
      </c>
      <c r="CB190">
        <v>762296</v>
      </c>
      <c r="CD190">
        <v>373121</v>
      </c>
    </row>
    <row r="191" spans="1:82" x14ac:dyDescent="0.3">
      <c r="A191">
        <v>647</v>
      </c>
      <c r="B191" t="s">
        <v>909</v>
      </c>
      <c r="E191">
        <v>0</v>
      </c>
      <c r="G191">
        <v>0</v>
      </c>
      <c r="H191">
        <v>0</v>
      </c>
      <c r="I191">
        <v>0</v>
      </c>
      <c r="J191">
        <v>0</v>
      </c>
      <c r="K191">
        <v>0</v>
      </c>
      <c r="L191">
        <v>0</v>
      </c>
      <c r="M191">
        <v>0</v>
      </c>
      <c r="N191">
        <v>0</v>
      </c>
      <c r="O191">
        <v>0</v>
      </c>
      <c r="P191">
        <v>0</v>
      </c>
      <c r="Q191">
        <v>0</v>
      </c>
      <c r="R191">
        <v>0</v>
      </c>
      <c r="S191">
        <v>0</v>
      </c>
      <c r="T191">
        <v>0</v>
      </c>
      <c r="U191">
        <v>0</v>
      </c>
      <c r="V191">
        <v>0</v>
      </c>
      <c r="W191">
        <v>2255172</v>
      </c>
      <c r="Y191">
        <v>0</v>
      </c>
      <c r="Z191">
        <v>0</v>
      </c>
      <c r="AA191">
        <v>0</v>
      </c>
      <c r="AB191">
        <v>0</v>
      </c>
      <c r="AC191">
        <v>0</v>
      </c>
      <c r="AD191">
        <v>0</v>
      </c>
      <c r="AE191">
        <v>0</v>
      </c>
      <c r="AF191">
        <v>0</v>
      </c>
      <c r="AG191">
        <v>0</v>
      </c>
      <c r="AH191">
        <v>0</v>
      </c>
      <c r="AI191">
        <v>0</v>
      </c>
      <c r="AJ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N191">
        <v>0</v>
      </c>
      <c r="BO191">
        <v>0</v>
      </c>
      <c r="BP191">
        <v>0</v>
      </c>
      <c r="BQ191">
        <v>0</v>
      </c>
      <c r="BR191">
        <v>0</v>
      </c>
      <c r="BS191">
        <v>0</v>
      </c>
      <c r="BT191">
        <v>0</v>
      </c>
      <c r="BU191">
        <v>0</v>
      </c>
      <c r="BV191">
        <v>0</v>
      </c>
      <c r="BW191">
        <v>0</v>
      </c>
      <c r="BX191">
        <v>0</v>
      </c>
      <c r="BY191">
        <v>0</v>
      </c>
      <c r="BZ191">
        <v>0</v>
      </c>
      <c r="CA191">
        <v>0</v>
      </c>
      <c r="CB191">
        <v>0</v>
      </c>
      <c r="CD191">
        <v>0</v>
      </c>
    </row>
    <row r="192" spans="1:82" x14ac:dyDescent="0.3">
      <c r="A192">
        <v>648</v>
      </c>
      <c r="B192" t="s">
        <v>597</v>
      </c>
      <c r="E192">
        <v>0</v>
      </c>
      <c r="G192">
        <v>0.22</v>
      </c>
      <c r="H192">
        <v>0.05</v>
      </c>
      <c r="I192">
        <v>0.19</v>
      </c>
      <c r="J192">
        <v>0.45</v>
      </c>
      <c r="K192">
        <v>2.1000000000000001E-2</v>
      </c>
      <c r="L192">
        <v>0.11</v>
      </c>
      <c r="M192">
        <v>0.255</v>
      </c>
      <c r="N192">
        <v>0.22</v>
      </c>
      <c r="O192">
        <v>0.28999999999999998</v>
      </c>
      <c r="P192">
        <v>0.13</v>
      </c>
      <c r="Q192">
        <v>0.50249999999999995</v>
      </c>
      <c r="R192">
        <v>0.43</v>
      </c>
      <c r="S192">
        <v>0</v>
      </c>
      <c r="T192">
        <v>0.57999999999999996</v>
      </c>
      <c r="U192">
        <v>0.38</v>
      </c>
      <c r="V192">
        <v>0.56999999999999995</v>
      </c>
      <c r="W192">
        <v>0.39</v>
      </c>
      <c r="Y192">
        <v>0.6</v>
      </c>
      <c r="Z192">
        <v>0.56999999999999995</v>
      </c>
      <c r="AA192">
        <v>0.48499999999999999</v>
      </c>
      <c r="AB192">
        <v>0</v>
      </c>
      <c r="AC192">
        <v>0.505</v>
      </c>
      <c r="AD192">
        <v>0.66</v>
      </c>
      <c r="AE192">
        <v>0.42</v>
      </c>
      <c r="AF192">
        <v>0.28749999999999998</v>
      </c>
      <c r="AG192">
        <v>0.61</v>
      </c>
      <c r="AH192">
        <v>0</v>
      </c>
      <c r="AI192">
        <v>0.48220000000000002</v>
      </c>
      <c r="AJ192">
        <v>0.16</v>
      </c>
      <c r="AM192">
        <v>0.54</v>
      </c>
      <c r="AN192">
        <v>0.38</v>
      </c>
      <c r="AO192">
        <v>0.7</v>
      </c>
      <c r="AP192">
        <v>0</v>
      </c>
      <c r="AQ192">
        <v>0</v>
      </c>
      <c r="AR192">
        <v>0.52</v>
      </c>
      <c r="AS192">
        <v>0.27</v>
      </c>
      <c r="AT192">
        <v>0.39</v>
      </c>
      <c r="AU192">
        <v>0.45</v>
      </c>
      <c r="AV192">
        <v>0</v>
      </c>
      <c r="AW192">
        <v>0.08</v>
      </c>
      <c r="AX192">
        <v>0.41</v>
      </c>
      <c r="AY192">
        <v>0.16389999999999999</v>
      </c>
      <c r="AZ192">
        <v>0.37</v>
      </c>
      <c r="BA192">
        <v>0.22</v>
      </c>
      <c r="BB192">
        <v>0</v>
      </c>
      <c r="BC192">
        <v>0.24</v>
      </c>
      <c r="BD192">
        <v>0.64</v>
      </c>
      <c r="BE192">
        <v>0.16</v>
      </c>
      <c r="BF192">
        <v>0</v>
      </c>
      <c r="BG192">
        <v>0.68</v>
      </c>
      <c r="BH192">
        <v>0.15</v>
      </c>
      <c r="BI192">
        <v>0.3</v>
      </c>
      <c r="BJ192">
        <v>5.5E-2</v>
      </c>
      <c r="BK192">
        <v>0.64</v>
      </c>
      <c r="BN192">
        <v>0.24</v>
      </c>
      <c r="BO192">
        <v>0.48</v>
      </c>
      <c r="BP192">
        <v>0.4</v>
      </c>
      <c r="BQ192">
        <v>0.31</v>
      </c>
      <c r="BR192">
        <v>0.46</v>
      </c>
      <c r="BS192">
        <v>0.33</v>
      </c>
      <c r="BT192">
        <v>0.55000000000000004</v>
      </c>
      <c r="BU192">
        <v>0.43330000000000002</v>
      </c>
      <c r="BV192">
        <v>0.08</v>
      </c>
      <c r="BW192">
        <v>0.54</v>
      </c>
      <c r="BX192">
        <v>0.3</v>
      </c>
      <c r="BY192">
        <v>0.05</v>
      </c>
      <c r="BZ192">
        <v>0.34</v>
      </c>
      <c r="CA192">
        <v>0.33</v>
      </c>
      <c r="CB192">
        <v>0</v>
      </c>
      <c r="CD192">
        <v>0.2</v>
      </c>
    </row>
    <row r="193" spans="1:82" x14ac:dyDescent="0.3">
      <c r="A193">
        <v>654</v>
      </c>
      <c r="B193" t="s">
        <v>413</v>
      </c>
      <c r="E193">
        <v>0</v>
      </c>
      <c r="G193">
        <v>0</v>
      </c>
      <c r="H193">
        <v>0</v>
      </c>
      <c r="I193">
        <v>0</v>
      </c>
      <c r="J193">
        <v>96507</v>
      </c>
      <c r="K193">
        <v>0</v>
      </c>
      <c r="L193">
        <v>0</v>
      </c>
      <c r="M193">
        <v>0</v>
      </c>
      <c r="N193">
        <v>0</v>
      </c>
      <c r="O193">
        <v>3484896</v>
      </c>
      <c r="P193">
        <v>0</v>
      </c>
      <c r="Q193">
        <v>62468767</v>
      </c>
      <c r="R193">
        <v>936031</v>
      </c>
      <c r="S193">
        <v>0</v>
      </c>
      <c r="T193">
        <v>66521723</v>
      </c>
      <c r="U193">
        <v>10346800</v>
      </c>
      <c r="V193">
        <v>24681817</v>
      </c>
      <c r="W193">
        <v>0</v>
      </c>
      <c r="Y193">
        <v>10912961</v>
      </c>
      <c r="Z193">
        <v>2293479</v>
      </c>
      <c r="AA193">
        <v>26854671</v>
      </c>
      <c r="AB193">
        <v>3274525</v>
      </c>
      <c r="AC193">
        <v>1883832</v>
      </c>
      <c r="AD193">
        <v>1489358</v>
      </c>
      <c r="AE193">
        <v>3506015</v>
      </c>
      <c r="AF193">
        <v>9932944</v>
      </c>
      <c r="AG193">
        <v>3513475</v>
      </c>
      <c r="AH193">
        <v>0</v>
      </c>
      <c r="AI193">
        <v>20608169</v>
      </c>
      <c r="AJ193">
        <v>492244</v>
      </c>
      <c r="AM193">
        <v>6579745</v>
      </c>
      <c r="AN193">
        <v>207756</v>
      </c>
      <c r="AO193">
        <v>178107</v>
      </c>
      <c r="AP193">
        <v>0</v>
      </c>
      <c r="AQ193">
        <v>0</v>
      </c>
      <c r="AR193">
        <v>2444813</v>
      </c>
      <c r="AS193">
        <v>0</v>
      </c>
      <c r="AT193">
        <v>2383948</v>
      </c>
      <c r="AU193">
        <v>0</v>
      </c>
      <c r="AV193">
        <v>35542544</v>
      </c>
      <c r="AW193">
        <v>50000</v>
      </c>
      <c r="AX193">
        <v>1219317</v>
      </c>
      <c r="AY193">
        <v>19064531</v>
      </c>
      <c r="AZ193">
        <v>1159512</v>
      </c>
      <c r="BA193">
        <v>435232</v>
      </c>
      <c r="BB193">
        <v>0</v>
      </c>
      <c r="BC193">
        <v>188940</v>
      </c>
      <c r="BD193">
        <v>15804210</v>
      </c>
      <c r="BE193">
        <v>0</v>
      </c>
      <c r="BF193">
        <v>301450</v>
      </c>
      <c r="BG193">
        <v>164426</v>
      </c>
      <c r="BH193">
        <v>0</v>
      </c>
      <c r="BI193">
        <v>538313</v>
      </c>
      <c r="BJ193">
        <v>0</v>
      </c>
      <c r="BK193">
        <v>3067304</v>
      </c>
      <c r="BN193">
        <v>1450050</v>
      </c>
      <c r="BO193">
        <v>889724</v>
      </c>
      <c r="BP193">
        <v>1442692</v>
      </c>
      <c r="BQ193">
        <v>0</v>
      </c>
      <c r="BR193">
        <v>1190631</v>
      </c>
      <c r="BS193">
        <v>0</v>
      </c>
      <c r="BT193">
        <v>677315</v>
      </c>
      <c r="BU193">
        <v>8601037</v>
      </c>
      <c r="BV193">
        <v>0</v>
      </c>
      <c r="BW193">
        <v>2006625</v>
      </c>
      <c r="BX193">
        <v>1784555</v>
      </c>
      <c r="BY193">
        <v>17317</v>
      </c>
      <c r="BZ193">
        <v>674909</v>
      </c>
      <c r="CA193">
        <v>131523</v>
      </c>
      <c r="CB193">
        <v>1809871</v>
      </c>
      <c r="CD193">
        <v>48367</v>
      </c>
    </row>
    <row r="194" spans="1:82" x14ac:dyDescent="0.3">
      <c r="A194">
        <v>655</v>
      </c>
      <c r="B194" t="s">
        <v>910</v>
      </c>
      <c r="E194">
        <v>0</v>
      </c>
      <c r="G194">
        <v>0</v>
      </c>
      <c r="H194">
        <v>0</v>
      </c>
      <c r="I194">
        <v>0</v>
      </c>
      <c r="J194">
        <v>10082</v>
      </c>
      <c r="K194">
        <v>0</v>
      </c>
      <c r="L194">
        <v>0</v>
      </c>
      <c r="M194">
        <v>0</v>
      </c>
      <c r="N194">
        <v>0</v>
      </c>
      <c r="O194">
        <v>132567</v>
      </c>
      <c r="P194">
        <v>0</v>
      </c>
      <c r="Q194">
        <v>0</v>
      </c>
      <c r="R194">
        <v>7993</v>
      </c>
      <c r="S194">
        <v>0</v>
      </c>
      <c r="T194">
        <v>20244047</v>
      </c>
      <c r="U194">
        <v>213782</v>
      </c>
      <c r="V194">
        <v>265376</v>
      </c>
      <c r="W194">
        <v>0</v>
      </c>
      <c r="Y194">
        <v>67346</v>
      </c>
      <c r="Z194">
        <v>293860</v>
      </c>
      <c r="AA194">
        <v>10466157</v>
      </c>
      <c r="AB194">
        <v>200515</v>
      </c>
      <c r="AC194">
        <v>157873</v>
      </c>
      <c r="AD194">
        <v>154914</v>
      </c>
      <c r="AE194">
        <v>1236286</v>
      </c>
      <c r="AF194">
        <v>5291148</v>
      </c>
      <c r="AG194">
        <v>160609</v>
      </c>
      <c r="AH194">
        <v>0</v>
      </c>
      <c r="AI194">
        <v>0</v>
      </c>
      <c r="AJ194">
        <v>13995</v>
      </c>
      <c r="AM194">
        <v>311451</v>
      </c>
      <c r="AN194">
        <v>25567</v>
      </c>
      <c r="AO194">
        <v>91976</v>
      </c>
      <c r="AP194">
        <v>0</v>
      </c>
      <c r="AQ194">
        <v>0</v>
      </c>
      <c r="AR194">
        <v>72777</v>
      </c>
      <c r="AS194">
        <v>0</v>
      </c>
      <c r="AT194">
        <v>45189</v>
      </c>
      <c r="AU194">
        <v>0</v>
      </c>
      <c r="AV194">
        <v>0</v>
      </c>
      <c r="AW194">
        <v>0</v>
      </c>
      <c r="AX194">
        <v>32792</v>
      </c>
      <c r="AY194">
        <v>0</v>
      </c>
      <c r="AZ194">
        <v>39620</v>
      </c>
      <c r="BA194">
        <v>27676</v>
      </c>
      <c r="BB194">
        <v>0</v>
      </c>
      <c r="BC194">
        <v>10135</v>
      </c>
      <c r="BD194">
        <v>143023</v>
      </c>
      <c r="BE194">
        <v>0</v>
      </c>
      <c r="BF194">
        <v>0</v>
      </c>
      <c r="BG194">
        <v>5765</v>
      </c>
      <c r="BH194">
        <v>0</v>
      </c>
      <c r="BI194">
        <v>26719</v>
      </c>
      <c r="BJ194">
        <v>0</v>
      </c>
      <c r="BK194">
        <v>0</v>
      </c>
      <c r="BN194">
        <v>10942</v>
      </c>
      <c r="BO194">
        <v>67860</v>
      </c>
      <c r="BP194">
        <v>88394</v>
      </c>
      <c r="BQ194">
        <v>0</v>
      </c>
      <c r="BR194">
        <v>63892</v>
      </c>
      <c r="BS194">
        <v>0</v>
      </c>
      <c r="BT194">
        <v>33630</v>
      </c>
      <c r="BU194">
        <v>95177</v>
      </c>
      <c r="BV194">
        <v>0</v>
      </c>
      <c r="BW194">
        <v>199089</v>
      </c>
      <c r="BX194">
        <v>42384</v>
      </c>
      <c r="BY194">
        <v>0</v>
      </c>
      <c r="BZ194">
        <v>46835</v>
      </c>
      <c r="CA194">
        <v>16257</v>
      </c>
      <c r="CB194">
        <v>107023</v>
      </c>
      <c r="CD194">
        <v>0</v>
      </c>
    </row>
    <row r="195" spans="1:82" x14ac:dyDescent="0.3">
      <c r="A195">
        <v>656</v>
      </c>
      <c r="B195" t="s">
        <v>419</v>
      </c>
      <c r="E195">
        <v>2</v>
      </c>
      <c r="G195">
        <v>2</v>
      </c>
      <c r="H195">
        <v>2</v>
      </c>
      <c r="I195">
        <v>0</v>
      </c>
      <c r="J195">
        <v>2</v>
      </c>
      <c r="K195">
        <v>0</v>
      </c>
      <c r="L195">
        <v>2</v>
      </c>
      <c r="M195">
        <v>2</v>
      </c>
      <c r="N195">
        <v>2</v>
      </c>
      <c r="O195">
        <v>2</v>
      </c>
      <c r="P195">
        <v>2</v>
      </c>
      <c r="Q195">
        <v>1</v>
      </c>
      <c r="R195">
        <v>2</v>
      </c>
      <c r="S195">
        <v>0</v>
      </c>
      <c r="T195">
        <v>2</v>
      </c>
      <c r="U195">
        <v>2</v>
      </c>
      <c r="V195">
        <v>2</v>
      </c>
      <c r="W195">
        <v>2</v>
      </c>
      <c r="Y195">
        <v>2</v>
      </c>
      <c r="Z195">
        <v>2</v>
      </c>
      <c r="AA195">
        <v>2</v>
      </c>
      <c r="AB195">
        <v>2</v>
      </c>
      <c r="AC195">
        <v>2</v>
      </c>
      <c r="AD195">
        <v>0</v>
      </c>
      <c r="AE195">
        <v>2</v>
      </c>
      <c r="AF195">
        <v>2</v>
      </c>
      <c r="AG195">
        <v>2</v>
      </c>
      <c r="AH195">
        <v>2</v>
      </c>
      <c r="AI195">
        <v>2</v>
      </c>
      <c r="AJ195">
        <v>2</v>
      </c>
      <c r="AM195">
        <v>2</v>
      </c>
      <c r="AN195">
        <v>2</v>
      </c>
      <c r="AO195">
        <v>2</v>
      </c>
      <c r="AP195">
        <v>2</v>
      </c>
      <c r="AQ195">
        <v>0</v>
      </c>
      <c r="AR195">
        <v>2</v>
      </c>
      <c r="AS195">
        <v>0</v>
      </c>
      <c r="AT195">
        <v>2</v>
      </c>
      <c r="AU195">
        <v>2</v>
      </c>
      <c r="AV195">
        <v>0</v>
      </c>
      <c r="AW195">
        <v>2</v>
      </c>
      <c r="AX195">
        <v>2</v>
      </c>
      <c r="AY195">
        <v>2</v>
      </c>
      <c r="AZ195">
        <v>2</v>
      </c>
      <c r="BA195">
        <v>2</v>
      </c>
      <c r="BB195">
        <v>2</v>
      </c>
      <c r="BC195">
        <v>0</v>
      </c>
      <c r="BD195">
        <v>2</v>
      </c>
      <c r="BE195">
        <v>2</v>
      </c>
      <c r="BF195">
        <v>0</v>
      </c>
      <c r="BG195">
        <v>2</v>
      </c>
      <c r="BH195">
        <v>0</v>
      </c>
      <c r="BI195">
        <v>0</v>
      </c>
      <c r="BJ195">
        <v>2</v>
      </c>
      <c r="BK195">
        <v>2</v>
      </c>
      <c r="BN195">
        <v>2</v>
      </c>
      <c r="BO195">
        <v>2</v>
      </c>
      <c r="BP195">
        <v>2</v>
      </c>
      <c r="BQ195">
        <v>2</v>
      </c>
      <c r="BR195">
        <v>2</v>
      </c>
      <c r="BS195">
        <v>2</v>
      </c>
      <c r="BT195">
        <v>2</v>
      </c>
      <c r="BU195">
        <v>2</v>
      </c>
      <c r="BV195">
        <v>2</v>
      </c>
      <c r="BW195">
        <v>0</v>
      </c>
      <c r="BX195">
        <v>0</v>
      </c>
      <c r="BY195">
        <v>0</v>
      </c>
      <c r="BZ195">
        <v>2</v>
      </c>
      <c r="CA195">
        <v>2</v>
      </c>
      <c r="CB195">
        <v>2</v>
      </c>
      <c r="CD195">
        <v>2</v>
      </c>
    </row>
    <row r="196" spans="1:82" x14ac:dyDescent="0.3">
      <c r="A196">
        <v>657</v>
      </c>
      <c r="B196" t="s">
        <v>911</v>
      </c>
      <c r="E196">
        <v>0</v>
      </c>
      <c r="G196">
        <v>0</v>
      </c>
      <c r="H196">
        <v>0</v>
      </c>
      <c r="I196">
        <v>0</v>
      </c>
      <c r="J196">
        <v>0</v>
      </c>
      <c r="K196">
        <v>0</v>
      </c>
      <c r="L196">
        <v>0</v>
      </c>
      <c r="M196">
        <v>0</v>
      </c>
      <c r="N196">
        <v>0</v>
      </c>
      <c r="O196">
        <v>0</v>
      </c>
      <c r="P196">
        <v>0</v>
      </c>
      <c r="Q196">
        <v>103113608</v>
      </c>
      <c r="R196">
        <v>0</v>
      </c>
      <c r="S196">
        <v>0</v>
      </c>
      <c r="T196">
        <v>0</v>
      </c>
      <c r="U196">
        <v>0</v>
      </c>
      <c r="V196">
        <v>22534452</v>
      </c>
      <c r="W196">
        <v>0</v>
      </c>
      <c r="Y196">
        <v>0</v>
      </c>
      <c r="Z196">
        <v>0</v>
      </c>
      <c r="AA196">
        <v>0</v>
      </c>
      <c r="AB196">
        <v>0</v>
      </c>
      <c r="AC196">
        <v>0</v>
      </c>
      <c r="AD196">
        <v>0</v>
      </c>
      <c r="AE196">
        <v>0</v>
      </c>
      <c r="AF196">
        <v>0</v>
      </c>
      <c r="AG196">
        <v>0</v>
      </c>
      <c r="AH196">
        <v>0</v>
      </c>
      <c r="AI196">
        <v>25666989</v>
      </c>
      <c r="AJ196">
        <v>0</v>
      </c>
      <c r="AM196">
        <v>16736503</v>
      </c>
      <c r="AN196">
        <v>0</v>
      </c>
      <c r="AO196">
        <v>0</v>
      </c>
      <c r="AP196">
        <v>0</v>
      </c>
      <c r="AQ196">
        <v>0</v>
      </c>
      <c r="AR196">
        <v>0</v>
      </c>
      <c r="AS196">
        <v>0</v>
      </c>
      <c r="AT196">
        <v>0</v>
      </c>
      <c r="AU196">
        <v>839518</v>
      </c>
      <c r="AV196">
        <v>0</v>
      </c>
      <c r="AW196">
        <v>0</v>
      </c>
      <c r="AX196">
        <v>0</v>
      </c>
      <c r="AY196">
        <v>0</v>
      </c>
      <c r="AZ196">
        <v>0</v>
      </c>
      <c r="BA196">
        <v>0</v>
      </c>
      <c r="BB196">
        <v>0</v>
      </c>
      <c r="BC196">
        <v>0</v>
      </c>
      <c r="BD196">
        <v>0</v>
      </c>
      <c r="BE196">
        <v>0</v>
      </c>
      <c r="BF196">
        <v>0</v>
      </c>
      <c r="BG196">
        <v>0</v>
      </c>
      <c r="BH196">
        <v>0</v>
      </c>
      <c r="BI196">
        <v>0</v>
      </c>
      <c r="BJ196">
        <v>0</v>
      </c>
      <c r="BK196">
        <v>0</v>
      </c>
      <c r="BN196">
        <v>0</v>
      </c>
      <c r="BO196">
        <v>0</v>
      </c>
      <c r="BP196">
        <v>0</v>
      </c>
      <c r="BQ196">
        <v>0</v>
      </c>
      <c r="BR196">
        <v>2898089</v>
      </c>
      <c r="BS196">
        <v>5467454</v>
      </c>
      <c r="BT196">
        <v>0</v>
      </c>
      <c r="BU196">
        <v>0</v>
      </c>
      <c r="BV196">
        <v>0</v>
      </c>
      <c r="BW196">
        <v>0</v>
      </c>
      <c r="BX196">
        <v>0</v>
      </c>
      <c r="BY196">
        <v>0</v>
      </c>
      <c r="BZ196">
        <v>0</v>
      </c>
      <c r="CA196">
        <v>0</v>
      </c>
      <c r="CB196">
        <v>0</v>
      </c>
      <c r="CD196">
        <v>0</v>
      </c>
    </row>
    <row r="197" spans="1:82" x14ac:dyDescent="0.3">
      <c r="A197">
        <v>658</v>
      </c>
      <c r="B197" t="s">
        <v>912</v>
      </c>
      <c r="E197">
        <v>0</v>
      </c>
      <c r="G197">
        <v>0</v>
      </c>
      <c r="H197">
        <v>0</v>
      </c>
      <c r="I197">
        <v>0</v>
      </c>
      <c r="J197">
        <v>0</v>
      </c>
      <c r="K197">
        <v>0</v>
      </c>
      <c r="L197">
        <v>0</v>
      </c>
      <c r="M197">
        <v>0</v>
      </c>
      <c r="N197">
        <v>0</v>
      </c>
      <c r="O197">
        <v>0</v>
      </c>
      <c r="P197">
        <v>0</v>
      </c>
      <c r="Q197">
        <v>0</v>
      </c>
      <c r="R197">
        <v>0</v>
      </c>
      <c r="S197">
        <v>0</v>
      </c>
      <c r="T197">
        <v>0</v>
      </c>
      <c r="U197">
        <v>0</v>
      </c>
      <c r="V197">
        <v>765621</v>
      </c>
      <c r="W197">
        <v>0</v>
      </c>
      <c r="Y197">
        <v>0</v>
      </c>
      <c r="Z197">
        <v>0</v>
      </c>
      <c r="AA197">
        <v>0</v>
      </c>
      <c r="AB197">
        <v>0</v>
      </c>
      <c r="AC197">
        <v>0</v>
      </c>
      <c r="AD197">
        <v>0</v>
      </c>
      <c r="AE197">
        <v>0</v>
      </c>
      <c r="AF197">
        <v>0</v>
      </c>
      <c r="AG197">
        <v>0</v>
      </c>
      <c r="AH197">
        <v>0</v>
      </c>
      <c r="AI197">
        <v>2723934</v>
      </c>
      <c r="AJ197">
        <v>0</v>
      </c>
      <c r="AM197">
        <v>1009718</v>
      </c>
      <c r="AN197">
        <v>0</v>
      </c>
      <c r="AO197">
        <v>0</v>
      </c>
      <c r="AP197">
        <v>0</v>
      </c>
      <c r="AQ197">
        <v>0</v>
      </c>
      <c r="AR197">
        <v>0</v>
      </c>
      <c r="AS197">
        <v>0</v>
      </c>
      <c r="AT197">
        <v>0</v>
      </c>
      <c r="AU197">
        <v>35778</v>
      </c>
      <c r="AV197">
        <v>0</v>
      </c>
      <c r="AW197">
        <v>0</v>
      </c>
      <c r="AX197">
        <v>0</v>
      </c>
      <c r="AY197">
        <v>0</v>
      </c>
      <c r="AZ197">
        <v>0</v>
      </c>
      <c r="BA197">
        <v>0</v>
      </c>
      <c r="BB197">
        <v>0</v>
      </c>
      <c r="BC197">
        <v>0</v>
      </c>
      <c r="BD197">
        <v>0</v>
      </c>
      <c r="BE197">
        <v>0</v>
      </c>
      <c r="BF197">
        <v>0</v>
      </c>
      <c r="BG197">
        <v>0</v>
      </c>
      <c r="BH197">
        <v>0</v>
      </c>
      <c r="BI197">
        <v>0</v>
      </c>
      <c r="BJ197">
        <v>0</v>
      </c>
      <c r="BK197">
        <v>0</v>
      </c>
      <c r="BN197">
        <v>0</v>
      </c>
      <c r="BO197">
        <v>0</v>
      </c>
      <c r="BP197">
        <v>0</v>
      </c>
      <c r="BQ197">
        <v>0</v>
      </c>
      <c r="BR197">
        <v>80333</v>
      </c>
      <c r="BS197">
        <v>279700</v>
      </c>
      <c r="BT197">
        <v>0</v>
      </c>
      <c r="BU197">
        <v>0</v>
      </c>
      <c r="BV197">
        <v>0</v>
      </c>
      <c r="BW197">
        <v>0</v>
      </c>
      <c r="BX197">
        <v>0</v>
      </c>
      <c r="BY197">
        <v>0</v>
      </c>
      <c r="BZ197">
        <v>0</v>
      </c>
      <c r="CA197">
        <v>0</v>
      </c>
      <c r="CB197">
        <v>0</v>
      </c>
      <c r="CD197">
        <v>0</v>
      </c>
    </row>
    <row r="198" spans="1:82" x14ac:dyDescent="0.3">
      <c r="A198">
        <v>659</v>
      </c>
      <c r="B198" t="s">
        <v>913</v>
      </c>
      <c r="E198">
        <v>0</v>
      </c>
      <c r="G198">
        <v>0</v>
      </c>
      <c r="H198">
        <v>0</v>
      </c>
      <c r="I198">
        <v>0</v>
      </c>
      <c r="J198">
        <v>0</v>
      </c>
      <c r="K198">
        <v>0</v>
      </c>
      <c r="L198">
        <v>0</v>
      </c>
      <c r="M198">
        <v>18102</v>
      </c>
      <c r="N198">
        <v>0</v>
      </c>
      <c r="O198">
        <v>381979</v>
      </c>
      <c r="P198">
        <v>0</v>
      </c>
      <c r="Q198">
        <v>44074710</v>
      </c>
      <c r="R198">
        <v>0</v>
      </c>
      <c r="S198">
        <v>0</v>
      </c>
      <c r="T198">
        <v>52645000</v>
      </c>
      <c r="U198">
        <v>4441376</v>
      </c>
      <c r="V198">
        <v>16832001</v>
      </c>
      <c r="W198">
        <v>5408573</v>
      </c>
      <c r="Y198">
        <v>0</v>
      </c>
      <c r="Z198">
        <v>0</v>
      </c>
      <c r="AA198">
        <v>5533108</v>
      </c>
      <c r="AB198">
        <v>0</v>
      </c>
      <c r="AC198">
        <v>15743</v>
      </c>
      <c r="AD198">
        <v>0</v>
      </c>
      <c r="AE198">
        <v>0</v>
      </c>
      <c r="AF198">
        <v>4492337</v>
      </c>
      <c r="AG198">
        <v>1822727</v>
      </c>
      <c r="AH198">
        <v>0</v>
      </c>
      <c r="AI198">
        <v>37125645</v>
      </c>
      <c r="AJ198">
        <v>0</v>
      </c>
      <c r="AM198">
        <v>809477</v>
      </c>
      <c r="AN198">
        <v>0</v>
      </c>
      <c r="AO198">
        <v>0</v>
      </c>
      <c r="AP198">
        <v>0</v>
      </c>
      <c r="AQ198">
        <v>0</v>
      </c>
      <c r="AR198">
        <v>1593835</v>
      </c>
      <c r="AS198">
        <v>0</v>
      </c>
      <c r="AT198">
        <v>434767</v>
      </c>
      <c r="AU198">
        <v>0</v>
      </c>
      <c r="AV198">
        <v>4175229</v>
      </c>
      <c r="AW198">
        <v>0</v>
      </c>
      <c r="AX198">
        <v>0</v>
      </c>
      <c r="AY198">
        <v>0</v>
      </c>
      <c r="AZ198">
        <v>0</v>
      </c>
      <c r="BA198">
        <v>0</v>
      </c>
      <c r="BB198">
        <v>0</v>
      </c>
      <c r="BC198">
        <v>0</v>
      </c>
      <c r="BD198">
        <v>6137363</v>
      </c>
      <c r="BE198">
        <v>0</v>
      </c>
      <c r="BF198">
        <v>0</v>
      </c>
      <c r="BG198">
        <v>0</v>
      </c>
      <c r="BH198">
        <v>0</v>
      </c>
      <c r="BI198">
        <v>0</v>
      </c>
      <c r="BJ198">
        <v>0</v>
      </c>
      <c r="BK198">
        <v>2830760</v>
      </c>
      <c r="BN198">
        <v>0</v>
      </c>
      <c r="BO198">
        <v>0</v>
      </c>
      <c r="BP198">
        <v>0</v>
      </c>
      <c r="BQ198">
        <v>0</v>
      </c>
      <c r="BR198">
        <v>67347</v>
      </c>
      <c r="BS198">
        <v>2741145</v>
      </c>
      <c r="BT198">
        <v>0</v>
      </c>
      <c r="BU198">
        <v>1022129</v>
      </c>
      <c r="BV198">
        <v>0</v>
      </c>
      <c r="BW198">
        <v>0</v>
      </c>
      <c r="BX198">
        <v>672683</v>
      </c>
      <c r="BY198">
        <v>0</v>
      </c>
      <c r="BZ198">
        <v>0</v>
      </c>
      <c r="CA198">
        <v>0</v>
      </c>
      <c r="CB198">
        <v>0</v>
      </c>
      <c r="CD198">
        <v>0</v>
      </c>
    </row>
    <row r="199" spans="1:82" x14ac:dyDescent="0.3">
      <c r="A199">
        <v>660</v>
      </c>
      <c r="B199" t="s">
        <v>914</v>
      </c>
      <c r="E199">
        <v>0</v>
      </c>
      <c r="G199">
        <v>0</v>
      </c>
      <c r="H199">
        <v>0</v>
      </c>
      <c r="I199">
        <v>0</v>
      </c>
      <c r="J199">
        <v>0</v>
      </c>
      <c r="K199">
        <v>0</v>
      </c>
      <c r="L199">
        <v>0</v>
      </c>
      <c r="M199">
        <v>0</v>
      </c>
      <c r="N199">
        <v>0</v>
      </c>
      <c r="O199">
        <v>0</v>
      </c>
      <c r="P199">
        <v>0</v>
      </c>
      <c r="Q199">
        <v>0</v>
      </c>
      <c r="R199">
        <v>0</v>
      </c>
      <c r="S199">
        <v>0</v>
      </c>
      <c r="T199">
        <v>0</v>
      </c>
      <c r="U199">
        <v>0</v>
      </c>
      <c r="V199">
        <v>228432</v>
      </c>
      <c r="W199">
        <v>0</v>
      </c>
      <c r="Y199">
        <v>0</v>
      </c>
      <c r="Z199">
        <v>0</v>
      </c>
      <c r="AA199">
        <v>0</v>
      </c>
      <c r="AB199">
        <v>0</v>
      </c>
      <c r="AC199">
        <v>0</v>
      </c>
      <c r="AD199">
        <v>0</v>
      </c>
      <c r="AE199">
        <v>0</v>
      </c>
      <c r="AF199">
        <v>0</v>
      </c>
      <c r="AG199">
        <v>0</v>
      </c>
      <c r="AH199">
        <v>0</v>
      </c>
      <c r="AI199">
        <v>0</v>
      </c>
      <c r="AJ199">
        <v>0</v>
      </c>
      <c r="AM199">
        <v>0</v>
      </c>
      <c r="AN199">
        <v>0</v>
      </c>
      <c r="AO199">
        <v>0</v>
      </c>
      <c r="AP199">
        <v>0</v>
      </c>
      <c r="AQ199">
        <v>0</v>
      </c>
      <c r="AR199">
        <v>0</v>
      </c>
      <c r="AS199">
        <v>0</v>
      </c>
      <c r="AT199">
        <v>0</v>
      </c>
      <c r="AU199">
        <v>0</v>
      </c>
      <c r="AV199">
        <v>179176</v>
      </c>
      <c r="AW199">
        <v>0</v>
      </c>
      <c r="AX199">
        <v>0</v>
      </c>
      <c r="AY199">
        <v>0</v>
      </c>
      <c r="AZ199">
        <v>0</v>
      </c>
      <c r="BA199">
        <v>0</v>
      </c>
      <c r="BB199">
        <v>0</v>
      </c>
      <c r="BC199">
        <v>0</v>
      </c>
      <c r="BD199">
        <v>0</v>
      </c>
      <c r="BE199">
        <v>0</v>
      </c>
      <c r="BF199">
        <v>0</v>
      </c>
      <c r="BG199">
        <v>0</v>
      </c>
      <c r="BH199">
        <v>0</v>
      </c>
      <c r="BI199">
        <v>0</v>
      </c>
      <c r="BJ199">
        <v>0</v>
      </c>
      <c r="BK199">
        <v>0</v>
      </c>
      <c r="BN199">
        <v>0</v>
      </c>
      <c r="BO199">
        <v>0</v>
      </c>
      <c r="BP199">
        <v>0</v>
      </c>
      <c r="BQ199">
        <v>0</v>
      </c>
      <c r="BR199">
        <v>0</v>
      </c>
      <c r="BS199">
        <v>0</v>
      </c>
      <c r="BT199">
        <v>0</v>
      </c>
      <c r="BU199">
        <v>0</v>
      </c>
      <c r="BV199">
        <v>0</v>
      </c>
      <c r="BW199">
        <v>0</v>
      </c>
      <c r="BX199">
        <v>0</v>
      </c>
      <c r="BY199">
        <v>0</v>
      </c>
      <c r="BZ199">
        <v>0</v>
      </c>
      <c r="CA199">
        <v>0</v>
      </c>
      <c r="CB199">
        <v>0</v>
      </c>
      <c r="CD199">
        <v>0</v>
      </c>
    </row>
    <row r="200" spans="1:82" x14ac:dyDescent="0.3">
      <c r="A200">
        <v>661</v>
      </c>
      <c r="B200" t="s">
        <v>418</v>
      </c>
      <c r="E200">
        <v>0</v>
      </c>
      <c r="G200">
        <v>0</v>
      </c>
      <c r="H200">
        <v>0</v>
      </c>
      <c r="I200">
        <v>0</v>
      </c>
      <c r="J200">
        <v>0</v>
      </c>
      <c r="K200">
        <v>0</v>
      </c>
      <c r="L200">
        <v>0</v>
      </c>
      <c r="M200">
        <v>0</v>
      </c>
      <c r="N200">
        <v>0</v>
      </c>
      <c r="O200">
        <v>0</v>
      </c>
      <c r="P200">
        <v>0</v>
      </c>
      <c r="Q200">
        <v>0</v>
      </c>
      <c r="R200">
        <v>0</v>
      </c>
      <c r="S200">
        <v>0</v>
      </c>
      <c r="T200">
        <v>0</v>
      </c>
      <c r="U200">
        <v>0</v>
      </c>
      <c r="V200">
        <v>1.4</v>
      </c>
      <c r="W200">
        <v>0</v>
      </c>
      <c r="Y200">
        <v>0</v>
      </c>
      <c r="Z200">
        <v>0</v>
      </c>
      <c r="AA200">
        <v>0</v>
      </c>
      <c r="AB200">
        <v>0</v>
      </c>
      <c r="AC200">
        <v>0</v>
      </c>
      <c r="AD200">
        <v>0</v>
      </c>
      <c r="AE200">
        <v>0</v>
      </c>
      <c r="AF200">
        <v>0</v>
      </c>
      <c r="AG200">
        <v>0</v>
      </c>
      <c r="AH200">
        <v>0</v>
      </c>
      <c r="AI200">
        <v>0</v>
      </c>
      <c r="AJ200">
        <v>0</v>
      </c>
      <c r="AM200">
        <v>0</v>
      </c>
      <c r="AN200">
        <v>0</v>
      </c>
      <c r="AO200">
        <v>0</v>
      </c>
      <c r="AP200">
        <v>0</v>
      </c>
      <c r="AQ200">
        <v>0</v>
      </c>
      <c r="AR200">
        <v>0</v>
      </c>
      <c r="AS200">
        <v>0</v>
      </c>
      <c r="AT200">
        <v>0</v>
      </c>
      <c r="AU200">
        <v>0</v>
      </c>
      <c r="AV200">
        <v>4.3</v>
      </c>
      <c r="AW200">
        <v>0</v>
      </c>
      <c r="AX200">
        <v>0</v>
      </c>
      <c r="AY200">
        <v>0</v>
      </c>
      <c r="AZ200">
        <v>0</v>
      </c>
      <c r="BA200">
        <v>0</v>
      </c>
      <c r="BB200">
        <v>0</v>
      </c>
      <c r="BC200">
        <v>0</v>
      </c>
      <c r="BD200">
        <v>0</v>
      </c>
      <c r="BE200">
        <v>0</v>
      </c>
      <c r="BF200">
        <v>0</v>
      </c>
      <c r="BG200">
        <v>0</v>
      </c>
      <c r="BH200">
        <v>0</v>
      </c>
      <c r="BI200">
        <v>0</v>
      </c>
      <c r="BJ200">
        <v>0</v>
      </c>
      <c r="BK200">
        <v>0</v>
      </c>
      <c r="BN200">
        <v>0</v>
      </c>
      <c r="BO200">
        <v>0</v>
      </c>
      <c r="BP200">
        <v>0</v>
      </c>
      <c r="BQ200">
        <v>0</v>
      </c>
      <c r="BR200">
        <v>0</v>
      </c>
      <c r="BS200">
        <v>0</v>
      </c>
      <c r="BT200">
        <v>0</v>
      </c>
      <c r="BU200">
        <v>0</v>
      </c>
      <c r="BV200">
        <v>0</v>
      </c>
      <c r="BW200">
        <v>0</v>
      </c>
      <c r="BX200">
        <v>0</v>
      </c>
      <c r="BY200">
        <v>0</v>
      </c>
      <c r="BZ200">
        <v>0</v>
      </c>
      <c r="CA200">
        <v>0</v>
      </c>
      <c r="CB200">
        <v>0</v>
      </c>
      <c r="CD200">
        <v>0</v>
      </c>
    </row>
    <row r="201" spans="1:82" x14ac:dyDescent="0.3">
      <c r="A201">
        <v>906</v>
      </c>
      <c r="B201" t="s">
        <v>916</v>
      </c>
      <c r="E201">
        <v>1</v>
      </c>
      <c r="G201">
        <v>1</v>
      </c>
      <c r="H201">
        <v>1</v>
      </c>
      <c r="I201">
        <v>1</v>
      </c>
      <c r="J201">
        <v>1</v>
      </c>
      <c r="K201">
        <v>1</v>
      </c>
      <c r="L201">
        <v>1</v>
      </c>
      <c r="M201">
        <v>1</v>
      </c>
      <c r="N201">
        <v>1</v>
      </c>
      <c r="O201">
        <v>1</v>
      </c>
      <c r="P201">
        <v>1</v>
      </c>
      <c r="Q201">
        <v>1</v>
      </c>
      <c r="R201">
        <v>1</v>
      </c>
      <c r="S201">
        <v>1</v>
      </c>
      <c r="T201">
        <v>1</v>
      </c>
      <c r="U201">
        <v>1</v>
      </c>
      <c r="V201">
        <v>1</v>
      </c>
      <c r="W201">
        <v>1</v>
      </c>
      <c r="Y201">
        <v>1</v>
      </c>
      <c r="Z201">
        <v>1</v>
      </c>
      <c r="AA201">
        <v>1</v>
      </c>
      <c r="AB201">
        <v>1</v>
      </c>
      <c r="AC201">
        <v>1</v>
      </c>
      <c r="AD201">
        <v>1</v>
      </c>
      <c r="AE201">
        <v>1</v>
      </c>
      <c r="AF201">
        <v>1</v>
      </c>
      <c r="AG201">
        <v>1</v>
      </c>
      <c r="AH201">
        <v>1</v>
      </c>
      <c r="AI201">
        <v>1</v>
      </c>
      <c r="AJ201">
        <v>1</v>
      </c>
      <c r="AM201">
        <v>1</v>
      </c>
      <c r="AN201">
        <v>1</v>
      </c>
      <c r="AO201">
        <v>1</v>
      </c>
      <c r="AP201">
        <v>1</v>
      </c>
      <c r="AQ201">
        <v>1</v>
      </c>
      <c r="AR201">
        <v>1</v>
      </c>
      <c r="AS201">
        <v>1</v>
      </c>
      <c r="AT201">
        <v>1</v>
      </c>
      <c r="AU201">
        <v>1</v>
      </c>
      <c r="AV201">
        <v>1</v>
      </c>
      <c r="AW201">
        <v>1</v>
      </c>
      <c r="AX201">
        <v>1</v>
      </c>
      <c r="AY201">
        <v>1</v>
      </c>
      <c r="AZ201">
        <v>1</v>
      </c>
      <c r="BA201">
        <v>1</v>
      </c>
      <c r="BB201">
        <v>1</v>
      </c>
      <c r="BC201">
        <v>1</v>
      </c>
      <c r="BD201">
        <v>1</v>
      </c>
      <c r="BE201">
        <v>1</v>
      </c>
      <c r="BF201">
        <v>1</v>
      </c>
      <c r="BG201">
        <v>1</v>
      </c>
      <c r="BH201">
        <v>1</v>
      </c>
      <c r="BI201">
        <v>1</v>
      </c>
      <c r="BJ201">
        <v>1</v>
      </c>
      <c r="BK201">
        <v>1</v>
      </c>
      <c r="BN201">
        <v>1</v>
      </c>
      <c r="BO201">
        <v>1</v>
      </c>
      <c r="BP201">
        <v>1</v>
      </c>
      <c r="BQ201">
        <v>1</v>
      </c>
      <c r="BR201">
        <v>1</v>
      </c>
      <c r="BS201">
        <v>1</v>
      </c>
      <c r="BT201">
        <v>1</v>
      </c>
      <c r="BU201">
        <v>1</v>
      </c>
      <c r="BV201">
        <v>1</v>
      </c>
      <c r="BW201">
        <v>1</v>
      </c>
      <c r="BX201">
        <v>1</v>
      </c>
      <c r="BY201">
        <v>1</v>
      </c>
      <c r="BZ201">
        <v>1</v>
      </c>
      <c r="CA201">
        <v>1</v>
      </c>
      <c r="CB201">
        <v>1</v>
      </c>
      <c r="CD201">
        <v>1</v>
      </c>
    </row>
    <row r="202" spans="1:82" x14ac:dyDescent="0.3">
      <c r="A202">
        <v>907</v>
      </c>
      <c r="B202" t="s">
        <v>917</v>
      </c>
      <c r="E202">
        <v>2</v>
      </c>
      <c r="G202">
        <v>2</v>
      </c>
      <c r="H202">
        <v>1</v>
      </c>
      <c r="I202">
        <v>2</v>
      </c>
      <c r="J202">
        <v>1</v>
      </c>
      <c r="K202">
        <v>2</v>
      </c>
      <c r="L202">
        <v>2</v>
      </c>
      <c r="M202">
        <v>2</v>
      </c>
      <c r="N202">
        <v>1</v>
      </c>
      <c r="O202">
        <v>2</v>
      </c>
      <c r="P202">
        <v>1</v>
      </c>
      <c r="Q202">
        <v>2</v>
      </c>
      <c r="R202">
        <v>2</v>
      </c>
      <c r="S202">
        <v>1</v>
      </c>
      <c r="T202">
        <v>2</v>
      </c>
      <c r="U202">
        <v>2</v>
      </c>
      <c r="V202">
        <v>2</v>
      </c>
      <c r="W202">
        <v>2</v>
      </c>
      <c r="Y202">
        <v>2</v>
      </c>
      <c r="Z202">
        <v>1</v>
      </c>
      <c r="AA202">
        <v>2</v>
      </c>
      <c r="AB202">
        <v>2</v>
      </c>
      <c r="AC202">
        <v>1</v>
      </c>
      <c r="AD202">
        <v>2</v>
      </c>
      <c r="AE202">
        <v>2</v>
      </c>
      <c r="AF202">
        <v>2</v>
      </c>
      <c r="AG202">
        <v>2</v>
      </c>
      <c r="AH202">
        <v>1</v>
      </c>
      <c r="AI202">
        <v>2</v>
      </c>
      <c r="AJ202">
        <v>1</v>
      </c>
      <c r="AM202">
        <v>2</v>
      </c>
      <c r="AN202">
        <v>2</v>
      </c>
      <c r="AO202">
        <v>1</v>
      </c>
      <c r="AP202">
        <v>1</v>
      </c>
      <c r="AQ202">
        <v>2</v>
      </c>
      <c r="AR202">
        <v>2</v>
      </c>
      <c r="AS202">
        <v>2</v>
      </c>
      <c r="AT202">
        <v>1</v>
      </c>
      <c r="AU202">
        <v>2</v>
      </c>
      <c r="AV202">
        <v>2</v>
      </c>
      <c r="AW202">
        <v>2</v>
      </c>
      <c r="AX202">
        <v>2</v>
      </c>
      <c r="AY202">
        <v>2</v>
      </c>
      <c r="AZ202">
        <v>1</v>
      </c>
      <c r="BA202">
        <v>2</v>
      </c>
      <c r="BB202">
        <v>1</v>
      </c>
      <c r="BC202">
        <v>1</v>
      </c>
      <c r="BD202">
        <v>1</v>
      </c>
      <c r="BE202">
        <v>1</v>
      </c>
      <c r="BF202">
        <v>1</v>
      </c>
      <c r="BG202">
        <v>2</v>
      </c>
      <c r="BH202">
        <v>1</v>
      </c>
      <c r="BI202">
        <v>1</v>
      </c>
      <c r="BJ202">
        <v>1</v>
      </c>
      <c r="BK202">
        <v>1</v>
      </c>
      <c r="BN202">
        <v>1</v>
      </c>
      <c r="BO202">
        <v>1</v>
      </c>
      <c r="BP202">
        <v>2</v>
      </c>
      <c r="BQ202">
        <v>2</v>
      </c>
      <c r="BR202">
        <v>2</v>
      </c>
      <c r="BS202">
        <v>2</v>
      </c>
      <c r="BT202">
        <v>1</v>
      </c>
      <c r="BU202">
        <v>2</v>
      </c>
      <c r="BV202">
        <v>2</v>
      </c>
      <c r="BW202">
        <v>2</v>
      </c>
      <c r="BX202">
        <v>1</v>
      </c>
      <c r="BY202">
        <v>1</v>
      </c>
      <c r="BZ202">
        <v>2</v>
      </c>
      <c r="CA202">
        <v>1</v>
      </c>
      <c r="CB202">
        <v>1</v>
      </c>
      <c r="CD202">
        <v>2</v>
      </c>
    </row>
    <row r="203" spans="1:82" x14ac:dyDescent="0.3">
      <c r="A203">
        <v>947</v>
      </c>
      <c r="B203" t="s">
        <v>918</v>
      </c>
      <c r="E203" t="s">
        <v>2563</v>
      </c>
      <c r="G203" t="s">
        <v>2079</v>
      </c>
      <c r="H203" t="s">
        <v>1062</v>
      </c>
      <c r="I203" t="s">
        <v>2080</v>
      </c>
      <c r="J203" t="s">
        <v>2081</v>
      </c>
      <c r="K203" t="s">
        <v>2082</v>
      </c>
      <c r="L203" t="s">
        <v>1596</v>
      </c>
      <c r="M203" t="s">
        <v>2083</v>
      </c>
      <c r="N203" t="s">
        <v>2564</v>
      </c>
      <c r="O203" t="s">
        <v>1985</v>
      </c>
      <c r="P203" t="s">
        <v>2085</v>
      </c>
      <c r="Q203" t="s">
        <v>1597</v>
      </c>
      <c r="R203" t="s">
        <v>2565</v>
      </c>
      <c r="S203" t="s">
        <v>2087</v>
      </c>
      <c r="T203" t="s">
        <v>2122</v>
      </c>
      <c r="U203" t="s">
        <v>2088</v>
      </c>
      <c r="V203" t="s">
        <v>2566</v>
      </c>
      <c r="W203" t="s">
        <v>2076</v>
      </c>
      <c r="Y203" t="s">
        <v>2567</v>
      </c>
      <c r="Z203" t="s">
        <v>2568</v>
      </c>
      <c r="AA203" t="s">
        <v>2092</v>
      </c>
      <c r="AB203" t="s">
        <v>2093</v>
      </c>
      <c r="AC203" t="s">
        <v>2091</v>
      </c>
      <c r="AD203" t="s">
        <v>1549</v>
      </c>
      <c r="AE203" t="s">
        <v>2094</v>
      </c>
      <c r="AF203" t="s">
        <v>2091</v>
      </c>
      <c r="AG203" t="s">
        <v>2569</v>
      </c>
      <c r="AH203" t="s">
        <v>2096</v>
      </c>
      <c r="AI203" t="s">
        <v>2097</v>
      </c>
      <c r="AJ203" t="s">
        <v>920</v>
      </c>
      <c r="AM203" t="s">
        <v>2099</v>
      </c>
      <c r="AN203" t="s">
        <v>2100</v>
      </c>
      <c r="AO203" t="s">
        <v>2570</v>
      </c>
      <c r="AP203" t="s">
        <v>2102</v>
      </c>
      <c r="AQ203" t="s">
        <v>2103</v>
      </c>
      <c r="AR203" t="s">
        <v>2104</v>
      </c>
      <c r="AS203" t="s">
        <v>2105</v>
      </c>
      <c r="AT203" t="s">
        <v>2106</v>
      </c>
      <c r="AU203" t="s">
        <v>2080</v>
      </c>
      <c r="AV203" t="s">
        <v>1596</v>
      </c>
      <c r="AW203" t="s">
        <v>2106</v>
      </c>
      <c r="AX203" t="s">
        <v>919</v>
      </c>
      <c r="AY203" t="s">
        <v>2108</v>
      </c>
      <c r="AZ203" t="s">
        <v>2109</v>
      </c>
      <c r="BA203" t="s">
        <v>1547</v>
      </c>
      <c r="BB203" t="s">
        <v>2110</v>
      </c>
      <c r="BC203" t="s">
        <v>2111</v>
      </c>
      <c r="BD203" t="s">
        <v>2571</v>
      </c>
      <c r="BE203" t="s">
        <v>2112</v>
      </c>
      <c r="BF203" t="s">
        <v>2572</v>
      </c>
      <c r="BG203" t="s">
        <v>2573</v>
      </c>
      <c r="BH203" t="s">
        <v>2115</v>
      </c>
      <c r="BI203" t="s">
        <v>2116</v>
      </c>
      <c r="BJ203" t="s">
        <v>2574</v>
      </c>
      <c r="BK203" t="s">
        <v>2118</v>
      </c>
      <c r="BN203" t="s">
        <v>2119</v>
      </c>
      <c r="BO203" t="s">
        <v>2575</v>
      </c>
      <c r="BP203" t="s">
        <v>2565</v>
      </c>
      <c r="BQ203" t="s">
        <v>2576</v>
      </c>
      <c r="BR203" t="s">
        <v>1548</v>
      </c>
      <c r="BS203" t="s">
        <v>2122</v>
      </c>
      <c r="BT203" t="s">
        <v>2577</v>
      </c>
      <c r="BU203" t="s">
        <v>2113</v>
      </c>
      <c r="BV203" t="s">
        <v>2112</v>
      </c>
      <c r="BW203" t="s">
        <v>2123</v>
      </c>
      <c r="BX203" t="s">
        <v>2124</v>
      </c>
      <c r="BY203" t="s">
        <v>2125</v>
      </c>
      <c r="BZ203" t="s">
        <v>2126</v>
      </c>
      <c r="CA203" t="s">
        <v>2127</v>
      </c>
      <c r="CB203" t="s">
        <v>2128</v>
      </c>
      <c r="CD203" t="s">
        <v>2092</v>
      </c>
    </row>
    <row r="204" spans="1:82" x14ac:dyDescent="0.3">
      <c r="A204">
        <v>948</v>
      </c>
      <c r="B204" t="s">
        <v>921</v>
      </c>
      <c r="E204" t="s">
        <v>2578</v>
      </c>
      <c r="G204" t="s">
        <v>2132</v>
      </c>
      <c r="H204" t="s">
        <v>2133</v>
      </c>
      <c r="I204" t="s">
        <v>1598</v>
      </c>
      <c r="J204" t="s">
        <v>1557</v>
      </c>
      <c r="K204" t="s">
        <v>2134</v>
      </c>
      <c r="L204" t="s">
        <v>2135</v>
      </c>
      <c r="M204" t="s">
        <v>2136</v>
      </c>
      <c r="N204" t="s">
        <v>2579</v>
      </c>
      <c r="O204" t="s">
        <v>2138</v>
      </c>
      <c r="P204" t="s">
        <v>2139</v>
      </c>
      <c r="Q204" t="s">
        <v>2140</v>
      </c>
      <c r="R204" t="s">
        <v>2580</v>
      </c>
      <c r="S204" t="s">
        <v>2142</v>
      </c>
      <c r="T204" t="s">
        <v>2581</v>
      </c>
      <c r="U204" t="s">
        <v>2144</v>
      </c>
      <c r="V204" t="s">
        <v>2582</v>
      </c>
      <c r="W204" t="s">
        <v>2146</v>
      </c>
      <c r="Y204" t="s">
        <v>2147</v>
      </c>
      <c r="Z204" t="s">
        <v>2583</v>
      </c>
      <c r="AA204" t="s">
        <v>1555</v>
      </c>
      <c r="AB204" t="s">
        <v>2149</v>
      </c>
      <c r="AC204" t="s">
        <v>2150</v>
      </c>
      <c r="AD204" t="s">
        <v>1994</v>
      </c>
      <c r="AE204" t="s">
        <v>2151</v>
      </c>
      <c r="AF204" t="s">
        <v>1599</v>
      </c>
      <c r="AG204" t="s">
        <v>2584</v>
      </c>
      <c r="AH204" t="s">
        <v>2153</v>
      </c>
      <c r="AI204" t="s">
        <v>2154</v>
      </c>
      <c r="AJ204" t="s">
        <v>1552</v>
      </c>
      <c r="AM204" t="s">
        <v>2155</v>
      </c>
      <c r="AN204" t="s">
        <v>2156</v>
      </c>
      <c r="AO204" t="s">
        <v>2585</v>
      </c>
      <c r="AP204" t="s">
        <v>2158</v>
      </c>
      <c r="AQ204" t="s">
        <v>2159</v>
      </c>
      <c r="AR204" t="s">
        <v>2586</v>
      </c>
      <c r="AS204" t="s">
        <v>2140</v>
      </c>
      <c r="AT204" t="s">
        <v>2161</v>
      </c>
      <c r="AU204" t="s">
        <v>2162</v>
      </c>
      <c r="AV204" t="s">
        <v>2163</v>
      </c>
      <c r="AW204" t="s">
        <v>2164</v>
      </c>
      <c r="AX204" t="s">
        <v>2587</v>
      </c>
      <c r="AY204" t="s">
        <v>2166</v>
      </c>
      <c r="AZ204" t="s">
        <v>1600</v>
      </c>
      <c r="BA204" t="s">
        <v>1599</v>
      </c>
      <c r="BB204" t="s">
        <v>2167</v>
      </c>
      <c r="BC204" t="s">
        <v>2168</v>
      </c>
      <c r="BD204" t="s">
        <v>2588</v>
      </c>
      <c r="BE204" t="s">
        <v>2169</v>
      </c>
      <c r="BF204" t="s">
        <v>2589</v>
      </c>
      <c r="BG204" t="s">
        <v>2590</v>
      </c>
      <c r="BH204" t="s">
        <v>2172</v>
      </c>
      <c r="BI204" t="s">
        <v>510</v>
      </c>
      <c r="BJ204" t="s">
        <v>2591</v>
      </c>
      <c r="BK204" t="s">
        <v>1559</v>
      </c>
      <c r="BN204" t="s">
        <v>2175</v>
      </c>
      <c r="BO204" t="s">
        <v>2592</v>
      </c>
      <c r="BP204" t="s">
        <v>2593</v>
      </c>
      <c r="BQ204" t="s">
        <v>2594</v>
      </c>
      <c r="BR204" t="s">
        <v>2179</v>
      </c>
      <c r="BS204" t="s">
        <v>2180</v>
      </c>
      <c r="BT204" t="s">
        <v>1556</v>
      </c>
      <c r="BU204" t="s">
        <v>2182</v>
      </c>
      <c r="BV204" t="s">
        <v>2595</v>
      </c>
      <c r="BW204" t="s">
        <v>1021</v>
      </c>
      <c r="BX204" t="s">
        <v>2184</v>
      </c>
      <c r="BY204" t="s">
        <v>2185</v>
      </c>
      <c r="BZ204" t="s">
        <v>1551</v>
      </c>
      <c r="CA204" t="s">
        <v>2186</v>
      </c>
      <c r="CB204" t="s">
        <v>1256</v>
      </c>
      <c r="CD204" t="s">
        <v>2596</v>
      </c>
    </row>
    <row r="205" spans="1:82" x14ac:dyDescent="0.3">
      <c r="A205">
        <v>949</v>
      </c>
      <c r="B205" t="s">
        <v>922</v>
      </c>
      <c r="E205" t="s">
        <v>410</v>
      </c>
      <c r="G205" t="s">
        <v>410</v>
      </c>
      <c r="H205" t="s">
        <v>410</v>
      </c>
      <c r="I205" t="s">
        <v>410</v>
      </c>
      <c r="J205" t="s">
        <v>410</v>
      </c>
      <c r="K205" t="s">
        <v>410</v>
      </c>
      <c r="L205" t="s">
        <v>410</v>
      </c>
      <c r="M205" t="s">
        <v>410</v>
      </c>
      <c r="N205" t="s">
        <v>410</v>
      </c>
      <c r="O205" t="s">
        <v>410</v>
      </c>
      <c r="P205" t="s">
        <v>410</v>
      </c>
      <c r="Q205" t="s">
        <v>410</v>
      </c>
      <c r="R205" t="s">
        <v>410</v>
      </c>
      <c r="S205" t="s">
        <v>410</v>
      </c>
      <c r="T205" t="s">
        <v>410</v>
      </c>
      <c r="U205" t="s">
        <v>410</v>
      </c>
      <c r="V205" t="s">
        <v>410</v>
      </c>
      <c r="W205" t="s">
        <v>410</v>
      </c>
      <c r="Y205" t="s">
        <v>410</v>
      </c>
      <c r="Z205" t="s">
        <v>410</v>
      </c>
      <c r="AA205" t="s">
        <v>410</v>
      </c>
      <c r="AB205" t="s">
        <v>410</v>
      </c>
      <c r="AC205" t="s">
        <v>410</v>
      </c>
      <c r="AD205" t="s">
        <v>410</v>
      </c>
      <c r="AE205" t="s">
        <v>410</v>
      </c>
      <c r="AF205" t="s">
        <v>410</v>
      </c>
      <c r="AG205" t="s">
        <v>410</v>
      </c>
      <c r="AH205" t="s">
        <v>410</v>
      </c>
      <c r="AI205" t="s">
        <v>410</v>
      </c>
      <c r="AJ205" t="s">
        <v>410</v>
      </c>
      <c r="AM205" t="s">
        <v>410</v>
      </c>
      <c r="AN205" t="s">
        <v>410</v>
      </c>
      <c r="AO205" t="s">
        <v>410</v>
      </c>
      <c r="AP205" t="s">
        <v>410</v>
      </c>
      <c r="AQ205" t="s">
        <v>410</v>
      </c>
      <c r="AR205" t="s">
        <v>410</v>
      </c>
      <c r="AS205" t="s">
        <v>410</v>
      </c>
      <c r="AT205" t="s">
        <v>410</v>
      </c>
      <c r="AU205" t="s">
        <v>410</v>
      </c>
      <c r="AV205" t="s">
        <v>428</v>
      </c>
      <c r="AW205" t="s">
        <v>410</v>
      </c>
      <c r="AX205" t="s">
        <v>410</v>
      </c>
      <c r="AY205" t="s">
        <v>410</v>
      </c>
      <c r="AZ205" t="s">
        <v>410</v>
      </c>
      <c r="BA205" t="s">
        <v>410</v>
      </c>
      <c r="BB205" t="s">
        <v>410</v>
      </c>
      <c r="BC205" t="s">
        <v>410</v>
      </c>
      <c r="BD205" t="s">
        <v>410</v>
      </c>
      <c r="BE205" t="s">
        <v>410</v>
      </c>
      <c r="BF205" t="s">
        <v>410</v>
      </c>
      <c r="BG205" t="s">
        <v>410</v>
      </c>
      <c r="BH205" t="s">
        <v>410</v>
      </c>
      <c r="BI205" t="s">
        <v>410</v>
      </c>
      <c r="BJ205" t="s">
        <v>410</v>
      </c>
      <c r="BK205" t="s">
        <v>410</v>
      </c>
      <c r="BN205" t="s">
        <v>410</v>
      </c>
      <c r="BO205" t="s">
        <v>429</v>
      </c>
      <c r="BP205" t="s">
        <v>410</v>
      </c>
      <c r="BQ205" t="s">
        <v>410</v>
      </c>
      <c r="BR205" t="s">
        <v>410</v>
      </c>
      <c r="BS205" t="s">
        <v>410</v>
      </c>
      <c r="BT205" t="s">
        <v>410</v>
      </c>
      <c r="BU205" t="s">
        <v>410</v>
      </c>
      <c r="BV205" t="s">
        <v>410</v>
      </c>
      <c r="BW205" t="s">
        <v>410</v>
      </c>
      <c r="BX205" t="s">
        <v>410</v>
      </c>
      <c r="BY205" t="s">
        <v>410</v>
      </c>
      <c r="BZ205" t="s">
        <v>410</v>
      </c>
      <c r="CA205" t="s">
        <v>410</v>
      </c>
      <c r="CB205" t="s">
        <v>410</v>
      </c>
      <c r="CD205" t="s">
        <v>410</v>
      </c>
    </row>
    <row r="206" spans="1:82" x14ac:dyDescent="0.3">
      <c r="A206">
        <v>950</v>
      </c>
      <c r="B206" t="s">
        <v>923</v>
      </c>
      <c r="E206" t="s">
        <v>50</v>
      </c>
      <c r="G206" t="s">
        <v>50</v>
      </c>
      <c r="H206" t="s">
        <v>50</v>
      </c>
      <c r="I206" t="s">
        <v>50</v>
      </c>
      <c r="J206" t="s">
        <v>50</v>
      </c>
      <c r="K206" t="s">
        <v>50</v>
      </c>
      <c r="L206" t="s">
        <v>51</v>
      </c>
      <c r="M206" t="s">
        <v>50</v>
      </c>
      <c r="N206" t="s">
        <v>50</v>
      </c>
      <c r="O206" t="s">
        <v>50</v>
      </c>
      <c r="P206" t="s">
        <v>50</v>
      </c>
      <c r="Q206" t="s">
        <v>50</v>
      </c>
      <c r="R206" t="s">
        <v>50</v>
      </c>
      <c r="S206" t="s">
        <v>50</v>
      </c>
      <c r="T206" t="s">
        <v>50</v>
      </c>
      <c r="U206" t="s">
        <v>50</v>
      </c>
      <c r="V206" t="s">
        <v>50</v>
      </c>
      <c r="W206" t="s">
        <v>50</v>
      </c>
      <c r="Y206" t="s">
        <v>50</v>
      </c>
      <c r="Z206" t="s">
        <v>50</v>
      </c>
      <c r="AA206" t="s">
        <v>50</v>
      </c>
      <c r="AB206" t="s">
        <v>50</v>
      </c>
      <c r="AC206" t="s">
        <v>50</v>
      </c>
      <c r="AD206" t="s">
        <v>50</v>
      </c>
      <c r="AE206" t="s">
        <v>50</v>
      </c>
      <c r="AF206" t="s">
        <v>50</v>
      </c>
      <c r="AG206" t="s">
        <v>50</v>
      </c>
      <c r="AH206" t="s">
        <v>50</v>
      </c>
      <c r="AI206" t="s">
        <v>50</v>
      </c>
      <c r="AJ206" t="s">
        <v>50</v>
      </c>
      <c r="AM206" t="s">
        <v>50</v>
      </c>
      <c r="AN206" t="s">
        <v>50</v>
      </c>
      <c r="AO206" t="s">
        <v>50</v>
      </c>
      <c r="AP206" t="s">
        <v>50</v>
      </c>
      <c r="AQ206" t="s">
        <v>50</v>
      </c>
      <c r="AR206" t="s">
        <v>50</v>
      </c>
      <c r="AS206" t="s">
        <v>50</v>
      </c>
      <c r="AT206" t="s">
        <v>50</v>
      </c>
      <c r="AU206" t="s">
        <v>50</v>
      </c>
      <c r="AV206" t="s">
        <v>50</v>
      </c>
      <c r="AW206" t="s">
        <v>50</v>
      </c>
      <c r="AX206" t="s">
        <v>50</v>
      </c>
      <c r="AY206" t="s">
        <v>50</v>
      </c>
      <c r="AZ206" t="s">
        <v>50</v>
      </c>
      <c r="BA206" t="s">
        <v>50</v>
      </c>
      <c r="BB206" t="s">
        <v>50</v>
      </c>
      <c r="BC206" t="s">
        <v>50</v>
      </c>
      <c r="BD206" t="s">
        <v>50</v>
      </c>
      <c r="BE206" t="s">
        <v>50</v>
      </c>
      <c r="BF206" t="s">
        <v>50</v>
      </c>
      <c r="BG206" t="s">
        <v>50</v>
      </c>
      <c r="BH206" t="s">
        <v>50</v>
      </c>
      <c r="BI206" t="s">
        <v>50</v>
      </c>
      <c r="BJ206" t="s">
        <v>50</v>
      </c>
      <c r="BK206" t="s">
        <v>50</v>
      </c>
      <c r="BN206" t="s">
        <v>50</v>
      </c>
      <c r="BO206" t="s">
        <v>51</v>
      </c>
      <c r="BP206" t="s">
        <v>50</v>
      </c>
      <c r="BQ206" t="s">
        <v>50</v>
      </c>
      <c r="BR206" t="s">
        <v>51</v>
      </c>
      <c r="BS206" t="s">
        <v>50</v>
      </c>
      <c r="BT206" t="s">
        <v>50</v>
      </c>
      <c r="BU206" t="s">
        <v>50</v>
      </c>
      <c r="BV206" t="s">
        <v>50</v>
      </c>
      <c r="BW206" t="s">
        <v>50</v>
      </c>
      <c r="BX206" t="s">
        <v>50</v>
      </c>
      <c r="BY206" t="s">
        <v>50</v>
      </c>
      <c r="BZ206" t="s">
        <v>50</v>
      </c>
      <c r="CA206" t="s">
        <v>50</v>
      </c>
      <c r="CB206" t="s">
        <v>50</v>
      </c>
      <c r="CD206" t="s">
        <v>50</v>
      </c>
    </row>
    <row r="207" spans="1:82" x14ac:dyDescent="0.3">
      <c r="A207">
        <v>951</v>
      </c>
      <c r="B207" t="s">
        <v>924</v>
      </c>
      <c r="E207">
        <v>2</v>
      </c>
      <c r="G207">
        <v>2</v>
      </c>
      <c r="H207">
        <v>2</v>
      </c>
      <c r="I207">
        <v>2</v>
      </c>
      <c r="J207">
        <v>1</v>
      </c>
      <c r="K207">
        <v>2</v>
      </c>
      <c r="L207">
        <v>2</v>
      </c>
      <c r="M207">
        <v>2</v>
      </c>
      <c r="N207">
        <v>1</v>
      </c>
      <c r="O207">
        <v>2</v>
      </c>
      <c r="P207">
        <v>2</v>
      </c>
      <c r="Q207">
        <v>2</v>
      </c>
      <c r="R207">
        <v>2</v>
      </c>
      <c r="S207">
        <v>2</v>
      </c>
      <c r="T207">
        <v>2</v>
      </c>
      <c r="U207">
        <v>2</v>
      </c>
      <c r="V207">
        <v>2</v>
      </c>
      <c r="W207">
        <v>2</v>
      </c>
      <c r="Y207">
        <v>2</v>
      </c>
      <c r="Z207">
        <v>2</v>
      </c>
      <c r="AA207">
        <v>2</v>
      </c>
      <c r="AB207">
        <v>2</v>
      </c>
      <c r="AC207">
        <v>2</v>
      </c>
      <c r="AD207">
        <v>2</v>
      </c>
      <c r="AE207">
        <v>2</v>
      </c>
      <c r="AF207">
        <v>2</v>
      </c>
      <c r="AG207">
        <v>2</v>
      </c>
      <c r="AH207">
        <v>2</v>
      </c>
      <c r="AI207">
        <v>2</v>
      </c>
      <c r="AJ207">
        <v>1</v>
      </c>
      <c r="AM207">
        <v>2</v>
      </c>
      <c r="AN207">
        <v>2</v>
      </c>
      <c r="AO207">
        <v>2</v>
      </c>
      <c r="AP207">
        <v>2</v>
      </c>
      <c r="AQ207">
        <v>2</v>
      </c>
      <c r="AR207">
        <v>2</v>
      </c>
      <c r="AS207">
        <v>2</v>
      </c>
      <c r="AT207">
        <v>2</v>
      </c>
      <c r="AU207">
        <v>2</v>
      </c>
      <c r="AV207">
        <v>2</v>
      </c>
      <c r="AW207">
        <v>2</v>
      </c>
      <c r="AX207">
        <v>2</v>
      </c>
      <c r="AY207">
        <v>2</v>
      </c>
      <c r="AZ207">
        <v>2</v>
      </c>
      <c r="BA207">
        <v>2</v>
      </c>
      <c r="BB207">
        <v>2</v>
      </c>
      <c r="BC207">
        <v>1</v>
      </c>
      <c r="BD207">
        <v>2</v>
      </c>
      <c r="BE207">
        <v>2</v>
      </c>
      <c r="BF207">
        <v>2</v>
      </c>
      <c r="BG207">
        <v>2</v>
      </c>
      <c r="BH207">
        <v>1</v>
      </c>
      <c r="BI207">
        <v>2</v>
      </c>
      <c r="BJ207">
        <v>2</v>
      </c>
      <c r="BK207">
        <v>2</v>
      </c>
      <c r="BN207">
        <v>2</v>
      </c>
      <c r="BO207">
        <v>2</v>
      </c>
      <c r="BP207">
        <v>2</v>
      </c>
      <c r="BQ207">
        <v>2</v>
      </c>
      <c r="BR207">
        <v>2</v>
      </c>
      <c r="BS207">
        <v>2</v>
      </c>
      <c r="BT207">
        <v>2</v>
      </c>
      <c r="BU207">
        <v>2</v>
      </c>
      <c r="BV207">
        <v>2</v>
      </c>
      <c r="BW207">
        <v>2</v>
      </c>
      <c r="BX207">
        <v>2</v>
      </c>
      <c r="BY207">
        <v>1</v>
      </c>
      <c r="BZ207">
        <v>2</v>
      </c>
      <c r="CA207">
        <v>1</v>
      </c>
      <c r="CB207">
        <v>2</v>
      </c>
      <c r="CD207">
        <v>2</v>
      </c>
    </row>
    <row r="208" spans="1:82" x14ac:dyDescent="0.3">
      <c r="A208">
        <v>952</v>
      </c>
      <c r="B208" t="s">
        <v>925</v>
      </c>
      <c r="E208" t="s">
        <v>1602</v>
      </c>
      <c r="G208" t="s">
        <v>2190</v>
      </c>
      <c r="I208" t="s">
        <v>2192</v>
      </c>
      <c r="L208" t="s">
        <v>2193</v>
      </c>
      <c r="M208" t="s">
        <v>2194</v>
      </c>
      <c r="N208" t="s">
        <v>1063</v>
      </c>
      <c r="P208" t="s">
        <v>2196</v>
      </c>
      <c r="Q208" t="s">
        <v>1063</v>
      </c>
      <c r="S208" t="s">
        <v>2197</v>
      </c>
      <c r="T208" t="s">
        <v>2597</v>
      </c>
      <c r="U208" t="s">
        <v>2199</v>
      </c>
      <c r="W208" t="s">
        <v>2200</v>
      </c>
      <c r="Y208" t="s">
        <v>2201</v>
      </c>
      <c r="Z208" t="s">
        <v>1989</v>
      </c>
      <c r="AA208" t="s">
        <v>2203</v>
      </c>
      <c r="AC208" t="s">
        <v>926</v>
      </c>
      <c r="AE208" t="s">
        <v>2205</v>
      </c>
      <c r="AF208" t="s">
        <v>2206</v>
      </c>
      <c r="AG208" t="s">
        <v>2016</v>
      </c>
      <c r="AH208" t="s">
        <v>1602</v>
      </c>
      <c r="AI208" t="s">
        <v>2208</v>
      </c>
      <c r="AJ208" t="s">
        <v>2191</v>
      </c>
      <c r="AM208" t="s">
        <v>2209</v>
      </c>
      <c r="AN208" t="s">
        <v>2210</v>
      </c>
      <c r="AP208" t="s">
        <v>2212</v>
      </c>
      <c r="AQ208" t="s">
        <v>2213</v>
      </c>
      <c r="AS208" t="s">
        <v>2215</v>
      </c>
      <c r="AT208" t="s">
        <v>2216</v>
      </c>
      <c r="AU208" t="s">
        <v>2217</v>
      </c>
      <c r="AV208" t="s">
        <v>2218</v>
      </c>
      <c r="AW208" t="s">
        <v>2219</v>
      </c>
      <c r="AY208" t="s">
        <v>2220</v>
      </c>
      <c r="AZ208" t="s">
        <v>2221</v>
      </c>
      <c r="BA208" t="s">
        <v>2222</v>
      </c>
      <c r="BB208" t="s">
        <v>2214</v>
      </c>
      <c r="BC208" t="s">
        <v>926</v>
      </c>
      <c r="BE208" t="s">
        <v>2224</v>
      </c>
      <c r="BF208" t="s">
        <v>1602</v>
      </c>
      <c r="BG208" t="s">
        <v>2598</v>
      </c>
      <c r="BH208" t="s">
        <v>2226</v>
      </c>
      <c r="BI208" t="s">
        <v>1616</v>
      </c>
      <c r="BJ208" t="s">
        <v>2226</v>
      </c>
      <c r="BN208" t="s">
        <v>2229</v>
      </c>
      <c r="BO208" t="s">
        <v>2599</v>
      </c>
      <c r="BQ208" t="s">
        <v>1633</v>
      </c>
      <c r="BS208" t="s">
        <v>2232</v>
      </c>
      <c r="BV208" t="s">
        <v>2233</v>
      </c>
      <c r="BW208" t="s">
        <v>927</v>
      </c>
      <c r="BX208" t="s">
        <v>2234</v>
      </c>
      <c r="BY208" t="s">
        <v>2235</v>
      </c>
      <c r="CA208" t="s">
        <v>2236</v>
      </c>
      <c r="CD208" t="s">
        <v>927</v>
      </c>
    </row>
    <row r="209" spans="1:82" x14ac:dyDescent="0.3">
      <c r="A209">
        <v>953</v>
      </c>
      <c r="B209" t="s">
        <v>928</v>
      </c>
      <c r="E209">
        <v>2</v>
      </c>
      <c r="G209">
        <v>2</v>
      </c>
      <c r="H209">
        <v>2</v>
      </c>
      <c r="I209">
        <v>2</v>
      </c>
      <c r="J209">
        <v>2</v>
      </c>
      <c r="K209">
        <v>2</v>
      </c>
      <c r="L209">
        <v>2</v>
      </c>
      <c r="M209">
        <v>2</v>
      </c>
      <c r="N209">
        <v>2</v>
      </c>
      <c r="O209">
        <v>2</v>
      </c>
      <c r="P209">
        <v>2</v>
      </c>
      <c r="Q209">
        <v>2</v>
      </c>
      <c r="R209">
        <v>2</v>
      </c>
      <c r="S209">
        <v>2</v>
      </c>
      <c r="T209">
        <v>2</v>
      </c>
      <c r="U209">
        <v>2</v>
      </c>
      <c r="V209">
        <v>2</v>
      </c>
      <c r="W209">
        <v>2</v>
      </c>
      <c r="Y209">
        <v>2</v>
      </c>
      <c r="Z209">
        <v>2</v>
      </c>
      <c r="AA209">
        <v>2</v>
      </c>
      <c r="AB209">
        <v>2</v>
      </c>
      <c r="AC209">
        <v>2</v>
      </c>
      <c r="AD209">
        <v>2</v>
      </c>
      <c r="AE209">
        <v>2</v>
      </c>
      <c r="AF209">
        <v>2</v>
      </c>
      <c r="AG209">
        <v>2</v>
      </c>
      <c r="AH209">
        <v>2</v>
      </c>
      <c r="AI209">
        <v>2</v>
      </c>
      <c r="AJ209">
        <v>2</v>
      </c>
      <c r="AM209">
        <v>2</v>
      </c>
      <c r="AN209">
        <v>2</v>
      </c>
      <c r="AO209">
        <v>2</v>
      </c>
      <c r="AP209">
        <v>2</v>
      </c>
      <c r="AQ209">
        <v>2</v>
      </c>
      <c r="AR209">
        <v>2</v>
      </c>
      <c r="AS209">
        <v>2</v>
      </c>
      <c r="AT209">
        <v>2</v>
      </c>
      <c r="AU209">
        <v>2</v>
      </c>
      <c r="AV209">
        <v>2</v>
      </c>
      <c r="AW209">
        <v>2</v>
      </c>
      <c r="AX209">
        <v>2</v>
      </c>
      <c r="AY209">
        <v>2</v>
      </c>
      <c r="AZ209">
        <v>2</v>
      </c>
      <c r="BA209">
        <v>2</v>
      </c>
      <c r="BB209">
        <v>2</v>
      </c>
      <c r="BC209">
        <v>2</v>
      </c>
      <c r="BD209">
        <v>2</v>
      </c>
      <c r="BE209">
        <v>2</v>
      </c>
      <c r="BF209">
        <v>2</v>
      </c>
      <c r="BG209">
        <v>2</v>
      </c>
      <c r="BH209">
        <v>2</v>
      </c>
      <c r="BI209">
        <v>2</v>
      </c>
      <c r="BJ209">
        <v>2</v>
      </c>
      <c r="BK209">
        <v>2</v>
      </c>
      <c r="BN209">
        <v>2</v>
      </c>
      <c r="BO209">
        <v>2</v>
      </c>
      <c r="BP209">
        <v>2</v>
      </c>
      <c r="BQ209">
        <v>2</v>
      </c>
      <c r="BR209">
        <v>2</v>
      </c>
      <c r="BS209">
        <v>2</v>
      </c>
      <c r="BT209">
        <v>2</v>
      </c>
      <c r="BU209">
        <v>2</v>
      </c>
      <c r="BV209">
        <v>2</v>
      </c>
      <c r="BW209">
        <v>2</v>
      </c>
      <c r="BX209">
        <v>2</v>
      </c>
      <c r="BY209">
        <v>2</v>
      </c>
      <c r="BZ209">
        <v>2</v>
      </c>
      <c r="CA209">
        <v>2</v>
      </c>
      <c r="CB209">
        <v>2</v>
      </c>
      <c r="CD209">
        <v>2</v>
      </c>
    </row>
    <row r="210" spans="1:82" x14ac:dyDescent="0.3">
      <c r="A210">
        <v>955</v>
      </c>
      <c r="B210" t="s">
        <v>929</v>
      </c>
      <c r="E210">
        <v>0</v>
      </c>
      <c r="G210">
        <v>0</v>
      </c>
      <c r="H210">
        <v>0</v>
      </c>
      <c r="I210">
        <v>0</v>
      </c>
      <c r="J210">
        <v>0</v>
      </c>
      <c r="K210">
        <v>0</v>
      </c>
      <c r="L210">
        <v>0</v>
      </c>
      <c r="M210">
        <v>0</v>
      </c>
      <c r="N210">
        <v>0</v>
      </c>
      <c r="O210">
        <v>0</v>
      </c>
      <c r="P210">
        <v>0</v>
      </c>
      <c r="Q210">
        <v>0</v>
      </c>
      <c r="R210">
        <v>0</v>
      </c>
      <c r="S210">
        <v>0</v>
      </c>
      <c r="T210">
        <v>0</v>
      </c>
      <c r="U210">
        <v>0</v>
      </c>
      <c r="V210">
        <v>0</v>
      </c>
      <c r="W210">
        <v>0</v>
      </c>
      <c r="Y210">
        <v>0</v>
      </c>
      <c r="Z210">
        <v>0</v>
      </c>
      <c r="AA210">
        <v>0</v>
      </c>
      <c r="AB210">
        <v>0</v>
      </c>
      <c r="AC210">
        <v>0</v>
      </c>
      <c r="AD210">
        <v>0</v>
      </c>
      <c r="AE210">
        <v>0</v>
      </c>
      <c r="AF210">
        <v>0</v>
      </c>
      <c r="AG210">
        <v>0</v>
      </c>
      <c r="AH210">
        <v>1</v>
      </c>
      <c r="AI210">
        <v>0</v>
      </c>
      <c r="AJ210">
        <v>0</v>
      </c>
      <c r="AM210">
        <v>1</v>
      </c>
      <c r="AN210">
        <v>0</v>
      </c>
      <c r="AO210">
        <v>0</v>
      </c>
      <c r="AP210">
        <v>0</v>
      </c>
      <c r="AQ210">
        <v>1</v>
      </c>
      <c r="AR210">
        <v>0</v>
      </c>
      <c r="AS210">
        <v>0</v>
      </c>
      <c r="AT210">
        <v>1</v>
      </c>
      <c r="AU210">
        <v>0</v>
      </c>
      <c r="AV210">
        <v>0</v>
      </c>
      <c r="AW210">
        <v>0</v>
      </c>
      <c r="AX210">
        <v>0</v>
      </c>
      <c r="AY210">
        <v>0</v>
      </c>
      <c r="AZ210">
        <v>0</v>
      </c>
      <c r="BA210">
        <v>0</v>
      </c>
      <c r="BB210">
        <v>0</v>
      </c>
      <c r="BC210">
        <v>0</v>
      </c>
      <c r="BD210">
        <v>1</v>
      </c>
      <c r="BE210">
        <v>0</v>
      </c>
      <c r="BF210">
        <v>0</v>
      </c>
      <c r="BG210">
        <v>0</v>
      </c>
      <c r="BH210">
        <v>0</v>
      </c>
      <c r="BI210">
        <v>0</v>
      </c>
      <c r="BJ210">
        <v>0</v>
      </c>
      <c r="BK210">
        <v>0</v>
      </c>
      <c r="BN210">
        <v>0</v>
      </c>
      <c r="BO210">
        <v>1</v>
      </c>
      <c r="BP210">
        <v>1</v>
      </c>
      <c r="BQ210">
        <v>0</v>
      </c>
      <c r="BR210">
        <v>0</v>
      </c>
      <c r="BS210">
        <v>0</v>
      </c>
      <c r="BT210">
        <v>5</v>
      </c>
      <c r="BU210">
        <v>0</v>
      </c>
      <c r="BV210">
        <v>0</v>
      </c>
      <c r="BW210">
        <v>0</v>
      </c>
      <c r="BX210">
        <v>0</v>
      </c>
      <c r="BY210">
        <v>0</v>
      </c>
      <c r="BZ210">
        <v>0</v>
      </c>
      <c r="CA210">
        <v>1</v>
      </c>
      <c r="CB210">
        <v>4</v>
      </c>
      <c r="CD210">
        <v>0</v>
      </c>
    </row>
    <row r="211" spans="1:82" x14ac:dyDescent="0.3">
      <c r="A211">
        <v>957</v>
      </c>
      <c r="B211" t="s">
        <v>930</v>
      </c>
      <c r="E211">
        <v>0</v>
      </c>
      <c r="G211">
        <v>0</v>
      </c>
      <c r="H211">
        <v>0</v>
      </c>
      <c r="I211">
        <v>0</v>
      </c>
      <c r="J211">
        <v>0</v>
      </c>
      <c r="K211">
        <v>0</v>
      </c>
      <c r="L211">
        <v>0</v>
      </c>
      <c r="M211">
        <v>0</v>
      </c>
      <c r="N211">
        <v>0</v>
      </c>
      <c r="O211">
        <v>0</v>
      </c>
      <c r="P211">
        <v>0</v>
      </c>
      <c r="Q211">
        <v>0</v>
      </c>
      <c r="R211">
        <v>0</v>
      </c>
      <c r="S211">
        <v>0</v>
      </c>
      <c r="T211">
        <v>0</v>
      </c>
      <c r="U211">
        <v>1</v>
      </c>
      <c r="V211">
        <v>0</v>
      </c>
      <c r="W211">
        <v>0</v>
      </c>
      <c r="Y211">
        <v>0</v>
      </c>
      <c r="Z211">
        <v>1</v>
      </c>
      <c r="AA211">
        <v>0</v>
      </c>
      <c r="AB211">
        <v>3</v>
      </c>
      <c r="AC211">
        <v>0</v>
      </c>
      <c r="AD211">
        <v>0</v>
      </c>
      <c r="AE211">
        <v>0</v>
      </c>
      <c r="AF211">
        <v>0</v>
      </c>
      <c r="AG211">
        <v>4</v>
      </c>
      <c r="AH211">
        <v>0</v>
      </c>
      <c r="AI211">
        <v>0</v>
      </c>
      <c r="AJ211">
        <v>0</v>
      </c>
      <c r="AM211">
        <v>0</v>
      </c>
      <c r="AN211">
        <v>0</v>
      </c>
      <c r="AO211">
        <v>2</v>
      </c>
      <c r="AP211">
        <v>0</v>
      </c>
      <c r="AQ211">
        <v>0</v>
      </c>
      <c r="AR211">
        <v>0</v>
      </c>
      <c r="AS211">
        <v>0</v>
      </c>
      <c r="AT211">
        <v>0</v>
      </c>
      <c r="AU211">
        <v>0</v>
      </c>
      <c r="AV211">
        <v>0</v>
      </c>
      <c r="AW211">
        <v>0</v>
      </c>
      <c r="AX211">
        <v>0</v>
      </c>
      <c r="AY211">
        <v>0</v>
      </c>
      <c r="AZ211">
        <v>0</v>
      </c>
      <c r="BA211">
        <v>0</v>
      </c>
      <c r="BB211">
        <v>0</v>
      </c>
      <c r="BC211">
        <v>0</v>
      </c>
      <c r="BD211">
        <v>1</v>
      </c>
      <c r="BE211">
        <v>0</v>
      </c>
      <c r="BF211">
        <v>0</v>
      </c>
      <c r="BG211">
        <v>0</v>
      </c>
      <c r="BH211">
        <v>0</v>
      </c>
      <c r="BI211">
        <v>0</v>
      </c>
      <c r="BJ211">
        <v>1</v>
      </c>
      <c r="BK211">
        <v>1</v>
      </c>
      <c r="BN211">
        <v>0</v>
      </c>
      <c r="BO211">
        <v>0</v>
      </c>
      <c r="BP211">
        <v>0</v>
      </c>
      <c r="BQ211">
        <v>0</v>
      </c>
      <c r="BR211">
        <v>0</v>
      </c>
      <c r="BS211">
        <v>0</v>
      </c>
      <c r="BT211">
        <v>1</v>
      </c>
      <c r="BU211">
        <v>0</v>
      </c>
      <c r="BV211">
        <v>0</v>
      </c>
      <c r="BW211">
        <v>3</v>
      </c>
      <c r="BX211">
        <v>0</v>
      </c>
      <c r="BY211">
        <v>0</v>
      </c>
      <c r="BZ211">
        <v>1</v>
      </c>
      <c r="CA211">
        <v>2</v>
      </c>
      <c r="CB211">
        <v>0</v>
      </c>
      <c r="CD211">
        <v>0</v>
      </c>
    </row>
    <row r="212" spans="1:82" x14ac:dyDescent="0.3">
      <c r="A212">
        <v>959</v>
      </c>
      <c r="B212" t="s">
        <v>932</v>
      </c>
      <c r="E212">
        <v>2</v>
      </c>
      <c r="G212">
        <v>2</v>
      </c>
      <c r="H212">
        <v>2</v>
      </c>
      <c r="I212">
        <v>3</v>
      </c>
      <c r="J212">
        <v>2</v>
      </c>
      <c r="K212">
        <v>3</v>
      </c>
      <c r="L212">
        <v>3</v>
      </c>
      <c r="M212">
        <v>2</v>
      </c>
      <c r="N212">
        <v>3</v>
      </c>
      <c r="O212">
        <v>3</v>
      </c>
      <c r="P212">
        <v>3</v>
      </c>
      <c r="Q212">
        <v>2</v>
      </c>
      <c r="R212">
        <v>2</v>
      </c>
      <c r="S212">
        <v>3</v>
      </c>
      <c r="T212">
        <v>2</v>
      </c>
      <c r="U212">
        <v>2</v>
      </c>
      <c r="V212">
        <v>2</v>
      </c>
      <c r="W212">
        <v>2</v>
      </c>
      <c r="Y212">
        <v>2</v>
      </c>
      <c r="Z212">
        <v>2</v>
      </c>
      <c r="AA212">
        <v>2</v>
      </c>
      <c r="AB212">
        <v>3</v>
      </c>
      <c r="AC212">
        <v>2</v>
      </c>
      <c r="AD212">
        <v>3</v>
      </c>
      <c r="AE212">
        <v>2</v>
      </c>
      <c r="AF212">
        <v>2</v>
      </c>
      <c r="AG212">
        <v>2</v>
      </c>
      <c r="AH212">
        <v>2</v>
      </c>
      <c r="AI212">
        <v>2</v>
      </c>
      <c r="AJ212">
        <v>3</v>
      </c>
      <c r="AM212">
        <v>2</v>
      </c>
      <c r="AN212">
        <v>2</v>
      </c>
      <c r="AO212">
        <v>2</v>
      </c>
      <c r="AP212">
        <v>3</v>
      </c>
      <c r="AQ212">
        <v>2</v>
      </c>
      <c r="AR212">
        <v>2</v>
      </c>
      <c r="AS212">
        <v>2</v>
      </c>
      <c r="AT212">
        <v>2</v>
      </c>
      <c r="AU212">
        <v>3</v>
      </c>
      <c r="AV212">
        <v>2</v>
      </c>
      <c r="AW212">
        <v>2</v>
      </c>
      <c r="AX212">
        <v>2</v>
      </c>
      <c r="AY212">
        <v>2</v>
      </c>
      <c r="AZ212">
        <v>2</v>
      </c>
      <c r="BA212">
        <v>3</v>
      </c>
      <c r="BB212">
        <v>2</v>
      </c>
      <c r="BC212">
        <v>3</v>
      </c>
      <c r="BD212">
        <v>2</v>
      </c>
      <c r="BE212">
        <v>2</v>
      </c>
      <c r="BF212">
        <v>2</v>
      </c>
      <c r="BG212">
        <v>3</v>
      </c>
      <c r="BH212">
        <v>3</v>
      </c>
      <c r="BI212">
        <v>2</v>
      </c>
      <c r="BJ212">
        <v>3</v>
      </c>
      <c r="BK212">
        <v>3</v>
      </c>
      <c r="BN212">
        <v>2</v>
      </c>
      <c r="BO212">
        <v>3</v>
      </c>
      <c r="BP212">
        <v>2</v>
      </c>
      <c r="BQ212">
        <v>2</v>
      </c>
      <c r="BR212">
        <v>2</v>
      </c>
      <c r="BS212">
        <v>2</v>
      </c>
      <c r="BT212">
        <v>2</v>
      </c>
      <c r="BU212">
        <v>2</v>
      </c>
      <c r="BV212">
        <v>3</v>
      </c>
      <c r="BW212">
        <v>2</v>
      </c>
      <c r="BX212">
        <v>2</v>
      </c>
      <c r="BY212">
        <v>3</v>
      </c>
      <c r="BZ212">
        <v>2</v>
      </c>
      <c r="CA212">
        <v>2</v>
      </c>
      <c r="CB212">
        <v>2</v>
      </c>
      <c r="CD212">
        <v>2</v>
      </c>
    </row>
    <row r="213" spans="1:82" x14ac:dyDescent="0.3">
      <c r="A213">
        <v>960</v>
      </c>
      <c r="B213" t="s">
        <v>933</v>
      </c>
      <c r="E213" t="s">
        <v>2600</v>
      </c>
      <c r="G213" t="s">
        <v>2240</v>
      </c>
      <c r="H213" t="s">
        <v>2241</v>
      </c>
      <c r="I213" t="s">
        <v>2242</v>
      </c>
      <c r="J213" t="s">
        <v>2243</v>
      </c>
      <c r="K213" t="s">
        <v>2244</v>
      </c>
      <c r="L213" t="s">
        <v>2245</v>
      </c>
      <c r="M213" t="s">
        <v>2246</v>
      </c>
      <c r="N213" t="s">
        <v>2247</v>
      </c>
      <c r="O213" t="s">
        <v>2248</v>
      </c>
      <c r="P213" t="s">
        <v>2249</v>
      </c>
      <c r="Q213" t="s">
        <v>2250</v>
      </c>
      <c r="R213" t="s">
        <v>2601</v>
      </c>
      <c r="S213" t="s">
        <v>2252</v>
      </c>
      <c r="T213" t="s">
        <v>2602</v>
      </c>
      <c r="U213" t="s">
        <v>2254</v>
      </c>
      <c r="V213" t="s">
        <v>2255</v>
      </c>
      <c r="W213" t="s">
        <v>2256</v>
      </c>
      <c r="Y213" t="s">
        <v>2257</v>
      </c>
      <c r="Z213" t="s">
        <v>2603</v>
      </c>
      <c r="AA213" t="s">
        <v>2259</v>
      </c>
      <c r="AB213" t="s">
        <v>2260</v>
      </c>
      <c r="AC213" t="s">
        <v>2261</v>
      </c>
      <c r="AD213" t="s">
        <v>2262</v>
      </c>
      <c r="AE213" t="s">
        <v>2263</v>
      </c>
      <c r="AF213" t="s">
        <v>2264</v>
      </c>
      <c r="AG213" t="s">
        <v>2604</v>
      </c>
      <c r="AH213" t="s">
        <v>2266</v>
      </c>
      <c r="AI213" t="s">
        <v>2267</v>
      </c>
      <c r="AJ213" t="s">
        <v>2268</v>
      </c>
      <c r="AM213" t="s">
        <v>2270</v>
      </c>
      <c r="AN213" t="s">
        <v>2271</v>
      </c>
      <c r="AO213" t="s">
        <v>2605</v>
      </c>
      <c r="AP213" t="s">
        <v>2273</v>
      </c>
      <c r="AQ213" t="s">
        <v>2274</v>
      </c>
      <c r="AR213" t="s">
        <v>2606</v>
      </c>
      <c r="AS213" t="s">
        <v>2276</v>
      </c>
      <c r="AT213" t="s">
        <v>2607</v>
      </c>
      <c r="AU213" t="s">
        <v>2278</v>
      </c>
      <c r="AV213" t="s">
        <v>2279</v>
      </c>
      <c r="AW213" t="s">
        <v>2280</v>
      </c>
      <c r="AX213" t="s">
        <v>2608</v>
      </c>
      <c r="AY213" t="s">
        <v>2282</v>
      </c>
      <c r="AZ213" t="s">
        <v>2283</v>
      </c>
      <c r="BA213" t="s">
        <v>2284</v>
      </c>
      <c r="BB213" t="s">
        <v>2285</v>
      </c>
      <c r="BC213" t="s">
        <v>2286</v>
      </c>
      <c r="BD213" t="s">
        <v>2609</v>
      </c>
      <c r="BE213" t="s">
        <v>2287</v>
      </c>
      <c r="BF213" t="s">
        <v>2610</v>
      </c>
      <c r="BG213" t="s">
        <v>2611</v>
      </c>
      <c r="BH213" t="s">
        <v>2290</v>
      </c>
      <c r="BI213" t="s">
        <v>2291</v>
      </c>
      <c r="BJ213" t="s">
        <v>2612</v>
      </c>
      <c r="BK213" t="s">
        <v>2118</v>
      </c>
      <c r="BN213" t="s">
        <v>2296</v>
      </c>
      <c r="BO213" t="s">
        <v>2613</v>
      </c>
      <c r="BP213" t="s">
        <v>2614</v>
      </c>
      <c r="BQ213" t="s">
        <v>2615</v>
      </c>
      <c r="BR213" t="s">
        <v>2300</v>
      </c>
      <c r="BS213" t="s">
        <v>2301</v>
      </c>
      <c r="BT213" t="s">
        <v>2616</v>
      </c>
      <c r="BU213" t="s">
        <v>2113</v>
      </c>
      <c r="BV213" t="s">
        <v>2617</v>
      </c>
      <c r="BW213" t="s">
        <v>2618</v>
      </c>
      <c r="BX213" t="s">
        <v>2306</v>
      </c>
      <c r="BY213" t="s">
        <v>2307</v>
      </c>
      <c r="BZ213" t="s">
        <v>2308</v>
      </c>
      <c r="CA213" t="s">
        <v>2309</v>
      </c>
      <c r="CB213" t="s">
        <v>2310</v>
      </c>
      <c r="CD213" t="s">
        <v>2552</v>
      </c>
    </row>
    <row r="214" spans="1:82" x14ac:dyDescent="0.3">
      <c r="A214">
        <v>962</v>
      </c>
      <c r="B214" t="s">
        <v>934</v>
      </c>
      <c r="E214" t="s">
        <v>936</v>
      </c>
      <c r="G214" t="s">
        <v>936</v>
      </c>
      <c r="H214" t="s">
        <v>936</v>
      </c>
      <c r="I214" t="s">
        <v>936</v>
      </c>
      <c r="J214" t="s">
        <v>936</v>
      </c>
      <c r="K214" t="s">
        <v>936</v>
      </c>
      <c r="L214" t="s">
        <v>936</v>
      </c>
      <c r="M214" t="s">
        <v>939</v>
      </c>
      <c r="N214" t="s">
        <v>2619</v>
      </c>
      <c r="O214" t="s">
        <v>936</v>
      </c>
      <c r="P214" t="s">
        <v>936</v>
      </c>
      <c r="Q214" t="s">
        <v>935</v>
      </c>
      <c r="R214" t="s">
        <v>936</v>
      </c>
      <c r="S214" t="s">
        <v>935</v>
      </c>
      <c r="T214" t="s">
        <v>2001</v>
      </c>
      <c r="U214" t="s">
        <v>2620</v>
      </c>
      <c r="V214" t="s">
        <v>935</v>
      </c>
      <c r="W214" t="s">
        <v>935</v>
      </c>
      <c r="Y214" t="s">
        <v>935</v>
      </c>
      <c r="Z214" t="s">
        <v>936</v>
      </c>
      <c r="AA214" t="s">
        <v>935</v>
      </c>
      <c r="AB214" t="s">
        <v>935</v>
      </c>
      <c r="AC214" t="s">
        <v>936</v>
      </c>
      <c r="AD214" t="s">
        <v>1057</v>
      </c>
      <c r="AE214" t="s">
        <v>936</v>
      </c>
      <c r="AF214" t="s">
        <v>936</v>
      </c>
      <c r="AG214" t="s">
        <v>935</v>
      </c>
      <c r="AH214" t="s">
        <v>2621</v>
      </c>
      <c r="AI214" t="s">
        <v>1930</v>
      </c>
      <c r="AJ214" t="s">
        <v>936</v>
      </c>
      <c r="AM214" t="s">
        <v>935</v>
      </c>
      <c r="AN214" t="s">
        <v>2314</v>
      </c>
      <c r="AO214" t="s">
        <v>936</v>
      </c>
      <c r="AP214" t="s">
        <v>936</v>
      </c>
      <c r="AQ214" t="s">
        <v>936</v>
      </c>
      <c r="AR214" t="s">
        <v>936</v>
      </c>
      <c r="AS214" t="s">
        <v>936</v>
      </c>
      <c r="AT214" t="s">
        <v>936</v>
      </c>
      <c r="AU214" t="s">
        <v>2317</v>
      </c>
      <c r="AV214" t="s">
        <v>935</v>
      </c>
      <c r="AW214" t="s">
        <v>936</v>
      </c>
      <c r="AX214" t="s">
        <v>936</v>
      </c>
      <c r="AY214" t="s">
        <v>936</v>
      </c>
      <c r="AZ214" t="s">
        <v>2622</v>
      </c>
      <c r="BA214" t="s">
        <v>939</v>
      </c>
      <c r="BB214" t="s">
        <v>2623</v>
      </c>
      <c r="BC214" t="s">
        <v>936</v>
      </c>
      <c r="BD214" t="s">
        <v>935</v>
      </c>
      <c r="BE214" t="s">
        <v>938</v>
      </c>
      <c r="BF214" t="s">
        <v>936</v>
      </c>
      <c r="BG214" t="s">
        <v>936</v>
      </c>
      <c r="BH214" t="s">
        <v>936</v>
      </c>
      <c r="BI214" t="s">
        <v>936</v>
      </c>
      <c r="BJ214" t="s">
        <v>936</v>
      </c>
      <c r="BK214" t="s">
        <v>1559</v>
      </c>
      <c r="BN214" t="s">
        <v>2320</v>
      </c>
      <c r="BO214" t="s">
        <v>2624</v>
      </c>
      <c r="BP214" t="s">
        <v>937</v>
      </c>
      <c r="BQ214" t="s">
        <v>2321</v>
      </c>
      <c r="BR214" t="s">
        <v>2314</v>
      </c>
      <c r="BS214" t="s">
        <v>935</v>
      </c>
      <c r="BT214" t="s">
        <v>938</v>
      </c>
      <c r="BU214" t="s">
        <v>2182</v>
      </c>
      <c r="BV214" t="s">
        <v>936</v>
      </c>
      <c r="BW214" t="s">
        <v>936</v>
      </c>
      <c r="BX214" t="s">
        <v>2314</v>
      </c>
      <c r="BY214" t="s">
        <v>2322</v>
      </c>
      <c r="BZ214" t="s">
        <v>936</v>
      </c>
      <c r="CA214" t="s">
        <v>2323</v>
      </c>
      <c r="CB214" t="s">
        <v>1057</v>
      </c>
      <c r="CD214" t="s">
        <v>936</v>
      </c>
    </row>
    <row r="215" spans="1:82" x14ac:dyDescent="0.3">
      <c r="A215">
        <v>964</v>
      </c>
      <c r="B215" t="s">
        <v>940</v>
      </c>
      <c r="E215" t="s">
        <v>2625</v>
      </c>
      <c r="G215" t="s">
        <v>2626</v>
      </c>
      <c r="H215" t="s">
        <v>2627</v>
      </c>
      <c r="I215" t="s">
        <v>2019</v>
      </c>
      <c r="J215" t="s">
        <v>2627</v>
      </c>
      <c r="K215" t="s">
        <v>2014</v>
      </c>
      <c r="L215" t="s">
        <v>2008</v>
      </c>
      <c r="M215" t="s">
        <v>2628</v>
      </c>
      <c r="N215" t="s">
        <v>1997</v>
      </c>
      <c r="O215" t="s">
        <v>2017</v>
      </c>
      <c r="P215" t="s">
        <v>1986</v>
      </c>
      <c r="Q215" t="s">
        <v>2629</v>
      </c>
      <c r="R215" t="s">
        <v>2003</v>
      </c>
      <c r="S215" t="s">
        <v>2630</v>
      </c>
      <c r="T215" t="s">
        <v>2006</v>
      </c>
      <c r="U215" t="s">
        <v>2631</v>
      </c>
      <c r="V215" t="s">
        <v>2020</v>
      </c>
      <c r="W215" t="s">
        <v>2017</v>
      </c>
      <c r="Y215" t="s">
        <v>2632</v>
      </c>
      <c r="Z215" t="s">
        <v>2002</v>
      </c>
      <c r="AA215" t="s">
        <v>2025</v>
      </c>
      <c r="AB215" t="s">
        <v>2633</v>
      </c>
      <c r="AC215" t="s">
        <v>2003</v>
      </c>
      <c r="AD215" t="s">
        <v>2063</v>
      </c>
      <c r="AE215" t="s">
        <v>2634</v>
      </c>
      <c r="AF215" t="s">
        <v>2015</v>
      </c>
      <c r="AG215" t="s">
        <v>2635</v>
      </c>
      <c r="AH215" t="s">
        <v>2023</v>
      </c>
      <c r="AI215" t="s">
        <v>2019</v>
      </c>
      <c r="AJ215" t="s">
        <v>2636</v>
      </c>
      <c r="AM215" t="s">
        <v>2009</v>
      </c>
      <c r="AN215" t="s">
        <v>2014</v>
      </c>
      <c r="AO215" t="s">
        <v>2022</v>
      </c>
      <c r="AP215" t="s">
        <v>2637</v>
      </c>
      <c r="AQ215" t="s">
        <v>2638</v>
      </c>
      <c r="AR215" t="s">
        <v>2008</v>
      </c>
      <c r="AS215" t="s">
        <v>2063</v>
      </c>
      <c r="AT215" t="s">
        <v>2034</v>
      </c>
      <c r="AU215" t="s">
        <v>2014</v>
      </c>
      <c r="AV215" t="s">
        <v>2639</v>
      </c>
      <c r="AW215" t="s">
        <v>2023</v>
      </c>
      <c r="AX215" t="s">
        <v>2019</v>
      </c>
      <c r="AY215" t="s">
        <v>2003</v>
      </c>
      <c r="AZ215" t="s">
        <v>2003</v>
      </c>
      <c r="BA215" t="s">
        <v>2640</v>
      </c>
      <c r="BB215" t="s">
        <v>2020</v>
      </c>
      <c r="BC215" t="s">
        <v>2640</v>
      </c>
      <c r="BD215" t="s">
        <v>2021</v>
      </c>
      <c r="BE215" t="s">
        <v>2011</v>
      </c>
      <c r="BF215" t="s">
        <v>2598</v>
      </c>
      <c r="BG215" t="s">
        <v>2641</v>
      </c>
      <c r="BH215" t="s">
        <v>2026</v>
      </c>
      <c r="BI215" t="s">
        <v>2014</v>
      </c>
      <c r="BJ215" t="s">
        <v>2015</v>
      </c>
      <c r="BK215" t="s">
        <v>2008</v>
      </c>
      <c r="BN215" t="s">
        <v>2066</v>
      </c>
      <c r="BO215" t="s">
        <v>2500</v>
      </c>
      <c r="BP215" t="s">
        <v>2034</v>
      </c>
      <c r="BQ215" t="s">
        <v>2065</v>
      </c>
      <c r="BR215" t="s">
        <v>2064</v>
      </c>
      <c r="BS215" t="s">
        <v>1987</v>
      </c>
      <c r="BT215" t="s">
        <v>2642</v>
      </c>
      <c r="BU215" t="s">
        <v>2023</v>
      </c>
      <c r="BV215" t="s">
        <v>2643</v>
      </c>
      <c r="BW215" t="s">
        <v>2032</v>
      </c>
      <c r="BX215" t="s">
        <v>2644</v>
      </c>
      <c r="BY215" t="s">
        <v>2645</v>
      </c>
      <c r="BZ215" t="s">
        <v>2646</v>
      </c>
      <c r="CA215" t="s">
        <v>2021</v>
      </c>
      <c r="CB215" t="s">
        <v>2647</v>
      </c>
      <c r="CD215" t="s">
        <v>2648</v>
      </c>
    </row>
    <row r="216" spans="1:82" x14ac:dyDescent="0.3">
      <c r="A216">
        <v>966</v>
      </c>
      <c r="B216" t="s">
        <v>941</v>
      </c>
      <c r="E216" t="s">
        <v>2649</v>
      </c>
      <c r="G216" t="s">
        <v>2357</v>
      </c>
      <c r="H216" t="s">
        <v>2358</v>
      </c>
      <c r="I216" t="s">
        <v>2359</v>
      </c>
      <c r="J216" t="s">
        <v>2360</v>
      </c>
      <c r="K216" t="s">
        <v>2361</v>
      </c>
      <c r="L216" t="s">
        <v>2362</v>
      </c>
      <c r="M216" t="s">
        <v>2363</v>
      </c>
      <c r="N216" t="s">
        <v>2364</v>
      </c>
      <c r="O216" t="s">
        <v>2365</v>
      </c>
      <c r="P216" t="s">
        <v>2366</v>
      </c>
      <c r="Q216" t="s">
        <v>2367</v>
      </c>
      <c r="R216" t="s">
        <v>2650</v>
      </c>
      <c r="S216" t="s">
        <v>2369</v>
      </c>
      <c r="T216" t="s">
        <v>2651</v>
      </c>
      <c r="U216" t="s">
        <v>2652</v>
      </c>
      <c r="V216" t="s">
        <v>2372</v>
      </c>
      <c r="W216" t="s">
        <v>2653</v>
      </c>
      <c r="Y216" t="s">
        <v>2374</v>
      </c>
      <c r="Z216" t="s">
        <v>2654</v>
      </c>
      <c r="AA216" t="s">
        <v>2376</v>
      </c>
      <c r="AB216" t="s">
        <v>2655</v>
      </c>
      <c r="AC216" t="s">
        <v>2378</v>
      </c>
      <c r="AD216" t="s">
        <v>2379</v>
      </c>
      <c r="AE216" t="s">
        <v>2380</v>
      </c>
      <c r="AF216" t="s">
        <v>2381</v>
      </c>
      <c r="AG216" t="s">
        <v>2382</v>
      </c>
      <c r="AH216" t="s">
        <v>2383</v>
      </c>
      <c r="AI216" t="s">
        <v>2384</v>
      </c>
      <c r="AJ216" t="s">
        <v>2385</v>
      </c>
      <c r="AM216" t="s">
        <v>2387</v>
      </c>
      <c r="AN216" t="s">
        <v>2388</v>
      </c>
      <c r="AO216" t="s">
        <v>2656</v>
      </c>
      <c r="AP216" t="s">
        <v>2389</v>
      </c>
      <c r="AQ216" t="s">
        <v>2390</v>
      </c>
      <c r="AR216" t="s">
        <v>2391</v>
      </c>
      <c r="AS216" t="s">
        <v>2657</v>
      </c>
      <c r="AT216" t="s">
        <v>2392</v>
      </c>
      <c r="AU216" t="s">
        <v>2393</v>
      </c>
      <c r="AV216" t="s">
        <v>2658</v>
      </c>
      <c r="AW216" t="s">
        <v>2395</v>
      </c>
      <c r="AX216" t="s">
        <v>2396</v>
      </c>
      <c r="AY216" t="s">
        <v>2397</v>
      </c>
      <c r="AZ216" t="s">
        <v>2398</v>
      </c>
      <c r="BA216" t="s">
        <v>2399</v>
      </c>
      <c r="BB216" t="s">
        <v>2400</v>
      </c>
      <c r="BC216" t="s">
        <v>2401</v>
      </c>
      <c r="BD216" t="s">
        <v>2402</v>
      </c>
      <c r="BF216" t="s">
        <v>2403</v>
      </c>
      <c r="BG216" t="s">
        <v>2404</v>
      </c>
      <c r="BH216" t="s">
        <v>2405</v>
      </c>
      <c r="BI216" t="s">
        <v>2406</v>
      </c>
      <c r="BJ216" t="s">
        <v>2407</v>
      </c>
      <c r="BK216" t="s">
        <v>2408</v>
      </c>
      <c r="BN216" t="s">
        <v>2411</v>
      </c>
      <c r="BO216" t="s">
        <v>2412</v>
      </c>
      <c r="BP216" t="s">
        <v>2413</v>
      </c>
      <c r="BQ216" t="s">
        <v>2414</v>
      </c>
      <c r="BR216" t="s">
        <v>2415</v>
      </c>
      <c r="BS216" t="s">
        <v>2416</v>
      </c>
      <c r="BT216" t="s">
        <v>2659</v>
      </c>
      <c r="BU216" t="s">
        <v>2418</v>
      </c>
      <c r="BV216" t="s">
        <v>2660</v>
      </c>
      <c r="BW216" t="s">
        <v>2661</v>
      </c>
      <c r="BX216" t="s">
        <v>2420</v>
      </c>
      <c r="BY216" t="s">
        <v>2421</v>
      </c>
      <c r="BZ216" t="s">
        <v>2422</v>
      </c>
      <c r="CA216" t="s">
        <v>2423</v>
      </c>
      <c r="CB216" t="s">
        <v>2424</v>
      </c>
      <c r="CD216" t="s">
        <v>2554</v>
      </c>
    </row>
    <row r="217" spans="1:82" x14ac:dyDescent="0.3">
      <c r="A217">
        <v>968</v>
      </c>
      <c r="B217" t="s">
        <v>942</v>
      </c>
      <c r="E217" t="s">
        <v>2662</v>
      </c>
      <c r="G217" t="s">
        <v>2428</v>
      </c>
      <c r="H217" t="s">
        <v>2429</v>
      </c>
      <c r="I217" t="s">
        <v>2430</v>
      </c>
      <c r="J217" t="s">
        <v>2431</v>
      </c>
      <c r="K217" t="s">
        <v>2432</v>
      </c>
      <c r="L217" t="s">
        <v>2433</v>
      </c>
      <c r="M217" t="s">
        <v>2434</v>
      </c>
      <c r="N217" t="s">
        <v>2663</v>
      </c>
      <c r="O217" t="s">
        <v>2436</v>
      </c>
      <c r="P217" t="s">
        <v>2437</v>
      </c>
      <c r="Q217" t="s">
        <v>2438</v>
      </c>
      <c r="R217" t="s">
        <v>2664</v>
      </c>
      <c r="S217" t="s">
        <v>2440</v>
      </c>
      <c r="T217" t="s">
        <v>2665</v>
      </c>
      <c r="U217" t="s">
        <v>2442</v>
      </c>
      <c r="V217" t="s">
        <v>2443</v>
      </c>
      <c r="W217" t="s">
        <v>2444</v>
      </c>
      <c r="Y217" t="s">
        <v>2445</v>
      </c>
      <c r="Z217" t="s">
        <v>2666</v>
      </c>
      <c r="AA217" t="s">
        <v>2447</v>
      </c>
      <c r="AB217" t="s">
        <v>2667</v>
      </c>
      <c r="AC217" t="s">
        <v>2449</v>
      </c>
      <c r="AD217" t="s">
        <v>2450</v>
      </c>
      <c r="AE217" t="s">
        <v>2451</v>
      </c>
      <c r="AF217" t="s">
        <v>2452</v>
      </c>
      <c r="AG217" t="s">
        <v>2668</v>
      </c>
      <c r="AH217" t="s">
        <v>2454</v>
      </c>
      <c r="AI217" t="s">
        <v>2455</v>
      </c>
      <c r="AJ217" t="s">
        <v>2456</v>
      </c>
      <c r="AM217" t="s">
        <v>2458</v>
      </c>
      <c r="AN217" t="s">
        <v>2459</v>
      </c>
      <c r="AO217" t="s">
        <v>2669</v>
      </c>
      <c r="AP217" t="s">
        <v>2461</v>
      </c>
      <c r="AQ217" t="s">
        <v>2462</v>
      </c>
      <c r="AR217" t="s">
        <v>2670</v>
      </c>
      <c r="AS217" t="s">
        <v>2464</v>
      </c>
      <c r="AT217" t="s">
        <v>2465</v>
      </c>
      <c r="AU217" t="s">
        <v>2671</v>
      </c>
      <c r="AV217" t="s">
        <v>2672</v>
      </c>
      <c r="AW217" t="s">
        <v>2468</v>
      </c>
      <c r="AX217" t="s">
        <v>2673</v>
      </c>
      <c r="AY217" t="s">
        <v>2470</v>
      </c>
      <c r="AZ217" t="s">
        <v>2471</v>
      </c>
      <c r="BA217" t="s">
        <v>2472</v>
      </c>
      <c r="BB217" t="s">
        <v>2473</v>
      </c>
      <c r="BC217" t="s">
        <v>2474</v>
      </c>
      <c r="BD217" t="s">
        <v>2674</v>
      </c>
      <c r="BE217" t="s">
        <v>2476</v>
      </c>
      <c r="BF217" t="s">
        <v>2675</v>
      </c>
      <c r="BG217" t="s">
        <v>2676</v>
      </c>
      <c r="BH217" t="s">
        <v>2479</v>
      </c>
      <c r="BI217" t="s">
        <v>2480</v>
      </c>
      <c r="BJ217" t="s">
        <v>2677</v>
      </c>
      <c r="BK217" t="s">
        <v>2678</v>
      </c>
      <c r="BN217" t="s">
        <v>2485</v>
      </c>
      <c r="BO217" t="s">
        <v>2679</v>
      </c>
      <c r="BP217" t="s">
        <v>2680</v>
      </c>
      <c r="BQ217" t="s">
        <v>2681</v>
      </c>
      <c r="BR217" t="s">
        <v>2489</v>
      </c>
      <c r="BS217" t="s">
        <v>2682</v>
      </c>
      <c r="BT217" t="s">
        <v>2491</v>
      </c>
      <c r="BU217" t="s">
        <v>2492</v>
      </c>
      <c r="BV217" t="s">
        <v>2493</v>
      </c>
      <c r="BW217" t="s">
        <v>2683</v>
      </c>
      <c r="BX217" t="s">
        <v>2495</v>
      </c>
      <c r="BY217" t="s">
        <v>2496</v>
      </c>
      <c r="BZ217" t="s">
        <v>2684</v>
      </c>
      <c r="CA217" t="s">
        <v>2498</v>
      </c>
      <c r="CB217" t="s">
        <v>2499</v>
      </c>
      <c r="CD217" t="s">
        <v>2555</v>
      </c>
    </row>
    <row r="218" spans="1:82" x14ac:dyDescent="0.3">
      <c r="A218">
        <v>973</v>
      </c>
      <c r="B218" t="s">
        <v>2027</v>
      </c>
      <c r="E218">
        <v>0</v>
      </c>
      <c r="G218">
        <v>0</v>
      </c>
      <c r="H218">
        <v>0</v>
      </c>
      <c r="I218">
        <v>0</v>
      </c>
      <c r="J218">
        <v>0</v>
      </c>
      <c r="K218">
        <v>0</v>
      </c>
      <c r="L218">
        <v>0</v>
      </c>
      <c r="M218">
        <v>0</v>
      </c>
      <c r="N218">
        <v>0</v>
      </c>
      <c r="O218">
        <v>0</v>
      </c>
      <c r="P218">
        <v>1</v>
      </c>
      <c r="Q218">
        <v>0</v>
      </c>
      <c r="R218">
        <v>0</v>
      </c>
      <c r="S218">
        <v>0</v>
      </c>
      <c r="T218">
        <v>0</v>
      </c>
      <c r="U218">
        <v>0</v>
      </c>
      <c r="V218">
        <v>0</v>
      </c>
      <c r="W218">
        <v>0</v>
      </c>
      <c r="Y218">
        <v>0</v>
      </c>
      <c r="Z218">
        <v>1</v>
      </c>
      <c r="AA218">
        <v>0</v>
      </c>
      <c r="AB218">
        <v>0</v>
      </c>
      <c r="AC218">
        <v>0</v>
      </c>
      <c r="AD218">
        <v>0</v>
      </c>
      <c r="AE218">
        <v>0</v>
      </c>
      <c r="AF218">
        <v>0</v>
      </c>
      <c r="AG218">
        <v>1</v>
      </c>
      <c r="AH218">
        <v>0</v>
      </c>
      <c r="AI218">
        <v>0</v>
      </c>
      <c r="AJ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N218">
        <v>0</v>
      </c>
      <c r="BO218">
        <v>0</v>
      </c>
      <c r="BP218">
        <v>0</v>
      </c>
      <c r="BQ218">
        <v>0</v>
      </c>
      <c r="BR218">
        <v>0</v>
      </c>
      <c r="BS218">
        <v>0</v>
      </c>
      <c r="BT218">
        <v>0</v>
      </c>
      <c r="BU218">
        <v>0</v>
      </c>
      <c r="BV218">
        <v>0</v>
      </c>
      <c r="BW218">
        <v>0</v>
      </c>
      <c r="BX218">
        <v>0</v>
      </c>
      <c r="BY218">
        <v>0</v>
      </c>
      <c r="BZ218">
        <v>0</v>
      </c>
      <c r="CA218">
        <v>1</v>
      </c>
      <c r="CB218">
        <v>0</v>
      </c>
      <c r="CD218">
        <v>0</v>
      </c>
    </row>
    <row r="219" spans="1:82" x14ac:dyDescent="0.3">
      <c r="A219">
        <v>974</v>
      </c>
      <c r="B219" t="s">
        <v>943</v>
      </c>
      <c r="E219">
        <v>2</v>
      </c>
      <c r="G219">
        <v>2</v>
      </c>
      <c r="H219">
        <v>2</v>
      </c>
      <c r="I219">
        <v>3</v>
      </c>
      <c r="J219">
        <v>2</v>
      </c>
      <c r="K219">
        <v>3</v>
      </c>
      <c r="L219">
        <v>3</v>
      </c>
      <c r="M219">
        <v>2</v>
      </c>
      <c r="N219">
        <v>3</v>
      </c>
      <c r="O219">
        <v>3</v>
      </c>
      <c r="P219">
        <v>3</v>
      </c>
      <c r="Q219">
        <v>2</v>
      </c>
      <c r="R219">
        <v>3</v>
      </c>
      <c r="S219">
        <v>3</v>
      </c>
      <c r="T219">
        <v>2</v>
      </c>
      <c r="U219">
        <v>2</v>
      </c>
      <c r="V219">
        <v>2</v>
      </c>
      <c r="W219">
        <v>2</v>
      </c>
      <c r="Y219">
        <v>2</v>
      </c>
      <c r="Z219">
        <v>2</v>
      </c>
      <c r="AA219">
        <v>2</v>
      </c>
      <c r="AB219">
        <v>3</v>
      </c>
      <c r="AC219">
        <v>2</v>
      </c>
      <c r="AD219">
        <v>3</v>
      </c>
      <c r="AE219">
        <v>2</v>
      </c>
      <c r="AF219">
        <v>2</v>
      </c>
      <c r="AG219">
        <v>2</v>
      </c>
      <c r="AH219">
        <v>2</v>
      </c>
      <c r="AI219">
        <v>2</v>
      </c>
      <c r="AJ219">
        <v>3</v>
      </c>
      <c r="AM219">
        <v>2</v>
      </c>
      <c r="AN219">
        <v>2</v>
      </c>
      <c r="AO219">
        <v>1</v>
      </c>
      <c r="AP219">
        <v>3</v>
      </c>
      <c r="AQ219">
        <v>2</v>
      </c>
      <c r="AR219">
        <v>2</v>
      </c>
      <c r="AS219">
        <v>2</v>
      </c>
      <c r="AT219">
        <v>2</v>
      </c>
      <c r="AU219">
        <v>3</v>
      </c>
      <c r="AV219">
        <v>2</v>
      </c>
      <c r="AW219">
        <v>2</v>
      </c>
      <c r="AX219">
        <v>2</v>
      </c>
      <c r="AY219">
        <v>2</v>
      </c>
      <c r="AZ219">
        <v>2</v>
      </c>
      <c r="BA219">
        <v>3</v>
      </c>
      <c r="BB219">
        <v>2</v>
      </c>
      <c r="BC219">
        <v>3</v>
      </c>
      <c r="BD219">
        <v>2</v>
      </c>
      <c r="BE219">
        <v>2</v>
      </c>
      <c r="BF219">
        <v>3</v>
      </c>
      <c r="BG219">
        <v>3</v>
      </c>
      <c r="BH219">
        <v>3</v>
      </c>
      <c r="BI219">
        <v>2</v>
      </c>
      <c r="BJ219">
        <v>3</v>
      </c>
      <c r="BK219">
        <v>3</v>
      </c>
      <c r="BN219">
        <v>2</v>
      </c>
      <c r="BO219">
        <v>3</v>
      </c>
      <c r="BP219">
        <v>2</v>
      </c>
      <c r="BQ219">
        <v>2</v>
      </c>
      <c r="BR219">
        <v>3</v>
      </c>
      <c r="BS219">
        <v>2</v>
      </c>
      <c r="BT219">
        <v>1</v>
      </c>
      <c r="BU219">
        <v>2</v>
      </c>
      <c r="BV219">
        <v>3</v>
      </c>
      <c r="BW219">
        <v>2</v>
      </c>
      <c r="BX219">
        <v>2</v>
      </c>
      <c r="BY219">
        <v>3</v>
      </c>
      <c r="BZ219">
        <v>2</v>
      </c>
      <c r="CA219">
        <v>2</v>
      </c>
      <c r="CB219">
        <v>2</v>
      </c>
      <c r="CD219">
        <v>2</v>
      </c>
    </row>
    <row r="220" spans="1:82" x14ac:dyDescent="0.3">
      <c r="A220">
        <v>975</v>
      </c>
      <c r="B220" t="s">
        <v>1898</v>
      </c>
      <c r="E220">
        <v>2</v>
      </c>
      <c r="G220">
        <v>2</v>
      </c>
      <c r="H220">
        <v>2</v>
      </c>
      <c r="I220">
        <v>1</v>
      </c>
      <c r="J220">
        <v>1</v>
      </c>
      <c r="K220">
        <v>2</v>
      </c>
      <c r="L220">
        <v>2</v>
      </c>
      <c r="M220">
        <v>1</v>
      </c>
      <c r="N220">
        <v>2</v>
      </c>
      <c r="O220">
        <v>1</v>
      </c>
      <c r="P220">
        <v>1</v>
      </c>
      <c r="Q220">
        <v>1</v>
      </c>
      <c r="R220">
        <v>1</v>
      </c>
      <c r="S220">
        <v>1</v>
      </c>
      <c r="T220">
        <v>2</v>
      </c>
      <c r="U220">
        <v>1</v>
      </c>
      <c r="V220">
        <v>1</v>
      </c>
      <c r="W220">
        <v>2</v>
      </c>
      <c r="Y220">
        <v>1</v>
      </c>
      <c r="Z220">
        <v>1</v>
      </c>
      <c r="AA220">
        <v>1</v>
      </c>
      <c r="AB220">
        <v>1</v>
      </c>
      <c r="AC220">
        <v>2</v>
      </c>
      <c r="AD220">
        <v>1</v>
      </c>
      <c r="AE220">
        <v>2</v>
      </c>
      <c r="AF220">
        <v>1</v>
      </c>
      <c r="AG220">
        <v>1</v>
      </c>
      <c r="AH220">
        <v>1</v>
      </c>
      <c r="AI220">
        <v>1</v>
      </c>
      <c r="AJ220">
        <v>2</v>
      </c>
      <c r="AM220">
        <v>1</v>
      </c>
      <c r="AN220">
        <v>1</v>
      </c>
      <c r="AO220">
        <v>1</v>
      </c>
      <c r="AP220">
        <v>2</v>
      </c>
      <c r="AQ220">
        <v>1</v>
      </c>
      <c r="AR220">
        <v>1</v>
      </c>
      <c r="AS220">
        <v>1</v>
      </c>
      <c r="AT220">
        <v>1</v>
      </c>
      <c r="AU220">
        <v>2</v>
      </c>
      <c r="AV220">
        <v>1</v>
      </c>
      <c r="AW220">
        <v>2</v>
      </c>
      <c r="AX220">
        <v>1</v>
      </c>
      <c r="AY220">
        <v>2</v>
      </c>
      <c r="AZ220">
        <v>1</v>
      </c>
      <c r="BA220">
        <v>1</v>
      </c>
      <c r="BB220">
        <v>2</v>
      </c>
      <c r="BC220">
        <v>1</v>
      </c>
      <c r="BD220">
        <v>1</v>
      </c>
      <c r="BE220">
        <v>2</v>
      </c>
      <c r="BF220">
        <v>1</v>
      </c>
      <c r="BG220">
        <v>1</v>
      </c>
      <c r="BH220">
        <v>2</v>
      </c>
      <c r="BI220">
        <v>1</v>
      </c>
      <c r="BJ220">
        <v>1</v>
      </c>
      <c r="BK220">
        <v>1</v>
      </c>
      <c r="BN220">
        <v>2</v>
      </c>
      <c r="BO220">
        <v>1</v>
      </c>
      <c r="BP220">
        <v>1</v>
      </c>
      <c r="BQ220">
        <v>2</v>
      </c>
      <c r="BR220">
        <v>1</v>
      </c>
      <c r="BS220">
        <v>2</v>
      </c>
      <c r="BT220">
        <v>1</v>
      </c>
      <c r="BU220">
        <v>1</v>
      </c>
      <c r="BV220">
        <v>2</v>
      </c>
      <c r="BW220">
        <v>1</v>
      </c>
      <c r="BX220">
        <v>1</v>
      </c>
      <c r="BY220">
        <v>1</v>
      </c>
      <c r="BZ220">
        <v>1</v>
      </c>
      <c r="CA220">
        <v>1</v>
      </c>
      <c r="CB220">
        <v>1</v>
      </c>
      <c r="CD220">
        <v>1</v>
      </c>
    </row>
    <row r="221" spans="1:82" x14ac:dyDescent="0.3">
      <c r="A221">
        <v>980</v>
      </c>
      <c r="B221" t="s">
        <v>583</v>
      </c>
      <c r="E221" t="s">
        <v>2685</v>
      </c>
      <c r="G221" t="s">
        <v>2030</v>
      </c>
      <c r="H221" t="s">
        <v>1986</v>
      </c>
      <c r="I221" t="s">
        <v>2017</v>
      </c>
      <c r="J221" t="s">
        <v>2637</v>
      </c>
      <c r="K221" t="s">
        <v>2030</v>
      </c>
      <c r="L221" t="s">
        <v>2033</v>
      </c>
      <c r="M221" t="s">
        <v>2031</v>
      </c>
      <c r="N221" t="s">
        <v>2003</v>
      </c>
      <c r="O221" t="s">
        <v>1933</v>
      </c>
      <c r="P221" t="s">
        <v>2016</v>
      </c>
      <c r="Q221" t="s">
        <v>1998</v>
      </c>
      <c r="R221" t="s">
        <v>2017</v>
      </c>
      <c r="S221" t="s">
        <v>1988</v>
      </c>
      <c r="T221" t="s">
        <v>2030</v>
      </c>
      <c r="U221" t="s">
        <v>2686</v>
      </c>
      <c r="V221" t="s">
        <v>1989</v>
      </c>
      <c r="W221" t="s">
        <v>2030</v>
      </c>
      <c r="Y221" t="s">
        <v>2634</v>
      </c>
      <c r="Z221" t="s">
        <v>2687</v>
      </c>
      <c r="AA221" t="s">
        <v>2016</v>
      </c>
      <c r="AB221" t="s">
        <v>2598</v>
      </c>
      <c r="AC221" t="s">
        <v>1933</v>
      </c>
      <c r="AD221" t="s">
        <v>2688</v>
      </c>
      <c r="AE221" t="s">
        <v>2030</v>
      </c>
      <c r="AF221" t="s">
        <v>2689</v>
      </c>
      <c r="AG221" t="s">
        <v>2690</v>
      </c>
      <c r="AH221" t="s">
        <v>2010</v>
      </c>
      <c r="AI221" t="s">
        <v>2029</v>
      </c>
      <c r="AJ221" t="s">
        <v>2028</v>
      </c>
      <c r="AM221" t="s">
        <v>2687</v>
      </c>
      <c r="AN221" t="s">
        <v>2018</v>
      </c>
      <c r="AO221" t="s">
        <v>2691</v>
      </c>
      <c r="AP221" t="s">
        <v>2030</v>
      </c>
      <c r="AQ221" t="s">
        <v>2018</v>
      </c>
      <c r="AR221" t="s">
        <v>2639</v>
      </c>
      <c r="AS221" t="s">
        <v>2692</v>
      </c>
      <c r="AT221" t="s">
        <v>2647</v>
      </c>
      <c r="AU221" t="s">
        <v>2030</v>
      </c>
      <c r="AV221" t="s">
        <v>2598</v>
      </c>
      <c r="AW221" t="s">
        <v>2030</v>
      </c>
      <c r="AX221" t="s">
        <v>2693</v>
      </c>
      <c r="AY221" t="s">
        <v>2013</v>
      </c>
      <c r="AZ221" t="s">
        <v>2016</v>
      </c>
      <c r="BA221" t="s">
        <v>2028</v>
      </c>
      <c r="BB221" t="s">
        <v>2030</v>
      </c>
      <c r="BC221" t="s">
        <v>2008</v>
      </c>
      <c r="BD221" t="s">
        <v>2035</v>
      </c>
      <c r="BE221" t="s">
        <v>2030</v>
      </c>
      <c r="BF221" t="s">
        <v>2694</v>
      </c>
      <c r="BG221" t="s">
        <v>2690</v>
      </c>
      <c r="BH221" t="s">
        <v>2030</v>
      </c>
      <c r="BI221" t="s">
        <v>2007</v>
      </c>
      <c r="BJ221" t="s">
        <v>2033</v>
      </c>
      <c r="BK221" t="s">
        <v>2695</v>
      </c>
      <c r="BN221" t="s">
        <v>2030</v>
      </c>
      <c r="BO221" t="s">
        <v>2696</v>
      </c>
      <c r="BP221" t="s">
        <v>2692</v>
      </c>
      <c r="BQ221" t="s">
        <v>2030</v>
      </c>
      <c r="BR221" t="s">
        <v>2687</v>
      </c>
      <c r="BS221" t="s">
        <v>2030</v>
      </c>
      <c r="BT221" t="s">
        <v>2694</v>
      </c>
      <c r="BU221" t="s">
        <v>2007</v>
      </c>
      <c r="BV221" t="s">
        <v>2697</v>
      </c>
      <c r="BW221" t="s">
        <v>2696</v>
      </c>
      <c r="BX221" t="s">
        <v>1989</v>
      </c>
      <c r="BY221" t="s">
        <v>2645</v>
      </c>
      <c r="BZ221" t="s">
        <v>2029</v>
      </c>
      <c r="CA221" t="s">
        <v>2024</v>
      </c>
      <c r="CB221" t="s">
        <v>2068</v>
      </c>
      <c r="CD221" t="s">
        <v>2698</v>
      </c>
    </row>
    <row r="222" spans="1:82" x14ac:dyDescent="0.3">
      <c r="A222">
        <v>984</v>
      </c>
      <c r="B222" t="s">
        <v>945</v>
      </c>
      <c r="E222">
        <v>26331</v>
      </c>
      <c r="G222">
        <v>1456655</v>
      </c>
      <c r="H222">
        <v>215185</v>
      </c>
      <c r="I222">
        <v>3194199</v>
      </c>
      <c r="J222">
        <v>48166</v>
      </c>
      <c r="K222">
        <v>89765</v>
      </c>
      <c r="L222">
        <v>141492</v>
      </c>
      <c r="M222">
        <v>9998839</v>
      </c>
      <c r="N222">
        <v>34175</v>
      </c>
      <c r="O222">
        <v>3265312</v>
      </c>
      <c r="P222">
        <v>18742</v>
      </c>
      <c r="Q222">
        <v>26105223</v>
      </c>
      <c r="R222">
        <v>1260258</v>
      </c>
      <c r="S222">
        <v>0</v>
      </c>
      <c r="T222">
        <v>51935364</v>
      </c>
      <c r="U222">
        <v>9149898</v>
      </c>
      <c r="V222">
        <v>11357361</v>
      </c>
      <c r="W222">
        <v>26714841</v>
      </c>
      <c r="Y222">
        <v>7942139</v>
      </c>
      <c r="Z222">
        <v>582035</v>
      </c>
      <c r="AA222">
        <v>9816418</v>
      </c>
      <c r="AB222">
        <v>1948800</v>
      </c>
      <c r="AC222">
        <v>984258</v>
      </c>
      <c r="AD222">
        <v>936934</v>
      </c>
      <c r="AE222">
        <v>1199209</v>
      </c>
      <c r="AF222">
        <v>10646369</v>
      </c>
      <c r="AG222">
        <v>2570797</v>
      </c>
      <c r="AH222">
        <v>351462</v>
      </c>
      <c r="AI222">
        <v>17664134</v>
      </c>
      <c r="AJ222">
        <v>345460</v>
      </c>
      <c r="AM222">
        <v>7026135</v>
      </c>
      <c r="AN222">
        <v>290228</v>
      </c>
      <c r="AO222">
        <v>297884</v>
      </c>
      <c r="AP222">
        <v>0</v>
      </c>
      <c r="AQ222">
        <v>4211338</v>
      </c>
      <c r="AR222">
        <v>2551655</v>
      </c>
      <c r="AS222">
        <v>210621</v>
      </c>
      <c r="AT222">
        <v>1560841</v>
      </c>
      <c r="AU222">
        <v>84273</v>
      </c>
      <c r="AV222">
        <v>8622932</v>
      </c>
      <c r="AW222">
        <v>1140455</v>
      </c>
      <c r="AX222">
        <v>1021087</v>
      </c>
      <c r="AY222">
        <v>3405612</v>
      </c>
      <c r="AZ222">
        <v>533816</v>
      </c>
      <c r="BA222">
        <v>576305</v>
      </c>
      <c r="BB222">
        <v>0</v>
      </c>
      <c r="BC222">
        <v>63950</v>
      </c>
      <c r="BD222">
        <v>3893678</v>
      </c>
      <c r="BE222">
        <v>37126</v>
      </c>
      <c r="BF222">
        <v>198519</v>
      </c>
      <c r="BG222">
        <v>86138</v>
      </c>
      <c r="BH222">
        <v>42421</v>
      </c>
      <c r="BI222">
        <v>65236</v>
      </c>
      <c r="BJ222">
        <v>66428</v>
      </c>
      <c r="BK222">
        <v>1510946</v>
      </c>
      <c r="BN222">
        <v>2494754</v>
      </c>
      <c r="BO222">
        <v>676886</v>
      </c>
      <c r="BP222">
        <v>571813</v>
      </c>
      <c r="BQ222">
        <v>12342069</v>
      </c>
      <c r="BR222">
        <v>272979</v>
      </c>
      <c r="BS222">
        <v>9143097</v>
      </c>
      <c r="BT222">
        <v>213499</v>
      </c>
      <c r="BU222">
        <v>3895751</v>
      </c>
      <c r="BV222">
        <v>434917</v>
      </c>
      <c r="BW222">
        <v>1142424</v>
      </c>
      <c r="BX222">
        <v>148506</v>
      </c>
      <c r="BY222">
        <v>17443</v>
      </c>
      <c r="BZ222">
        <v>84555</v>
      </c>
      <c r="CA222">
        <v>29572</v>
      </c>
      <c r="CB222">
        <v>635678</v>
      </c>
      <c r="CD222">
        <v>11948</v>
      </c>
    </row>
    <row r="223" spans="1:82" x14ac:dyDescent="0.3">
      <c r="A223">
        <v>985</v>
      </c>
      <c r="B223" t="s">
        <v>946</v>
      </c>
      <c r="E223">
        <v>27000</v>
      </c>
      <c r="G223">
        <v>1375791</v>
      </c>
      <c r="H223">
        <v>199714</v>
      </c>
      <c r="I223">
        <v>3047500</v>
      </c>
      <c r="J223">
        <v>46500</v>
      </c>
      <c r="K223">
        <v>88305</v>
      </c>
      <c r="L223">
        <v>139910</v>
      </c>
      <c r="M223">
        <v>9630000</v>
      </c>
      <c r="N223">
        <v>30000</v>
      </c>
      <c r="O223">
        <v>3419103</v>
      </c>
      <c r="P223">
        <v>17050</v>
      </c>
      <c r="Q223">
        <v>24754280</v>
      </c>
      <c r="R223">
        <v>1233700</v>
      </c>
      <c r="S223">
        <v>0</v>
      </c>
      <c r="T223">
        <v>50700000</v>
      </c>
      <c r="U223">
        <v>8640046</v>
      </c>
      <c r="V223">
        <v>10755100</v>
      </c>
      <c r="W223">
        <v>26186000</v>
      </c>
      <c r="Y223">
        <v>7510250</v>
      </c>
      <c r="Z223">
        <v>547460</v>
      </c>
      <c r="AA223">
        <v>9902691</v>
      </c>
      <c r="AB223">
        <v>1992720</v>
      </c>
      <c r="AC223">
        <v>963535</v>
      </c>
      <c r="AD223">
        <v>910500</v>
      </c>
      <c r="AE223">
        <v>1104000</v>
      </c>
      <c r="AF223">
        <v>10546600</v>
      </c>
      <c r="AG223">
        <v>2604468</v>
      </c>
      <c r="AH223">
        <v>328798</v>
      </c>
      <c r="AI223">
        <v>17078744</v>
      </c>
      <c r="AJ223">
        <v>260000</v>
      </c>
      <c r="AM223">
        <v>6625000</v>
      </c>
      <c r="AN223">
        <v>271768</v>
      </c>
      <c r="AO223">
        <v>309187</v>
      </c>
      <c r="AP223">
        <v>0</v>
      </c>
      <c r="AQ223">
        <v>3801714</v>
      </c>
      <c r="AR223">
        <v>2340000</v>
      </c>
      <c r="AS223">
        <v>194339</v>
      </c>
      <c r="AT223">
        <v>1538500</v>
      </c>
      <c r="AU223">
        <v>70325</v>
      </c>
      <c r="AV223">
        <v>8266922</v>
      </c>
      <c r="AW223">
        <v>1113600</v>
      </c>
      <c r="AX223">
        <v>1017550</v>
      </c>
      <c r="AY223">
        <v>3408268</v>
      </c>
      <c r="AZ223">
        <v>531300</v>
      </c>
      <c r="BA223">
        <v>558790</v>
      </c>
      <c r="BB223">
        <v>0</v>
      </c>
      <c r="BC223">
        <v>62660</v>
      </c>
      <c r="BD223">
        <v>3756997</v>
      </c>
      <c r="BE223">
        <v>25360</v>
      </c>
      <c r="BF223">
        <v>159500</v>
      </c>
      <c r="BG223">
        <v>80485</v>
      </c>
      <c r="BH223">
        <v>38947</v>
      </c>
      <c r="BI223">
        <v>68000</v>
      </c>
      <c r="BJ223">
        <v>59000</v>
      </c>
      <c r="BK223">
        <v>1446700</v>
      </c>
      <c r="BN223">
        <v>2480000</v>
      </c>
      <c r="BO223">
        <v>672805</v>
      </c>
      <c r="BP223">
        <v>547686</v>
      </c>
      <c r="BQ223">
        <v>12262000</v>
      </c>
      <c r="BR223">
        <v>237500</v>
      </c>
      <c r="BS223">
        <v>8897727</v>
      </c>
      <c r="BT223">
        <v>202750</v>
      </c>
      <c r="BU223">
        <v>3770088</v>
      </c>
      <c r="BV223">
        <v>353625</v>
      </c>
      <c r="BW223">
        <v>1051000</v>
      </c>
      <c r="BX223">
        <v>141950</v>
      </c>
      <c r="BY223">
        <v>19000</v>
      </c>
      <c r="BZ223">
        <v>82214</v>
      </c>
      <c r="CA223">
        <v>29896</v>
      </c>
      <c r="CB223">
        <v>609488</v>
      </c>
      <c r="CD223">
        <v>13500</v>
      </c>
    </row>
    <row r="224" spans="1:82" x14ac:dyDescent="0.3">
      <c r="A224">
        <v>986</v>
      </c>
      <c r="B224" t="s">
        <v>584</v>
      </c>
      <c r="E224">
        <v>0</v>
      </c>
      <c r="G224">
        <v>0</v>
      </c>
      <c r="H224">
        <v>0</v>
      </c>
      <c r="I224">
        <v>0</v>
      </c>
      <c r="J224">
        <v>0</v>
      </c>
      <c r="K224">
        <v>0</v>
      </c>
      <c r="L224">
        <v>0</v>
      </c>
      <c r="M224">
        <v>0</v>
      </c>
      <c r="N224">
        <v>0</v>
      </c>
      <c r="O224">
        <v>0</v>
      </c>
      <c r="P224">
        <v>0</v>
      </c>
      <c r="Q224">
        <v>0</v>
      </c>
      <c r="R224">
        <v>0</v>
      </c>
      <c r="S224">
        <v>0</v>
      </c>
      <c r="T224">
        <v>0</v>
      </c>
      <c r="U224">
        <v>0</v>
      </c>
      <c r="V224">
        <v>0</v>
      </c>
      <c r="W224">
        <v>0</v>
      </c>
      <c r="Y224">
        <v>0</v>
      </c>
      <c r="Z224">
        <v>264112</v>
      </c>
      <c r="AA224">
        <v>0</v>
      </c>
      <c r="AB224">
        <v>0</v>
      </c>
      <c r="AC224">
        <v>0</v>
      </c>
      <c r="AD224">
        <v>0</v>
      </c>
      <c r="AE224">
        <v>0</v>
      </c>
      <c r="AF224">
        <v>0</v>
      </c>
      <c r="AG224">
        <v>0</v>
      </c>
      <c r="AH224">
        <v>0</v>
      </c>
      <c r="AI224">
        <v>0</v>
      </c>
      <c r="AJ224">
        <v>0</v>
      </c>
      <c r="AM224">
        <v>0</v>
      </c>
      <c r="AN224">
        <v>0</v>
      </c>
      <c r="AO224">
        <v>0</v>
      </c>
      <c r="AP224">
        <v>0</v>
      </c>
      <c r="AQ224">
        <v>0</v>
      </c>
      <c r="AR224">
        <v>0</v>
      </c>
      <c r="AS224">
        <v>0</v>
      </c>
      <c r="AT224">
        <v>0</v>
      </c>
      <c r="AU224">
        <v>0</v>
      </c>
      <c r="AV224">
        <v>225000</v>
      </c>
      <c r="AW224">
        <v>0</v>
      </c>
      <c r="AX224">
        <v>0</v>
      </c>
      <c r="AY224">
        <v>0</v>
      </c>
      <c r="AZ224">
        <v>0</v>
      </c>
      <c r="BA224">
        <v>0</v>
      </c>
      <c r="BB224">
        <v>0</v>
      </c>
      <c r="BC224">
        <v>102305</v>
      </c>
      <c r="BD224">
        <v>0</v>
      </c>
      <c r="BE224">
        <v>0</v>
      </c>
      <c r="BF224">
        <v>0</v>
      </c>
      <c r="BG224">
        <v>0</v>
      </c>
      <c r="BH224">
        <v>0</v>
      </c>
      <c r="BI224">
        <v>13434</v>
      </c>
      <c r="BJ224">
        <v>0</v>
      </c>
      <c r="BK224">
        <v>0</v>
      </c>
      <c r="BN224">
        <v>0</v>
      </c>
      <c r="BO224">
        <v>0</v>
      </c>
      <c r="BP224">
        <v>0</v>
      </c>
      <c r="BQ224">
        <v>0</v>
      </c>
      <c r="BR224">
        <v>0</v>
      </c>
      <c r="BS224">
        <v>0</v>
      </c>
      <c r="BT224">
        <v>0</v>
      </c>
      <c r="BU224">
        <v>0</v>
      </c>
      <c r="BV224">
        <v>0</v>
      </c>
      <c r="BW224">
        <v>0</v>
      </c>
      <c r="BX224">
        <v>94354</v>
      </c>
      <c r="BY224">
        <v>0</v>
      </c>
      <c r="BZ224">
        <v>0</v>
      </c>
      <c r="CA224">
        <v>26394</v>
      </c>
      <c r="CB224">
        <v>0</v>
      </c>
      <c r="CD224">
        <v>0</v>
      </c>
    </row>
    <row r="225" spans="1:82" x14ac:dyDescent="0.3">
      <c r="A225">
        <v>987</v>
      </c>
      <c r="B225" t="s">
        <v>947</v>
      </c>
      <c r="E225">
        <v>0</v>
      </c>
      <c r="G225">
        <v>0</v>
      </c>
      <c r="H225">
        <v>0</v>
      </c>
      <c r="I225">
        <v>0</v>
      </c>
      <c r="J225">
        <v>0</v>
      </c>
      <c r="K225">
        <v>0</v>
      </c>
      <c r="L225">
        <v>0</v>
      </c>
      <c r="M225">
        <v>0</v>
      </c>
      <c r="N225">
        <v>0</v>
      </c>
      <c r="O225">
        <v>0</v>
      </c>
      <c r="P225">
        <v>0</v>
      </c>
      <c r="Q225">
        <v>0</v>
      </c>
      <c r="R225">
        <v>0</v>
      </c>
      <c r="S225">
        <v>0</v>
      </c>
      <c r="T225">
        <v>0</v>
      </c>
      <c r="U225">
        <v>0</v>
      </c>
      <c r="V225">
        <v>0</v>
      </c>
      <c r="W225">
        <v>0</v>
      </c>
      <c r="Y225">
        <v>0</v>
      </c>
      <c r="Z225">
        <v>0</v>
      </c>
      <c r="AA225">
        <v>0</v>
      </c>
      <c r="AB225">
        <v>0</v>
      </c>
      <c r="AC225">
        <v>0</v>
      </c>
      <c r="AD225">
        <v>0</v>
      </c>
      <c r="AE225">
        <v>0</v>
      </c>
      <c r="AF225">
        <v>0</v>
      </c>
      <c r="AG225">
        <v>0</v>
      </c>
      <c r="AH225">
        <v>0</v>
      </c>
      <c r="AI225">
        <v>0</v>
      </c>
      <c r="AJ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N225">
        <v>0</v>
      </c>
      <c r="BO225">
        <v>0</v>
      </c>
      <c r="BP225">
        <v>0</v>
      </c>
      <c r="BQ225">
        <v>0</v>
      </c>
      <c r="BR225">
        <v>0</v>
      </c>
      <c r="BS225">
        <v>0</v>
      </c>
      <c r="BT225">
        <v>0</v>
      </c>
      <c r="BU225">
        <v>0</v>
      </c>
      <c r="BV225">
        <v>0</v>
      </c>
      <c r="BW225">
        <v>0</v>
      </c>
      <c r="BX225">
        <v>0</v>
      </c>
      <c r="BY225">
        <v>0</v>
      </c>
      <c r="BZ225">
        <v>0</v>
      </c>
      <c r="CA225">
        <v>0</v>
      </c>
      <c r="CB225">
        <v>0</v>
      </c>
      <c r="CD225">
        <v>0</v>
      </c>
    </row>
    <row r="226" spans="1:82" x14ac:dyDescent="0.3">
      <c r="A226">
        <v>988</v>
      </c>
      <c r="B226" t="s">
        <v>948</v>
      </c>
      <c r="E226">
        <v>2</v>
      </c>
      <c r="G226">
        <v>2</v>
      </c>
      <c r="H226">
        <v>2</v>
      </c>
      <c r="I226">
        <v>2</v>
      </c>
      <c r="J226">
        <v>2</v>
      </c>
      <c r="K226">
        <v>2</v>
      </c>
      <c r="L226">
        <v>2</v>
      </c>
      <c r="M226">
        <v>2</v>
      </c>
      <c r="N226">
        <v>2</v>
      </c>
      <c r="O226">
        <v>2</v>
      </c>
      <c r="P226">
        <v>2</v>
      </c>
      <c r="Q226">
        <v>2</v>
      </c>
      <c r="R226">
        <v>2</v>
      </c>
      <c r="S226">
        <v>2</v>
      </c>
      <c r="T226">
        <v>2</v>
      </c>
      <c r="U226">
        <v>2</v>
      </c>
      <c r="V226">
        <v>2</v>
      </c>
      <c r="W226">
        <v>2</v>
      </c>
      <c r="Y226">
        <v>2</v>
      </c>
      <c r="Z226">
        <v>2</v>
      </c>
      <c r="AA226">
        <v>2</v>
      </c>
      <c r="AB226">
        <v>2</v>
      </c>
      <c r="AC226">
        <v>2</v>
      </c>
      <c r="AD226">
        <v>2</v>
      </c>
      <c r="AE226">
        <v>2</v>
      </c>
      <c r="AF226">
        <v>2</v>
      </c>
      <c r="AG226">
        <v>2</v>
      </c>
      <c r="AH226">
        <v>2</v>
      </c>
      <c r="AI226">
        <v>2</v>
      </c>
      <c r="AJ226">
        <v>2</v>
      </c>
      <c r="AM226">
        <v>2</v>
      </c>
      <c r="AN226">
        <v>2</v>
      </c>
      <c r="AO226">
        <v>2</v>
      </c>
      <c r="AP226">
        <v>2</v>
      </c>
      <c r="AQ226">
        <v>0</v>
      </c>
      <c r="AR226">
        <v>2</v>
      </c>
      <c r="AS226">
        <v>2</v>
      </c>
      <c r="AT226">
        <v>2</v>
      </c>
      <c r="AU226">
        <v>2</v>
      </c>
      <c r="AV226">
        <v>2</v>
      </c>
      <c r="AW226">
        <v>2</v>
      </c>
      <c r="AX226">
        <v>2</v>
      </c>
      <c r="AY226">
        <v>2</v>
      </c>
      <c r="AZ226">
        <v>2</v>
      </c>
      <c r="BA226">
        <v>2</v>
      </c>
      <c r="BB226">
        <v>2</v>
      </c>
      <c r="BC226">
        <v>2</v>
      </c>
      <c r="BD226">
        <v>2</v>
      </c>
      <c r="BE226">
        <v>2</v>
      </c>
      <c r="BF226">
        <v>2</v>
      </c>
      <c r="BG226">
        <v>2</v>
      </c>
      <c r="BH226">
        <v>2</v>
      </c>
      <c r="BI226">
        <v>2</v>
      </c>
      <c r="BJ226">
        <v>2</v>
      </c>
      <c r="BK226">
        <v>2</v>
      </c>
      <c r="BN226">
        <v>2</v>
      </c>
      <c r="BO226">
        <v>2</v>
      </c>
      <c r="BP226">
        <v>2</v>
      </c>
      <c r="BQ226">
        <v>2</v>
      </c>
      <c r="BR226">
        <v>2</v>
      </c>
      <c r="BS226">
        <v>2</v>
      </c>
      <c r="BT226">
        <v>2</v>
      </c>
      <c r="BU226">
        <v>2</v>
      </c>
      <c r="BV226">
        <v>2</v>
      </c>
      <c r="BW226">
        <v>2</v>
      </c>
      <c r="BX226">
        <v>2</v>
      </c>
      <c r="BY226">
        <v>2</v>
      </c>
      <c r="BZ226">
        <v>2</v>
      </c>
      <c r="CA226">
        <v>2</v>
      </c>
      <c r="CB226">
        <v>2</v>
      </c>
      <c r="CD226">
        <v>2</v>
      </c>
    </row>
    <row r="227" spans="1:82" x14ac:dyDescent="0.3">
      <c r="A227">
        <v>989</v>
      </c>
      <c r="B227" t="s">
        <v>949</v>
      </c>
      <c r="E227">
        <v>3</v>
      </c>
      <c r="G227">
        <v>3</v>
      </c>
      <c r="H227">
        <v>3</v>
      </c>
      <c r="I227">
        <v>0</v>
      </c>
      <c r="J227">
        <v>3</v>
      </c>
      <c r="K227">
        <v>3</v>
      </c>
      <c r="L227">
        <v>3</v>
      </c>
      <c r="M227">
        <v>3</v>
      </c>
      <c r="N227">
        <v>3</v>
      </c>
      <c r="O227">
        <v>3</v>
      </c>
      <c r="P227">
        <v>3</v>
      </c>
      <c r="Q227">
        <v>3</v>
      </c>
      <c r="R227">
        <v>0</v>
      </c>
      <c r="S227">
        <v>3</v>
      </c>
      <c r="T227">
        <v>3</v>
      </c>
      <c r="U227">
        <v>3</v>
      </c>
      <c r="V227">
        <v>3</v>
      </c>
      <c r="W227">
        <v>3</v>
      </c>
      <c r="Y227">
        <v>0</v>
      </c>
      <c r="Z227">
        <v>0</v>
      </c>
      <c r="AA227">
        <v>3</v>
      </c>
      <c r="AB227">
        <v>3</v>
      </c>
      <c r="AC227">
        <v>3</v>
      </c>
      <c r="AD227">
        <v>0</v>
      </c>
      <c r="AE227">
        <v>3</v>
      </c>
      <c r="AF227">
        <v>3</v>
      </c>
      <c r="AG227">
        <v>3</v>
      </c>
      <c r="AH227">
        <v>3</v>
      </c>
      <c r="AI227">
        <v>3</v>
      </c>
      <c r="AJ227">
        <v>3</v>
      </c>
      <c r="AM227">
        <v>3</v>
      </c>
      <c r="AN227">
        <v>3</v>
      </c>
      <c r="AO227">
        <v>3</v>
      </c>
      <c r="AP227">
        <v>3</v>
      </c>
      <c r="AQ227">
        <v>0</v>
      </c>
      <c r="AR227">
        <v>3</v>
      </c>
      <c r="AS227">
        <v>3</v>
      </c>
      <c r="AT227">
        <v>3</v>
      </c>
      <c r="AU227">
        <v>3</v>
      </c>
      <c r="AV227">
        <v>3</v>
      </c>
      <c r="AW227">
        <v>3</v>
      </c>
      <c r="AX227">
        <v>3</v>
      </c>
      <c r="AY227">
        <v>3</v>
      </c>
      <c r="AZ227">
        <v>3</v>
      </c>
      <c r="BA227">
        <v>3</v>
      </c>
      <c r="BB227">
        <v>3</v>
      </c>
      <c r="BC227">
        <v>3</v>
      </c>
      <c r="BD227">
        <v>3</v>
      </c>
      <c r="BE227">
        <v>3</v>
      </c>
      <c r="BF227">
        <v>3</v>
      </c>
      <c r="BG227">
        <v>3</v>
      </c>
      <c r="BH227">
        <v>0</v>
      </c>
      <c r="BI227">
        <v>3</v>
      </c>
      <c r="BJ227">
        <v>3</v>
      </c>
      <c r="BK227">
        <v>3</v>
      </c>
      <c r="BN227">
        <v>3</v>
      </c>
      <c r="BO227">
        <v>3</v>
      </c>
      <c r="BP227">
        <v>3</v>
      </c>
      <c r="BQ227">
        <v>3</v>
      </c>
      <c r="BR227">
        <v>3</v>
      </c>
      <c r="BS227">
        <v>3</v>
      </c>
      <c r="BT227">
        <v>3</v>
      </c>
      <c r="BU227">
        <v>3</v>
      </c>
      <c r="BV227">
        <v>3</v>
      </c>
      <c r="BW227">
        <v>3</v>
      </c>
      <c r="BX227">
        <v>3</v>
      </c>
      <c r="BY227">
        <v>3</v>
      </c>
      <c r="BZ227">
        <v>3</v>
      </c>
      <c r="CA227">
        <v>3</v>
      </c>
      <c r="CB227">
        <v>3</v>
      </c>
      <c r="CD227">
        <v>3</v>
      </c>
    </row>
    <row r="228" spans="1:82" x14ac:dyDescent="0.3">
      <c r="A228">
        <v>990</v>
      </c>
      <c r="B228" t="s">
        <v>575</v>
      </c>
      <c r="E228">
        <v>0</v>
      </c>
      <c r="G228">
        <v>0</v>
      </c>
      <c r="H228">
        <v>0</v>
      </c>
      <c r="I228">
        <v>0</v>
      </c>
      <c r="J228">
        <v>0</v>
      </c>
      <c r="K228">
        <v>0</v>
      </c>
      <c r="L228">
        <v>0</v>
      </c>
      <c r="M228">
        <v>0</v>
      </c>
      <c r="N228">
        <v>0</v>
      </c>
      <c r="O228">
        <v>0</v>
      </c>
      <c r="P228">
        <v>0</v>
      </c>
      <c r="Q228">
        <v>419309</v>
      </c>
      <c r="R228">
        <v>0</v>
      </c>
      <c r="S228">
        <v>0</v>
      </c>
      <c r="T228">
        <v>0</v>
      </c>
      <c r="U228">
        <v>0</v>
      </c>
      <c r="V228">
        <v>160211</v>
      </c>
      <c r="W228">
        <v>0</v>
      </c>
      <c r="Y228">
        <v>0</v>
      </c>
      <c r="Z228">
        <v>0</v>
      </c>
      <c r="AA228">
        <v>0</v>
      </c>
      <c r="AB228">
        <v>0</v>
      </c>
      <c r="AC228">
        <v>0</v>
      </c>
      <c r="AD228">
        <v>0</v>
      </c>
      <c r="AE228">
        <v>0</v>
      </c>
      <c r="AF228">
        <v>0</v>
      </c>
      <c r="AG228">
        <v>0</v>
      </c>
      <c r="AH228">
        <v>0</v>
      </c>
      <c r="AI228">
        <v>423820</v>
      </c>
      <c r="AJ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N228">
        <v>0</v>
      </c>
      <c r="BO228">
        <v>0</v>
      </c>
      <c r="BP228">
        <v>0</v>
      </c>
      <c r="BQ228">
        <v>0</v>
      </c>
      <c r="BR228">
        <v>0</v>
      </c>
      <c r="BS228">
        <v>35265</v>
      </c>
      <c r="BT228">
        <v>0</v>
      </c>
      <c r="BU228">
        <v>0</v>
      </c>
      <c r="BV228">
        <v>0</v>
      </c>
      <c r="BW228">
        <v>0</v>
      </c>
      <c r="BX228">
        <v>0</v>
      </c>
      <c r="BY228">
        <v>0</v>
      </c>
      <c r="BZ228">
        <v>0</v>
      </c>
      <c r="CA228">
        <v>0</v>
      </c>
      <c r="CB228">
        <v>0</v>
      </c>
      <c r="CD228">
        <v>0</v>
      </c>
    </row>
    <row r="229" spans="1:82" x14ac:dyDescent="0.3">
      <c r="A229">
        <v>991</v>
      </c>
      <c r="B229" t="s">
        <v>950</v>
      </c>
      <c r="E229">
        <v>20</v>
      </c>
      <c r="G229">
        <v>22</v>
      </c>
      <c r="H229">
        <v>23</v>
      </c>
      <c r="I229">
        <v>23</v>
      </c>
      <c r="J229">
        <v>23</v>
      </c>
      <c r="K229">
        <v>23</v>
      </c>
      <c r="L229">
        <v>23</v>
      </c>
      <c r="M229">
        <v>23</v>
      </c>
      <c r="N229">
        <v>23</v>
      </c>
      <c r="O229">
        <v>23</v>
      </c>
      <c r="P229">
        <v>22</v>
      </c>
      <c r="Q229">
        <v>23</v>
      </c>
      <c r="R229">
        <v>23</v>
      </c>
      <c r="S229">
        <v>23</v>
      </c>
      <c r="T229">
        <v>23</v>
      </c>
      <c r="U229">
        <v>23</v>
      </c>
      <c r="V229">
        <v>23</v>
      </c>
      <c r="W229">
        <v>20</v>
      </c>
      <c r="Y229">
        <v>23</v>
      </c>
      <c r="Z229">
        <v>0</v>
      </c>
      <c r="AA229">
        <v>23</v>
      </c>
      <c r="AB229">
        <v>23</v>
      </c>
      <c r="AC229">
        <v>23</v>
      </c>
      <c r="AD229">
        <v>22</v>
      </c>
      <c r="AE229">
        <v>23</v>
      </c>
      <c r="AF229">
        <v>23</v>
      </c>
      <c r="AG229">
        <v>20</v>
      </c>
      <c r="AH229">
        <v>22</v>
      </c>
      <c r="AI229">
        <v>23</v>
      </c>
      <c r="AJ229">
        <v>22</v>
      </c>
      <c r="AM229">
        <v>23</v>
      </c>
      <c r="AN229">
        <v>23</v>
      </c>
      <c r="AO229">
        <v>23</v>
      </c>
      <c r="AP229">
        <v>23</v>
      </c>
      <c r="AQ229">
        <v>23</v>
      </c>
      <c r="AR229">
        <v>23</v>
      </c>
      <c r="AS229">
        <v>22</v>
      </c>
      <c r="AT229">
        <v>23</v>
      </c>
      <c r="AU229">
        <v>23</v>
      </c>
      <c r="AV229">
        <v>22</v>
      </c>
      <c r="AW229">
        <v>23</v>
      </c>
      <c r="AX229">
        <v>23</v>
      </c>
      <c r="AY229">
        <v>23</v>
      </c>
      <c r="AZ229">
        <v>22</v>
      </c>
      <c r="BA229">
        <v>23</v>
      </c>
      <c r="BB229">
        <v>0</v>
      </c>
      <c r="BC229">
        <v>23</v>
      </c>
      <c r="BD229">
        <v>22</v>
      </c>
      <c r="BE229">
        <v>23</v>
      </c>
      <c r="BF229">
        <v>0</v>
      </c>
      <c r="BG229">
        <v>23</v>
      </c>
      <c r="BH229">
        <v>23</v>
      </c>
      <c r="BI229">
        <v>23</v>
      </c>
      <c r="BJ229">
        <v>23</v>
      </c>
      <c r="BK229">
        <v>23</v>
      </c>
      <c r="BN229">
        <v>23</v>
      </c>
      <c r="BO229">
        <v>23</v>
      </c>
      <c r="BP229">
        <v>23</v>
      </c>
      <c r="BQ229">
        <v>0</v>
      </c>
      <c r="BR229">
        <v>20</v>
      </c>
      <c r="BS229">
        <v>23</v>
      </c>
      <c r="BT229">
        <v>23</v>
      </c>
      <c r="BU229">
        <v>23</v>
      </c>
      <c r="BV229">
        <v>23</v>
      </c>
      <c r="BW229">
        <v>23</v>
      </c>
      <c r="BX229">
        <v>23</v>
      </c>
      <c r="BY229">
        <v>23</v>
      </c>
      <c r="BZ229">
        <v>23</v>
      </c>
      <c r="CA229">
        <v>23</v>
      </c>
      <c r="CB229">
        <v>23</v>
      </c>
      <c r="CD229">
        <v>21</v>
      </c>
    </row>
    <row r="230" spans="1:82" x14ac:dyDescent="0.3">
      <c r="A230">
        <v>995</v>
      </c>
      <c r="B230" t="s">
        <v>275</v>
      </c>
      <c r="D230">
        <v>0</v>
      </c>
      <c r="E230">
        <v>0</v>
      </c>
      <c r="F230">
        <v>0</v>
      </c>
      <c r="G230">
        <v>0</v>
      </c>
      <c r="H230">
        <v>0</v>
      </c>
      <c r="I230">
        <v>0</v>
      </c>
      <c r="J230">
        <v>0</v>
      </c>
      <c r="K230">
        <v>0</v>
      </c>
      <c r="L230">
        <v>0</v>
      </c>
      <c r="M230">
        <v>0</v>
      </c>
      <c r="N230">
        <v>0</v>
      </c>
      <c r="O230">
        <v>0</v>
      </c>
      <c r="P230">
        <v>0</v>
      </c>
      <c r="Q230">
        <v>7.0000000000000007E-2</v>
      </c>
      <c r="R230">
        <v>0</v>
      </c>
      <c r="S230">
        <v>0</v>
      </c>
      <c r="T230">
        <v>0</v>
      </c>
      <c r="U230">
        <v>0</v>
      </c>
      <c r="V230">
        <v>7.0000000000000007E-2</v>
      </c>
      <c r="W230">
        <v>0</v>
      </c>
      <c r="X230">
        <v>0</v>
      </c>
      <c r="Y230">
        <v>0</v>
      </c>
      <c r="Z230">
        <v>0</v>
      </c>
      <c r="AA230">
        <v>0</v>
      </c>
      <c r="AB230">
        <v>0</v>
      </c>
      <c r="AC230">
        <v>0</v>
      </c>
      <c r="AD230">
        <v>0</v>
      </c>
      <c r="AE230">
        <v>0</v>
      </c>
      <c r="AF230">
        <v>0</v>
      </c>
      <c r="AG230">
        <v>0</v>
      </c>
      <c r="AH230">
        <v>0</v>
      </c>
      <c r="AI230">
        <v>0.08</v>
      </c>
      <c r="AJ230">
        <v>0</v>
      </c>
      <c r="AK230">
        <v>0</v>
      </c>
      <c r="AL230">
        <v>0</v>
      </c>
      <c r="AM230">
        <v>7.0000000000000007E-2</v>
      </c>
      <c r="AN230">
        <v>0</v>
      </c>
      <c r="AO230">
        <v>0</v>
      </c>
      <c r="AP230">
        <v>0</v>
      </c>
      <c r="AQ230">
        <v>0</v>
      </c>
      <c r="AR230">
        <v>0</v>
      </c>
      <c r="AS230">
        <v>0</v>
      </c>
      <c r="AT230">
        <v>0</v>
      </c>
      <c r="AU230">
        <v>0.09</v>
      </c>
      <c r="AV230">
        <v>0</v>
      </c>
      <c r="AW230">
        <v>0</v>
      </c>
      <c r="AX230">
        <v>0</v>
      </c>
      <c r="AY230">
        <v>0</v>
      </c>
      <c r="AZ230">
        <v>0</v>
      </c>
      <c r="BA230">
        <v>0</v>
      </c>
      <c r="BB230">
        <v>0</v>
      </c>
      <c r="BC230">
        <v>0</v>
      </c>
      <c r="BD230">
        <v>0</v>
      </c>
      <c r="BE230">
        <v>0</v>
      </c>
      <c r="BF230">
        <v>0</v>
      </c>
      <c r="BG230">
        <v>0</v>
      </c>
      <c r="BH230">
        <v>0</v>
      </c>
      <c r="BI230">
        <v>0</v>
      </c>
      <c r="BJ230">
        <v>0</v>
      </c>
      <c r="BK230">
        <v>0</v>
      </c>
      <c r="BL230">
        <v>0.08</v>
      </c>
      <c r="BM230">
        <v>0</v>
      </c>
      <c r="BN230">
        <v>0</v>
      </c>
      <c r="BO230">
        <v>0</v>
      </c>
      <c r="BP230">
        <v>0</v>
      </c>
      <c r="BQ230">
        <v>0</v>
      </c>
      <c r="BR230">
        <v>0.09</v>
      </c>
      <c r="BS230">
        <v>7.0000000000000007E-2</v>
      </c>
      <c r="BT230">
        <v>0</v>
      </c>
      <c r="BU230">
        <v>0</v>
      </c>
      <c r="BV230">
        <v>0</v>
      </c>
      <c r="BW230">
        <v>0</v>
      </c>
      <c r="BX230">
        <v>0</v>
      </c>
      <c r="BY230">
        <v>0</v>
      </c>
      <c r="BZ230">
        <v>0</v>
      </c>
      <c r="CA230">
        <v>0</v>
      </c>
      <c r="CB230">
        <v>0</v>
      </c>
      <c r="CC230">
        <v>0</v>
      </c>
      <c r="CD230">
        <v>0</v>
      </c>
    </row>
    <row r="231" spans="1:82" x14ac:dyDescent="0.3">
      <c r="A231">
        <v>996</v>
      </c>
      <c r="B231" t="s">
        <v>276</v>
      </c>
      <c r="D231">
        <v>0.01</v>
      </c>
      <c r="E231">
        <v>0</v>
      </c>
      <c r="F231">
        <v>0.01</v>
      </c>
      <c r="G231">
        <v>0</v>
      </c>
      <c r="H231">
        <v>0</v>
      </c>
      <c r="I231">
        <v>0</v>
      </c>
      <c r="J231">
        <v>0.01</v>
      </c>
      <c r="K231">
        <v>0</v>
      </c>
      <c r="L231">
        <v>0</v>
      </c>
      <c r="M231">
        <v>0</v>
      </c>
      <c r="N231">
        <v>0</v>
      </c>
      <c r="O231">
        <v>0.01</v>
      </c>
      <c r="P231">
        <v>0</v>
      </c>
      <c r="Q231">
        <v>0.01</v>
      </c>
      <c r="R231">
        <v>0.01</v>
      </c>
      <c r="S231">
        <v>0</v>
      </c>
      <c r="T231">
        <v>0.01</v>
      </c>
      <c r="U231">
        <v>0.01</v>
      </c>
      <c r="V231">
        <v>0.01</v>
      </c>
      <c r="W231">
        <v>0</v>
      </c>
      <c r="X231">
        <v>0.01</v>
      </c>
      <c r="Y231">
        <v>0.01</v>
      </c>
      <c r="Z231">
        <v>0.01</v>
      </c>
      <c r="AA231">
        <v>0.01</v>
      </c>
      <c r="AB231">
        <v>0.01</v>
      </c>
      <c r="AC231">
        <v>0.01</v>
      </c>
      <c r="AD231">
        <v>0.01</v>
      </c>
      <c r="AE231">
        <v>0.01</v>
      </c>
      <c r="AF231">
        <v>0.01</v>
      </c>
      <c r="AG231">
        <v>0.01</v>
      </c>
      <c r="AH231">
        <v>0</v>
      </c>
      <c r="AI231">
        <v>0.01</v>
      </c>
      <c r="AJ231">
        <v>0.01</v>
      </c>
      <c r="AK231">
        <v>0.01</v>
      </c>
      <c r="AL231">
        <v>0.01</v>
      </c>
      <c r="AM231">
        <v>0.01</v>
      </c>
      <c r="AN231">
        <v>0.01</v>
      </c>
      <c r="AO231">
        <v>0.01</v>
      </c>
      <c r="AP231">
        <v>0</v>
      </c>
      <c r="AQ231">
        <v>0</v>
      </c>
      <c r="AR231">
        <v>0.01</v>
      </c>
      <c r="AS231">
        <v>0</v>
      </c>
      <c r="AT231">
        <v>0.01</v>
      </c>
      <c r="AU231">
        <v>0</v>
      </c>
      <c r="AV231">
        <v>0.01</v>
      </c>
      <c r="AW231">
        <v>0</v>
      </c>
      <c r="AX231">
        <v>0.01</v>
      </c>
      <c r="AY231">
        <v>0.01</v>
      </c>
      <c r="AZ231">
        <v>0.01</v>
      </c>
      <c r="BA231">
        <v>0.01</v>
      </c>
      <c r="BB231">
        <v>0</v>
      </c>
      <c r="BC231">
        <v>0.01</v>
      </c>
      <c r="BD231">
        <v>0.01</v>
      </c>
      <c r="BE231">
        <v>0</v>
      </c>
      <c r="BF231">
        <v>0.01</v>
      </c>
      <c r="BG231">
        <v>0.01</v>
      </c>
      <c r="BH231">
        <v>0</v>
      </c>
      <c r="BI231">
        <v>0.01</v>
      </c>
      <c r="BJ231">
        <v>0</v>
      </c>
      <c r="BK231">
        <v>0.01</v>
      </c>
      <c r="BL231">
        <v>0.01</v>
      </c>
      <c r="BM231">
        <v>0.01</v>
      </c>
      <c r="BN231">
        <v>0.01</v>
      </c>
      <c r="BO231">
        <v>0.01</v>
      </c>
      <c r="BP231">
        <v>0.01</v>
      </c>
      <c r="BQ231">
        <v>0</v>
      </c>
      <c r="BR231">
        <v>0.01</v>
      </c>
      <c r="BS231">
        <v>0</v>
      </c>
      <c r="BT231">
        <v>0.01</v>
      </c>
      <c r="BU231">
        <v>0.01</v>
      </c>
      <c r="BV231">
        <v>0</v>
      </c>
      <c r="BW231">
        <v>0.01</v>
      </c>
      <c r="BX231">
        <v>0.01</v>
      </c>
      <c r="BY231">
        <v>0.01</v>
      </c>
      <c r="BZ231">
        <v>0.01</v>
      </c>
      <c r="CA231">
        <v>0.01</v>
      </c>
      <c r="CB231">
        <v>0.01</v>
      </c>
      <c r="CC231">
        <v>0</v>
      </c>
      <c r="CD231">
        <v>0.01</v>
      </c>
    </row>
    <row r="232" spans="1:82" x14ac:dyDescent="0.3">
      <c r="A232">
        <v>998</v>
      </c>
      <c r="B232" t="s">
        <v>277</v>
      </c>
      <c r="D232">
        <v>50</v>
      </c>
      <c r="E232">
        <v>50</v>
      </c>
      <c r="F232">
        <v>50</v>
      </c>
      <c r="G232">
        <v>50</v>
      </c>
      <c r="H232">
        <v>50</v>
      </c>
      <c r="I232">
        <v>50</v>
      </c>
      <c r="J232">
        <v>50</v>
      </c>
      <c r="K232">
        <v>50</v>
      </c>
      <c r="L232">
        <v>50</v>
      </c>
      <c r="M232">
        <v>50</v>
      </c>
      <c r="N232">
        <v>50</v>
      </c>
      <c r="O232">
        <v>50</v>
      </c>
      <c r="P232">
        <v>50</v>
      </c>
      <c r="Q232">
        <v>50</v>
      </c>
      <c r="R232">
        <v>50</v>
      </c>
      <c r="S232">
        <v>50</v>
      </c>
      <c r="T232">
        <v>50</v>
      </c>
      <c r="U232">
        <v>50</v>
      </c>
      <c r="V232">
        <v>50</v>
      </c>
      <c r="W232">
        <v>50</v>
      </c>
      <c r="X232">
        <v>50</v>
      </c>
      <c r="Y232">
        <v>50</v>
      </c>
      <c r="Z232">
        <v>50</v>
      </c>
      <c r="AA232">
        <v>50</v>
      </c>
      <c r="AB232">
        <v>50</v>
      </c>
      <c r="AC232">
        <v>50</v>
      </c>
      <c r="AD232">
        <v>50</v>
      </c>
      <c r="AE232">
        <v>50</v>
      </c>
      <c r="AF232">
        <v>50</v>
      </c>
      <c r="AG232">
        <v>50</v>
      </c>
      <c r="AH232">
        <v>50</v>
      </c>
      <c r="AI232">
        <v>50</v>
      </c>
      <c r="AJ232">
        <v>50</v>
      </c>
      <c r="AK232">
        <v>50</v>
      </c>
      <c r="AL232">
        <v>50</v>
      </c>
      <c r="AM232">
        <v>50</v>
      </c>
      <c r="AN232">
        <v>50</v>
      </c>
      <c r="AO232">
        <v>50</v>
      </c>
      <c r="AP232">
        <v>50</v>
      </c>
      <c r="AQ232">
        <v>50</v>
      </c>
      <c r="AR232">
        <v>50</v>
      </c>
      <c r="AS232">
        <v>50</v>
      </c>
      <c r="AT232">
        <v>50</v>
      </c>
      <c r="AU232">
        <v>50</v>
      </c>
      <c r="AV232">
        <v>50</v>
      </c>
      <c r="AW232">
        <v>50</v>
      </c>
      <c r="AX232">
        <v>50</v>
      </c>
      <c r="AY232">
        <v>50</v>
      </c>
      <c r="AZ232">
        <v>50</v>
      </c>
      <c r="BA232">
        <v>50</v>
      </c>
      <c r="BB232">
        <v>50</v>
      </c>
      <c r="BC232">
        <v>50</v>
      </c>
      <c r="BD232">
        <v>50</v>
      </c>
      <c r="BE232">
        <v>50</v>
      </c>
      <c r="BF232">
        <v>50</v>
      </c>
      <c r="BG232">
        <v>50</v>
      </c>
      <c r="BH232">
        <v>50</v>
      </c>
      <c r="BI232">
        <v>50</v>
      </c>
      <c r="BJ232">
        <v>50</v>
      </c>
      <c r="BK232">
        <v>50</v>
      </c>
      <c r="BL232">
        <v>50</v>
      </c>
      <c r="BM232">
        <v>50</v>
      </c>
      <c r="BN232">
        <v>50</v>
      </c>
      <c r="BO232">
        <v>50</v>
      </c>
      <c r="BP232">
        <v>50</v>
      </c>
      <c r="BQ232">
        <v>50</v>
      </c>
      <c r="BR232">
        <v>50</v>
      </c>
      <c r="BS232">
        <v>50</v>
      </c>
      <c r="BT232">
        <v>50</v>
      </c>
      <c r="BU232">
        <v>50</v>
      </c>
      <c r="BV232">
        <v>50</v>
      </c>
      <c r="BW232">
        <v>50</v>
      </c>
      <c r="BX232">
        <v>50</v>
      </c>
      <c r="BY232">
        <v>50</v>
      </c>
      <c r="BZ232">
        <v>50</v>
      </c>
      <c r="CA232">
        <v>50</v>
      </c>
      <c r="CB232">
        <v>50</v>
      </c>
      <c r="CC232">
        <v>50</v>
      </c>
      <c r="CD232">
        <v>50</v>
      </c>
    </row>
    <row r="233" spans="1:82" x14ac:dyDescent="0.3">
      <c r="A233">
        <v>999</v>
      </c>
      <c r="B233" t="s">
        <v>278</v>
      </c>
      <c r="D233">
        <v>50254</v>
      </c>
      <c r="E233">
        <v>50255</v>
      </c>
      <c r="F233">
        <v>50256</v>
      </c>
      <c r="G233">
        <v>50558</v>
      </c>
      <c r="H233">
        <v>50566</v>
      </c>
      <c r="I233">
        <v>50562</v>
      </c>
      <c r="J233">
        <v>50257</v>
      </c>
      <c r="K233">
        <v>50555</v>
      </c>
      <c r="L233">
        <v>50445</v>
      </c>
      <c r="M233">
        <v>50452</v>
      </c>
      <c r="N233">
        <v>50563</v>
      </c>
      <c r="O233">
        <v>50258</v>
      </c>
      <c r="P233">
        <v>50523</v>
      </c>
      <c r="Q233">
        <v>50259</v>
      </c>
      <c r="R233">
        <v>50260</v>
      </c>
      <c r="S233">
        <v>50487</v>
      </c>
      <c r="T233">
        <v>50261</v>
      </c>
      <c r="U233">
        <v>50262</v>
      </c>
      <c r="V233">
        <v>50263</v>
      </c>
      <c r="W233">
        <v>50264</v>
      </c>
      <c r="X233">
        <v>50265</v>
      </c>
      <c r="Y233">
        <v>50266</v>
      </c>
      <c r="Z233">
        <v>50267</v>
      </c>
      <c r="AA233">
        <v>50268</v>
      </c>
      <c r="AB233">
        <v>50269</v>
      </c>
      <c r="AC233">
        <v>50270</v>
      </c>
      <c r="AD233">
        <v>50271</v>
      </c>
      <c r="AE233">
        <v>50272</v>
      </c>
      <c r="AF233">
        <v>50273</v>
      </c>
      <c r="AG233">
        <v>50274</v>
      </c>
      <c r="AH233">
        <v>50480</v>
      </c>
      <c r="AI233">
        <v>50275</v>
      </c>
      <c r="AJ233">
        <v>50277</v>
      </c>
      <c r="AK233">
        <v>50276</v>
      </c>
      <c r="AL233">
        <v>50278</v>
      </c>
      <c r="AM233">
        <v>50279</v>
      </c>
      <c r="AN233">
        <v>50280</v>
      </c>
      <c r="AO233">
        <v>50281</v>
      </c>
      <c r="AP233">
        <v>50478</v>
      </c>
      <c r="AQ233">
        <v>50524</v>
      </c>
      <c r="AR233">
        <v>50282</v>
      </c>
      <c r="AS233">
        <v>50525</v>
      </c>
      <c r="AT233">
        <v>50283</v>
      </c>
      <c r="AU233">
        <v>50285</v>
      </c>
      <c r="AV233">
        <v>50553</v>
      </c>
      <c r="AW233">
        <v>50548</v>
      </c>
      <c r="AX233">
        <v>50284</v>
      </c>
      <c r="AY233">
        <v>50286</v>
      </c>
      <c r="AZ233">
        <v>50287</v>
      </c>
      <c r="BA233">
        <v>50288</v>
      </c>
      <c r="BB233">
        <v>50290</v>
      </c>
      <c r="BC233">
        <v>50564</v>
      </c>
      <c r="BD233">
        <v>50289</v>
      </c>
      <c r="BE233">
        <v>50291</v>
      </c>
      <c r="BF233">
        <v>50292</v>
      </c>
      <c r="BG233">
        <v>50293</v>
      </c>
      <c r="BH233">
        <v>50463</v>
      </c>
      <c r="BI233">
        <v>50294</v>
      </c>
      <c r="BJ233">
        <v>50538</v>
      </c>
      <c r="BK233">
        <v>50295</v>
      </c>
      <c r="BL233">
        <v>50296</v>
      </c>
      <c r="BM233">
        <v>50297</v>
      </c>
      <c r="BN233">
        <v>50449</v>
      </c>
      <c r="BO233">
        <v>50300</v>
      </c>
      <c r="BP233">
        <v>50298</v>
      </c>
      <c r="BQ233">
        <v>50299</v>
      </c>
      <c r="BR233">
        <v>50301</v>
      </c>
      <c r="BS233">
        <v>50302</v>
      </c>
      <c r="BT233">
        <v>50303</v>
      </c>
      <c r="BU233">
        <v>50304</v>
      </c>
      <c r="BV233">
        <v>50540</v>
      </c>
      <c r="BW233">
        <v>50305</v>
      </c>
      <c r="BX233">
        <v>50306</v>
      </c>
      <c r="BY233">
        <v>50479</v>
      </c>
      <c r="BZ233">
        <v>50307</v>
      </c>
      <c r="CA233">
        <v>50308</v>
      </c>
      <c r="CB233">
        <v>50309</v>
      </c>
      <c r="CC233">
        <v>50310</v>
      </c>
      <c r="CD233">
        <v>50311</v>
      </c>
    </row>
    <row r="234" spans="1:82" x14ac:dyDescent="0.3">
      <c r="A234">
        <v>1050</v>
      </c>
      <c r="B234" t="s">
        <v>1435</v>
      </c>
      <c r="E234">
        <v>4798</v>
      </c>
      <c r="G234">
        <v>15175</v>
      </c>
      <c r="H234">
        <v>0</v>
      </c>
      <c r="I234">
        <v>0</v>
      </c>
      <c r="J234">
        <v>0</v>
      </c>
      <c r="K234">
        <v>0</v>
      </c>
      <c r="L234">
        <v>21445</v>
      </c>
      <c r="M234">
        <v>333707</v>
      </c>
      <c r="N234">
        <v>169</v>
      </c>
      <c r="O234">
        <v>34925</v>
      </c>
      <c r="P234">
        <v>0</v>
      </c>
      <c r="Q234">
        <v>340104</v>
      </c>
      <c r="R234">
        <v>196907</v>
      </c>
      <c r="S234">
        <v>0</v>
      </c>
      <c r="T234">
        <v>0</v>
      </c>
      <c r="U234">
        <v>0</v>
      </c>
      <c r="V234">
        <v>455498</v>
      </c>
      <c r="W234">
        <v>783018</v>
      </c>
      <c r="Y234">
        <v>307458</v>
      </c>
      <c r="Z234">
        <v>50000</v>
      </c>
      <c r="AA234">
        <v>74547</v>
      </c>
      <c r="AB234">
        <v>0</v>
      </c>
      <c r="AC234">
        <v>56163</v>
      </c>
      <c r="AD234">
        <v>118433</v>
      </c>
      <c r="AE234">
        <v>41172</v>
      </c>
      <c r="AF234">
        <v>350519</v>
      </c>
      <c r="AG234">
        <v>0</v>
      </c>
      <c r="AH234">
        <v>37890</v>
      </c>
      <c r="AI234">
        <v>1105565</v>
      </c>
      <c r="AJ234">
        <v>10200</v>
      </c>
      <c r="AM234">
        <v>413629</v>
      </c>
      <c r="AN234">
        <v>340</v>
      </c>
      <c r="AO234">
        <v>15920</v>
      </c>
      <c r="AP234">
        <v>0</v>
      </c>
      <c r="AQ234">
        <v>16330</v>
      </c>
      <c r="AR234">
        <v>0</v>
      </c>
      <c r="AS234">
        <v>26169</v>
      </c>
      <c r="AT234">
        <v>257035</v>
      </c>
      <c r="AU234">
        <v>32468</v>
      </c>
      <c r="AV234">
        <v>206712</v>
      </c>
      <c r="AW234">
        <v>0</v>
      </c>
      <c r="AX234">
        <v>82261</v>
      </c>
      <c r="AY234">
        <v>97830</v>
      </c>
      <c r="AZ234">
        <v>53200</v>
      </c>
      <c r="BA234">
        <v>0</v>
      </c>
      <c r="BB234">
        <v>0</v>
      </c>
      <c r="BC234">
        <v>0</v>
      </c>
      <c r="BD234">
        <v>252543</v>
      </c>
      <c r="BE234">
        <v>0</v>
      </c>
      <c r="BF234">
        <v>9545</v>
      </c>
      <c r="BG234">
        <v>4903</v>
      </c>
      <c r="BH234">
        <v>0</v>
      </c>
      <c r="BI234">
        <v>62713</v>
      </c>
      <c r="BJ234">
        <v>28625</v>
      </c>
      <c r="BK234">
        <v>41927</v>
      </c>
      <c r="BN234">
        <v>62430</v>
      </c>
      <c r="BO234">
        <v>0</v>
      </c>
      <c r="BP234">
        <v>86009</v>
      </c>
      <c r="BQ234">
        <v>1430291</v>
      </c>
      <c r="BR234">
        <v>6873</v>
      </c>
      <c r="BS234">
        <v>380469</v>
      </c>
      <c r="BT234">
        <v>80927</v>
      </c>
      <c r="BU234">
        <v>144359</v>
      </c>
      <c r="BV234">
        <v>0</v>
      </c>
      <c r="BW234">
        <v>121255</v>
      </c>
      <c r="BX234">
        <v>66990</v>
      </c>
      <c r="BY234">
        <v>25380</v>
      </c>
      <c r="BZ234">
        <v>12082</v>
      </c>
      <c r="CA234">
        <v>9247</v>
      </c>
      <c r="CB234">
        <v>95020</v>
      </c>
      <c r="CD234">
        <v>0</v>
      </c>
    </row>
    <row r="235" spans="1:82" x14ac:dyDescent="0.3">
      <c r="A235">
        <v>1051</v>
      </c>
      <c r="B235" t="s">
        <v>1644</v>
      </c>
      <c r="E235">
        <v>0</v>
      </c>
      <c r="G235">
        <v>0</v>
      </c>
      <c r="H235">
        <v>0</v>
      </c>
      <c r="I235">
        <v>0</v>
      </c>
      <c r="J235">
        <v>0</v>
      </c>
      <c r="K235">
        <v>0</v>
      </c>
      <c r="L235">
        <v>0</v>
      </c>
      <c r="M235">
        <v>0</v>
      </c>
      <c r="N235">
        <v>0</v>
      </c>
      <c r="O235">
        <v>0</v>
      </c>
      <c r="P235">
        <v>0</v>
      </c>
      <c r="Q235">
        <v>3675000</v>
      </c>
      <c r="R235">
        <v>0</v>
      </c>
      <c r="S235">
        <v>0</v>
      </c>
      <c r="T235">
        <v>0</v>
      </c>
      <c r="U235">
        <v>0</v>
      </c>
      <c r="V235">
        <v>0</v>
      </c>
      <c r="W235">
        <v>0</v>
      </c>
      <c r="Y235">
        <v>0</v>
      </c>
      <c r="Z235">
        <v>0</v>
      </c>
      <c r="AA235">
        <v>0</v>
      </c>
      <c r="AB235">
        <v>0</v>
      </c>
      <c r="AC235">
        <v>0</v>
      </c>
      <c r="AD235">
        <v>0</v>
      </c>
      <c r="AE235">
        <v>0</v>
      </c>
      <c r="AF235">
        <v>0</v>
      </c>
      <c r="AG235">
        <v>0</v>
      </c>
      <c r="AH235">
        <v>0</v>
      </c>
      <c r="AI235">
        <v>0</v>
      </c>
      <c r="AJ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N235">
        <v>0</v>
      </c>
      <c r="BO235">
        <v>0</v>
      </c>
      <c r="BP235">
        <v>0</v>
      </c>
      <c r="BQ235">
        <v>0</v>
      </c>
      <c r="BR235">
        <v>0</v>
      </c>
      <c r="BS235">
        <v>0</v>
      </c>
      <c r="BT235">
        <v>0</v>
      </c>
      <c r="BU235">
        <v>0</v>
      </c>
      <c r="BV235">
        <v>0</v>
      </c>
      <c r="BW235">
        <v>0</v>
      </c>
      <c r="BX235">
        <v>0</v>
      </c>
      <c r="BY235">
        <v>0</v>
      </c>
      <c r="BZ235">
        <v>0</v>
      </c>
      <c r="CA235">
        <v>0</v>
      </c>
      <c r="CB235">
        <v>0</v>
      </c>
      <c r="CD235">
        <v>0</v>
      </c>
    </row>
    <row r="236" spans="1:82" x14ac:dyDescent="0.3">
      <c r="A236">
        <v>1052</v>
      </c>
      <c r="B236" t="s">
        <v>1645</v>
      </c>
      <c r="E236">
        <v>0</v>
      </c>
      <c r="G236">
        <v>0</v>
      </c>
      <c r="H236">
        <v>0</v>
      </c>
      <c r="I236">
        <v>0</v>
      </c>
      <c r="J236">
        <v>0</v>
      </c>
      <c r="K236">
        <v>0</v>
      </c>
      <c r="L236">
        <v>0</v>
      </c>
      <c r="M236">
        <v>0</v>
      </c>
      <c r="N236">
        <v>0</v>
      </c>
      <c r="O236">
        <v>0</v>
      </c>
      <c r="P236">
        <v>0</v>
      </c>
      <c r="Q236">
        <v>-1325963</v>
      </c>
      <c r="R236">
        <v>0</v>
      </c>
      <c r="S236">
        <v>0</v>
      </c>
      <c r="T236">
        <v>0</v>
      </c>
      <c r="U236">
        <v>0</v>
      </c>
      <c r="V236">
        <v>0</v>
      </c>
      <c r="W236">
        <v>0</v>
      </c>
      <c r="Y236">
        <v>0</v>
      </c>
      <c r="Z236">
        <v>0</v>
      </c>
      <c r="AA236">
        <v>0</v>
      </c>
      <c r="AB236">
        <v>0</v>
      </c>
      <c r="AC236">
        <v>0</v>
      </c>
      <c r="AD236">
        <v>0</v>
      </c>
      <c r="AE236">
        <v>0</v>
      </c>
      <c r="AF236">
        <v>-69199</v>
      </c>
      <c r="AG236">
        <v>0</v>
      </c>
      <c r="AH236">
        <v>0</v>
      </c>
      <c r="AI236">
        <v>0</v>
      </c>
      <c r="AJ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N236">
        <v>0</v>
      </c>
      <c r="BO236">
        <v>0</v>
      </c>
      <c r="BP236">
        <v>0</v>
      </c>
      <c r="BQ236">
        <v>0</v>
      </c>
      <c r="BR236">
        <v>0</v>
      </c>
      <c r="BS236">
        <v>0</v>
      </c>
      <c r="BT236">
        <v>0</v>
      </c>
      <c r="BU236">
        <v>0</v>
      </c>
      <c r="BV236">
        <v>0</v>
      </c>
      <c r="BW236">
        <v>0</v>
      </c>
      <c r="BX236">
        <v>0</v>
      </c>
      <c r="BY236">
        <v>0</v>
      </c>
      <c r="BZ236">
        <v>0</v>
      </c>
      <c r="CA236">
        <v>0</v>
      </c>
      <c r="CB236">
        <v>0</v>
      </c>
      <c r="CD236">
        <v>0</v>
      </c>
    </row>
    <row r="237" spans="1:82" x14ac:dyDescent="0.3">
      <c r="A237">
        <v>1053</v>
      </c>
      <c r="B237" t="s">
        <v>1646</v>
      </c>
      <c r="E237">
        <v>0</v>
      </c>
      <c r="G237">
        <v>0</v>
      </c>
      <c r="H237">
        <v>0</v>
      </c>
      <c r="I237">
        <v>0</v>
      </c>
      <c r="J237">
        <v>0</v>
      </c>
      <c r="K237">
        <v>0</v>
      </c>
      <c r="L237">
        <v>0</v>
      </c>
      <c r="M237">
        <v>0</v>
      </c>
      <c r="N237">
        <v>0</v>
      </c>
      <c r="O237">
        <v>0</v>
      </c>
      <c r="P237">
        <v>0</v>
      </c>
      <c r="Q237">
        <v>-1042517</v>
      </c>
      <c r="R237">
        <v>0</v>
      </c>
      <c r="S237">
        <v>0</v>
      </c>
      <c r="T237">
        <v>0</v>
      </c>
      <c r="U237">
        <v>0</v>
      </c>
      <c r="V237">
        <v>0</v>
      </c>
      <c r="W237">
        <v>0</v>
      </c>
      <c r="Y237">
        <v>0</v>
      </c>
      <c r="Z237">
        <v>0</v>
      </c>
      <c r="AA237">
        <v>0</v>
      </c>
      <c r="AB237">
        <v>0</v>
      </c>
      <c r="AC237">
        <v>0</v>
      </c>
      <c r="AD237">
        <v>0</v>
      </c>
      <c r="AE237">
        <v>0</v>
      </c>
      <c r="AF237">
        <v>-70782</v>
      </c>
      <c r="AG237">
        <v>0</v>
      </c>
      <c r="AH237">
        <v>0</v>
      </c>
      <c r="AI237">
        <v>0</v>
      </c>
      <c r="AJ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N237">
        <v>0</v>
      </c>
      <c r="BO237">
        <v>0</v>
      </c>
      <c r="BP237">
        <v>0</v>
      </c>
      <c r="BQ237">
        <v>0</v>
      </c>
      <c r="BR237">
        <v>0</v>
      </c>
      <c r="BS237">
        <v>0</v>
      </c>
      <c r="BT237">
        <v>0</v>
      </c>
      <c r="BU237">
        <v>0</v>
      </c>
      <c r="BV237">
        <v>0</v>
      </c>
      <c r="BW237">
        <v>0</v>
      </c>
      <c r="BX237">
        <v>0</v>
      </c>
      <c r="BY237">
        <v>0</v>
      </c>
      <c r="BZ237">
        <v>0</v>
      </c>
      <c r="CA237">
        <v>0</v>
      </c>
      <c r="CB237">
        <v>0</v>
      </c>
      <c r="CD237">
        <v>0</v>
      </c>
    </row>
    <row r="238" spans="1:82" x14ac:dyDescent="0.3">
      <c r="A238">
        <v>1054</v>
      </c>
      <c r="B238" t="s">
        <v>1647</v>
      </c>
      <c r="E238">
        <v>0</v>
      </c>
      <c r="G238">
        <v>0</v>
      </c>
      <c r="H238">
        <v>0</v>
      </c>
      <c r="I238">
        <v>0</v>
      </c>
      <c r="J238">
        <v>0</v>
      </c>
      <c r="K238">
        <v>0</v>
      </c>
      <c r="L238">
        <v>0</v>
      </c>
      <c r="M238">
        <v>0</v>
      </c>
      <c r="N238">
        <v>0</v>
      </c>
      <c r="O238">
        <v>0</v>
      </c>
      <c r="P238">
        <v>0</v>
      </c>
      <c r="Q238">
        <v>-1681973</v>
      </c>
      <c r="R238">
        <v>0</v>
      </c>
      <c r="S238">
        <v>0</v>
      </c>
      <c r="T238">
        <v>0</v>
      </c>
      <c r="U238">
        <v>0</v>
      </c>
      <c r="V238">
        <v>0</v>
      </c>
      <c r="W238">
        <v>0</v>
      </c>
      <c r="Y238">
        <v>0</v>
      </c>
      <c r="Z238">
        <v>0</v>
      </c>
      <c r="AA238">
        <v>0</v>
      </c>
      <c r="AB238">
        <v>0</v>
      </c>
      <c r="AC238">
        <v>0</v>
      </c>
      <c r="AD238">
        <v>0</v>
      </c>
      <c r="AE238">
        <v>0</v>
      </c>
      <c r="AF238">
        <v>0</v>
      </c>
      <c r="AG238">
        <v>0</v>
      </c>
      <c r="AH238">
        <v>0</v>
      </c>
      <c r="AI238">
        <v>0</v>
      </c>
      <c r="AJ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N238">
        <v>0</v>
      </c>
      <c r="BO238">
        <v>0</v>
      </c>
      <c r="BP238">
        <v>0</v>
      </c>
      <c r="BQ238">
        <v>0</v>
      </c>
      <c r="BR238">
        <v>0</v>
      </c>
      <c r="BS238">
        <v>0</v>
      </c>
      <c r="BT238">
        <v>0</v>
      </c>
      <c r="BU238">
        <v>0</v>
      </c>
      <c r="BV238">
        <v>0</v>
      </c>
      <c r="BW238">
        <v>0</v>
      </c>
      <c r="BX238">
        <v>0</v>
      </c>
      <c r="BY238">
        <v>0</v>
      </c>
      <c r="BZ238">
        <v>0</v>
      </c>
      <c r="CA238">
        <v>0</v>
      </c>
      <c r="CB238">
        <v>0</v>
      </c>
      <c r="CD238">
        <v>0</v>
      </c>
    </row>
    <row r="239" spans="1:82" x14ac:dyDescent="0.3">
      <c r="A239">
        <v>1055</v>
      </c>
      <c r="B239" t="s">
        <v>1648</v>
      </c>
      <c r="E239">
        <v>2</v>
      </c>
      <c r="G239">
        <v>2</v>
      </c>
      <c r="H239">
        <v>2</v>
      </c>
      <c r="I239">
        <v>2</v>
      </c>
      <c r="J239">
        <v>2</v>
      </c>
      <c r="K239">
        <v>2</v>
      </c>
      <c r="L239">
        <v>2</v>
      </c>
      <c r="M239">
        <v>2</v>
      </c>
      <c r="N239">
        <v>2</v>
      </c>
      <c r="O239">
        <v>2</v>
      </c>
      <c r="P239">
        <v>2</v>
      </c>
      <c r="Q239">
        <v>2</v>
      </c>
      <c r="R239">
        <v>2</v>
      </c>
      <c r="S239">
        <v>2</v>
      </c>
      <c r="T239">
        <v>2</v>
      </c>
      <c r="U239">
        <v>2</v>
      </c>
      <c r="V239">
        <v>2</v>
      </c>
      <c r="W239">
        <v>2</v>
      </c>
      <c r="Y239">
        <v>2</v>
      </c>
      <c r="Z239">
        <v>2</v>
      </c>
      <c r="AA239">
        <v>2</v>
      </c>
      <c r="AB239">
        <v>1</v>
      </c>
      <c r="AC239">
        <v>2</v>
      </c>
      <c r="AD239">
        <v>2</v>
      </c>
      <c r="AE239">
        <v>2</v>
      </c>
      <c r="AF239">
        <v>2</v>
      </c>
      <c r="AG239">
        <v>1</v>
      </c>
      <c r="AH239">
        <v>2</v>
      </c>
      <c r="AI239">
        <v>2</v>
      </c>
      <c r="AJ239">
        <v>2</v>
      </c>
      <c r="AM239">
        <v>2</v>
      </c>
      <c r="AN239">
        <v>2</v>
      </c>
      <c r="AO239">
        <v>2</v>
      </c>
      <c r="AP239">
        <v>2</v>
      </c>
      <c r="AQ239">
        <v>2</v>
      </c>
      <c r="AR239">
        <v>2</v>
      </c>
      <c r="AS239">
        <v>2</v>
      </c>
      <c r="AT239">
        <v>1</v>
      </c>
      <c r="AU239">
        <v>2</v>
      </c>
      <c r="AV239">
        <v>2</v>
      </c>
      <c r="AW239">
        <v>2</v>
      </c>
      <c r="AX239">
        <v>2</v>
      </c>
      <c r="AY239">
        <v>2</v>
      </c>
      <c r="AZ239">
        <v>2</v>
      </c>
      <c r="BA239">
        <v>2</v>
      </c>
      <c r="BB239">
        <v>2</v>
      </c>
      <c r="BC239">
        <v>2</v>
      </c>
      <c r="BD239">
        <v>2</v>
      </c>
      <c r="BE239">
        <v>2</v>
      </c>
      <c r="BF239">
        <v>2</v>
      </c>
      <c r="BG239">
        <v>2</v>
      </c>
      <c r="BH239">
        <v>2</v>
      </c>
      <c r="BI239">
        <v>2</v>
      </c>
      <c r="BJ239">
        <v>2</v>
      </c>
      <c r="BK239">
        <v>2</v>
      </c>
      <c r="BN239">
        <v>2</v>
      </c>
      <c r="BO239">
        <v>2</v>
      </c>
      <c r="BP239">
        <v>2</v>
      </c>
      <c r="BQ239">
        <v>2</v>
      </c>
      <c r="BR239">
        <v>2</v>
      </c>
      <c r="BS239">
        <v>2</v>
      </c>
      <c r="BT239">
        <v>1</v>
      </c>
      <c r="BU239">
        <v>2</v>
      </c>
      <c r="BV239">
        <v>2</v>
      </c>
      <c r="BW239">
        <v>2</v>
      </c>
      <c r="BX239">
        <v>2</v>
      </c>
      <c r="BY239">
        <v>2</v>
      </c>
      <c r="BZ239">
        <v>2</v>
      </c>
      <c r="CA239">
        <v>1</v>
      </c>
      <c r="CB239">
        <v>1</v>
      </c>
      <c r="CD239">
        <v>2</v>
      </c>
    </row>
    <row r="240" spans="1:82" x14ac:dyDescent="0.3">
      <c r="A240">
        <v>1056</v>
      </c>
      <c r="B240" t="s">
        <v>1649</v>
      </c>
      <c r="E240">
        <v>2</v>
      </c>
      <c r="G240">
        <v>2</v>
      </c>
      <c r="H240">
        <v>2</v>
      </c>
      <c r="I240">
        <v>2</v>
      </c>
      <c r="J240">
        <v>2</v>
      </c>
      <c r="K240">
        <v>2</v>
      </c>
      <c r="L240">
        <v>2</v>
      </c>
      <c r="M240">
        <v>2</v>
      </c>
      <c r="N240">
        <v>2</v>
      </c>
      <c r="O240">
        <v>2</v>
      </c>
      <c r="P240">
        <v>2</v>
      </c>
      <c r="Q240">
        <v>2</v>
      </c>
      <c r="R240">
        <v>2</v>
      </c>
      <c r="S240">
        <v>2</v>
      </c>
      <c r="T240">
        <v>2</v>
      </c>
      <c r="U240">
        <v>2</v>
      </c>
      <c r="V240">
        <v>2</v>
      </c>
      <c r="W240">
        <v>2</v>
      </c>
      <c r="Y240">
        <v>2</v>
      </c>
      <c r="Z240">
        <v>2</v>
      </c>
      <c r="AA240">
        <v>2</v>
      </c>
      <c r="AB240">
        <v>1</v>
      </c>
      <c r="AC240">
        <v>2</v>
      </c>
      <c r="AD240">
        <v>2</v>
      </c>
      <c r="AE240">
        <v>2</v>
      </c>
      <c r="AF240">
        <v>2</v>
      </c>
      <c r="AG240">
        <v>1</v>
      </c>
      <c r="AH240">
        <v>2</v>
      </c>
      <c r="AI240">
        <v>2</v>
      </c>
      <c r="AJ240">
        <v>2</v>
      </c>
      <c r="AM240">
        <v>2</v>
      </c>
      <c r="AN240">
        <v>2</v>
      </c>
      <c r="AO240">
        <v>1</v>
      </c>
      <c r="AP240">
        <v>2</v>
      </c>
      <c r="AQ240">
        <v>2</v>
      </c>
      <c r="AR240">
        <v>2</v>
      </c>
      <c r="AS240">
        <v>2</v>
      </c>
      <c r="AT240">
        <v>1</v>
      </c>
      <c r="AU240">
        <v>2</v>
      </c>
      <c r="AV240">
        <v>2</v>
      </c>
      <c r="AW240">
        <v>2</v>
      </c>
      <c r="AX240">
        <v>2</v>
      </c>
      <c r="AY240">
        <v>2</v>
      </c>
      <c r="AZ240">
        <v>2</v>
      </c>
      <c r="BA240">
        <v>2</v>
      </c>
      <c r="BB240">
        <v>2</v>
      </c>
      <c r="BC240">
        <v>2</v>
      </c>
      <c r="BD240">
        <v>1</v>
      </c>
      <c r="BE240">
        <v>2</v>
      </c>
      <c r="BF240">
        <v>2</v>
      </c>
      <c r="BG240">
        <v>2</v>
      </c>
      <c r="BH240">
        <v>2</v>
      </c>
      <c r="BI240">
        <v>2</v>
      </c>
      <c r="BJ240">
        <v>2</v>
      </c>
      <c r="BK240">
        <v>2</v>
      </c>
      <c r="BN240">
        <v>2</v>
      </c>
      <c r="BO240">
        <v>1</v>
      </c>
      <c r="BP240">
        <v>2</v>
      </c>
      <c r="BQ240">
        <v>2</v>
      </c>
      <c r="BR240">
        <v>2</v>
      </c>
      <c r="BS240">
        <v>2</v>
      </c>
      <c r="BT240">
        <v>2</v>
      </c>
      <c r="BU240">
        <v>2</v>
      </c>
      <c r="BV240">
        <v>2</v>
      </c>
      <c r="BW240">
        <v>2</v>
      </c>
      <c r="BX240">
        <v>2</v>
      </c>
      <c r="BY240">
        <v>2</v>
      </c>
      <c r="BZ240">
        <v>2</v>
      </c>
      <c r="CA240">
        <v>1</v>
      </c>
      <c r="CB240">
        <v>2</v>
      </c>
      <c r="CD240">
        <v>2</v>
      </c>
    </row>
    <row r="241" spans="1:82" x14ac:dyDescent="0.3">
      <c r="A241">
        <v>1057</v>
      </c>
      <c r="B241" t="s">
        <v>1895</v>
      </c>
      <c r="E241">
        <v>2</v>
      </c>
      <c r="G241">
        <v>2</v>
      </c>
      <c r="H241">
        <v>2</v>
      </c>
      <c r="I241">
        <v>1</v>
      </c>
      <c r="J241">
        <v>2</v>
      </c>
      <c r="K241">
        <v>2</v>
      </c>
      <c r="L241">
        <v>2</v>
      </c>
      <c r="M241">
        <v>2</v>
      </c>
      <c r="N241">
        <v>2</v>
      </c>
      <c r="O241">
        <v>2</v>
      </c>
      <c r="P241">
        <v>1</v>
      </c>
      <c r="Q241">
        <v>1</v>
      </c>
      <c r="R241">
        <v>2</v>
      </c>
      <c r="S241">
        <v>1</v>
      </c>
      <c r="T241">
        <v>2</v>
      </c>
      <c r="U241">
        <v>2</v>
      </c>
      <c r="V241">
        <v>2</v>
      </c>
      <c r="W241">
        <v>2</v>
      </c>
      <c r="Y241">
        <v>2</v>
      </c>
      <c r="Z241">
        <v>1</v>
      </c>
      <c r="AA241">
        <v>2</v>
      </c>
      <c r="AB241">
        <v>1</v>
      </c>
      <c r="AC241">
        <v>2</v>
      </c>
      <c r="AD241">
        <v>2</v>
      </c>
      <c r="AE241">
        <v>2</v>
      </c>
      <c r="AF241">
        <v>1</v>
      </c>
      <c r="AG241">
        <v>2</v>
      </c>
      <c r="AH241">
        <v>2</v>
      </c>
      <c r="AI241">
        <v>2</v>
      </c>
      <c r="AJ241">
        <v>2</v>
      </c>
      <c r="AM241">
        <v>1</v>
      </c>
      <c r="AN241">
        <v>2</v>
      </c>
      <c r="AO241">
        <v>2</v>
      </c>
      <c r="AP241">
        <v>2</v>
      </c>
      <c r="AQ241">
        <v>1</v>
      </c>
      <c r="AR241">
        <v>2</v>
      </c>
      <c r="AS241">
        <v>2</v>
      </c>
      <c r="AT241">
        <v>1</v>
      </c>
      <c r="AU241">
        <v>2</v>
      </c>
      <c r="AV241">
        <v>1</v>
      </c>
      <c r="AW241">
        <v>2</v>
      </c>
      <c r="AX241">
        <v>1</v>
      </c>
      <c r="AY241">
        <v>2</v>
      </c>
      <c r="AZ241">
        <v>2</v>
      </c>
      <c r="BA241">
        <v>2</v>
      </c>
      <c r="BB241">
        <v>2</v>
      </c>
      <c r="BC241">
        <v>2</v>
      </c>
      <c r="BD241">
        <v>2</v>
      </c>
      <c r="BE241">
        <v>2</v>
      </c>
      <c r="BF241">
        <v>1</v>
      </c>
      <c r="BG241">
        <v>1</v>
      </c>
      <c r="BH241">
        <v>2</v>
      </c>
      <c r="BI241">
        <v>1</v>
      </c>
      <c r="BJ241">
        <v>1</v>
      </c>
      <c r="BK241">
        <v>2</v>
      </c>
      <c r="BN241">
        <v>2</v>
      </c>
      <c r="BO241">
        <v>2</v>
      </c>
      <c r="BP241">
        <v>1</v>
      </c>
      <c r="BQ241">
        <v>2</v>
      </c>
      <c r="BR241">
        <v>2</v>
      </c>
      <c r="BS241">
        <v>2</v>
      </c>
      <c r="BT241">
        <v>1</v>
      </c>
      <c r="BU241">
        <v>2</v>
      </c>
      <c r="BV241">
        <v>2</v>
      </c>
      <c r="BW241">
        <v>1</v>
      </c>
      <c r="BX241">
        <v>2</v>
      </c>
      <c r="BY241">
        <v>1</v>
      </c>
      <c r="BZ241">
        <v>2</v>
      </c>
      <c r="CA241">
        <v>1</v>
      </c>
      <c r="CB241">
        <v>1</v>
      </c>
      <c r="CD241">
        <v>2</v>
      </c>
    </row>
    <row r="242" spans="1:82" x14ac:dyDescent="0.3">
      <c r="A242">
        <v>1058</v>
      </c>
      <c r="B242" t="s">
        <v>1443</v>
      </c>
      <c r="E242">
        <v>2</v>
      </c>
      <c r="G242">
        <v>2</v>
      </c>
      <c r="H242">
        <v>2</v>
      </c>
      <c r="I242">
        <v>2</v>
      </c>
      <c r="J242">
        <v>2</v>
      </c>
      <c r="K242">
        <v>2</v>
      </c>
      <c r="L242">
        <v>2</v>
      </c>
      <c r="M242">
        <v>2</v>
      </c>
      <c r="N242">
        <v>2</v>
      </c>
      <c r="O242">
        <v>2</v>
      </c>
      <c r="P242">
        <v>2</v>
      </c>
      <c r="Q242">
        <v>2</v>
      </c>
      <c r="R242">
        <v>2</v>
      </c>
      <c r="S242">
        <v>2</v>
      </c>
      <c r="T242">
        <v>2</v>
      </c>
      <c r="U242">
        <v>2</v>
      </c>
      <c r="V242">
        <v>2</v>
      </c>
      <c r="W242">
        <v>2</v>
      </c>
      <c r="Y242">
        <v>2</v>
      </c>
      <c r="Z242">
        <v>1</v>
      </c>
      <c r="AA242">
        <v>2</v>
      </c>
      <c r="AB242">
        <v>2</v>
      </c>
      <c r="AC242">
        <v>2</v>
      </c>
      <c r="AD242">
        <v>2</v>
      </c>
      <c r="AE242">
        <v>2</v>
      </c>
      <c r="AF242">
        <v>2</v>
      </c>
      <c r="AG242">
        <v>1</v>
      </c>
      <c r="AH242">
        <v>2</v>
      </c>
      <c r="AI242">
        <v>2</v>
      </c>
      <c r="AJ242">
        <v>2</v>
      </c>
      <c r="AM242">
        <v>2</v>
      </c>
      <c r="AN242">
        <v>2</v>
      </c>
      <c r="AO242">
        <v>2</v>
      </c>
      <c r="AP242">
        <v>2</v>
      </c>
      <c r="AQ242">
        <v>2</v>
      </c>
      <c r="AR242">
        <v>2</v>
      </c>
      <c r="AS242">
        <v>2</v>
      </c>
      <c r="AT242">
        <v>2</v>
      </c>
      <c r="AU242">
        <v>2</v>
      </c>
      <c r="AV242">
        <v>2</v>
      </c>
      <c r="AW242">
        <v>2</v>
      </c>
      <c r="AX242">
        <v>2</v>
      </c>
      <c r="AY242">
        <v>2</v>
      </c>
      <c r="AZ242">
        <v>2</v>
      </c>
      <c r="BA242">
        <v>2</v>
      </c>
      <c r="BB242">
        <v>2</v>
      </c>
      <c r="BC242">
        <v>2</v>
      </c>
      <c r="BD242">
        <v>2</v>
      </c>
      <c r="BE242">
        <v>2</v>
      </c>
      <c r="BF242">
        <v>2</v>
      </c>
      <c r="BG242">
        <v>2</v>
      </c>
      <c r="BH242">
        <v>2</v>
      </c>
      <c r="BI242">
        <v>2</v>
      </c>
      <c r="BJ242">
        <v>2</v>
      </c>
      <c r="BK242">
        <v>2</v>
      </c>
      <c r="BN242">
        <v>2</v>
      </c>
      <c r="BO242">
        <v>2</v>
      </c>
      <c r="BP242">
        <v>2</v>
      </c>
      <c r="BQ242">
        <v>2</v>
      </c>
      <c r="BR242">
        <v>2</v>
      </c>
      <c r="BS242">
        <v>2</v>
      </c>
      <c r="BT242">
        <v>1</v>
      </c>
      <c r="BU242">
        <v>2</v>
      </c>
      <c r="BV242">
        <v>2</v>
      </c>
      <c r="BW242">
        <v>2</v>
      </c>
      <c r="BX242">
        <v>2</v>
      </c>
      <c r="BY242">
        <v>1</v>
      </c>
      <c r="BZ242">
        <v>2</v>
      </c>
      <c r="CA242">
        <v>1</v>
      </c>
      <c r="CB242">
        <v>1</v>
      </c>
      <c r="CD242">
        <v>2</v>
      </c>
    </row>
    <row r="243" spans="1:82" x14ac:dyDescent="0.3">
      <c r="A243">
        <v>1059</v>
      </c>
      <c r="B243" t="s">
        <v>1650</v>
      </c>
      <c r="E243">
        <v>1</v>
      </c>
      <c r="G243">
        <v>1</v>
      </c>
      <c r="H243">
        <v>1</v>
      </c>
      <c r="I243">
        <v>1</v>
      </c>
      <c r="J243">
        <v>1</v>
      </c>
      <c r="K243">
        <v>1</v>
      </c>
      <c r="L243">
        <v>1</v>
      </c>
      <c r="M243">
        <v>1</v>
      </c>
      <c r="N243">
        <v>1</v>
      </c>
      <c r="O243">
        <v>1</v>
      </c>
      <c r="P243">
        <v>1</v>
      </c>
      <c r="Q243">
        <v>1</v>
      </c>
      <c r="R243">
        <v>1</v>
      </c>
      <c r="S243">
        <v>1</v>
      </c>
      <c r="T243">
        <v>1</v>
      </c>
      <c r="U243">
        <v>1</v>
      </c>
      <c r="V243">
        <v>1</v>
      </c>
      <c r="W243">
        <v>1</v>
      </c>
      <c r="Y243">
        <v>1</v>
      </c>
      <c r="Z243">
        <v>1</v>
      </c>
      <c r="AA243">
        <v>1</v>
      </c>
      <c r="AB243">
        <v>1</v>
      </c>
      <c r="AC243">
        <v>1</v>
      </c>
      <c r="AD243">
        <v>1</v>
      </c>
      <c r="AE243">
        <v>1</v>
      </c>
      <c r="AF243">
        <v>1</v>
      </c>
      <c r="AG243">
        <v>1</v>
      </c>
      <c r="AH243">
        <v>1</v>
      </c>
      <c r="AI243">
        <v>1</v>
      </c>
      <c r="AJ243">
        <v>1</v>
      </c>
      <c r="AM243">
        <v>1</v>
      </c>
      <c r="AN243">
        <v>1</v>
      </c>
      <c r="AO243">
        <v>1</v>
      </c>
      <c r="AP243">
        <v>1</v>
      </c>
      <c r="AQ243">
        <v>1</v>
      </c>
      <c r="AR243">
        <v>1</v>
      </c>
      <c r="AS243">
        <v>1</v>
      </c>
      <c r="AT243">
        <v>1</v>
      </c>
      <c r="AU243">
        <v>1</v>
      </c>
      <c r="AV243">
        <v>1</v>
      </c>
      <c r="AW243">
        <v>1</v>
      </c>
      <c r="AX243">
        <v>1</v>
      </c>
      <c r="AY243">
        <v>1</v>
      </c>
      <c r="AZ243">
        <v>1</v>
      </c>
      <c r="BA243">
        <v>1</v>
      </c>
      <c r="BB243">
        <v>1</v>
      </c>
      <c r="BC243">
        <v>1</v>
      </c>
      <c r="BD243">
        <v>1</v>
      </c>
      <c r="BE243">
        <v>1</v>
      </c>
      <c r="BF243">
        <v>1</v>
      </c>
      <c r="BG243">
        <v>1</v>
      </c>
      <c r="BH243">
        <v>1</v>
      </c>
      <c r="BI243">
        <v>1</v>
      </c>
      <c r="BJ243">
        <v>1</v>
      </c>
      <c r="BK243">
        <v>1</v>
      </c>
      <c r="BN243">
        <v>1</v>
      </c>
      <c r="BO243">
        <v>1</v>
      </c>
      <c r="BP243">
        <v>1</v>
      </c>
      <c r="BQ243">
        <v>1</v>
      </c>
      <c r="BR243">
        <v>1</v>
      </c>
      <c r="BS243">
        <v>1</v>
      </c>
      <c r="BT243">
        <v>1</v>
      </c>
      <c r="BU243">
        <v>1</v>
      </c>
      <c r="BV243">
        <v>1</v>
      </c>
      <c r="BW243">
        <v>1</v>
      </c>
      <c r="BX243">
        <v>1</v>
      </c>
      <c r="BY243">
        <v>1</v>
      </c>
      <c r="BZ243">
        <v>1</v>
      </c>
      <c r="CA243">
        <v>1</v>
      </c>
      <c r="CB243">
        <v>1</v>
      </c>
      <c r="CD243">
        <v>1</v>
      </c>
    </row>
    <row r="244" spans="1:82" x14ac:dyDescent="0.3">
      <c r="A244">
        <v>1060</v>
      </c>
      <c r="B244" t="s">
        <v>1651</v>
      </c>
      <c r="E244">
        <v>0</v>
      </c>
      <c r="G244">
        <v>0</v>
      </c>
      <c r="H244">
        <v>1577196</v>
      </c>
      <c r="I244">
        <v>989296</v>
      </c>
      <c r="J244">
        <v>48257</v>
      </c>
      <c r="K244">
        <v>0</v>
      </c>
      <c r="L244">
        <v>64447</v>
      </c>
      <c r="M244">
        <v>3935939</v>
      </c>
      <c r="N244">
        <v>120468</v>
      </c>
      <c r="O244">
        <v>1673799</v>
      </c>
      <c r="P244">
        <v>55470</v>
      </c>
      <c r="Q244">
        <v>10000532</v>
      </c>
      <c r="R244">
        <v>138634</v>
      </c>
      <c r="S244">
        <v>0</v>
      </c>
      <c r="T244">
        <v>10008552</v>
      </c>
      <c r="U244">
        <v>3065550</v>
      </c>
      <c r="V244">
        <v>3527065</v>
      </c>
      <c r="W244">
        <v>2127202</v>
      </c>
      <c r="Y244">
        <v>3253264</v>
      </c>
      <c r="Z244">
        <v>363952</v>
      </c>
      <c r="AA244">
        <v>5181064</v>
      </c>
      <c r="AB244">
        <v>729499</v>
      </c>
      <c r="AC244">
        <v>354073</v>
      </c>
      <c r="AD244">
        <v>298103</v>
      </c>
      <c r="AE244">
        <v>333291</v>
      </c>
      <c r="AF244">
        <v>474062</v>
      </c>
      <c r="AG244">
        <v>1770070</v>
      </c>
      <c r="AH244">
        <v>367458</v>
      </c>
      <c r="AI244">
        <v>6704351</v>
      </c>
      <c r="AJ244">
        <v>115368</v>
      </c>
      <c r="AM244">
        <v>1167927</v>
      </c>
      <c r="AN244">
        <v>153199</v>
      </c>
      <c r="AO244">
        <v>333676</v>
      </c>
      <c r="AP244">
        <v>0</v>
      </c>
      <c r="AQ244">
        <v>36409</v>
      </c>
      <c r="AR244">
        <v>669264</v>
      </c>
      <c r="AS244">
        <v>104720</v>
      </c>
      <c r="AT244">
        <v>633918</v>
      </c>
      <c r="AU244">
        <v>70230</v>
      </c>
      <c r="AV244">
        <v>0</v>
      </c>
      <c r="AW244">
        <v>0</v>
      </c>
      <c r="AX244">
        <v>298675</v>
      </c>
      <c r="AY244">
        <v>211934</v>
      </c>
      <c r="AZ244">
        <v>147238</v>
      </c>
      <c r="BA244">
        <v>115000</v>
      </c>
      <c r="BB244">
        <v>7163</v>
      </c>
      <c r="BC244">
        <v>188350</v>
      </c>
      <c r="BD244">
        <v>0</v>
      </c>
      <c r="BE244">
        <v>0</v>
      </c>
      <c r="BF244">
        <v>58099</v>
      </c>
      <c r="BG244">
        <v>0</v>
      </c>
      <c r="BH244">
        <v>70762</v>
      </c>
      <c r="BI244">
        <v>128116</v>
      </c>
      <c r="BJ244">
        <v>25637</v>
      </c>
      <c r="BK244">
        <v>0</v>
      </c>
      <c r="BN244">
        <v>0</v>
      </c>
      <c r="BO244">
        <v>0</v>
      </c>
      <c r="BP244">
        <v>243110</v>
      </c>
      <c r="BQ244">
        <v>5296752</v>
      </c>
      <c r="BR244">
        <v>393591</v>
      </c>
      <c r="BS244">
        <v>862828</v>
      </c>
      <c r="BT244">
        <v>80790</v>
      </c>
      <c r="BU244">
        <v>0</v>
      </c>
      <c r="BV244">
        <v>16350</v>
      </c>
      <c r="BW244">
        <v>507889</v>
      </c>
      <c r="BX244">
        <v>478178</v>
      </c>
      <c r="BY244">
        <v>21428</v>
      </c>
      <c r="BZ244">
        <v>89554</v>
      </c>
      <c r="CA244">
        <v>77762</v>
      </c>
      <c r="CB244">
        <v>445539</v>
      </c>
      <c r="CD244">
        <v>0</v>
      </c>
    </row>
    <row r="245" spans="1:82" x14ac:dyDescent="0.3">
      <c r="A245">
        <v>1061</v>
      </c>
      <c r="B245" t="s">
        <v>1652</v>
      </c>
      <c r="E245">
        <v>0</v>
      </c>
      <c r="G245">
        <v>849813</v>
      </c>
      <c r="H245">
        <v>0</v>
      </c>
      <c r="I245">
        <v>597675</v>
      </c>
      <c r="J245">
        <v>0</v>
      </c>
      <c r="K245">
        <v>0</v>
      </c>
      <c r="L245">
        <v>0</v>
      </c>
      <c r="M245">
        <v>4608362</v>
      </c>
      <c r="N245">
        <v>0</v>
      </c>
      <c r="O245">
        <v>0</v>
      </c>
      <c r="P245">
        <v>0</v>
      </c>
      <c r="Q245">
        <v>0</v>
      </c>
      <c r="R245">
        <v>73127</v>
      </c>
      <c r="S245">
        <v>0</v>
      </c>
      <c r="T245">
        <v>0</v>
      </c>
      <c r="U245">
        <v>0</v>
      </c>
      <c r="V245">
        <v>1308554</v>
      </c>
      <c r="W245">
        <v>855333</v>
      </c>
      <c r="Y245">
        <v>0</v>
      </c>
      <c r="Z245">
        <v>0</v>
      </c>
      <c r="AA245">
        <v>313</v>
      </c>
      <c r="AB245">
        <v>0</v>
      </c>
      <c r="AC245">
        <v>0</v>
      </c>
      <c r="AD245">
        <v>645560</v>
      </c>
      <c r="AE245">
        <v>0</v>
      </c>
      <c r="AF245">
        <v>0</v>
      </c>
      <c r="AG245">
        <v>0</v>
      </c>
      <c r="AH245">
        <v>0</v>
      </c>
      <c r="AI245">
        <v>0</v>
      </c>
      <c r="AJ245">
        <v>0</v>
      </c>
      <c r="AM245">
        <v>0</v>
      </c>
      <c r="AN245">
        <v>26865</v>
      </c>
      <c r="AO245">
        <v>0</v>
      </c>
      <c r="AP245">
        <v>27816</v>
      </c>
      <c r="AQ245">
        <v>200383</v>
      </c>
      <c r="AR245">
        <v>0</v>
      </c>
      <c r="AS245">
        <v>0</v>
      </c>
      <c r="AT245">
        <v>146572</v>
      </c>
      <c r="AU245">
        <v>0</v>
      </c>
      <c r="AV245">
        <v>0</v>
      </c>
      <c r="AW245">
        <v>1656102</v>
      </c>
      <c r="AX245">
        <v>0</v>
      </c>
      <c r="AY245">
        <v>0</v>
      </c>
      <c r="AZ245">
        <v>0</v>
      </c>
      <c r="BA245">
        <v>22199</v>
      </c>
      <c r="BB245">
        <v>0</v>
      </c>
      <c r="BC245">
        <v>0</v>
      </c>
      <c r="BD245">
        <v>0</v>
      </c>
      <c r="BE245">
        <v>0</v>
      </c>
      <c r="BF245">
        <v>0</v>
      </c>
      <c r="BG245">
        <v>0</v>
      </c>
      <c r="BH245">
        <v>0</v>
      </c>
      <c r="BI245">
        <v>0</v>
      </c>
      <c r="BJ245">
        <v>0</v>
      </c>
      <c r="BK245">
        <v>940476</v>
      </c>
      <c r="BN245">
        <v>0</v>
      </c>
      <c r="BO245">
        <v>0</v>
      </c>
      <c r="BP245">
        <v>272862</v>
      </c>
      <c r="BQ245">
        <v>0</v>
      </c>
      <c r="BR245">
        <v>0</v>
      </c>
      <c r="BS245">
        <v>2014372</v>
      </c>
      <c r="BT245">
        <v>161580</v>
      </c>
      <c r="BU245">
        <v>0</v>
      </c>
      <c r="BV245">
        <v>1228742</v>
      </c>
      <c r="BW245">
        <v>507889</v>
      </c>
      <c r="BX245">
        <v>0</v>
      </c>
      <c r="BY245">
        <v>0</v>
      </c>
      <c r="BZ245">
        <v>0</v>
      </c>
      <c r="CA245">
        <v>0</v>
      </c>
      <c r="CB245">
        <v>0</v>
      </c>
      <c r="CD245">
        <v>0</v>
      </c>
    </row>
    <row r="246" spans="1:82" x14ac:dyDescent="0.3">
      <c r="A246">
        <v>1062</v>
      </c>
      <c r="B246" t="s">
        <v>1653</v>
      </c>
      <c r="E246">
        <v>0</v>
      </c>
      <c r="G246">
        <v>1</v>
      </c>
      <c r="H246">
        <v>1</v>
      </c>
      <c r="I246">
        <v>1</v>
      </c>
      <c r="J246">
        <v>1</v>
      </c>
      <c r="K246">
        <v>1</v>
      </c>
      <c r="L246">
        <v>1</v>
      </c>
      <c r="M246">
        <v>3</v>
      </c>
      <c r="N246">
        <v>1</v>
      </c>
      <c r="O246">
        <v>1</v>
      </c>
      <c r="P246">
        <v>1</v>
      </c>
      <c r="Q246">
        <v>1</v>
      </c>
      <c r="R246">
        <v>1</v>
      </c>
      <c r="S246">
        <v>1</v>
      </c>
      <c r="T246">
        <v>1</v>
      </c>
      <c r="U246">
        <v>1</v>
      </c>
      <c r="V246">
        <v>1</v>
      </c>
      <c r="W246">
        <v>1</v>
      </c>
      <c r="Y246">
        <v>1</v>
      </c>
      <c r="Z246">
        <v>1</v>
      </c>
      <c r="AA246">
        <v>1</v>
      </c>
      <c r="AB246">
        <v>1</v>
      </c>
      <c r="AC246">
        <v>1</v>
      </c>
      <c r="AD246">
        <v>1</v>
      </c>
      <c r="AE246">
        <v>1</v>
      </c>
      <c r="AF246">
        <v>1</v>
      </c>
      <c r="AG246">
        <v>1</v>
      </c>
      <c r="AH246">
        <v>1</v>
      </c>
      <c r="AI246">
        <v>1</v>
      </c>
      <c r="AJ246">
        <v>1</v>
      </c>
      <c r="AM246">
        <v>1</v>
      </c>
      <c r="AN246">
        <v>1</v>
      </c>
      <c r="AO246">
        <v>1</v>
      </c>
      <c r="AP246">
        <v>1</v>
      </c>
      <c r="AQ246">
        <v>1</v>
      </c>
      <c r="AR246">
        <v>1</v>
      </c>
      <c r="AS246">
        <v>1</v>
      </c>
      <c r="AT246">
        <v>1</v>
      </c>
      <c r="AU246">
        <v>1</v>
      </c>
      <c r="AV246">
        <v>0</v>
      </c>
      <c r="AW246">
        <v>1</v>
      </c>
      <c r="AX246">
        <v>1</v>
      </c>
      <c r="AY246">
        <v>1</v>
      </c>
      <c r="AZ246">
        <v>1</v>
      </c>
      <c r="BA246">
        <v>1</v>
      </c>
      <c r="BB246">
        <v>1</v>
      </c>
      <c r="BC246">
        <v>1</v>
      </c>
      <c r="BD246">
        <v>1</v>
      </c>
      <c r="BE246">
        <v>1</v>
      </c>
      <c r="BF246">
        <v>1</v>
      </c>
      <c r="BG246">
        <v>0</v>
      </c>
      <c r="BH246">
        <v>1</v>
      </c>
      <c r="BI246">
        <v>1</v>
      </c>
      <c r="BJ246">
        <v>1</v>
      </c>
      <c r="BK246">
        <v>1</v>
      </c>
      <c r="BN246">
        <v>1</v>
      </c>
      <c r="BO246">
        <v>3</v>
      </c>
      <c r="BP246">
        <v>1</v>
      </c>
      <c r="BQ246">
        <v>1</v>
      </c>
      <c r="BR246">
        <v>1</v>
      </c>
      <c r="BS246">
        <v>1</v>
      </c>
      <c r="BT246">
        <v>1</v>
      </c>
      <c r="BU246">
        <v>1</v>
      </c>
      <c r="BV246">
        <v>1</v>
      </c>
      <c r="BW246">
        <v>1</v>
      </c>
      <c r="BX246">
        <v>1</v>
      </c>
      <c r="BY246">
        <v>1</v>
      </c>
      <c r="BZ246">
        <v>1</v>
      </c>
      <c r="CA246">
        <v>1</v>
      </c>
      <c r="CB246">
        <v>1</v>
      </c>
      <c r="CD246">
        <v>3</v>
      </c>
    </row>
    <row r="247" spans="1:82" x14ac:dyDescent="0.3">
      <c r="A247">
        <v>1063</v>
      </c>
      <c r="B247" t="s">
        <v>1654</v>
      </c>
      <c r="E247">
        <v>0</v>
      </c>
      <c r="G247">
        <v>1</v>
      </c>
      <c r="H247">
        <v>1</v>
      </c>
      <c r="I247">
        <v>1</v>
      </c>
      <c r="J247">
        <v>1</v>
      </c>
      <c r="K247">
        <v>1</v>
      </c>
      <c r="L247">
        <v>1</v>
      </c>
      <c r="M247">
        <v>1</v>
      </c>
      <c r="N247">
        <v>1</v>
      </c>
      <c r="O247">
        <v>1</v>
      </c>
      <c r="P247">
        <v>1</v>
      </c>
      <c r="Q247">
        <v>1</v>
      </c>
      <c r="R247">
        <v>1</v>
      </c>
      <c r="S247">
        <v>1</v>
      </c>
      <c r="T247">
        <v>1</v>
      </c>
      <c r="U247">
        <v>1</v>
      </c>
      <c r="V247">
        <v>1</v>
      </c>
      <c r="W247">
        <v>1</v>
      </c>
      <c r="Y247">
        <v>1</v>
      </c>
      <c r="Z247">
        <v>1</v>
      </c>
      <c r="AA247">
        <v>1</v>
      </c>
      <c r="AB247">
        <v>1</v>
      </c>
      <c r="AC247">
        <v>1</v>
      </c>
      <c r="AD247">
        <v>1</v>
      </c>
      <c r="AE247">
        <v>1</v>
      </c>
      <c r="AF247">
        <v>1</v>
      </c>
      <c r="AG247">
        <v>1</v>
      </c>
      <c r="AH247">
        <v>1</v>
      </c>
      <c r="AI247">
        <v>1</v>
      </c>
      <c r="AJ247">
        <v>1</v>
      </c>
      <c r="AM247">
        <v>1</v>
      </c>
      <c r="AN247">
        <v>1</v>
      </c>
      <c r="AO247">
        <v>1</v>
      </c>
      <c r="AP247">
        <v>1</v>
      </c>
      <c r="AQ247">
        <v>1</v>
      </c>
      <c r="AR247">
        <v>1</v>
      </c>
      <c r="AS247">
        <v>1</v>
      </c>
      <c r="AT247">
        <v>1</v>
      </c>
      <c r="AU247">
        <v>1</v>
      </c>
      <c r="AV247">
        <v>0</v>
      </c>
      <c r="AW247">
        <v>1</v>
      </c>
      <c r="AX247">
        <v>1</v>
      </c>
      <c r="AY247">
        <v>1</v>
      </c>
      <c r="AZ247">
        <v>1</v>
      </c>
      <c r="BA247">
        <v>1</v>
      </c>
      <c r="BB247">
        <v>1</v>
      </c>
      <c r="BC247">
        <v>1</v>
      </c>
      <c r="BD247">
        <v>1</v>
      </c>
      <c r="BE247">
        <v>1</v>
      </c>
      <c r="BF247">
        <v>1</v>
      </c>
      <c r="BG247">
        <v>0</v>
      </c>
      <c r="BH247">
        <v>1</v>
      </c>
      <c r="BI247">
        <v>1</v>
      </c>
      <c r="BJ247">
        <v>1</v>
      </c>
      <c r="BK247">
        <v>1</v>
      </c>
      <c r="BN247">
        <v>1</v>
      </c>
      <c r="BO247">
        <v>3</v>
      </c>
      <c r="BP247">
        <v>1</v>
      </c>
      <c r="BQ247">
        <v>1</v>
      </c>
      <c r="BR247">
        <v>1</v>
      </c>
      <c r="BS247">
        <v>1</v>
      </c>
      <c r="BT247">
        <v>1</v>
      </c>
      <c r="BU247">
        <v>1</v>
      </c>
      <c r="BV247">
        <v>1</v>
      </c>
      <c r="BW247">
        <v>1</v>
      </c>
      <c r="BX247">
        <v>1</v>
      </c>
      <c r="BY247">
        <v>1</v>
      </c>
      <c r="BZ247">
        <v>1</v>
      </c>
      <c r="CA247">
        <v>1</v>
      </c>
      <c r="CB247">
        <v>1</v>
      </c>
      <c r="CD247">
        <v>3</v>
      </c>
    </row>
    <row r="248" spans="1:82" x14ac:dyDescent="0.3">
      <c r="A248">
        <v>1066</v>
      </c>
      <c r="B248" t="s">
        <v>1657</v>
      </c>
      <c r="E248" t="s">
        <v>2699</v>
      </c>
      <c r="G248" t="s">
        <v>2048</v>
      </c>
      <c r="H248" t="s">
        <v>2700</v>
      </c>
      <c r="I248" t="s">
        <v>2041</v>
      </c>
      <c r="J248" t="s">
        <v>2052</v>
      </c>
      <c r="K248" t="s">
        <v>2041</v>
      </c>
      <c r="L248" t="s">
        <v>2041</v>
      </c>
      <c r="M248" t="s">
        <v>2701</v>
      </c>
      <c r="N248" t="s">
        <v>2702</v>
      </c>
      <c r="O248" t="s">
        <v>2046</v>
      </c>
      <c r="P248" t="s">
        <v>2534</v>
      </c>
      <c r="Q248" t="s">
        <v>2703</v>
      </c>
      <c r="R248" t="s">
        <v>2704</v>
      </c>
      <c r="S248" t="s">
        <v>2705</v>
      </c>
      <c r="T248" t="s">
        <v>2040</v>
      </c>
      <c r="U248" t="s">
        <v>2706</v>
      </c>
      <c r="V248" t="s">
        <v>2037</v>
      </c>
      <c r="W248" t="s">
        <v>2707</v>
      </c>
      <c r="Y248" t="s">
        <v>2048</v>
      </c>
      <c r="Z248" t="s">
        <v>2708</v>
      </c>
      <c r="AA248" t="s">
        <v>2709</v>
      </c>
      <c r="AB248" t="s">
        <v>2710</v>
      </c>
      <c r="AC248" t="s">
        <v>2036</v>
      </c>
      <c r="AD248" t="s">
        <v>2050</v>
      </c>
      <c r="AE248" t="s">
        <v>2534</v>
      </c>
      <c r="AF248" t="s">
        <v>2045</v>
      </c>
      <c r="AG248" t="s">
        <v>2711</v>
      </c>
      <c r="AH248" t="s">
        <v>2045</v>
      </c>
      <c r="AI248" t="s">
        <v>2041</v>
      </c>
      <c r="AJ248" t="s">
        <v>2712</v>
      </c>
      <c r="AM248" t="s">
        <v>2706</v>
      </c>
      <c r="AN248" t="s">
        <v>2037</v>
      </c>
      <c r="AO248" t="s">
        <v>2713</v>
      </c>
      <c r="AP248" t="s">
        <v>2714</v>
      </c>
      <c r="AQ248" t="s">
        <v>2042</v>
      </c>
      <c r="AR248" t="s">
        <v>2041</v>
      </c>
      <c r="AS248" t="s">
        <v>2049</v>
      </c>
      <c r="AT248" t="s">
        <v>2715</v>
      </c>
      <c r="AU248" t="s">
        <v>2041</v>
      </c>
      <c r="AV248" t="s">
        <v>2039</v>
      </c>
      <c r="AW248" t="s">
        <v>2045</v>
      </c>
      <c r="AX248" t="s">
        <v>2037</v>
      </c>
      <c r="AY248" t="s">
        <v>2036</v>
      </c>
      <c r="AZ248" t="s">
        <v>2047</v>
      </c>
      <c r="BA248" t="s">
        <v>2036</v>
      </c>
      <c r="BB248" t="s">
        <v>2716</v>
      </c>
      <c r="BC248" t="s">
        <v>2042</v>
      </c>
      <c r="BD248" t="s">
        <v>2717</v>
      </c>
      <c r="BE248" t="s">
        <v>2054</v>
      </c>
      <c r="BF248" t="s">
        <v>2718</v>
      </c>
      <c r="BG248" t="s">
        <v>2719</v>
      </c>
      <c r="BH248" t="s">
        <v>2720</v>
      </c>
      <c r="BI248" t="s">
        <v>2051</v>
      </c>
      <c r="BJ248" t="s">
        <v>2041</v>
      </c>
      <c r="BK248" t="s">
        <v>2041</v>
      </c>
      <c r="BN248" t="s">
        <v>2721</v>
      </c>
      <c r="BO248" t="s">
        <v>2722</v>
      </c>
      <c r="BP248" t="s">
        <v>2715</v>
      </c>
      <c r="BQ248" t="s">
        <v>2044</v>
      </c>
      <c r="BR248" t="s">
        <v>2053</v>
      </c>
      <c r="BS248" t="s">
        <v>2038</v>
      </c>
      <c r="BT248" t="s">
        <v>2723</v>
      </c>
      <c r="BU248" t="s">
        <v>2045</v>
      </c>
      <c r="BV248" t="s">
        <v>2703</v>
      </c>
      <c r="BW248" t="s">
        <v>1990</v>
      </c>
      <c r="BX248" t="s">
        <v>2724</v>
      </c>
      <c r="BY248" t="s">
        <v>2725</v>
      </c>
      <c r="BZ248" t="s">
        <v>2726</v>
      </c>
      <c r="CA248" t="s">
        <v>2705</v>
      </c>
      <c r="CB248" t="s">
        <v>2727</v>
      </c>
      <c r="CD248" t="s">
        <v>2728</v>
      </c>
    </row>
    <row r="249" spans="1:82" x14ac:dyDescent="0.3">
      <c r="A249">
        <v>1067</v>
      </c>
      <c r="B249" t="s">
        <v>2055</v>
      </c>
      <c r="E249">
        <v>1</v>
      </c>
      <c r="G249">
        <v>1</v>
      </c>
      <c r="H249">
        <v>1</v>
      </c>
      <c r="I249">
        <v>1</v>
      </c>
      <c r="J249">
        <v>1</v>
      </c>
      <c r="K249">
        <v>1</v>
      </c>
      <c r="L249">
        <v>1</v>
      </c>
      <c r="M249">
        <v>1</v>
      </c>
      <c r="N249">
        <v>1</v>
      </c>
      <c r="O249">
        <v>1</v>
      </c>
      <c r="P249">
        <v>1</v>
      </c>
      <c r="Q249">
        <v>1</v>
      </c>
      <c r="R249">
        <v>1</v>
      </c>
      <c r="S249">
        <v>1</v>
      </c>
      <c r="T249">
        <v>1</v>
      </c>
      <c r="U249">
        <v>1</v>
      </c>
      <c r="V249">
        <v>1</v>
      </c>
      <c r="W249">
        <v>1</v>
      </c>
      <c r="Y249">
        <v>1</v>
      </c>
      <c r="Z249">
        <v>1</v>
      </c>
      <c r="AA249">
        <v>1</v>
      </c>
      <c r="AB249">
        <v>1</v>
      </c>
      <c r="AC249">
        <v>1</v>
      </c>
      <c r="AD249">
        <v>1</v>
      </c>
      <c r="AE249">
        <v>1</v>
      </c>
      <c r="AF249">
        <v>1</v>
      </c>
      <c r="AG249">
        <v>1</v>
      </c>
      <c r="AH249">
        <v>1</v>
      </c>
      <c r="AI249">
        <v>1</v>
      </c>
      <c r="AJ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1</v>
      </c>
      <c r="BG249">
        <v>0</v>
      </c>
      <c r="BH249">
        <v>1</v>
      </c>
      <c r="BI249">
        <v>1</v>
      </c>
      <c r="BJ249">
        <v>1</v>
      </c>
      <c r="BK249">
        <v>1</v>
      </c>
      <c r="BN249">
        <v>1</v>
      </c>
      <c r="BO249">
        <v>1</v>
      </c>
      <c r="BP249">
        <v>1</v>
      </c>
      <c r="BQ249">
        <v>1</v>
      </c>
      <c r="BR249">
        <v>1</v>
      </c>
      <c r="BS249">
        <v>1</v>
      </c>
      <c r="BT249">
        <v>2</v>
      </c>
      <c r="BU249">
        <v>1</v>
      </c>
      <c r="BV249">
        <v>1</v>
      </c>
      <c r="BW249">
        <v>1</v>
      </c>
      <c r="BX249">
        <v>1</v>
      </c>
      <c r="BY249">
        <v>1</v>
      </c>
      <c r="BZ249">
        <v>1</v>
      </c>
      <c r="CA249">
        <v>1</v>
      </c>
      <c r="CB249">
        <v>1</v>
      </c>
      <c r="CD249">
        <v>1</v>
      </c>
    </row>
    <row r="250" spans="1:82" x14ac:dyDescent="0.3">
      <c r="A250">
        <v>1068</v>
      </c>
      <c r="B250" t="s">
        <v>2056</v>
      </c>
      <c r="E250">
        <v>2</v>
      </c>
      <c r="G250">
        <v>2</v>
      </c>
      <c r="H250">
        <v>2</v>
      </c>
      <c r="I250">
        <v>2</v>
      </c>
      <c r="J250">
        <v>2</v>
      </c>
      <c r="K250">
        <v>2</v>
      </c>
      <c r="L250">
        <v>2</v>
      </c>
      <c r="M250">
        <v>2</v>
      </c>
      <c r="N250">
        <v>2</v>
      </c>
      <c r="O250">
        <v>2</v>
      </c>
      <c r="P250">
        <v>2</v>
      </c>
      <c r="Q250">
        <v>1</v>
      </c>
      <c r="R250">
        <v>2</v>
      </c>
      <c r="S250">
        <v>2</v>
      </c>
      <c r="T250">
        <v>2</v>
      </c>
      <c r="U250">
        <v>2</v>
      </c>
      <c r="V250">
        <v>2</v>
      </c>
      <c r="W250">
        <v>2</v>
      </c>
      <c r="Y250">
        <v>2</v>
      </c>
      <c r="Z250">
        <v>2</v>
      </c>
      <c r="AA250">
        <v>2</v>
      </c>
      <c r="AB250">
        <v>2</v>
      </c>
      <c r="AC250">
        <v>2</v>
      </c>
      <c r="AD250">
        <v>2</v>
      </c>
      <c r="AE250">
        <v>2</v>
      </c>
      <c r="AF250">
        <v>2</v>
      </c>
      <c r="AG250">
        <v>2</v>
      </c>
      <c r="AH250">
        <v>2</v>
      </c>
      <c r="AI250">
        <v>1</v>
      </c>
      <c r="AJ250">
        <v>2</v>
      </c>
      <c r="AM250">
        <v>1</v>
      </c>
      <c r="AN250">
        <v>2</v>
      </c>
      <c r="AO250">
        <v>2</v>
      </c>
      <c r="AP250">
        <v>2</v>
      </c>
      <c r="AQ250">
        <v>2</v>
      </c>
      <c r="AR250">
        <v>2</v>
      </c>
      <c r="AS250">
        <v>2</v>
      </c>
      <c r="AT250">
        <v>2</v>
      </c>
      <c r="AU250">
        <v>2</v>
      </c>
      <c r="AV250">
        <v>2</v>
      </c>
      <c r="AW250">
        <v>2</v>
      </c>
      <c r="AX250">
        <v>2</v>
      </c>
      <c r="AY250">
        <v>2</v>
      </c>
      <c r="AZ250">
        <v>2</v>
      </c>
      <c r="BA250">
        <v>2</v>
      </c>
      <c r="BB250">
        <v>2</v>
      </c>
      <c r="BC250">
        <v>2</v>
      </c>
      <c r="BD250">
        <v>2</v>
      </c>
      <c r="BE250">
        <v>2</v>
      </c>
      <c r="BF250">
        <v>2</v>
      </c>
      <c r="BG250">
        <v>2</v>
      </c>
      <c r="BH250">
        <v>2</v>
      </c>
      <c r="BI250">
        <v>2</v>
      </c>
      <c r="BJ250">
        <v>2</v>
      </c>
      <c r="BK250">
        <v>2</v>
      </c>
      <c r="BN250">
        <v>2</v>
      </c>
      <c r="BO250">
        <v>2</v>
      </c>
      <c r="BP250">
        <v>2</v>
      </c>
      <c r="BQ250">
        <v>2</v>
      </c>
      <c r="BR250">
        <v>2</v>
      </c>
      <c r="BS250">
        <v>2</v>
      </c>
      <c r="BT250">
        <v>2</v>
      </c>
      <c r="BU250">
        <v>2</v>
      </c>
      <c r="BV250">
        <v>2</v>
      </c>
      <c r="BW250">
        <v>2</v>
      </c>
      <c r="BX250">
        <v>2</v>
      </c>
      <c r="BY250">
        <v>2</v>
      </c>
      <c r="BZ250">
        <v>2</v>
      </c>
      <c r="CA250">
        <v>2</v>
      </c>
      <c r="CB250">
        <v>2</v>
      </c>
      <c r="CD250">
        <v>2</v>
      </c>
    </row>
    <row r="251" spans="1:82" x14ac:dyDescent="0.3">
      <c r="A251">
        <v>1069</v>
      </c>
      <c r="B251" t="s">
        <v>1578</v>
      </c>
      <c r="E251">
        <v>3</v>
      </c>
      <c r="G251">
        <v>3</v>
      </c>
      <c r="H251">
        <v>2</v>
      </c>
      <c r="I251">
        <v>3</v>
      </c>
      <c r="J251">
        <v>2</v>
      </c>
      <c r="K251">
        <v>2</v>
      </c>
      <c r="L251">
        <v>3</v>
      </c>
      <c r="M251">
        <v>3</v>
      </c>
      <c r="N251">
        <v>3</v>
      </c>
      <c r="O251">
        <v>2</v>
      </c>
      <c r="P251">
        <v>3</v>
      </c>
      <c r="Q251">
        <v>1</v>
      </c>
      <c r="R251">
        <v>2</v>
      </c>
      <c r="S251">
        <v>3</v>
      </c>
      <c r="T251">
        <v>3</v>
      </c>
      <c r="U251">
        <v>2</v>
      </c>
      <c r="V251">
        <v>3</v>
      </c>
      <c r="W251">
        <v>3</v>
      </c>
      <c r="Y251">
        <v>3</v>
      </c>
      <c r="Z251">
        <v>3</v>
      </c>
      <c r="AA251">
        <v>3</v>
      </c>
      <c r="AB251">
        <v>3</v>
      </c>
      <c r="AC251">
        <v>3</v>
      </c>
      <c r="AD251">
        <v>3</v>
      </c>
      <c r="AE251">
        <v>2</v>
      </c>
      <c r="AF251">
        <v>3</v>
      </c>
      <c r="AG251">
        <v>2</v>
      </c>
      <c r="AH251">
        <v>3</v>
      </c>
      <c r="AI251">
        <v>1</v>
      </c>
      <c r="AJ251">
        <v>3</v>
      </c>
      <c r="AM251">
        <v>1</v>
      </c>
      <c r="AN251">
        <v>3</v>
      </c>
      <c r="AO251">
        <v>3</v>
      </c>
      <c r="AP251">
        <v>3</v>
      </c>
      <c r="AQ251">
        <v>2</v>
      </c>
      <c r="AR251">
        <v>3</v>
      </c>
      <c r="AS251">
        <v>2</v>
      </c>
      <c r="AT251">
        <v>3</v>
      </c>
      <c r="AU251">
        <v>3</v>
      </c>
      <c r="AV251">
        <v>2</v>
      </c>
      <c r="AW251">
        <v>3</v>
      </c>
      <c r="AX251">
        <v>3</v>
      </c>
      <c r="AY251">
        <v>2</v>
      </c>
      <c r="AZ251">
        <v>3</v>
      </c>
      <c r="BA251">
        <v>3</v>
      </c>
      <c r="BB251">
        <v>3</v>
      </c>
      <c r="BC251">
        <v>3</v>
      </c>
      <c r="BD251">
        <v>3</v>
      </c>
      <c r="BE251">
        <v>2</v>
      </c>
      <c r="BF251">
        <v>3</v>
      </c>
      <c r="BG251">
        <v>3</v>
      </c>
      <c r="BH251">
        <v>3</v>
      </c>
      <c r="BI251">
        <v>3</v>
      </c>
      <c r="BJ251">
        <v>3</v>
      </c>
      <c r="BK251">
        <v>3</v>
      </c>
      <c r="BN251">
        <v>3</v>
      </c>
      <c r="BO251">
        <v>3</v>
      </c>
      <c r="BP251">
        <v>2</v>
      </c>
      <c r="BQ251">
        <v>3</v>
      </c>
      <c r="BR251">
        <v>3</v>
      </c>
      <c r="BS251">
        <v>3</v>
      </c>
      <c r="BT251">
        <v>2</v>
      </c>
      <c r="BU251">
        <v>2</v>
      </c>
      <c r="BV251">
        <v>3</v>
      </c>
      <c r="BW251">
        <v>2</v>
      </c>
      <c r="BX251">
        <v>3</v>
      </c>
      <c r="BY251">
        <v>3</v>
      </c>
      <c r="BZ251">
        <v>3</v>
      </c>
      <c r="CA251">
        <v>3</v>
      </c>
      <c r="CB251">
        <v>2</v>
      </c>
      <c r="CD251">
        <v>3</v>
      </c>
    </row>
    <row r="252" spans="1:82" x14ac:dyDescent="0.3">
      <c r="A252">
        <v>1070</v>
      </c>
      <c r="B252" t="s">
        <v>2057</v>
      </c>
      <c r="E252">
        <v>2</v>
      </c>
      <c r="G252">
        <v>2</v>
      </c>
      <c r="H252">
        <v>2</v>
      </c>
      <c r="I252">
        <v>2</v>
      </c>
      <c r="J252">
        <v>2</v>
      </c>
      <c r="K252">
        <v>2</v>
      </c>
      <c r="L252">
        <v>2</v>
      </c>
      <c r="M252">
        <v>2</v>
      </c>
      <c r="N252">
        <v>2</v>
      </c>
      <c r="O252">
        <v>2</v>
      </c>
      <c r="P252">
        <v>1</v>
      </c>
      <c r="Q252">
        <v>2</v>
      </c>
      <c r="R252">
        <v>2</v>
      </c>
      <c r="S252">
        <v>2</v>
      </c>
      <c r="T252">
        <v>2</v>
      </c>
      <c r="U252">
        <v>2</v>
      </c>
      <c r="V252">
        <v>2</v>
      </c>
      <c r="W252">
        <v>2</v>
      </c>
      <c r="Y252">
        <v>2</v>
      </c>
      <c r="Z252">
        <v>2</v>
      </c>
      <c r="AA252">
        <v>2</v>
      </c>
      <c r="AB252">
        <v>2</v>
      </c>
      <c r="AC252">
        <v>2</v>
      </c>
      <c r="AD252">
        <v>2</v>
      </c>
      <c r="AE252">
        <v>2</v>
      </c>
      <c r="AF252">
        <v>1</v>
      </c>
      <c r="AG252">
        <v>2</v>
      </c>
      <c r="AH252">
        <v>0</v>
      </c>
      <c r="AI252">
        <v>2</v>
      </c>
      <c r="AJ252">
        <v>2</v>
      </c>
      <c r="AM252">
        <v>2</v>
      </c>
      <c r="AN252">
        <v>2</v>
      </c>
      <c r="AO252">
        <v>2</v>
      </c>
      <c r="AP252">
        <v>2</v>
      </c>
      <c r="AQ252">
        <v>2</v>
      </c>
      <c r="AR252">
        <v>2</v>
      </c>
      <c r="AS252">
        <v>2</v>
      </c>
      <c r="AT252">
        <v>2</v>
      </c>
      <c r="AU252">
        <v>2</v>
      </c>
      <c r="AV252">
        <v>2</v>
      </c>
      <c r="AW252">
        <v>2</v>
      </c>
      <c r="AX252">
        <v>2</v>
      </c>
      <c r="AY252">
        <v>1</v>
      </c>
      <c r="AZ252">
        <v>2</v>
      </c>
      <c r="BA252">
        <v>2</v>
      </c>
      <c r="BB252">
        <v>2</v>
      </c>
      <c r="BC252">
        <v>2</v>
      </c>
      <c r="BD252">
        <v>2</v>
      </c>
      <c r="BE252">
        <v>2</v>
      </c>
      <c r="BF252">
        <v>2</v>
      </c>
      <c r="BG252">
        <v>2</v>
      </c>
      <c r="BH252">
        <v>2</v>
      </c>
      <c r="BI252">
        <v>2</v>
      </c>
      <c r="BJ252">
        <v>2</v>
      </c>
      <c r="BK252">
        <v>2</v>
      </c>
      <c r="BN252">
        <v>2</v>
      </c>
      <c r="BO252">
        <v>2</v>
      </c>
      <c r="BP252">
        <v>2</v>
      </c>
      <c r="BQ252">
        <v>2</v>
      </c>
      <c r="BR252">
        <v>2</v>
      </c>
      <c r="BS252">
        <v>2</v>
      </c>
      <c r="BT252">
        <v>2</v>
      </c>
      <c r="BU252">
        <v>2</v>
      </c>
      <c r="BV252">
        <v>2</v>
      </c>
      <c r="BW252">
        <v>2</v>
      </c>
      <c r="BX252">
        <v>2</v>
      </c>
      <c r="BY252">
        <v>2</v>
      </c>
      <c r="BZ252">
        <v>2</v>
      </c>
      <c r="CA252">
        <v>2</v>
      </c>
      <c r="CB252">
        <v>2</v>
      </c>
      <c r="CD252">
        <v>2</v>
      </c>
    </row>
    <row r="253" spans="1:82" x14ac:dyDescent="0.3">
      <c r="A253">
        <v>1071</v>
      </c>
      <c r="B253" t="s">
        <v>2058</v>
      </c>
      <c r="E253">
        <v>0</v>
      </c>
      <c r="G253">
        <v>363420</v>
      </c>
      <c r="H253">
        <v>1577196</v>
      </c>
      <c r="I253">
        <v>989296</v>
      </c>
      <c r="J253">
        <v>48257</v>
      </c>
      <c r="K253">
        <v>230670</v>
      </c>
      <c r="L253">
        <v>30070</v>
      </c>
      <c r="M253">
        <v>716185</v>
      </c>
      <c r="N253">
        <v>120468</v>
      </c>
      <c r="O253">
        <v>1673799</v>
      </c>
      <c r="P253">
        <v>46515</v>
      </c>
      <c r="Q253">
        <v>4288255</v>
      </c>
      <c r="R253">
        <v>148767</v>
      </c>
      <c r="S253">
        <v>0</v>
      </c>
      <c r="T253">
        <v>10722551</v>
      </c>
      <c r="U253">
        <v>2841919</v>
      </c>
      <c r="V253">
        <v>0</v>
      </c>
      <c r="W253">
        <v>1227202</v>
      </c>
      <c r="Y253">
        <v>3253264</v>
      </c>
      <c r="Z253">
        <v>363952</v>
      </c>
      <c r="AA253">
        <v>5181064</v>
      </c>
      <c r="AB253">
        <v>0</v>
      </c>
      <c r="AC253">
        <v>0</v>
      </c>
      <c r="AD253">
        <v>158456</v>
      </c>
      <c r="AE253">
        <v>0</v>
      </c>
      <c r="AF253">
        <v>474062</v>
      </c>
      <c r="AG253">
        <v>1765070</v>
      </c>
      <c r="AH253">
        <v>367458</v>
      </c>
      <c r="AI253">
        <v>6704351</v>
      </c>
      <c r="AJ253">
        <v>115368</v>
      </c>
      <c r="AM253">
        <v>0</v>
      </c>
      <c r="AN253">
        <v>76932</v>
      </c>
      <c r="AO253">
        <v>166838</v>
      </c>
      <c r="AP253">
        <v>0</v>
      </c>
      <c r="AQ253">
        <v>0</v>
      </c>
      <c r="AR253">
        <v>669264</v>
      </c>
      <c r="AS253">
        <v>102470</v>
      </c>
      <c r="AT253">
        <v>0</v>
      </c>
      <c r="AU253">
        <v>70230</v>
      </c>
      <c r="AV253">
        <v>0</v>
      </c>
      <c r="AW253">
        <v>0</v>
      </c>
      <c r="AX253">
        <v>298675</v>
      </c>
      <c r="AY253">
        <v>136478</v>
      </c>
      <c r="AZ253">
        <v>147238</v>
      </c>
      <c r="BA253">
        <v>115000</v>
      </c>
      <c r="BB253">
        <v>7163</v>
      </c>
      <c r="BC253">
        <v>172156</v>
      </c>
      <c r="BD253">
        <v>0</v>
      </c>
      <c r="BE253">
        <v>0</v>
      </c>
      <c r="BF253">
        <v>35750</v>
      </c>
      <c r="BG253">
        <v>0</v>
      </c>
      <c r="BH253">
        <v>0</v>
      </c>
      <c r="BI253">
        <v>122131</v>
      </c>
      <c r="BJ253">
        <v>25637</v>
      </c>
      <c r="BK253">
        <v>0</v>
      </c>
      <c r="BN253">
        <v>0</v>
      </c>
      <c r="BO253">
        <v>0</v>
      </c>
      <c r="BP253">
        <v>190305</v>
      </c>
      <c r="BQ253">
        <v>5296752</v>
      </c>
      <c r="BR253">
        <v>393591</v>
      </c>
      <c r="BS253">
        <v>50000</v>
      </c>
      <c r="BT253">
        <v>80790</v>
      </c>
      <c r="BU253">
        <v>0</v>
      </c>
      <c r="BV253">
        <v>0</v>
      </c>
      <c r="BW253">
        <v>0</v>
      </c>
      <c r="BX253">
        <v>478178</v>
      </c>
      <c r="BY253">
        <v>7399</v>
      </c>
      <c r="BZ253">
        <v>89554</v>
      </c>
      <c r="CA253">
        <v>46732</v>
      </c>
      <c r="CB253">
        <v>445539</v>
      </c>
      <c r="CD253">
        <v>0</v>
      </c>
    </row>
    <row r="254" spans="1:82" x14ac:dyDescent="0.3">
      <c r="A254">
        <v>1075</v>
      </c>
      <c r="B254" t="s">
        <v>2059</v>
      </c>
      <c r="E254">
        <v>0</v>
      </c>
      <c r="G254">
        <v>0</v>
      </c>
      <c r="H254">
        <v>0</v>
      </c>
      <c r="I254">
        <v>0</v>
      </c>
      <c r="J254">
        <v>48294</v>
      </c>
      <c r="K254">
        <v>0</v>
      </c>
      <c r="L254">
        <v>0</v>
      </c>
      <c r="M254">
        <v>0</v>
      </c>
      <c r="N254">
        <v>0</v>
      </c>
      <c r="O254">
        <v>0</v>
      </c>
      <c r="P254">
        <v>0</v>
      </c>
      <c r="Q254">
        <v>0</v>
      </c>
      <c r="R254">
        <v>0</v>
      </c>
      <c r="S254">
        <v>0</v>
      </c>
      <c r="T254">
        <v>0</v>
      </c>
      <c r="U254">
        <v>0</v>
      </c>
      <c r="V254">
        <v>0</v>
      </c>
      <c r="W254">
        <v>0</v>
      </c>
      <c r="Y254">
        <v>0</v>
      </c>
      <c r="Z254">
        <v>0</v>
      </c>
      <c r="AA254">
        <v>0</v>
      </c>
      <c r="AB254">
        <v>0</v>
      </c>
      <c r="AC254">
        <v>4376</v>
      </c>
      <c r="AD254">
        <v>0</v>
      </c>
      <c r="AE254">
        <v>0</v>
      </c>
      <c r="AF254">
        <v>0</v>
      </c>
      <c r="AG254">
        <v>0</v>
      </c>
      <c r="AH254">
        <v>0</v>
      </c>
      <c r="AI254">
        <v>0</v>
      </c>
      <c r="AJ254">
        <v>0</v>
      </c>
      <c r="AM254">
        <v>0</v>
      </c>
      <c r="AN254">
        <v>0</v>
      </c>
      <c r="AO254">
        <v>0</v>
      </c>
      <c r="AP254">
        <v>0</v>
      </c>
      <c r="AQ254">
        <v>0</v>
      </c>
      <c r="AR254">
        <v>0</v>
      </c>
      <c r="AS254">
        <v>0</v>
      </c>
      <c r="AT254">
        <v>0</v>
      </c>
      <c r="AU254">
        <v>0</v>
      </c>
      <c r="AV254">
        <v>0</v>
      </c>
      <c r="AW254">
        <v>50000</v>
      </c>
      <c r="AX254">
        <v>0</v>
      </c>
      <c r="AY254">
        <v>0</v>
      </c>
      <c r="AZ254">
        <v>0</v>
      </c>
      <c r="BA254">
        <v>0</v>
      </c>
      <c r="BB254">
        <v>0</v>
      </c>
      <c r="BC254">
        <v>102305</v>
      </c>
      <c r="BD254">
        <v>30000</v>
      </c>
      <c r="BE254">
        <v>0</v>
      </c>
      <c r="BF254">
        <v>0</v>
      </c>
      <c r="BG254">
        <v>0</v>
      </c>
      <c r="BH254">
        <v>0</v>
      </c>
      <c r="BI254">
        <v>0</v>
      </c>
      <c r="BJ254">
        <v>0</v>
      </c>
      <c r="BK254">
        <v>0</v>
      </c>
      <c r="BN254">
        <v>0</v>
      </c>
      <c r="BO254">
        <v>0</v>
      </c>
      <c r="BP254">
        <v>0</v>
      </c>
      <c r="BQ254">
        <v>0</v>
      </c>
      <c r="BR254">
        <v>0</v>
      </c>
      <c r="BS254">
        <v>0</v>
      </c>
      <c r="BT254">
        <v>22027</v>
      </c>
      <c r="BU254">
        <v>0</v>
      </c>
      <c r="BV254">
        <v>0</v>
      </c>
      <c r="BW254">
        <v>0</v>
      </c>
      <c r="BX254">
        <v>235500</v>
      </c>
      <c r="BY254">
        <v>0</v>
      </c>
      <c r="BZ254">
        <v>0</v>
      </c>
      <c r="CA254">
        <v>0</v>
      </c>
      <c r="CB254">
        <v>0</v>
      </c>
      <c r="CD254">
        <v>0</v>
      </c>
    </row>
    <row r="255" spans="1:82" x14ac:dyDescent="0.3">
      <c r="A255">
        <v>1076</v>
      </c>
      <c r="B255" t="s">
        <v>2060</v>
      </c>
      <c r="E255">
        <v>0</v>
      </c>
      <c r="G255">
        <v>0</v>
      </c>
      <c r="H255">
        <v>0</v>
      </c>
      <c r="I255">
        <v>0</v>
      </c>
      <c r="J255">
        <v>0</v>
      </c>
      <c r="K255">
        <v>0</v>
      </c>
      <c r="L255">
        <v>0</v>
      </c>
      <c r="M255">
        <v>0</v>
      </c>
      <c r="N255">
        <v>0</v>
      </c>
      <c r="O255">
        <v>0</v>
      </c>
      <c r="P255">
        <v>0</v>
      </c>
      <c r="Q255">
        <v>0</v>
      </c>
      <c r="R255">
        <v>0</v>
      </c>
      <c r="S255">
        <v>0</v>
      </c>
      <c r="T255">
        <v>0</v>
      </c>
      <c r="U255">
        <v>0</v>
      </c>
      <c r="V255">
        <v>0</v>
      </c>
      <c r="W255">
        <v>0</v>
      </c>
      <c r="Y255">
        <v>0</v>
      </c>
      <c r="Z255">
        <v>0</v>
      </c>
      <c r="AA255">
        <v>0</v>
      </c>
      <c r="AB255">
        <v>0</v>
      </c>
      <c r="AC255">
        <v>3576</v>
      </c>
      <c r="AD255">
        <v>0</v>
      </c>
      <c r="AE255">
        <v>0</v>
      </c>
      <c r="AF255">
        <v>0</v>
      </c>
      <c r="AG255">
        <v>0</v>
      </c>
      <c r="AH255">
        <v>0</v>
      </c>
      <c r="AI255">
        <v>0</v>
      </c>
      <c r="AJ255">
        <v>0</v>
      </c>
      <c r="AM255">
        <v>0</v>
      </c>
      <c r="AN255">
        <v>0</v>
      </c>
      <c r="AO255">
        <v>0</v>
      </c>
      <c r="AP255">
        <v>0</v>
      </c>
      <c r="AQ255">
        <v>0</v>
      </c>
      <c r="AR255">
        <v>0</v>
      </c>
      <c r="AS255">
        <v>0</v>
      </c>
      <c r="AT255">
        <v>0</v>
      </c>
      <c r="AU255">
        <v>0</v>
      </c>
      <c r="AV255">
        <v>0</v>
      </c>
      <c r="AW255">
        <v>0</v>
      </c>
      <c r="AX255">
        <v>0</v>
      </c>
      <c r="AY255">
        <v>0</v>
      </c>
      <c r="AZ255">
        <v>0</v>
      </c>
      <c r="BA255">
        <v>0</v>
      </c>
      <c r="BB255">
        <v>0</v>
      </c>
      <c r="BC255">
        <v>0</v>
      </c>
      <c r="BD255">
        <v>70000</v>
      </c>
      <c r="BE255">
        <v>0</v>
      </c>
      <c r="BF255">
        <v>0</v>
      </c>
      <c r="BG255">
        <v>0</v>
      </c>
      <c r="BH255">
        <v>0</v>
      </c>
      <c r="BI255">
        <v>0</v>
      </c>
      <c r="BJ255">
        <v>0</v>
      </c>
      <c r="BK255">
        <v>0</v>
      </c>
      <c r="BN255">
        <v>0</v>
      </c>
      <c r="BO255">
        <v>0</v>
      </c>
      <c r="BP255">
        <v>0</v>
      </c>
      <c r="BQ255">
        <v>0</v>
      </c>
      <c r="BR255">
        <v>0</v>
      </c>
      <c r="BS255">
        <v>0</v>
      </c>
      <c r="BT255">
        <v>23635</v>
      </c>
      <c r="BU255">
        <v>0</v>
      </c>
      <c r="BV255">
        <v>0</v>
      </c>
      <c r="BW255">
        <v>0</v>
      </c>
      <c r="BX255">
        <v>0</v>
      </c>
      <c r="BY255">
        <v>0</v>
      </c>
      <c r="BZ255">
        <v>0</v>
      </c>
      <c r="CA255">
        <v>0</v>
      </c>
      <c r="CB255">
        <v>0</v>
      </c>
      <c r="CD255">
        <v>0</v>
      </c>
    </row>
    <row r="256" spans="1:82" x14ac:dyDescent="0.3">
      <c r="A256">
        <v>1077</v>
      </c>
      <c r="B256" t="s">
        <v>2061</v>
      </c>
      <c r="E256">
        <v>0</v>
      </c>
      <c r="G256">
        <v>0</v>
      </c>
      <c r="H256">
        <v>0</v>
      </c>
      <c r="I256">
        <v>0</v>
      </c>
      <c r="J256">
        <v>0</v>
      </c>
      <c r="K256">
        <v>0</v>
      </c>
      <c r="L256">
        <v>0</v>
      </c>
      <c r="M256">
        <v>0</v>
      </c>
      <c r="N256">
        <v>0</v>
      </c>
      <c r="O256">
        <v>0</v>
      </c>
      <c r="P256">
        <v>0</v>
      </c>
      <c r="Q256">
        <v>2075000</v>
      </c>
      <c r="R256">
        <v>0</v>
      </c>
      <c r="S256">
        <v>0</v>
      </c>
      <c r="T256">
        <v>14490002</v>
      </c>
      <c r="U256">
        <v>0</v>
      </c>
      <c r="V256">
        <v>0</v>
      </c>
      <c r="W256">
        <v>0</v>
      </c>
      <c r="Y256">
        <v>17380</v>
      </c>
      <c r="Z256">
        <v>0</v>
      </c>
      <c r="AA256">
        <v>0</v>
      </c>
      <c r="AB256">
        <v>0</v>
      </c>
      <c r="AC256">
        <v>0</v>
      </c>
      <c r="AD256">
        <v>0</v>
      </c>
      <c r="AE256">
        <v>0</v>
      </c>
      <c r="AF256">
        <v>24775</v>
      </c>
      <c r="AG256">
        <v>0</v>
      </c>
      <c r="AH256">
        <v>0</v>
      </c>
      <c r="AI256">
        <v>4577392</v>
      </c>
      <c r="AJ256">
        <v>0</v>
      </c>
      <c r="AM256">
        <v>0</v>
      </c>
      <c r="AN256">
        <v>0</v>
      </c>
      <c r="AO256">
        <v>0</v>
      </c>
      <c r="AP256">
        <v>0</v>
      </c>
      <c r="AQ256">
        <v>0</v>
      </c>
      <c r="AR256">
        <v>0</v>
      </c>
      <c r="AS256">
        <v>0</v>
      </c>
      <c r="AT256">
        <v>0</v>
      </c>
      <c r="AU256">
        <v>0</v>
      </c>
      <c r="AV256">
        <v>0</v>
      </c>
      <c r="AW256">
        <v>0</v>
      </c>
      <c r="AX256">
        <v>0</v>
      </c>
      <c r="AY256">
        <v>0</v>
      </c>
      <c r="AZ256">
        <v>0</v>
      </c>
      <c r="BA256">
        <v>0</v>
      </c>
      <c r="BB256">
        <v>0</v>
      </c>
      <c r="BC256">
        <v>0</v>
      </c>
      <c r="BD256">
        <v>450000</v>
      </c>
      <c r="BE256">
        <v>0</v>
      </c>
      <c r="BF256">
        <v>0</v>
      </c>
      <c r="BG256">
        <v>0</v>
      </c>
      <c r="BH256">
        <v>0</v>
      </c>
      <c r="BI256">
        <v>0</v>
      </c>
      <c r="BJ256">
        <v>0</v>
      </c>
      <c r="BK256">
        <v>0</v>
      </c>
      <c r="BN256">
        <v>0</v>
      </c>
      <c r="BO256">
        <v>0</v>
      </c>
      <c r="BP256">
        <v>0</v>
      </c>
      <c r="BQ256">
        <v>0</v>
      </c>
      <c r="BR256">
        <v>0</v>
      </c>
      <c r="BS256">
        <v>0</v>
      </c>
      <c r="BT256">
        <v>0</v>
      </c>
      <c r="BU256">
        <v>2325657</v>
      </c>
      <c r="BV256">
        <v>0</v>
      </c>
      <c r="BW256">
        <v>0</v>
      </c>
      <c r="BX256">
        <v>0</v>
      </c>
      <c r="BY256">
        <v>0</v>
      </c>
      <c r="BZ256">
        <v>0</v>
      </c>
      <c r="CA256">
        <v>0</v>
      </c>
      <c r="CB256">
        <v>0</v>
      </c>
      <c r="CD256">
        <v>0</v>
      </c>
    </row>
    <row r="257" spans="1:82" x14ac:dyDescent="0.3">
      <c r="A257">
        <v>1078</v>
      </c>
      <c r="B257" t="s">
        <v>2062</v>
      </c>
      <c r="E257">
        <v>3</v>
      </c>
      <c r="G257">
        <v>3</v>
      </c>
      <c r="H257">
        <v>3</v>
      </c>
      <c r="I257">
        <v>3</v>
      </c>
      <c r="J257">
        <v>3</v>
      </c>
      <c r="K257">
        <v>3</v>
      </c>
      <c r="L257">
        <v>3</v>
      </c>
      <c r="M257">
        <v>3</v>
      </c>
      <c r="N257">
        <v>3</v>
      </c>
      <c r="O257">
        <v>3</v>
      </c>
      <c r="P257">
        <v>3</v>
      </c>
      <c r="Q257">
        <v>3</v>
      </c>
      <c r="R257">
        <v>3</v>
      </c>
      <c r="S257">
        <v>3</v>
      </c>
      <c r="T257">
        <v>3</v>
      </c>
      <c r="U257">
        <v>3</v>
      </c>
      <c r="V257">
        <v>3</v>
      </c>
      <c r="W257">
        <v>3</v>
      </c>
      <c r="Y257">
        <v>3</v>
      </c>
      <c r="Z257">
        <v>3</v>
      </c>
      <c r="AA257">
        <v>3</v>
      </c>
      <c r="AB257">
        <v>3</v>
      </c>
      <c r="AC257">
        <v>3</v>
      </c>
      <c r="AD257">
        <v>3</v>
      </c>
      <c r="AE257">
        <v>3</v>
      </c>
      <c r="AF257">
        <v>3</v>
      </c>
      <c r="AG257">
        <v>3</v>
      </c>
      <c r="AH257">
        <v>3</v>
      </c>
      <c r="AI257">
        <v>3</v>
      </c>
      <c r="AJ257">
        <v>3</v>
      </c>
      <c r="AM257">
        <v>3</v>
      </c>
      <c r="AN257">
        <v>3</v>
      </c>
      <c r="AO257">
        <v>3</v>
      </c>
      <c r="AP257">
        <v>3</v>
      </c>
      <c r="AQ257">
        <v>3</v>
      </c>
      <c r="AR257">
        <v>3</v>
      </c>
      <c r="AS257">
        <v>3</v>
      </c>
      <c r="AT257">
        <v>3</v>
      </c>
      <c r="AU257">
        <v>3</v>
      </c>
      <c r="AV257">
        <v>3</v>
      </c>
      <c r="AW257">
        <v>3</v>
      </c>
      <c r="AX257">
        <v>3</v>
      </c>
      <c r="AY257">
        <v>3</v>
      </c>
      <c r="AZ257">
        <v>3</v>
      </c>
      <c r="BA257">
        <v>3</v>
      </c>
      <c r="BB257">
        <v>3</v>
      </c>
      <c r="BC257">
        <v>3</v>
      </c>
      <c r="BD257">
        <v>3</v>
      </c>
      <c r="BE257">
        <v>3</v>
      </c>
      <c r="BF257">
        <v>3</v>
      </c>
      <c r="BG257">
        <v>3</v>
      </c>
      <c r="BH257">
        <v>3</v>
      </c>
      <c r="BI257">
        <v>3</v>
      </c>
      <c r="BJ257">
        <v>3</v>
      </c>
      <c r="BK257">
        <v>3</v>
      </c>
      <c r="BN257">
        <v>3</v>
      </c>
      <c r="BO257">
        <v>3</v>
      </c>
      <c r="BP257">
        <v>2</v>
      </c>
      <c r="BQ257">
        <v>3</v>
      </c>
      <c r="BR257">
        <v>3</v>
      </c>
      <c r="BS257">
        <v>3</v>
      </c>
      <c r="BT257">
        <v>3</v>
      </c>
      <c r="BU257">
        <v>3</v>
      </c>
      <c r="BV257">
        <v>3</v>
      </c>
      <c r="BW257">
        <v>3</v>
      </c>
      <c r="BX257">
        <v>3</v>
      </c>
      <c r="BY257">
        <v>3</v>
      </c>
      <c r="BZ257">
        <v>3</v>
      </c>
      <c r="CA257">
        <v>3</v>
      </c>
      <c r="CB257">
        <v>3</v>
      </c>
      <c r="CD257">
        <v>3</v>
      </c>
    </row>
    <row r="258" spans="1:82" x14ac:dyDescent="0.3">
      <c r="A258">
        <v>1079</v>
      </c>
      <c r="B258" t="s">
        <v>1960</v>
      </c>
      <c r="E258" t="s">
        <v>1931</v>
      </c>
      <c r="G258" t="s">
        <v>2067</v>
      </c>
      <c r="H258" t="s">
        <v>2627</v>
      </c>
      <c r="I258" t="s">
        <v>2008</v>
      </c>
      <c r="J258" t="s">
        <v>2729</v>
      </c>
      <c r="K258" t="s">
        <v>2008</v>
      </c>
      <c r="L258" t="s">
        <v>2008</v>
      </c>
      <c r="M258" t="s">
        <v>2686</v>
      </c>
      <c r="N258" t="s">
        <v>1997</v>
      </c>
      <c r="O258" t="s">
        <v>2017</v>
      </c>
      <c r="P258" t="s">
        <v>1987</v>
      </c>
      <c r="Q258" t="s">
        <v>2638</v>
      </c>
      <c r="R258" t="s">
        <v>2003</v>
      </c>
      <c r="S258" t="s">
        <v>2630</v>
      </c>
      <c r="T258" t="s">
        <v>2006</v>
      </c>
      <c r="U258" t="s">
        <v>2686</v>
      </c>
      <c r="V258" t="s">
        <v>2019</v>
      </c>
      <c r="W258" t="s">
        <v>2730</v>
      </c>
      <c r="Y258" t="s">
        <v>2067</v>
      </c>
      <c r="Z258" t="s">
        <v>2002</v>
      </c>
      <c r="AA258" t="s">
        <v>2731</v>
      </c>
      <c r="AB258" t="s">
        <v>2732</v>
      </c>
      <c r="AC258" t="s">
        <v>2003</v>
      </c>
      <c r="AD258" t="s">
        <v>2068</v>
      </c>
      <c r="AE258" t="s">
        <v>1987</v>
      </c>
      <c r="AF258" t="s">
        <v>2023</v>
      </c>
      <c r="AG258" t="s">
        <v>2635</v>
      </c>
      <c r="AH258" t="s">
        <v>2023</v>
      </c>
      <c r="AI258" t="s">
        <v>2008</v>
      </c>
      <c r="AJ258" t="s">
        <v>2697</v>
      </c>
      <c r="AM258" t="s">
        <v>2733</v>
      </c>
      <c r="AN258" t="s">
        <v>2019</v>
      </c>
      <c r="AO258" t="s">
        <v>2022</v>
      </c>
      <c r="AP258" t="s">
        <v>2637</v>
      </c>
      <c r="AQ258" t="s">
        <v>2638</v>
      </c>
      <c r="AR258" t="s">
        <v>2008</v>
      </c>
      <c r="AS258" t="s">
        <v>2734</v>
      </c>
      <c r="AT258" t="s">
        <v>2034</v>
      </c>
      <c r="AU258" t="s">
        <v>2008</v>
      </c>
      <c r="AV258" t="s">
        <v>2005</v>
      </c>
      <c r="AW258" t="s">
        <v>2023</v>
      </c>
      <c r="AX258" t="s">
        <v>2019</v>
      </c>
      <c r="AY258" t="s">
        <v>2003</v>
      </c>
      <c r="AZ258" t="s">
        <v>2012</v>
      </c>
      <c r="BA258" t="s">
        <v>2003</v>
      </c>
      <c r="BB258" t="s">
        <v>2020</v>
      </c>
      <c r="BC258" t="s">
        <v>2640</v>
      </c>
      <c r="BD258" t="s">
        <v>2735</v>
      </c>
      <c r="BE258" t="s">
        <v>2011</v>
      </c>
      <c r="BF258" t="s">
        <v>2598</v>
      </c>
      <c r="BG258" t="s">
        <v>2005</v>
      </c>
      <c r="BH258" t="s">
        <v>2026</v>
      </c>
      <c r="BI258" t="s">
        <v>2014</v>
      </c>
      <c r="BJ258" t="s">
        <v>2019</v>
      </c>
      <c r="BK258" t="s">
        <v>2008</v>
      </c>
      <c r="BN258" t="s">
        <v>2736</v>
      </c>
      <c r="BO258" t="s">
        <v>2500</v>
      </c>
      <c r="BP258" t="s">
        <v>2034</v>
      </c>
      <c r="BQ258" t="s">
        <v>2065</v>
      </c>
      <c r="BR258" t="s">
        <v>2026</v>
      </c>
      <c r="BS258" t="s">
        <v>2004</v>
      </c>
      <c r="BT258" t="s">
        <v>2737</v>
      </c>
      <c r="BU258" t="s">
        <v>2023</v>
      </c>
      <c r="BV258" t="s">
        <v>2638</v>
      </c>
      <c r="BW258" t="s">
        <v>2689</v>
      </c>
      <c r="BX258" t="s">
        <v>2644</v>
      </c>
      <c r="BY258" t="s">
        <v>2738</v>
      </c>
      <c r="BZ258" t="s">
        <v>2003</v>
      </c>
      <c r="CA258" t="s">
        <v>2630</v>
      </c>
      <c r="CB258" t="s">
        <v>2739</v>
      </c>
      <c r="CD258" t="s">
        <v>2740</v>
      </c>
    </row>
    <row r="259" spans="1:82" x14ac:dyDescent="0.3">
      <c r="A259">
        <v>9000</v>
      </c>
      <c r="B259" t="s">
        <v>951</v>
      </c>
      <c r="C259" t="s">
        <v>349</v>
      </c>
      <c r="D259">
        <v>50304.01</v>
      </c>
      <c r="E259">
        <v>2979821.2</v>
      </c>
      <c r="F259">
        <v>50306.01</v>
      </c>
      <c r="G259">
        <v>95273673.129999995</v>
      </c>
      <c r="H259">
        <v>91969959.540000007</v>
      </c>
      <c r="I259">
        <v>121056096.87</v>
      </c>
      <c r="J259">
        <v>13223774.029999999</v>
      </c>
      <c r="K259">
        <v>18162649.320999999</v>
      </c>
      <c r="L259">
        <v>11984811.17</v>
      </c>
      <c r="M259">
        <v>640247495.16499996</v>
      </c>
      <c r="N259">
        <v>14078992.380000001</v>
      </c>
      <c r="O259">
        <v>326258618.92000002</v>
      </c>
      <c r="P259">
        <v>4211566.45</v>
      </c>
      <c r="Q259">
        <v>4004473807.8724999</v>
      </c>
      <c r="R259">
        <v>64461333.140000001</v>
      </c>
      <c r="S259">
        <v>2220238</v>
      </c>
      <c r="T259">
        <v>3695849999.29</v>
      </c>
      <c r="U259">
        <v>833108143.95000005</v>
      </c>
      <c r="V259">
        <v>1701087971.73</v>
      </c>
      <c r="W259">
        <v>1467634289.0599999</v>
      </c>
      <c r="X259">
        <v>50315.01</v>
      </c>
      <c r="Y259">
        <v>793378445.59000003</v>
      </c>
      <c r="Z259">
        <v>111394719.44</v>
      </c>
      <c r="AA259">
        <v>962768581.66499996</v>
      </c>
      <c r="AB259">
        <v>260263592.81</v>
      </c>
      <c r="AC259">
        <v>109018485.505</v>
      </c>
      <c r="AD259">
        <v>100637746.51000001</v>
      </c>
      <c r="AE259">
        <v>210379883.91999999</v>
      </c>
      <c r="AF259">
        <v>925410206.27750003</v>
      </c>
      <c r="AG259">
        <v>234008225.88999999</v>
      </c>
      <c r="AH259">
        <v>37146877.289999999</v>
      </c>
      <c r="AI259">
        <v>2405601691.0788002</v>
      </c>
      <c r="AJ259">
        <v>66479872.25</v>
      </c>
      <c r="AK259">
        <v>50326.01</v>
      </c>
      <c r="AL259">
        <v>50328.01</v>
      </c>
      <c r="AM259">
        <v>982376527.16999996</v>
      </c>
      <c r="AN259">
        <v>25537664.780000001</v>
      </c>
      <c r="AO259">
        <v>35408295.259999998</v>
      </c>
      <c r="AP259">
        <v>1852695</v>
      </c>
      <c r="AQ259">
        <v>329598397.41000003</v>
      </c>
      <c r="AR259">
        <v>644944330.74000001</v>
      </c>
      <c r="AS259">
        <v>11806158.82</v>
      </c>
      <c r="AT259">
        <v>160614224.21000001</v>
      </c>
      <c r="AU259">
        <v>13573205.9</v>
      </c>
      <c r="AV259">
        <v>1458809998.76</v>
      </c>
      <c r="AW259">
        <v>93405215.530000001</v>
      </c>
      <c r="AX259">
        <v>126917508.75</v>
      </c>
      <c r="AY259">
        <v>395021661.11390001</v>
      </c>
      <c r="AZ259">
        <v>78161107.590000004</v>
      </c>
      <c r="BA259">
        <v>36821399.520000003</v>
      </c>
      <c r="BB259">
        <v>1356145</v>
      </c>
      <c r="BC259">
        <v>14380879.6</v>
      </c>
      <c r="BD259">
        <v>641088464.66999996</v>
      </c>
      <c r="BE259">
        <v>6738808.1600000001</v>
      </c>
      <c r="BF259">
        <v>28399990.52</v>
      </c>
      <c r="BG259">
        <v>21499988.25</v>
      </c>
      <c r="BH259">
        <v>4169450.11</v>
      </c>
      <c r="BI259">
        <v>25209287.460000001</v>
      </c>
      <c r="BJ259">
        <v>5735351.085</v>
      </c>
      <c r="BK259">
        <v>204641224.31999999</v>
      </c>
      <c r="BL259">
        <v>50346.09</v>
      </c>
      <c r="BM259">
        <v>50347.01</v>
      </c>
      <c r="BN259">
        <v>163239492.903</v>
      </c>
      <c r="BO259">
        <v>77885123.409999996</v>
      </c>
      <c r="BP259">
        <v>58097996.890000001</v>
      </c>
      <c r="BQ259" s="564">
        <f>487297221.075+6596895</f>
        <v>493894116.07499999</v>
      </c>
      <c r="BR259">
        <v>101938980.93000001</v>
      </c>
      <c r="BS259">
        <v>776740812.26999998</v>
      </c>
      <c r="BT259">
        <v>57162365.049999997</v>
      </c>
      <c r="BU259">
        <v>306562072.00330001</v>
      </c>
      <c r="BV259">
        <v>47151707.329999998</v>
      </c>
      <c r="BW259">
        <v>138344344.02000001</v>
      </c>
      <c r="BX259">
        <v>57498832.049999997</v>
      </c>
      <c r="BY259">
        <v>7228327.1900000004</v>
      </c>
      <c r="BZ259">
        <v>46443517.560000002</v>
      </c>
      <c r="CA259">
        <v>22637166.949999999</v>
      </c>
      <c r="CB259">
        <v>77834885.459999993</v>
      </c>
      <c r="CC259">
        <v>50360</v>
      </c>
      <c r="CD259">
        <v>7634720.4000000004</v>
      </c>
    </row>
    <row r="260" spans="1:82" x14ac:dyDescent="0.3">
      <c r="A260">
        <v>9001</v>
      </c>
      <c r="B260" t="s">
        <v>952</v>
      </c>
      <c r="C260" t="s">
        <v>953</v>
      </c>
      <c r="D260">
        <v>0</v>
      </c>
      <c r="E260">
        <v>433917</v>
      </c>
      <c r="F260">
        <v>0</v>
      </c>
      <c r="G260">
        <v>14709404</v>
      </c>
      <c r="H260">
        <v>13380439</v>
      </c>
      <c r="I260">
        <v>16077113</v>
      </c>
      <c r="J260">
        <v>254056</v>
      </c>
      <c r="K260">
        <v>3116005</v>
      </c>
      <c r="L260">
        <v>1580235</v>
      </c>
      <c r="M260">
        <v>113612867</v>
      </c>
      <c r="N260">
        <v>1709503</v>
      </c>
      <c r="O260">
        <v>18925513</v>
      </c>
      <c r="P260">
        <v>596504</v>
      </c>
      <c r="Q260">
        <v>195565577</v>
      </c>
      <c r="R260">
        <v>8303089</v>
      </c>
      <c r="S260">
        <v>312429</v>
      </c>
      <c r="T260">
        <v>339977169</v>
      </c>
      <c r="U260">
        <v>81699933</v>
      </c>
      <c r="V260">
        <v>87668673</v>
      </c>
      <c r="W260">
        <v>283301634</v>
      </c>
      <c r="X260">
        <v>0</v>
      </c>
      <c r="Y260">
        <v>57538314</v>
      </c>
      <c r="Z260">
        <v>3948215</v>
      </c>
      <c r="AA260">
        <v>69907283</v>
      </c>
      <c r="AB260">
        <v>8945562</v>
      </c>
      <c r="AC260">
        <v>11249063</v>
      </c>
      <c r="AD260">
        <v>4335120</v>
      </c>
      <c r="AE260">
        <v>9199274</v>
      </c>
      <c r="AF260">
        <v>95172101</v>
      </c>
      <c r="AG260">
        <v>16922553</v>
      </c>
      <c r="AH260">
        <v>5273693</v>
      </c>
      <c r="AI260">
        <v>130900582</v>
      </c>
      <c r="AJ260">
        <v>9088573</v>
      </c>
      <c r="AK260">
        <v>0</v>
      </c>
      <c r="AL260">
        <v>0</v>
      </c>
      <c r="AM260">
        <v>45311059</v>
      </c>
      <c r="AN260">
        <v>1417938</v>
      </c>
      <c r="AO260">
        <v>1888955</v>
      </c>
      <c r="AP260">
        <v>234393</v>
      </c>
      <c r="AQ260">
        <v>52398919</v>
      </c>
      <c r="AR260">
        <v>100289099</v>
      </c>
      <c r="AS260">
        <v>1207407</v>
      </c>
      <c r="AT260">
        <v>6481934</v>
      </c>
      <c r="AU260">
        <v>599032</v>
      </c>
      <c r="AV260">
        <v>88676621</v>
      </c>
      <c r="AW260">
        <v>17157006</v>
      </c>
      <c r="AX260">
        <v>5412211</v>
      </c>
      <c r="AY260">
        <v>36454843</v>
      </c>
      <c r="AZ260">
        <v>5472274</v>
      </c>
      <c r="BA260">
        <v>4048534</v>
      </c>
      <c r="BB260">
        <v>192244</v>
      </c>
      <c r="BC260">
        <v>1169834</v>
      </c>
      <c r="BD260">
        <v>22311685</v>
      </c>
      <c r="BE260">
        <v>912813</v>
      </c>
      <c r="BF260">
        <v>1264563</v>
      </c>
      <c r="BG260">
        <v>539779</v>
      </c>
      <c r="BH260">
        <v>485462</v>
      </c>
      <c r="BI260">
        <v>831000</v>
      </c>
      <c r="BJ260">
        <v>871998</v>
      </c>
      <c r="BK260">
        <v>11669140</v>
      </c>
      <c r="BL260">
        <v>0</v>
      </c>
      <c r="BM260">
        <v>0</v>
      </c>
      <c r="BN260">
        <v>19901357</v>
      </c>
      <c r="BO260">
        <v>4112814</v>
      </c>
      <c r="BP260">
        <v>5424009</v>
      </c>
      <c r="BQ260">
        <v>58758878</v>
      </c>
      <c r="BR260">
        <v>1933961</v>
      </c>
      <c r="BS260">
        <v>102574749</v>
      </c>
      <c r="BT260">
        <v>2259441</v>
      </c>
      <c r="BU260">
        <v>17259477</v>
      </c>
      <c r="BV260">
        <v>7127931</v>
      </c>
      <c r="BW260">
        <v>6555304</v>
      </c>
      <c r="BX260">
        <v>3605805</v>
      </c>
      <c r="BY260">
        <v>751843</v>
      </c>
      <c r="BZ260">
        <v>2989876</v>
      </c>
      <c r="CA260">
        <v>319674</v>
      </c>
      <c r="CB260">
        <v>4189043</v>
      </c>
      <c r="CC260">
        <v>0</v>
      </c>
      <c r="CD260">
        <v>469148</v>
      </c>
    </row>
    <row r="261" spans="1:82" x14ac:dyDescent="0.3">
      <c r="A261">
        <v>9002</v>
      </c>
      <c r="B261" t="s">
        <v>954</v>
      </c>
      <c r="C261" t="s">
        <v>955</v>
      </c>
      <c r="D261">
        <v>0</v>
      </c>
      <c r="E261">
        <v>44372</v>
      </c>
      <c r="F261">
        <v>0</v>
      </c>
      <c r="G261">
        <v>471823</v>
      </c>
      <c r="H261">
        <v>130761</v>
      </c>
      <c r="I261">
        <v>729507</v>
      </c>
      <c r="J261">
        <v>413</v>
      </c>
      <c r="K261">
        <v>41769</v>
      </c>
      <c r="L261">
        <v>79704</v>
      </c>
      <c r="M261">
        <v>6233712</v>
      </c>
      <c r="N261">
        <v>36680</v>
      </c>
      <c r="O261">
        <v>171171</v>
      </c>
      <c r="P261">
        <v>2448</v>
      </c>
      <c r="Q261">
        <v>11182050</v>
      </c>
      <c r="R261">
        <v>96081</v>
      </c>
      <c r="S261">
        <v>30909</v>
      </c>
      <c r="T261">
        <v>16630229</v>
      </c>
      <c r="U261">
        <v>2678857</v>
      </c>
      <c r="V261">
        <v>3631326</v>
      </c>
      <c r="W261">
        <v>15409685</v>
      </c>
      <c r="X261">
        <v>0</v>
      </c>
      <c r="Y261">
        <v>3630543</v>
      </c>
      <c r="Z261">
        <v>310776</v>
      </c>
      <c r="AA261">
        <v>2351500</v>
      </c>
      <c r="AB261">
        <v>514608</v>
      </c>
      <c r="AC261">
        <v>409601</v>
      </c>
      <c r="AD261">
        <v>127933</v>
      </c>
      <c r="AE261">
        <v>257980</v>
      </c>
      <c r="AF261">
        <v>6292529</v>
      </c>
      <c r="AG261">
        <v>438619</v>
      </c>
      <c r="AH261">
        <v>31571</v>
      </c>
      <c r="AI261">
        <v>5650861</v>
      </c>
      <c r="AJ261">
        <v>9287</v>
      </c>
      <c r="AK261">
        <v>0</v>
      </c>
      <c r="AL261">
        <v>0</v>
      </c>
      <c r="AM261">
        <v>6301607</v>
      </c>
      <c r="AN261">
        <v>42616</v>
      </c>
      <c r="AO261">
        <v>74808</v>
      </c>
      <c r="AP261">
        <v>42355</v>
      </c>
      <c r="AQ261">
        <v>2610386</v>
      </c>
      <c r="AR261">
        <v>248844</v>
      </c>
      <c r="AS261">
        <v>18669</v>
      </c>
      <c r="AT261">
        <v>480987</v>
      </c>
      <c r="AU261">
        <v>27942</v>
      </c>
      <c r="AV261">
        <v>10518521</v>
      </c>
      <c r="AW261">
        <v>2526930</v>
      </c>
      <c r="AX261">
        <v>101056</v>
      </c>
      <c r="AY261">
        <v>1365936</v>
      </c>
      <c r="AZ261">
        <v>287478</v>
      </c>
      <c r="BA261">
        <v>72995</v>
      </c>
      <c r="BB261">
        <v>0</v>
      </c>
      <c r="BC261">
        <v>15506</v>
      </c>
      <c r="BD261">
        <v>726725</v>
      </c>
      <c r="BE261">
        <v>57368</v>
      </c>
      <c r="BF261">
        <v>15322</v>
      </c>
      <c r="BG261">
        <v>11362</v>
      </c>
      <c r="BH261">
        <v>1461</v>
      </c>
      <c r="BI261">
        <v>3548</v>
      </c>
      <c r="BJ261">
        <v>6125</v>
      </c>
      <c r="BK261">
        <v>326729</v>
      </c>
      <c r="BL261">
        <v>0</v>
      </c>
      <c r="BM261">
        <v>0</v>
      </c>
      <c r="BN261">
        <v>687305</v>
      </c>
      <c r="BO261">
        <v>70125</v>
      </c>
      <c r="BP261">
        <v>21215</v>
      </c>
      <c r="BQ261">
        <v>2130797</v>
      </c>
      <c r="BR261">
        <v>77906</v>
      </c>
      <c r="BS261">
        <v>7068800</v>
      </c>
      <c r="BT261">
        <v>70927</v>
      </c>
      <c r="BU261">
        <v>378515</v>
      </c>
      <c r="BV261">
        <v>1258498</v>
      </c>
      <c r="BW261">
        <v>291041</v>
      </c>
      <c r="BX261">
        <v>392320</v>
      </c>
      <c r="BY261">
        <v>61154</v>
      </c>
      <c r="BZ261">
        <v>1230094</v>
      </c>
      <c r="CA261">
        <v>8653</v>
      </c>
      <c r="CB261">
        <v>222816</v>
      </c>
      <c r="CC261">
        <v>0</v>
      </c>
      <c r="CD261">
        <v>2295</v>
      </c>
    </row>
    <row r="262" spans="1:82" x14ac:dyDescent="0.3">
      <c r="A262">
        <v>9003</v>
      </c>
      <c r="B262" t="s">
        <v>956</v>
      </c>
      <c r="C262" t="s">
        <v>957</v>
      </c>
      <c r="D262">
        <v>0</v>
      </c>
      <c r="E262">
        <v>66779</v>
      </c>
      <c r="F262">
        <v>0</v>
      </c>
      <c r="G262">
        <v>1127895</v>
      </c>
      <c r="H262">
        <v>155121</v>
      </c>
      <c r="I262">
        <v>1122928</v>
      </c>
      <c r="J262">
        <v>413</v>
      </c>
      <c r="K262">
        <v>82567</v>
      </c>
      <c r="L262">
        <v>79704</v>
      </c>
      <c r="M262">
        <v>20281745</v>
      </c>
      <c r="N262">
        <v>366655</v>
      </c>
      <c r="O262">
        <v>2592626</v>
      </c>
      <c r="P262">
        <v>2448</v>
      </c>
      <c r="Q262">
        <v>97800642</v>
      </c>
      <c r="R262">
        <v>1586313</v>
      </c>
      <c r="S262">
        <v>30909</v>
      </c>
      <c r="T262">
        <v>174656069</v>
      </c>
      <c r="U262">
        <v>27878572</v>
      </c>
      <c r="V262">
        <v>35478079</v>
      </c>
      <c r="W262">
        <v>77344858</v>
      </c>
      <c r="X262">
        <v>0</v>
      </c>
      <c r="Y262">
        <v>11097445</v>
      </c>
      <c r="Z262">
        <v>854193</v>
      </c>
      <c r="AA262">
        <v>24360808</v>
      </c>
      <c r="AB262">
        <v>3191553</v>
      </c>
      <c r="AC262">
        <v>4407007</v>
      </c>
      <c r="AD262">
        <v>1007928</v>
      </c>
      <c r="AE262">
        <v>3148593</v>
      </c>
      <c r="AF262">
        <v>37602306</v>
      </c>
      <c r="AG262">
        <v>4192944</v>
      </c>
      <c r="AH262">
        <v>296206</v>
      </c>
      <c r="AI262">
        <v>84270580</v>
      </c>
      <c r="AJ262">
        <v>63152</v>
      </c>
      <c r="AK262">
        <v>0</v>
      </c>
      <c r="AL262">
        <v>0</v>
      </c>
      <c r="AM262">
        <v>21700859</v>
      </c>
      <c r="AN262">
        <v>303843</v>
      </c>
      <c r="AO262">
        <v>497318</v>
      </c>
      <c r="AP262">
        <v>42355</v>
      </c>
      <c r="AQ262">
        <v>17470683</v>
      </c>
      <c r="AR262">
        <v>48968277</v>
      </c>
      <c r="AS262">
        <v>416649</v>
      </c>
      <c r="AT262">
        <v>2092390</v>
      </c>
      <c r="AU262">
        <v>49175</v>
      </c>
      <c r="AV262">
        <v>22156388</v>
      </c>
      <c r="AW262">
        <v>5613354</v>
      </c>
      <c r="AX262">
        <v>820366</v>
      </c>
      <c r="AY262">
        <v>10180945</v>
      </c>
      <c r="AZ262">
        <v>639866</v>
      </c>
      <c r="BA262">
        <v>306801</v>
      </c>
      <c r="BB262">
        <v>0</v>
      </c>
      <c r="BC262">
        <v>65506</v>
      </c>
      <c r="BD262">
        <v>16267593</v>
      </c>
      <c r="BE262">
        <v>57368</v>
      </c>
      <c r="BF262">
        <v>155377</v>
      </c>
      <c r="BG262">
        <v>137092</v>
      </c>
      <c r="BH262">
        <v>1461</v>
      </c>
      <c r="BI262">
        <v>67841</v>
      </c>
      <c r="BJ262">
        <v>6125</v>
      </c>
      <c r="BK262">
        <v>4915708</v>
      </c>
      <c r="BL262">
        <v>0</v>
      </c>
      <c r="BM262">
        <v>0</v>
      </c>
      <c r="BN262">
        <v>3960156</v>
      </c>
      <c r="BO262">
        <v>1376425</v>
      </c>
      <c r="BP262">
        <v>1867206</v>
      </c>
      <c r="BQ262">
        <v>10529906</v>
      </c>
      <c r="BR262">
        <v>934645</v>
      </c>
      <c r="BS262">
        <v>43393681</v>
      </c>
      <c r="BT262">
        <v>467919</v>
      </c>
      <c r="BU262">
        <v>4440501</v>
      </c>
      <c r="BV262">
        <v>1258498</v>
      </c>
      <c r="BW262">
        <v>1743567</v>
      </c>
      <c r="BX262">
        <v>1285812</v>
      </c>
      <c r="BY262">
        <v>61154</v>
      </c>
      <c r="BZ262">
        <v>1300287</v>
      </c>
      <c r="CA262">
        <v>9043</v>
      </c>
      <c r="CB262">
        <v>991822</v>
      </c>
      <c r="CC262">
        <v>0</v>
      </c>
      <c r="CD262">
        <v>2295</v>
      </c>
    </row>
    <row r="263" spans="1:82" x14ac:dyDescent="0.3">
      <c r="A263">
        <v>9004</v>
      </c>
      <c r="B263" t="s">
        <v>958</v>
      </c>
      <c r="C263" t="s">
        <v>959</v>
      </c>
      <c r="D263" t="s">
        <v>960</v>
      </c>
      <c r="E263" t="s">
        <v>349</v>
      </c>
      <c r="F263" t="s">
        <v>960</v>
      </c>
      <c r="G263" t="s">
        <v>349</v>
      </c>
      <c r="H263" t="s">
        <v>349</v>
      </c>
      <c r="I263" t="s">
        <v>349</v>
      </c>
      <c r="J263" t="s">
        <v>960</v>
      </c>
      <c r="K263" t="s">
        <v>349</v>
      </c>
      <c r="L263" t="s">
        <v>349</v>
      </c>
      <c r="M263" t="s">
        <v>349</v>
      </c>
      <c r="N263" t="s">
        <v>349</v>
      </c>
      <c r="O263" t="s">
        <v>960</v>
      </c>
      <c r="P263" t="s">
        <v>349</v>
      </c>
      <c r="Q263" t="s">
        <v>960</v>
      </c>
      <c r="R263" t="s">
        <v>960</v>
      </c>
      <c r="S263" t="s">
        <v>349</v>
      </c>
      <c r="T263" t="s">
        <v>960</v>
      </c>
      <c r="U263" t="s">
        <v>960</v>
      </c>
      <c r="V263" t="s">
        <v>960</v>
      </c>
      <c r="W263" t="s">
        <v>349</v>
      </c>
      <c r="X263" t="s">
        <v>960</v>
      </c>
      <c r="Y263" t="s">
        <v>960</v>
      </c>
      <c r="Z263" t="s">
        <v>960</v>
      </c>
      <c r="AA263" t="s">
        <v>960</v>
      </c>
      <c r="AB263" t="s">
        <v>960</v>
      </c>
      <c r="AC263" t="s">
        <v>960</v>
      </c>
      <c r="AD263" t="s">
        <v>960</v>
      </c>
      <c r="AE263" t="s">
        <v>960</v>
      </c>
      <c r="AF263" t="s">
        <v>960</v>
      </c>
      <c r="AG263" t="s">
        <v>960</v>
      </c>
      <c r="AH263" t="s">
        <v>349</v>
      </c>
      <c r="AI263" t="s">
        <v>960</v>
      </c>
      <c r="AJ263" t="s">
        <v>960</v>
      </c>
      <c r="AK263" t="s">
        <v>960</v>
      </c>
      <c r="AL263" t="s">
        <v>960</v>
      </c>
      <c r="AM263" t="s">
        <v>960</v>
      </c>
      <c r="AN263" t="s">
        <v>960</v>
      </c>
      <c r="AO263" t="s">
        <v>960</v>
      </c>
      <c r="AP263" t="s">
        <v>349</v>
      </c>
      <c r="AQ263" t="s">
        <v>349</v>
      </c>
      <c r="AR263" t="s">
        <v>960</v>
      </c>
      <c r="AS263" t="s">
        <v>349</v>
      </c>
      <c r="AT263" t="s">
        <v>960</v>
      </c>
      <c r="AU263" t="s">
        <v>349</v>
      </c>
      <c r="AV263" t="s">
        <v>960</v>
      </c>
      <c r="AW263" t="s">
        <v>349</v>
      </c>
      <c r="AX263" t="s">
        <v>960</v>
      </c>
      <c r="AY263" t="s">
        <v>960</v>
      </c>
      <c r="AZ263" t="s">
        <v>960</v>
      </c>
      <c r="BA263" t="s">
        <v>960</v>
      </c>
      <c r="BB263" t="s">
        <v>349</v>
      </c>
      <c r="BC263" t="s">
        <v>960</v>
      </c>
      <c r="BD263" t="s">
        <v>960</v>
      </c>
      <c r="BE263" t="s">
        <v>349</v>
      </c>
      <c r="BF263" t="s">
        <v>960</v>
      </c>
      <c r="BG263" t="s">
        <v>960</v>
      </c>
      <c r="BH263" t="s">
        <v>349</v>
      </c>
      <c r="BI263" t="s">
        <v>960</v>
      </c>
      <c r="BJ263" t="s">
        <v>349</v>
      </c>
      <c r="BK263" t="s">
        <v>960</v>
      </c>
      <c r="BL263" t="s">
        <v>960</v>
      </c>
      <c r="BM263" t="s">
        <v>960</v>
      </c>
      <c r="BN263" t="s">
        <v>960</v>
      </c>
      <c r="BO263" t="s">
        <v>960</v>
      </c>
      <c r="BP263" t="s">
        <v>960</v>
      </c>
      <c r="BQ263" t="s">
        <v>349</v>
      </c>
      <c r="BR263" t="s">
        <v>960</v>
      </c>
      <c r="BS263" t="s">
        <v>349</v>
      </c>
      <c r="BT263" t="s">
        <v>960</v>
      </c>
      <c r="BU263" t="s">
        <v>960</v>
      </c>
      <c r="BV263" t="s">
        <v>349</v>
      </c>
      <c r="BW263" t="s">
        <v>960</v>
      </c>
      <c r="BX263" t="s">
        <v>960</v>
      </c>
      <c r="BY263" t="s">
        <v>960</v>
      </c>
      <c r="BZ263" t="s">
        <v>960</v>
      </c>
      <c r="CA263" t="s">
        <v>960</v>
      </c>
      <c r="CB263" t="s">
        <v>960</v>
      </c>
      <c r="CC263" t="s">
        <v>349</v>
      </c>
      <c r="CD263" t="s">
        <v>960</v>
      </c>
    </row>
    <row r="264" spans="1:82" x14ac:dyDescent="0.3">
      <c r="A264">
        <v>9005</v>
      </c>
      <c r="B264" t="s">
        <v>961</v>
      </c>
      <c r="C264" t="s">
        <v>962</v>
      </c>
      <c r="D264">
        <v>0</v>
      </c>
      <c r="E264">
        <v>151771</v>
      </c>
      <c r="F264">
        <v>0</v>
      </c>
      <c r="G264">
        <v>5855407</v>
      </c>
      <c r="H264">
        <v>7595024</v>
      </c>
      <c r="I264">
        <v>7565321</v>
      </c>
      <c r="J264">
        <v>178735</v>
      </c>
      <c r="K264">
        <v>1345166</v>
      </c>
      <c r="L264">
        <v>1010630</v>
      </c>
      <c r="M264">
        <v>9763063</v>
      </c>
      <c r="N264">
        <v>837392</v>
      </c>
      <c r="O264">
        <v>9381560</v>
      </c>
      <c r="P264">
        <v>418778</v>
      </c>
      <c r="Q264">
        <v>27904818</v>
      </c>
      <c r="R264">
        <v>982087</v>
      </c>
      <c r="S264">
        <v>141883</v>
      </c>
      <c r="T264">
        <v>81225590</v>
      </c>
      <c r="U264">
        <v>10213951</v>
      </c>
      <c r="V264">
        <v>30786635</v>
      </c>
      <c r="W264">
        <v>32827270</v>
      </c>
      <c r="X264">
        <v>0</v>
      </c>
      <c r="Y264">
        <v>14733038</v>
      </c>
      <c r="Z264">
        <v>782960</v>
      </c>
      <c r="AA264">
        <v>22983618</v>
      </c>
      <c r="AB264">
        <v>803286</v>
      </c>
      <c r="AC264">
        <v>2183251</v>
      </c>
      <c r="AD264">
        <v>1913595</v>
      </c>
      <c r="AE264">
        <v>3646494</v>
      </c>
      <c r="AF264">
        <v>17875508</v>
      </c>
      <c r="AG264">
        <v>4190800</v>
      </c>
      <c r="AH264">
        <v>2133478</v>
      </c>
      <c r="AI264">
        <v>23169126</v>
      </c>
      <c r="AJ264">
        <v>4049525</v>
      </c>
      <c r="AK264">
        <v>0</v>
      </c>
      <c r="AL264">
        <v>0</v>
      </c>
      <c r="AM264">
        <v>8362508</v>
      </c>
      <c r="AN264">
        <v>786523</v>
      </c>
      <c r="AO264">
        <v>1066619</v>
      </c>
      <c r="AP264">
        <v>101396</v>
      </c>
      <c r="AQ264">
        <v>6990676</v>
      </c>
      <c r="AR264">
        <v>11110583</v>
      </c>
      <c r="AS264">
        <v>499908</v>
      </c>
      <c r="AT264">
        <v>1523333</v>
      </c>
      <c r="AU264">
        <v>226828</v>
      </c>
      <c r="AV264">
        <v>25672803</v>
      </c>
      <c r="AW264">
        <v>2778884</v>
      </c>
      <c r="AX264">
        <v>1155544</v>
      </c>
      <c r="AY264">
        <v>10841156</v>
      </c>
      <c r="AZ264">
        <v>2302332</v>
      </c>
      <c r="BA264">
        <v>856402</v>
      </c>
      <c r="BB264">
        <v>145225</v>
      </c>
      <c r="BC264">
        <v>603150</v>
      </c>
      <c r="BD264">
        <v>9135368</v>
      </c>
      <c r="BE264">
        <v>712549</v>
      </c>
      <c r="BF264">
        <v>942274</v>
      </c>
      <c r="BG264">
        <v>227676</v>
      </c>
      <c r="BH264">
        <v>365572</v>
      </c>
      <c r="BI264">
        <v>495481</v>
      </c>
      <c r="BJ264">
        <v>350090</v>
      </c>
      <c r="BK264">
        <v>1245387</v>
      </c>
      <c r="BL264">
        <v>0</v>
      </c>
      <c r="BM264">
        <v>0</v>
      </c>
      <c r="BN264">
        <v>2774569</v>
      </c>
      <c r="BO264">
        <v>1690476</v>
      </c>
      <c r="BP264">
        <v>1802008</v>
      </c>
      <c r="BQ264">
        <v>17124084</v>
      </c>
      <c r="BR264">
        <v>449321</v>
      </c>
      <c r="BS264">
        <v>18983824</v>
      </c>
      <c r="BT264">
        <v>719196</v>
      </c>
      <c r="BU264">
        <v>5950451</v>
      </c>
      <c r="BV264">
        <v>2653596</v>
      </c>
      <c r="BW264">
        <v>1603951</v>
      </c>
      <c r="BX264">
        <v>2183017</v>
      </c>
      <c r="BY264">
        <v>227053</v>
      </c>
      <c r="BZ264">
        <v>262353</v>
      </c>
      <c r="CA264">
        <v>177613</v>
      </c>
      <c r="CB264">
        <v>762296</v>
      </c>
      <c r="CC264">
        <v>0</v>
      </c>
      <c r="CD264">
        <v>373121</v>
      </c>
    </row>
    <row r="265" spans="1:82" x14ac:dyDescent="0.3">
      <c r="A265">
        <v>9006</v>
      </c>
      <c r="B265" t="s">
        <v>963</v>
      </c>
      <c r="C265" t="s">
        <v>964</v>
      </c>
      <c r="D265">
        <v>0</v>
      </c>
      <c r="E265">
        <v>69181</v>
      </c>
      <c r="F265">
        <v>0</v>
      </c>
      <c r="G265">
        <v>2122318</v>
      </c>
      <c r="H265">
        <v>2871021</v>
      </c>
      <c r="I265">
        <v>4940828</v>
      </c>
      <c r="J265">
        <v>59788</v>
      </c>
      <c r="K265">
        <v>340936</v>
      </c>
      <c r="L265">
        <v>239315</v>
      </c>
      <c r="M265">
        <v>17263873</v>
      </c>
      <c r="N265">
        <v>659807</v>
      </c>
      <c r="O265">
        <v>5446171</v>
      </c>
      <c r="P265">
        <v>86412</v>
      </c>
      <c r="Q265">
        <v>53151931</v>
      </c>
      <c r="R265">
        <v>1794233</v>
      </c>
      <c r="S265">
        <v>47069</v>
      </c>
      <c r="T265">
        <v>89163402</v>
      </c>
      <c r="U265">
        <v>22721130</v>
      </c>
      <c r="V265">
        <v>23179172</v>
      </c>
      <c r="W265">
        <v>49185450</v>
      </c>
      <c r="X265">
        <v>0</v>
      </c>
      <c r="Y265">
        <v>17958687</v>
      </c>
      <c r="Z265">
        <v>1619591</v>
      </c>
      <c r="AA265">
        <v>18344754</v>
      </c>
      <c r="AB265">
        <v>5062051</v>
      </c>
      <c r="AC265">
        <v>2808103</v>
      </c>
      <c r="AD265">
        <v>2308633</v>
      </c>
      <c r="AE265">
        <v>3190435</v>
      </c>
      <c r="AF265">
        <v>22904984</v>
      </c>
      <c r="AG265">
        <v>9875729</v>
      </c>
      <c r="AH265">
        <v>449423</v>
      </c>
      <c r="AI265">
        <v>38231474</v>
      </c>
      <c r="AJ265">
        <v>562146</v>
      </c>
      <c r="AK265">
        <v>0</v>
      </c>
      <c r="AL265">
        <v>0</v>
      </c>
      <c r="AM265">
        <v>15886545</v>
      </c>
      <c r="AN265">
        <v>485564</v>
      </c>
      <c r="AO265">
        <v>641957</v>
      </c>
      <c r="AP265">
        <v>36390</v>
      </c>
      <c r="AQ265">
        <v>5978095</v>
      </c>
      <c r="AR265">
        <v>8426460</v>
      </c>
      <c r="AS265">
        <v>696617</v>
      </c>
      <c r="AT265">
        <v>3102232</v>
      </c>
      <c r="AU265">
        <v>240066</v>
      </c>
      <c r="AV265">
        <v>14782326</v>
      </c>
      <c r="AW265">
        <v>3032921</v>
      </c>
      <c r="AX265">
        <v>2219679</v>
      </c>
      <c r="AY265">
        <v>10299729</v>
      </c>
      <c r="AZ265">
        <v>1343391</v>
      </c>
      <c r="BA265">
        <v>1677185</v>
      </c>
      <c r="BB265">
        <v>18201</v>
      </c>
      <c r="BC265">
        <v>268904</v>
      </c>
      <c r="BD265">
        <v>9552410</v>
      </c>
      <c r="BE265">
        <v>87581</v>
      </c>
      <c r="BF265">
        <v>471987</v>
      </c>
      <c r="BG265">
        <v>211956</v>
      </c>
      <c r="BH265">
        <v>106453</v>
      </c>
      <c r="BI265">
        <v>392349</v>
      </c>
      <c r="BJ265">
        <v>192736</v>
      </c>
      <c r="BK265">
        <v>4853178</v>
      </c>
      <c r="BL265">
        <v>0</v>
      </c>
      <c r="BM265">
        <v>0</v>
      </c>
      <c r="BN265">
        <v>7416493</v>
      </c>
      <c r="BO265">
        <v>2166349</v>
      </c>
      <c r="BP265">
        <v>2121732</v>
      </c>
      <c r="BQ265">
        <v>25475038</v>
      </c>
      <c r="BR265">
        <v>1384064</v>
      </c>
      <c r="BS265">
        <v>23074635</v>
      </c>
      <c r="BT265">
        <v>782770</v>
      </c>
      <c r="BU265">
        <v>8083627</v>
      </c>
      <c r="BV265">
        <v>754882</v>
      </c>
      <c r="BW265">
        <v>2093658</v>
      </c>
      <c r="BX265">
        <v>1190685</v>
      </c>
      <c r="BY265">
        <v>132891</v>
      </c>
      <c r="BZ265">
        <v>171617</v>
      </c>
      <c r="CA265">
        <v>210823</v>
      </c>
      <c r="CB265">
        <v>1497628</v>
      </c>
      <c r="CC265">
        <v>0</v>
      </c>
      <c r="CD265">
        <v>125796</v>
      </c>
    </row>
    <row r="266" spans="1:82" x14ac:dyDescent="0.3">
      <c r="A266">
        <v>9007</v>
      </c>
      <c r="B266" t="s">
        <v>1531</v>
      </c>
      <c r="C266" t="s">
        <v>965</v>
      </c>
      <c r="D266">
        <v>0</v>
      </c>
      <c r="E266">
        <v>2.1938</v>
      </c>
      <c r="F266">
        <v>0</v>
      </c>
      <c r="G266">
        <v>2.7589999999999999</v>
      </c>
      <c r="H266">
        <v>2.6454</v>
      </c>
      <c r="I266">
        <v>1.5311999999999999</v>
      </c>
      <c r="J266">
        <v>2.9895</v>
      </c>
      <c r="K266">
        <v>3.9455</v>
      </c>
      <c r="L266">
        <v>4.2229999999999999</v>
      </c>
      <c r="M266">
        <v>0.5655</v>
      </c>
      <c r="N266">
        <v>1.2690999999999999</v>
      </c>
      <c r="O266">
        <v>1.7225999999999999</v>
      </c>
      <c r="P266">
        <v>4.8463000000000003</v>
      </c>
      <c r="Q266">
        <v>0.52500000000000002</v>
      </c>
      <c r="R266">
        <v>0.5474</v>
      </c>
      <c r="S266">
        <v>3.0144000000000002</v>
      </c>
      <c r="T266">
        <v>0.91100000000000003</v>
      </c>
      <c r="U266">
        <v>0.44950000000000001</v>
      </c>
      <c r="V266">
        <v>1.3282</v>
      </c>
      <c r="W266">
        <v>0.66739999999999999</v>
      </c>
      <c r="X266">
        <v>0</v>
      </c>
      <c r="Y266">
        <v>0.82040000000000002</v>
      </c>
      <c r="Z266">
        <v>0.4834</v>
      </c>
      <c r="AA266">
        <v>1.2528999999999999</v>
      </c>
      <c r="AB266">
        <v>0.15870000000000001</v>
      </c>
      <c r="AC266">
        <v>0.77749999999999997</v>
      </c>
      <c r="AD266">
        <v>0.82889999999999997</v>
      </c>
      <c r="AE266">
        <v>1.1429</v>
      </c>
      <c r="AF266">
        <v>0.78039999999999998</v>
      </c>
      <c r="AG266">
        <v>0.4244</v>
      </c>
      <c r="AH266">
        <v>4.7470999999999997</v>
      </c>
      <c r="AI266">
        <v>0.60599999999999998</v>
      </c>
      <c r="AJ266">
        <v>7.2037000000000004</v>
      </c>
      <c r="AK266">
        <v>0</v>
      </c>
      <c r="AL266">
        <v>0</v>
      </c>
      <c r="AM266">
        <v>0.52639999999999998</v>
      </c>
      <c r="AN266">
        <v>1.6197999999999999</v>
      </c>
      <c r="AO266">
        <v>1.6615</v>
      </c>
      <c r="AP266">
        <v>2.7864</v>
      </c>
      <c r="AQ266">
        <v>1.1694</v>
      </c>
      <c r="AR266">
        <v>1.3185</v>
      </c>
      <c r="AS266">
        <v>0.71760000000000002</v>
      </c>
      <c r="AT266">
        <v>0.49099999999999999</v>
      </c>
      <c r="AU266">
        <v>0.94489999999999996</v>
      </c>
      <c r="AV266">
        <v>1.7366999999999999</v>
      </c>
      <c r="AW266">
        <v>0.91620000000000001</v>
      </c>
      <c r="AX266">
        <v>0.52059999999999995</v>
      </c>
      <c r="AY266">
        <v>1.0526</v>
      </c>
      <c r="AZ266">
        <v>1.7138</v>
      </c>
      <c r="BA266">
        <v>0.51060000000000005</v>
      </c>
      <c r="BB266">
        <v>7.9790000000000001</v>
      </c>
      <c r="BC266">
        <v>2.2429999999999999</v>
      </c>
      <c r="BD266">
        <v>0.95630000000000004</v>
      </c>
      <c r="BE266">
        <v>8.1358999999999995</v>
      </c>
      <c r="BF266">
        <v>1.9964</v>
      </c>
      <c r="BG266">
        <v>1.0742</v>
      </c>
      <c r="BH266">
        <v>3.4340999999999999</v>
      </c>
      <c r="BI266">
        <v>1.2628999999999999</v>
      </c>
      <c r="BJ266">
        <v>1.8164</v>
      </c>
      <c r="BK266">
        <v>0.25659999999999999</v>
      </c>
      <c r="BL266">
        <v>0</v>
      </c>
      <c r="BM266">
        <v>0</v>
      </c>
      <c r="BN266">
        <v>0.37409999999999999</v>
      </c>
      <c r="BO266">
        <v>0.78029999999999999</v>
      </c>
      <c r="BP266">
        <v>0.84930000000000005</v>
      </c>
      <c r="BQ266">
        <v>0.67220000000000002</v>
      </c>
      <c r="BR266">
        <v>0.3246</v>
      </c>
      <c r="BS266">
        <v>0.82269999999999999</v>
      </c>
      <c r="BT266">
        <v>0.91879999999999995</v>
      </c>
      <c r="BU266">
        <v>0.73609999999999998</v>
      </c>
      <c r="BV266">
        <v>3.5152000000000001</v>
      </c>
      <c r="BW266">
        <v>0.7661</v>
      </c>
      <c r="BX266">
        <v>1.8333999999999999</v>
      </c>
      <c r="BY266">
        <v>1.7085999999999999</v>
      </c>
      <c r="BZ266">
        <v>1.5286999999999999</v>
      </c>
      <c r="CA266">
        <v>0.84250000000000003</v>
      </c>
      <c r="CB266">
        <v>0.50900000000000001</v>
      </c>
      <c r="CC266">
        <v>0</v>
      </c>
      <c r="CD266">
        <v>2.9661</v>
      </c>
    </row>
    <row r="267" spans="1:82" x14ac:dyDescent="0.3">
      <c r="A267">
        <v>9008</v>
      </c>
      <c r="B267" t="s">
        <v>966</v>
      </c>
      <c r="C267" t="s">
        <v>349</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row>
    <row r="268" spans="1:82" x14ac:dyDescent="0.3">
      <c r="A268">
        <v>9010</v>
      </c>
      <c r="B268" t="s">
        <v>967</v>
      </c>
      <c r="C268" t="s">
        <v>968</v>
      </c>
      <c r="D268">
        <v>0</v>
      </c>
      <c r="E268">
        <v>0</v>
      </c>
      <c r="F268">
        <v>0</v>
      </c>
      <c r="G268">
        <v>0</v>
      </c>
      <c r="H268">
        <v>0</v>
      </c>
      <c r="I268">
        <v>0</v>
      </c>
      <c r="J268">
        <v>6.34</v>
      </c>
      <c r="K268">
        <v>0</v>
      </c>
      <c r="L268">
        <v>0</v>
      </c>
      <c r="M268">
        <v>0</v>
      </c>
      <c r="N268">
        <v>0</v>
      </c>
      <c r="O268">
        <v>10.92</v>
      </c>
      <c r="P268">
        <v>0</v>
      </c>
      <c r="Q268">
        <v>35.57</v>
      </c>
      <c r="R268">
        <v>20.14</v>
      </c>
      <c r="S268">
        <v>0</v>
      </c>
      <c r="T268">
        <v>5.39</v>
      </c>
      <c r="U268">
        <v>4.95</v>
      </c>
      <c r="V268">
        <v>11.8</v>
      </c>
      <c r="W268">
        <v>0</v>
      </c>
      <c r="X268">
        <v>0</v>
      </c>
      <c r="Y268">
        <v>9.99</v>
      </c>
      <c r="Z268">
        <v>4.42</v>
      </c>
      <c r="AA268">
        <v>13.2</v>
      </c>
      <c r="AB268">
        <v>3.65</v>
      </c>
      <c r="AC268">
        <v>9.5399999999999991</v>
      </c>
      <c r="AD268">
        <v>2.11</v>
      </c>
      <c r="AE268">
        <v>16.059999999999999</v>
      </c>
      <c r="AF268">
        <v>15.36</v>
      </c>
      <c r="AG268">
        <v>5.66</v>
      </c>
      <c r="AH268">
        <v>0</v>
      </c>
      <c r="AI268">
        <v>5.29</v>
      </c>
      <c r="AJ268">
        <v>10.029999999999999</v>
      </c>
      <c r="AK268">
        <v>0</v>
      </c>
      <c r="AL268">
        <v>0</v>
      </c>
      <c r="AM268">
        <v>2.2799999999999998</v>
      </c>
      <c r="AN268">
        <v>6.08</v>
      </c>
      <c r="AO268">
        <v>0.37</v>
      </c>
      <c r="AP268">
        <v>0</v>
      </c>
      <c r="AQ268">
        <v>0</v>
      </c>
      <c r="AR268">
        <v>8.84</v>
      </c>
      <c r="AS268">
        <v>0</v>
      </c>
      <c r="AT268">
        <v>10.6</v>
      </c>
      <c r="AU268">
        <v>0</v>
      </c>
      <c r="AV268">
        <v>21.12</v>
      </c>
      <c r="AW268">
        <v>0</v>
      </c>
      <c r="AX268">
        <v>2.52</v>
      </c>
      <c r="AY268">
        <v>151.65</v>
      </c>
      <c r="AZ268">
        <v>8.66</v>
      </c>
      <c r="BA268">
        <v>6.24</v>
      </c>
      <c r="BB268">
        <v>0</v>
      </c>
      <c r="BC268">
        <v>14.78</v>
      </c>
      <c r="BD268">
        <v>3.79</v>
      </c>
      <c r="BE268">
        <v>0</v>
      </c>
      <c r="BF268">
        <v>1.19</v>
      </c>
      <c r="BG268">
        <v>0</v>
      </c>
      <c r="BH268">
        <v>0</v>
      </c>
      <c r="BI268">
        <v>35.67</v>
      </c>
      <c r="BJ268">
        <v>0</v>
      </c>
      <c r="BK268">
        <v>6.71</v>
      </c>
      <c r="BL268">
        <v>0</v>
      </c>
      <c r="BM268">
        <v>0</v>
      </c>
      <c r="BN268">
        <v>13.52</v>
      </c>
      <c r="BO268">
        <v>15.14</v>
      </c>
      <c r="BP268">
        <v>11.58</v>
      </c>
      <c r="BQ268">
        <v>0</v>
      </c>
      <c r="BR268">
        <v>5.74</v>
      </c>
      <c r="BS268">
        <v>0</v>
      </c>
      <c r="BT268">
        <v>8.59</v>
      </c>
      <c r="BU268">
        <v>29.99</v>
      </c>
      <c r="BV268">
        <v>0</v>
      </c>
      <c r="BW268">
        <v>1.66</v>
      </c>
      <c r="BX268">
        <v>170.63</v>
      </c>
      <c r="BY268">
        <v>0.3</v>
      </c>
      <c r="BZ268">
        <v>6.86</v>
      </c>
      <c r="CA268">
        <v>6.61</v>
      </c>
      <c r="CB268">
        <v>2.0499999999999998</v>
      </c>
      <c r="CC268">
        <v>0</v>
      </c>
      <c r="CD268">
        <v>0</v>
      </c>
    </row>
    <row r="269" spans="1:82" x14ac:dyDescent="0.3">
      <c r="A269">
        <v>9011</v>
      </c>
      <c r="B269" t="s">
        <v>1673</v>
      </c>
      <c r="C269" t="s">
        <v>969</v>
      </c>
      <c r="D269">
        <v>0</v>
      </c>
      <c r="E269">
        <v>0</v>
      </c>
      <c r="F269">
        <v>0</v>
      </c>
      <c r="G269">
        <v>0</v>
      </c>
      <c r="H269">
        <v>0</v>
      </c>
      <c r="I269">
        <v>0</v>
      </c>
      <c r="J269">
        <v>-23331</v>
      </c>
      <c r="K269">
        <v>0</v>
      </c>
      <c r="L269">
        <v>0</v>
      </c>
      <c r="M269">
        <v>0</v>
      </c>
      <c r="N269">
        <v>0</v>
      </c>
      <c r="O269">
        <v>1462367</v>
      </c>
      <c r="P269">
        <v>0</v>
      </c>
      <c r="Q269">
        <v>15492964</v>
      </c>
      <c r="R269">
        <v>22187</v>
      </c>
      <c r="S269">
        <v>0</v>
      </c>
      <c r="T269">
        <v>7669139</v>
      </c>
      <c r="U269">
        <v>305593</v>
      </c>
      <c r="V269">
        <v>3004178</v>
      </c>
      <c r="W269">
        <v>0</v>
      </c>
      <c r="X269">
        <v>0</v>
      </c>
      <c r="Y269">
        <v>1473055</v>
      </c>
      <c r="Z269">
        <v>-54447</v>
      </c>
      <c r="AA269">
        <v>4238297</v>
      </c>
      <c r="AB269">
        <v>18803</v>
      </c>
      <c r="AC269">
        <v>166476</v>
      </c>
      <c r="AD269">
        <v>-1622</v>
      </c>
      <c r="AE269">
        <v>368084</v>
      </c>
      <c r="AF269">
        <v>551911</v>
      </c>
      <c r="AG269">
        <v>1109361</v>
      </c>
      <c r="AH269">
        <v>0</v>
      </c>
      <c r="AI269">
        <v>-437830</v>
      </c>
      <c r="AJ269">
        <v>109626</v>
      </c>
      <c r="AK269">
        <v>0</v>
      </c>
      <c r="AL269">
        <v>0</v>
      </c>
      <c r="AM269">
        <v>1225326</v>
      </c>
      <c r="AN269">
        <v>124235</v>
      </c>
      <c r="AO269">
        <v>-44507</v>
      </c>
      <c r="AP269">
        <v>0</v>
      </c>
      <c r="AQ269">
        <v>0</v>
      </c>
      <c r="AR269">
        <v>613785</v>
      </c>
      <c r="AS269">
        <v>0</v>
      </c>
      <c r="AT269">
        <v>378998</v>
      </c>
      <c r="AU269">
        <v>0</v>
      </c>
      <c r="AV269">
        <v>224763</v>
      </c>
      <c r="AW269">
        <v>0</v>
      </c>
      <c r="AX269">
        <v>53952</v>
      </c>
      <c r="AY269">
        <v>584323</v>
      </c>
      <c r="AZ269">
        <v>45705</v>
      </c>
      <c r="BA269">
        <v>87271</v>
      </c>
      <c r="BB269">
        <v>0</v>
      </c>
      <c r="BC269">
        <v>-5775</v>
      </c>
      <c r="BD269">
        <v>935044</v>
      </c>
      <c r="BE269">
        <v>0</v>
      </c>
      <c r="BF269">
        <v>22836</v>
      </c>
      <c r="BG269">
        <v>26543</v>
      </c>
      <c r="BH269">
        <v>0</v>
      </c>
      <c r="BI269">
        <v>146073</v>
      </c>
      <c r="BJ269">
        <v>0</v>
      </c>
      <c r="BK269">
        <v>153553</v>
      </c>
      <c r="BL269">
        <v>0</v>
      </c>
      <c r="BM269">
        <v>0</v>
      </c>
      <c r="BN269">
        <v>313099</v>
      </c>
      <c r="BO269">
        <v>208740</v>
      </c>
      <c r="BP269">
        <v>130465</v>
      </c>
      <c r="BQ269">
        <v>0</v>
      </c>
      <c r="BR269">
        <v>160112</v>
      </c>
      <c r="BS269">
        <v>0</v>
      </c>
      <c r="BT269">
        <v>-60890</v>
      </c>
      <c r="BU269">
        <v>2575332</v>
      </c>
      <c r="BV269">
        <v>0</v>
      </c>
      <c r="BW269">
        <v>236846</v>
      </c>
      <c r="BX269">
        <v>75582</v>
      </c>
      <c r="BY269">
        <v>-57</v>
      </c>
      <c r="BZ269">
        <v>101829</v>
      </c>
      <c r="CA269">
        <v>22566</v>
      </c>
      <c r="CB269">
        <v>80670</v>
      </c>
      <c r="CC269">
        <v>0</v>
      </c>
      <c r="CD269">
        <v>12864</v>
      </c>
    </row>
    <row r="270" spans="1:82" x14ac:dyDescent="0.3">
      <c r="A270">
        <v>9012</v>
      </c>
      <c r="B270" t="s">
        <v>1674</v>
      </c>
      <c r="C270" t="s">
        <v>969</v>
      </c>
      <c r="D270">
        <v>0</v>
      </c>
      <c r="E270">
        <v>0</v>
      </c>
      <c r="F270">
        <v>0</v>
      </c>
      <c r="G270">
        <v>0</v>
      </c>
      <c r="H270">
        <v>0</v>
      </c>
      <c r="I270">
        <v>0</v>
      </c>
      <c r="J270">
        <v>0.27289999999999998</v>
      </c>
      <c r="K270">
        <v>0</v>
      </c>
      <c r="L270">
        <v>0</v>
      </c>
      <c r="M270">
        <v>0</v>
      </c>
      <c r="N270">
        <v>0</v>
      </c>
      <c r="O270">
        <v>0.80289999999999995</v>
      </c>
      <c r="P270">
        <v>0</v>
      </c>
      <c r="Q270">
        <v>5.7443999999999997</v>
      </c>
      <c r="R270">
        <v>2.2031999999999998</v>
      </c>
      <c r="S270">
        <v>0</v>
      </c>
      <c r="T270">
        <v>2.0175000000000001</v>
      </c>
      <c r="U270">
        <v>1.0412999999999999</v>
      </c>
      <c r="V270">
        <v>1.3484</v>
      </c>
      <c r="W270">
        <v>0</v>
      </c>
      <c r="X270">
        <v>0</v>
      </c>
      <c r="Y270">
        <v>1.3173999999999999</v>
      </c>
      <c r="Z270">
        <v>0.98360000000000003</v>
      </c>
      <c r="AA270">
        <v>1.673</v>
      </c>
      <c r="AB270">
        <v>0.84289999999999998</v>
      </c>
      <c r="AC270">
        <v>0.99099999999999999</v>
      </c>
      <c r="AD270">
        <v>0.54049999999999998</v>
      </c>
      <c r="AE270">
        <v>1.1054999999999999</v>
      </c>
      <c r="AF270">
        <v>1.1603000000000001</v>
      </c>
      <c r="AG270">
        <v>0.73609999999999998</v>
      </c>
      <c r="AH270">
        <v>0</v>
      </c>
      <c r="AI270">
        <v>0.73019999999999996</v>
      </c>
      <c r="AJ270">
        <v>0.77380000000000004</v>
      </c>
      <c r="AK270">
        <v>0</v>
      </c>
      <c r="AL270">
        <v>0</v>
      </c>
      <c r="AM270">
        <v>0.54849999999999999</v>
      </c>
      <c r="AN270">
        <v>0.2243</v>
      </c>
      <c r="AO270">
        <v>0</v>
      </c>
      <c r="AP270">
        <v>0</v>
      </c>
      <c r="AQ270">
        <v>0</v>
      </c>
      <c r="AR270">
        <v>0.7268</v>
      </c>
      <c r="AS270">
        <v>0</v>
      </c>
      <c r="AT270">
        <v>0.61409999999999998</v>
      </c>
      <c r="AU270">
        <v>0</v>
      </c>
      <c r="AV270">
        <v>1.7985</v>
      </c>
      <c r="AW270">
        <v>0</v>
      </c>
      <c r="AX270">
        <v>0.45269999999999999</v>
      </c>
      <c r="AY270">
        <v>5.5598999999999998</v>
      </c>
      <c r="AZ270">
        <v>1.7367999999999999</v>
      </c>
      <c r="BA270">
        <v>1.1536</v>
      </c>
      <c r="BB270">
        <v>0</v>
      </c>
      <c r="BC270">
        <v>1.139</v>
      </c>
      <c r="BD270">
        <v>1.5463</v>
      </c>
      <c r="BE270">
        <v>0</v>
      </c>
      <c r="BF270">
        <v>0.88300000000000001</v>
      </c>
      <c r="BG270">
        <v>1.4869000000000001</v>
      </c>
      <c r="BH270">
        <v>0</v>
      </c>
      <c r="BI270">
        <v>2.5720999999999998</v>
      </c>
      <c r="BJ270">
        <v>0</v>
      </c>
      <c r="BK270">
        <v>0.7258</v>
      </c>
      <c r="BL270">
        <v>0</v>
      </c>
      <c r="BM270">
        <v>0</v>
      </c>
      <c r="BN270">
        <v>1.4217</v>
      </c>
      <c r="BO270">
        <v>0.46939999999999998</v>
      </c>
      <c r="BP270">
        <v>3.6579000000000002</v>
      </c>
      <c r="BQ270">
        <v>0</v>
      </c>
      <c r="BR270">
        <v>1.3942000000000001</v>
      </c>
      <c r="BS270">
        <v>0</v>
      </c>
      <c r="BT270">
        <v>0.90490000000000004</v>
      </c>
      <c r="BU270">
        <v>1.577</v>
      </c>
      <c r="BV270">
        <v>0</v>
      </c>
      <c r="BW270">
        <v>0.30080000000000001</v>
      </c>
      <c r="BX270">
        <v>5.1736000000000004</v>
      </c>
      <c r="BY270">
        <v>5.0900000000000001E-2</v>
      </c>
      <c r="BZ270">
        <v>2.6505999999999998</v>
      </c>
      <c r="CA270">
        <v>0.45269999999999999</v>
      </c>
      <c r="CB270">
        <v>1.8793</v>
      </c>
      <c r="CC270">
        <v>0</v>
      </c>
      <c r="CD270">
        <v>3.49E-2</v>
      </c>
    </row>
    <row r="271" spans="1:82" x14ac:dyDescent="0.3">
      <c r="A271">
        <v>9013</v>
      </c>
      <c r="B271" t="s">
        <v>970</v>
      </c>
      <c r="C271" t="s">
        <v>971</v>
      </c>
      <c r="D271">
        <v>0</v>
      </c>
      <c r="E271">
        <v>0</v>
      </c>
      <c r="F271">
        <v>0</v>
      </c>
      <c r="G271">
        <v>0</v>
      </c>
      <c r="H271">
        <v>0</v>
      </c>
      <c r="I271">
        <v>0</v>
      </c>
      <c r="J271">
        <v>6.34</v>
      </c>
      <c r="K271">
        <v>0</v>
      </c>
      <c r="L271">
        <v>0</v>
      </c>
      <c r="M271">
        <v>0</v>
      </c>
      <c r="N271">
        <v>0</v>
      </c>
      <c r="O271">
        <v>10.92</v>
      </c>
      <c r="P271">
        <v>0</v>
      </c>
      <c r="Q271">
        <v>35.57</v>
      </c>
      <c r="R271">
        <v>20.14</v>
      </c>
      <c r="S271">
        <v>0</v>
      </c>
      <c r="T271">
        <v>5.39</v>
      </c>
      <c r="U271">
        <v>4.95</v>
      </c>
      <c r="V271">
        <v>11.8</v>
      </c>
      <c r="W271">
        <v>0</v>
      </c>
      <c r="X271">
        <v>0</v>
      </c>
      <c r="Y271">
        <v>9.99</v>
      </c>
      <c r="Z271">
        <v>4.42</v>
      </c>
      <c r="AA271">
        <v>13.2</v>
      </c>
      <c r="AB271">
        <v>3.65</v>
      </c>
      <c r="AC271">
        <v>9.5399999999999991</v>
      </c>
      <c r="AD271">
        <v>2.11</v>
      </c>
      <c r="AE271">
        <v>16.059999999999999</v>
      </c>
      <c r="AF271">
        <v>15.36</v>
      </c>
      <c r="AG271">
        <v>5.66</v>
      </c>
      <c r="AH271">
        <v>0</v>
      </c>
      <c r="AI271">
        <v>5.29</v>
      </c>
      <c r="AJ271">
        <v>10.029999999999999</v>
      </c>
      <c r="AK271">
        <v>0</v>
      </c>
      <c r="AL271">
        <v>0</v>
      </c>
      <c r="AM271">
        <v>2.2799999999999998</v>
      </c>
      <c r="AN271">
        <v>6.08</v>
      </c>
      <c r="AO271">
        <v>0.37</v>
      </c>
      <c r="AP271">
        <v>0</v>
      </c>
      <c r="AQ271">
        <v>0</v>
      </c>
      <c r="AR271">
        <v>8.84</v>
      </c>
      <c r="AS271">
        <v>0</v>
      </c>
      <c r="AT271">
        <v>10.6</v>
      </c>
      <c r="AU271">
        <v>0</v>
      </c>
      <c r="AV271">
        <v>21.12</v>
      </c>
      <c r="AW271">
        <v>0</v>
      </c>
      <c r="AX271">
        <v>2.52</v>
      </c>
      <c r="AY271">
        <v>151.65</v>
      </c>
      <c r="AZ271">
        <v>8.66</v>
      </c>
      <c r="BA271">
        <v>6.24</v>
      </c>
      <c r="BB271">
        <v>0</v>
      </c>
      <c r="BC271">
        <v>14.78</v>
      </c>
      <c r="BD271">
        <v>3.79</v>
      </c>
      <c r="BE271">
        <v>0</v>
      </c>
      <c r="BF271">
        <v>1.19</v>
      </c>
      <c r="BG271">
        <v>0</v>
      </c>
      <c r="BH271">
        <v>0</v>
      </c>
      <c r="BI271">
        <v>35.67</v>
      </c>
      <c r="BJ271">
        <v>0</v>
      </c>
      <c r="BK271">
        <v>6.71</v>
      </c>
      <c r="BL271">
        <v>0</v>
      </c>
      <c r="BM271">
        <v>0</v>
      </c>
      <c r="BN271">
        <v>13.52</v>
      </c>
      <c r="BO271">
        <v>15.14</v>
      </c>
      <c r="BP271">
        <v>11.58</v>
      </c>
      <c r="BQ271">
        <v>0</v>
      </c>
      <c r="BR271">
        <v>5.74</v>
      </c>
      <c r="BS271">
        <v>0</v>
      </c>
      <c r="BT271">
        <v>8.59</v>
      </c>
      <c r="BU271">
        <v>29.99</v>
      </c>
      <c r="BV271">
        <v>0</v>
      </c>
      <c r="BW271">
        <v>1.66</v>
      </c>
      <c r="BX271">
        <v>170.63</v>
      </c>
      <c r="BY271">
        <v>0.3</v>
      </c>
      <c r="BZ271">
        <v>6.86</v>
      </c>
      <c r="CA271">
        <v>6.61</v>
      </c>
      <c r="CB271">
        <v>2.0499999999999998</v>
      </c>
      <c r="CC271">
        <v>0</v>
      </c>
      <c r="CD271">
        <v>0</v>
      </c>
    </row>
    <row r="272" spans="1:82" x14ac:dyDescent="0.3">
      <c r="A272">
        <v>9014</v>
      </c>
      <c r="B272" t="s">
        <v>972</v>
      </c>
      <c r="C272" t="s">
        <v>973</v>
      </c>
      <c r="D272">
        <v>0</v>
      </c>
      <c r="E272">
        <v>0</v>
      </c>
      <c r="F272">
        <v>0</v>
      </c>
      <c r="G272">
        <v>0</v>
      </c>
      <c r="H272">
        <v>0</v>
      </c>
      <c r="I272">
        <v>0</v>
      </c>
      <c r="J272">
        <v>0</v>
      </c>
      <c r="K272">
        <v>0</v>
      </c>
      <c r="L272">
        <v>0</v>
      </c>
      <c r="M272">
        <v>0</v>
      </c>
      <c r="N272">
        <v>0</v>
      </c>
      <c r="O272">
        <v>0</v>
      </c>
      <c r="P272">
        <v>0</v>
      </c>
      <c r="Q272">
        <v>18.23</v>
      </c>
      <c r="R272">
        <v>0</v>
      </c>
      <c r="S272">
        <v>0</v>
      </c>
      <c r="T272">
        <v>0</v>
      </c>
      <c r="U272">
        <v>0</v>
      </c>
      <c r="V272">
        <v>10.38</v>
      </c>
      <c r="W272">
        <v>0</v>
      </c>
      <c r="X272">
        <v>0</v>
      </c>
      <c r="Y272">
        <v>0</v>
      </c>
      <c r="Z272">
        <v>0</v>
      </c>
      <c r="AA272">
        <v>0</v>
      </c>
      <c r="AB272">
        <v>0</v>
      </c>
      <c r="AC272">
        <v>0</v>
      </c>
      <c r="AD272">
        <v>0</v>
      </c>
      <c r="AE272">
        <v>0</v>
      </c>
      <c r="AF272">
        <v>0</v>
      </c>
      <c r="AG272">
        <v>0</v>
      </c>
      <c r="AH272">
        <v>0</v>
      </c>
      <c r="AI272">
        <v>3.68</v>
      </c>
      <c r="AJ272">
        <v>0</v>
      </c>
      <c r="AK272">
        <v>0</v>
      </c>
      <c r="AL272">
        <v>0</v>
      </c>
      <c r="AM272">
        <v>8.65</v>
      </c>
      <c r="AN272">
        <v>0</v>
      </c>
      <c r="AO272">
        <v>0</v>
      </c>
      <c r="AP272">
        <v>0</v>
      </c>
      <c r="AQ272">
        <v>0</v>
      </c>
      <c r="AR272">
        <v>0</v>
      </c>
      <c r="AS272">
        <v>0</v>
      </c>
      <c r="AT272">
        <v>0</v>
      </c>
      <c r="AU272">
        <v>38.04</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16.38</v>
      </c>
      <c r="BS272">
        <v>4.55</v>
      </c>
      <c r="BT272">
        <v>0</v>
      </c>
      <c r="BU272">
        <v>0</v>
      </c>
      <c r="BV272">
        <v>0</v>
      </c>
      <c r="BW272">
        <v>0</v>
      </c>
      <c r="BX272">
        <v>0</v>
      </c>
      <c r="BY272">
        <v>0</v>
      </c>
      <c r="BZ272">
        <v>0</v>
      </c>
      <c r="CA272">
        <v>0</v>
      </c>
      <c r="CB272">
        <v>0</v>
      </c>
      <c r="CC272">
        <v>0</v>
      </c>
      <c r="CD272">
        <v>0</v>
      </c>
    </row>
    <row r="273" spans="1:104" x14ac:dyDescent="0.3">
      <c r="A273">
        <v>9015</v>
      </c>
      <c r="B273" t="s">
        <v>1675</v>
      </c>
      <c r="C273" t="s">
        <v>349</v>
      </c>
      <c r="D273">
        <v>0</v>
      </c>
      <c r="E273">
        <v>0</v>
      </c>
      <c r="F273">
        <v>0</v>
      </c>
      <c r="G273">
        <v>0</v>
      </c>
      <c r="H273">
        <v>0</v>
      </c>
      <c r="I273">
        <v>0</v>
      </c>
      <c r="J273">
        <v>0</v>
      </c>
      <c r="K273">
        <v>0</v>
      </c>
      <c r="L273">
        <v>0</v>
      </c>
      <c r="M273">
        <v>0</v>
      </c>
      <c r="N273">
        <v>0</v>
      </c>
      <c r="O273">
        <v>0</v>
      </c>
      <c r="P273">
        <v>0</v>
      </c>
      <c r="Q273">
        <v>9657175</v>
      </c>
      <c r="R273">
        <v>0</v>
      </c>
      <c r="S273">
        <v>0</v>
      </c>
      <c r="T273">
        <v>0</v>
      </c>
      <c r="U273">
        <v>0</v>
      </c>
      <c r="V273">
        <v>2499378</v>
      </c>
      <c r="W273">
        <v>0</v>
      </c>
      <c r="X273">
        <v>0</v>
      </c>
      <c r="Y273">
        <v>0</v>
      </c>
      <c r="Z273">
        <v>0</v>
      </c>
      <c r="AA273">
        <v>0</v>
      </c>
      <c r="AB273">
        <v>0</v>
      </c>
      <c r="AC273">
        <v>0</v>
      </c>
      <c r="AD273">
        <v>0</v>
      </c>
      <c r="AE273">
        <v>0</v>
      </c>
      <c r="AF273">
        <v>0</v>
      </c>
      <c r="AG273">
        <v>0</v>
      </c>
      <c r="AH273">
        <v>0</v>
      </c>
      <c r="AI273">
        <v>169345</v>
      </c>
      <c r="AJ273">
        <v>0</v>
      </c>
      <c r="AK273">
        <v>0</v>
      </c>
      <c r="AL273">
        <v>0</v>
      </c>
      <c r="AM273">
        <v>1908146</v>
      </c>
      <c r="AN273">
        <v>0</v>
      </c>
      <c r="AO273">
        <v>0</v>
      </c>
      <c r="AP273">
        <v>0</v>
      </c>
      <c r="AQ273">
        <v>0</v>
      </c>
      <c r="AR273">
        <v>0</v>
      </c>
      <c r="AS273">
        <v>0</v>
      </c>
      <c r="AT273">
        <v>0</v>
      </c>
      <c r="AU273">
        <v>33459</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795395</v>
      </c>
      <c r="BS273">
        <v>2146362</v>
      </c>
      <c r="BT273">
        <v>0</v>
      </c>
      <c r="BU273">
        <v>0</v>
      </c>
      <c r="BV273">
        <v>0</v>
      </c>
      <c r="BW273">
        <v>0</v>
      </c>
      <c r="BX273">
        <v>0</v>
      </c>
      <c r="BY273">
        <v>0</v>
      </c>
      <c r="BZ273">
        <v>0</v>
      </c>
      <c r="CA273">
        <v>0</v>
      </c>
      <c r="CB273">
        <v>0</v>
      </c>
      <c r="CC273">
        <v>0</v>
      </c>
      <c r="CD273">
        <v>0</v>
      </c>
    </row>
    <row r="274" spans="1:104" x14ac:dyDescent="0.3">
      <c r="A274">
        <v>9016</v>
      </c>
      <c r="B274" t="s">
        <v>1676</v>
      </c>
      <c r="C274" t="s">
        <v>349</v>
      </c>
      <c r="D274">
        <v>0</v>
      </c>
      <c r="E274">
        <v>0</v>
      </c>
      <c r="F274">
        <v>0</v>
      </c>
      <c r="G274">
        <v>0</v>
      </c>
      <c r="H274">
        <v>0</v>
      </c>
      <c r="I274">
        <v>0</v>
      </c>
      <c r="J274">
        <v>0</v>
      </c>
      <c r="K274">
        <v>0</v>
      </c>
      <c r="L274">
        <v>0</v>
      </c>
      <c r="M274">
        <v>0</v>
      </c>
      <c r="N274">
        <v>0</v>
      </c>
      <c r="O274">
        <v>0</v>
      </c>
      <c r="P274">
        <v>0</v>
      </c>
      <c r="Q274">
        <v>1.6442000000000001</v>
      </c>
      <c r="R274">
        <v>0</v>
      </c>
      <c r="S274">
        <v>0</v>
      </c>
      <c r="T274">
        <v>0</v>
      </c>
      <c r="U274">
        <v>0</v>
      </c>
      <c r="V274">
        <v>0.72040000000000004</v>
      </c>
      <c r="W274">
        <v>0</v>
      </c>
      <c r="X274">
        <v>0</v>
      </c>
      <c r="Y274">
        <v>0</v>
      </c>
      <c r="Z274">
        <v>0</v>
      </c>
      <c r="AA274">
        <v>0</v>
      </c>
      <c r="AB274">
        <v>0</v>
      </c>
      <c r="AC274">
        <v>0</v>
      </c>
      <c r="AD274">
        <v>0</v>
      </c>
      <c r="AE274">
        <v>0</v>
      </c>
      <c r="AF274">
        <v>0</v>
      </c>
      <c r="AG274">
        <v>0</v>
      </c>
      <c r="AH274">
        <v>0</v>
      </c>
      <c r="AI274">
        <v>0.24260000000000001</v>
      </c>
      <c r="AJ274">
        <v>0</v>
      </c>
      <c r="AK274">
        <v>0</v>
      </c>
      <c r="AL274">
        <v>0</v>
      </c>
      <c r="AM274">
        <v>0.84409999999999996</v>
      </c>
      <c r="AN274">
        <v>0</v>
      </c>
      <c r="AO274">
        <v>0</v>
      </c>
      <c r="AP274">
        <v>0</v>
      </c>
      <c r="AQ274">
        <v>0</v>
      </c>
      <c r="AR274">
        <v>0</v>
      </c>
      <c r="AS274">
        <v>0</v>
      </c>
      <c r="AT274">
        <v>0</v>
      </c>
      <c r="AU274">
        <v>1.8788</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1.2484999999999999</v>
      </c>
      <c r="BS274">
        <v>0.2964</v>
      </c>
      <c r="BT274">
        <v>0</v>
      </c>
      <c r="BU274">
        <v>0</v>
      </c>
      <c r="BV274">
        <v>0</v>
      </c>
      <c r="BW274">
        <v>0</v>
      </c>
      <c r="BX274">
        <v>0</v>
      </c>
      <c r="BY274">
        <v>0</v>
      </c>
      <c r="BZ274">
        <v>0</v>
      </c>
      <c r="CA274">
        <v>0</v>
      </c>
      <c r="CB274">
        <v>0</v>
      </c>
      <c r="CC274">
        <v>0</v>
      </c>
      <c r="CD274">
        <v>0</v>
      </c>
    </row>
    <row r="275" spans="1:104" x14ac:dyDescent="0.3">
      <c r="A275">
        <v>9017</v>
      </c>
      <c r="B275" t="s">
        <v>974</v>
      </c>
      <c r="C275" t="s">
        <v>975</v>
      </c>
      <c r="D275">
        <v>0</v>
      </c>
      <c r="E275">
        <v>0</v>
      </c>
      <c r="F275">
        <v>0</v>
      </c>
      <c r="G275">
        <v>0</v>
      </c>
      <c r="H275">
        <v>0</v>
      </c>
      <c r="I275">
        <v>0</v>
      </c>
      <c r="J275">
        <v>0</v>
      </c>
      <c r="K275">
        <v>0</v>
      </c>
      <c r="L275">
        <v>0</v>
      </c>
      <c r="M275">
        <v>0</v>
      </c>
      <c r="N275">
        <v>0</v>
      </c>
      <c r="O275">
        <v>0</v>
      </c>
      <c r="P275">
        <v>0</v>
      </c>
      <c r="Q275">
        <v>18.23</v>
      </c>
      <c r="R275">
        <v>0</v>
      </c>
      <c r="S275">
        <v>0</v>
      </c>
      <c r="T275">
        <v>0</v>
      </c>
      <c r="U275">
        <v>0</v>
      </c>
      <c r="V275">
        <v>10.38</v>
      </c>
      <c r="W275">
        <v>0</v>
      </c>
      <c r="X275">
        <v>0</v>
      </c>
      <c r="Y275">
        <v>0</v>
      </c>
      <c r="Z275">
        <v>0</v>
      </c>
      <c r="AA275">
        <v>0</v>
      </c>
      <c r="AB275">
        <v>0</v>
      </c>
      <c r="AC275">
        <v>0</v>
      </c>
      <c r="AD275">
        <v>0</v>
      </c>
      <c r="AE275">
        <v>0</v>
      </c>
      <c r="AF275">
        <v>0</v>
      </c>
      <c r="AG275">
        <v>0</v>
      </c>
      <c r="AH275">
        <v>0</v>
      </c>
      <c r="AI275">
        <v>3.68</v>
      </c>
      <c r="AJ275">
        <v>0</v>
      </c>
      <c r="AK275">
        <v>0</v>
      </c>
      <c r="AL275">
        <v>0</v>
      </c>
      <c r="AM275">
        <v>8.65</v>
      </c>
      <c r="AN275">
        <v>0</v>
      </c>
      <c r="AO275">
        <v>0</v>
      </c>
      <c r="AP275">
        <v>0</v>
      </c>
      <c r="AQ275">
        <v>0</v>
      </c>
      <c r="AR275">
        <v>0</v>
      </c>
      <c r="AS275">
        <v>0</v>
      </c>
      <c r="AT275">
        <v>0</v>
      </c>
      <c r="AU275">
        <v>38.04</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16.38</v>
      </c>
      <c r="BS275">
        <v>4.55</v>
      </c>
      <c r="BT275">
        <v>0</v>
      </c>
      <c r="BU275">
        <v>0</v>
      </c>
      <c r="BV275">
        <v>0</v>
      </c>
      <c r="BW275">
        <v>0</v>
      </c>
      <c r="BX275">
        <v>0</v>
      </c>
      <c r="BY275">
        <v>0</v>
      </c>
      <c r="BZ275">
        <v>0</v>
      </c>
      <c r="CA275">
        <v>0</v>
      </c>
      <c r="CB275">
        <v>0</v>
      </c>
      <c r="CC275">
        <v>0</v>
      </c>
      <c r="CD275">
        <v>0</v>
      </c>
    </row>
    <row r="276" spans="1:104" x14ac:dyDescent="0.3">
      <c r="A276">
        <v>9018</v>
      </c>
      <c r="B276" t="s">
        <v>976</v>
      </c>
      <c r="C276" t="s">
        <v>977</v>
      </c>
      <c r="D276">
        <v>0</v>
      </c>
      <c r="E276">
        <v>44372</v>
      </c>
      <c r="F276">
        <v>0</v>
      </c>
      <c r="G276">
        <v>456968</v>
      </c>
      <c r="H276">
        <v>130761</v>
      </c>
      <c r="I276">
        <v>85549</v>
      </c>
      <c r="J276">
        <v>413</v>
      </c>
      <c r="K276">
        <v>41769</v>
      </c>
      <c r="L276">
        <v>9341</v>
      </c>
      <c r="M276">
        <v>5864320</v>
      </c>
      <c r="N276">
        <v>36680</v>
      </c>
      <c r="O276">
        <v>171171</v>
      </c>
      <c r="P276">
        <v>2448</v>
      </c>
      <c r="Q276">
        <v>8588110</v>
      </c>
      <c r="R276">
        <v>96081</v>
      </c>
      <c r="S276">
        <v>30909</v>
      </c>
      <c r="T276">
        <v>15892876</v>
      </c>
      <c r="U276">
        <v>2019712</v>
      </c>
      <c r="V276">
        <v>3511874</v>
      </c>
      <c r="W276">
        <v>13958340</v>
      </c>
      <c r="X276">
        <v>0</v>
      </c>
      <c r="Y276">
        <v>3328217</v>
      </c>
      <c r="Z276">
        <v>310776</v>
      </c>
      <c r="AA276">
        <v>2110306</v>
      </c>
      <c r="AB276">
        <v>479608</v>
      </c>
      <c r="AC276">
        <v>412576</v>
      </c>
      <c r="AD276">
        <v>71161</v>
      </c>
      <c r="AE276">
        <v>208980</v>
      </c>
      <c r="AF276">
        <v>5148630</v>
      </c>
      <c r="AG276">
        <v>438619</v>
      </c>
      <c r="AH276">
        <v>31571</v>
      </c>
      <c r="AI276">
        <v>6071163</v>
      </c>
      <c r="AJ276">
        <v>224916</v>
      </c>
      <c r="AK276">
        <v>0</v>
      </c>
      <c r="AL276">
        <v>0</v>
      </c>
      <c r="AM276">
        <v>7858202</v>
      </c>
      <c r="AN276">
        <v>42616</v>
      </c>
      <c r="AO276">
        <v>73110</v>
      </c>
      <c r="AP276">
        <v>42355</v>
      </c>
      <c r="AQ276">
        <v>2360003</v>
      </c>
      <c r="AR276">
        <v>248844</v>
      </c>
      <c r="AS276">
        <v>18669</v>
      </c>
      <c r="AT276">
        <v>296312</v>
      </c>
      <c r="AU276">
        <v>11526</v>
      </c>
      <c r="AV276">
        <v>10518521</v>
      </c>
      <c r="AW276">
        <v>2492535</v>
      </c>
      <c r="AX276">
        <v>68056</v>
      </c>
      <c r="AY276">
        <v>1293980</v>
      </c>
      <c r="AZ276">
        <v>287478</v>
      </c>
      <c r="BA276">
        <v>70101</v>
      </c>
      <c r="BB276">
        <v>0</v>
      </c>
      <c r="BC276">
        <v>11956</v>
      </c>
      <c r="BD276">
        <v>726725</v>
      </c>
      <c r="BE276">
        <v>1227</v>
      </c>
      <c r="BF276">
        <v>15322</v>
      </c>
      <c r="BG276">
        <v>30925</v>
      </c>
      <c r="BH276">
        <v>1461</v>
      </c>
      <c r="BI276">
        <v>3548</v>
      </c>
      <c r="BJ276">
        <v>6125</v>
      </c>
      <c r="BK276">
        <v>326729</v>
      </c>
      <c r="BL276">
        <v>0</v>
      </c>
      <c r="BM276">
        <v>0</v>
      </c>
      <c r="BN276">
        <v>551115</v>
      </c>
      <c r="BO276">
        <v>92474</v>
      </c>
      <c r="BP276">
        <v>21215</v>
      </c>
      <c r="BQ276">
        <v>1576869</v>
      </c>
      <c r="BR276">
        <v>118986</v>
      </c>
      <c r="BS276">
        <v>5019623</v>
      </c>
      <c r="BT276">
        <v>66927</v>
      </c>
      <c r="BU276">
        <v>378515</v>
      </c>
      <c r="BV276">
        <v>29756</v>
      </c>
      <c r="BW276">
        <v>276029</v>
      </c>
      <c r="BX276">
        <v>54314</v>
      </c>
      <c r="BY276">
        <v>61154</v>
      </c>
      <c r="BZ276">
        <v>1230094</v>
      </c>
      <c r="CA276">
        <v>8653</v>
      </c>
      <c r="CB276">
        <v>202816</v>
      </c>
      <c r="CC276">
        <v>0</v>
      </c>
      <c r="CD276">
        <v>26463</v>
      </c>
    </row>
    <row r="277" spans="1:104" x14ac:dyDescent="0.3">
      <c r="A277">
        <v>9019</v>
      </c>
      <c r="B277" t="s">
        <v>978</v>
      </c>
      <c r="C277" t="s">
        <v>979</v>
      </c>
      <c r="D277">
        <v>0</v>
      </c>
      <c r="E277">
        <v>44372</v>
      </c>
      <c r="F277">
        <v>0</v>
      </c>
      <c r="G277">
        <v>456968</v>
      </c>
      <c r="H277">
        <v>130761</v>
      </c>
      <c r="I277">
        <v>85549</v>
      </c>
      <c r="J277">
        <v>413</v>
      </c>
      <c r="K277">
        <v>41769</v>
      </c>
      <c r="L277">
        <v>9341</v>
      </c>
      <c r="M277">
        <v>5864320</v>
      </c>
      <c r="N277">
        <v>36680</v>
      </c>
      <c r="O277">
        <v>171171</v>
      </c>
      <c r="P277">
        <v>2448</v>
      </c>
      <c r="Q277">
        <v>8588110</v>
      </c>
      <c r="R277">
        <v>96081</v>
      </c>
      <c r="S277">
        <v>30909</v>
      </c>
      <c r="T277">
        <v>15892876</v>
      </c>
      <c r="U277">
        <v>2019712</v>
      </c>
      <c r="V277">
        <v>3511874</v>
      </c>
      <c r="W277">
        <v>13958340</v>
      </c>
      <c r="X277">
        <v>0</v>
      </c>
      <c r="Y277">
        <v>3328217</v>
      </c>
      <c r="Z277">
        <v>310776</v>
      </c>
      <c r="AA277">
        <v>2110306</v>
      </c>
      <c r="AB277">
        <v>479608</v>
      </c>
      <c r="AC277">
        <v>412576</v>
      </c>
      <c r="AD277">
        <v>71161</v>
      </c>
      <c r="AE277">
        <v>208980</v>
      </c>
      <c r="AF277">
        <v>5148630</v>
      </c>
      <c r="AG277">
        <v>438619</v>
      </c>
      <c r="AH277">
        <v>31571</v>
      </c>
      <c r="AI277">
        <v>6071163</v>
      </c>
      <c r="AJ277">
        <v>224916</v>
      </c>
      <c r="AK277">
        <v>0</v>
      </c>
      <c r="AL277">
        <v>0</v>
      </c>
      <c r="AM277">
        <v>7858202</v>
      </c>
      <c r="AN277">
        <v>42616</v>
      </c>
      <c r="AO277">
        <v>73110</v>
      </c>
      <c r="AP277">
        <v>42355</v>
      </c>
      <c r="AQ277">
        <v>2360003</v>
      </c>
      <c r="AR277">
        <v>248844</v>
      </c>
      <c r="AS277">
        <v>18669</v>
      </c>
      <c r="AT277">
        <v>296312</v>
      </c>
      <c r="AU277">
        <v>11526</v>
      </c>
      <c r="AV277">
        <v>10518521</v>
      </c>
      <c r="AW277">
        <v>2492535</v>
      </c>
      <c r="AX277">
        <v>68056</v>
      </c>
      <c r="AY277">
        <v>1293980</v>
      </c>
      <c r="AZ277">
        <v>287478</v>
      </c>
      <c r="BA277">
        <v>70101</v>
      </c>
      <c r="BB277">
        <v>0</v>
      </c>
      <c r="BC277">
        <v>11956</v>
      </c>
      <c r="BD277">
        <v>726725</v>
      </c>
      <c r="BE277">
        <v>1227</v>
      </c>
      <c r="BF277">
        <v>15322</v>
      </c>
      <c r="BG277">
        <v>30925</v>
      </c>
      <c r="BH277">
        <v>1461</v>
      </c>
      <c r="BI277">
        <v>3548</v>
      </c>
      <c r="BJ277">
        <v>6125</v>
      </c>
      <c r="BK277">
        <v>326729</v>
      </c>
      <c r="BL277">
        <v>0</v>
      </c>
      <c r="BM277">
        <v>0</v>
      </c>
      <c r="BN277">
        <v>551115</v>
      </c>
      <c r="BO277">
        <v>92474</v>
      </c>
      <c r="BP277">
        <v>21215</v>
      </c>
      <c r="BQ277">
        <v>1576869</v>
      </c>
      <c r="BR277">
        <v>118986</v>
      </c>
      <c r="BS277">
        <v>5019623</v>
      </c>
      <c r="BT277">
        <v>66927</v>
      </c>
      <c r="BU277">
        <v>378515</v>
      </c>
      <c r="BV277">
        <v>29756</v>
      </c>
      <c r="BW277">
        <v>276029</v>
      </c>
      <c r="BX277">
        <v>54314</v>
      </c>
      <c r="BY277">
        <v>61154</v>
      </c>
      <c r="BZ277">
        <v>1230094</v>
      </c>
      <c r="CA277">
        <v>8653</v>
      </c>
      <c r="CB277">
        <v>202816</v>
      </c>
      <c r="CC277">
        <v>0</v>
      </c>
      <c r="CD277">
        <v>26463</v>
      </c>
    </row>
    <row r="278" spans="1:104" s="782" customFormat="1" ht="28.8" x14ac:dyDescent="0.3">
      <c r="A278" s="783"/>
      <c r="B278" s="782" t="s">
        <v>1881</v>
      </c>
      <c r="C278" s="922" t="s">
        <v>1679</v>
      </c>
      <c r="D278" s="782" t="e">
        <f>(D106+D135-D3-D4-D5-D8+D191)/(D132+D109+D11-D133-D108-D234)</f>
        <v>#DIV/0!</v>
      </c>
      <c r="E278" s="782">
        <f t="shared" ref="E278:BP278" si="0">(E106+E135-E3-E4-E5-E8+E191)/(E132+E109+E11-E133-E108-E234)</f>
        <v>2.3573148191292734</v>
      </c>
      <c r="F278" s="782" t="e">
        <f t="shared" si="0"/>
        <v>#DIV/0!</v>
      </c>
      <c r="G278" s="782">
        <f t="shared" si="0"/>
        <v>2.7788370319432523</v>
      </c>
      <c r="H278" s="782">
        <f t="shared" si="0"/>
        <v>2.6454087239347954</v>
      </c>
      <c r="I278" s="782">
        <f t="shared" si="0"/>
        <v>1.5311848540366109</v>
      </c>
      <c r="J278" s="782">
        <f t="shared" si="0"/>
        <v>2.9894794942128855</v>
      </c>
      <c r="K278" s="782">
        <f t="shared" si="0"/>
        <v>3.9455088345026632</v>
      </c>
      <c r="L278" s="782">
        <f t="shared" si="0"/>
        <v>4.6386836186716849</v>
      </c>
      <c r="M278" s="782">
        <f t="shared" si="0"/>
        <v>0.57666670250014085</v>
      </c>
      <c r="N278" s="782">
        <f t="shared" si="0"/>
        <v>1.2694720437573335</v>
      </c>
      <c r="O278" s="782">
        <f t="shared" si="0"/>
        <v>1.7337153032776556</v>
      </c>
      <c r="P278" s="782">
        <f t="shared" si="0"/>
        <v>4.8462944961347958</v>
      </c>
      <c r="Q278" s="782">
        <f t="shared" si="0"/>
        <v>0.52838198534582037</v>
      </c>
      <c r="R278" s="782">
        <f t="shared" si="0"/>
        <v>0.61483191283432437</v>
      </c>
      <c r="S278" s="782">
        <f t="shared" si="0"/>
        <v>3.0143618942403707</v>
      </c>
      <c r="T278" s="782">
        <f t="shared" si="0"/>
        <v>0.91097454984949988</v>
      </c>
      <c r="U278" s="782">
        <f t="shared" si="0"/>
        <v>0.44953534441288789</v>
      </c>
      <c r="V278" s="782">
        <f t="shared" si="0"/>
        <v>1.3548264686423508</v>
      </c>
      <c r="W278" s="782">
        <f t="shared" si="0"/>
        <v>0.67821530124767282</v>
      </c>
      <c r="X278" s="782" t="e">
        <f t="shared" si="0"/>
        <v>#DIV/0!</v>
      </c>
      <c r="Y278" s="782">
        <f t="shared" si="0"/>
        <v>0.83467491130504279</v>
      </c>
      <c r="Z278" s="782">
        <f t="shared" si="0"/>
        <v>0.4988305870765059</v>
      </c>
      <c r="AA278" s="782">
        <f t="shared" si="0"/>
        <v>1.2579834481349883</v>
      </c>
      <c r="AB278" s="782">
        <f t="shared" si="0"/>
        <v>0.15868785201887536</v>
      </c>
      <c r="AC278" s="782">
        <f t="shared" si="0"/>
        <v>0.79334978233537068</v>
      </c>
      <c r="AD278" s="782">
        <f t="shared" si="0"/>
        <v>0.87370788055885307</v>
      </c>
      <c r="AE278" s="782">
        <f t="shared" si="0"/>
        <v>1.1578880519029373</v>
      </c>
      <c r="AF278" s="782">
        <f t="shared" si="0"/>
        <v>0.79254852642259521</v>
      </c>
      <c r="AG278" s="782">
        <f t="shared" si="0"/>
        <v>0.42435348317071075</v>
      </c>
      <c r="AH278" s="782">
        <f t="shared" si="0"/>
        <v>5.184220949474283</v>
      </c>
      <c r="AI278" s="782">
        <f t="shared" si="0"/>
        <v>0.62406892178720796</v>
      </c>
      <c r="AJ278" s="782">
        <f t="shared" si="0"/>
        <v>7.3368137462722807</v>
      </c>
      <c r="AK278" s="782" t="e">
        <f t="shared" si="0"/>
        <v>#DIV/0!</v>
      </c>
      <c r="AL278" s="782" t="e">
        <f t="shared" si="0"/>
        <v>#DIV/0!</v>
      </c>
      <c r="AM278" s="782">
        <f t="shared" si="0"/>
        <v>0.54046102234381677</v>
      </c>
      <c r="AN278" s="782">
        <f t="shared" si="0"/>
        <v>1.6209482630702521</v>
      </c>
      <c r="AO278" s="782">
        <f t="shared" si="0"/>
        <v>1.703763515574958</v>
      </c>
      <c r="AP278" s="782">
        <f t="shared" si="0"/>
        <v>2.786369881835669</v>
      </c>
      <c r="AQ278" s="782">
        <f t="shared" si="0"/>
        <v>1.1725849643519999</v>
      </c>
      <c r="AR278" s="782">
        <f t="shared" si="0"/>
        <v>1.3185350669201539</v>
      </c>
      <c r="AS278" s="782">
        <f t="shared" si="0"/>
        <v>0.74563277092332292</v>
      </c>
      <c r="AT278" s="782">
        <f t="shared" si="0"/>
        <v>0.5354051055164194</v>
      </c>
      <c r="AU278" s="782">
        <f t="shared" si="0"/>
        <v>1.0926309502018323</v>
      </c>
      <c r="AV278" s="782">
        <f t="shared" si="0"/>
        <v>1.7613531066341357</v>
      </c>
      <c r="AW278" s="782">
        <f t="shared" si="0"/>
        <v>0.91624015264492542</v>
      </c>
      <c r="AX278" s="782">
        <f t="shared" si="0"/>
        <v>0.54062611992600418</v>
      </c>
      <c r="AY278" s="782">
        <f t="shared" si="0"/>
        <v>1.0626605889746605</v>
      </c>
      <c r="AZ278" s="782">
        <f t="shared" si="0"/>
        <v>1.7844892732936442</v>
      </c>
      <c r="BA278" s="782">
        <f t="shared" si="0"/>
        <v>0.51061868547596123</v>
      </c>
      <c r="BB278" s="782">
        <f t="shared" si="0"/>
        <v>7.9789572001538378</v>
      </c>
      <c r="BC278" s="782">
        <f t="shared" si="0"/>
        <v>2.2429937821676136</v>
      </c>
      <c r="BD278" s="782">
        <f t="shared" si="0"/>
        <v>0.98231168252191137</v>
      </c>
      <c r="BE278" s="782">
        <f t="shared" si="0"/>
        <v>8.1358856372957611</v>
      </c>
      <c r="BF278" s="782">
        <f t="shared" si="0"/>
        <v>2.0376047158346342</v>
      </c>
      <c r="BG278" s="782">
        <f t="shared" si="0"/>
        <v>1.099602517229888</v>
      </c>
      <c r="BH278" s="782">
        <f t="shared" si="0"/>
        <v>3.4341164645430378</v>
      </c>
      <c r="BI278" s="782">
        <f t="shared" si="0"/>
        <v>1.5031155577667488</v>
      </c>
      <c r="BJ278" s="782">
        <f t="shared" si="0"/>
        <v>2.1332512750516419</v>
      </c>
      <c r="BK278" s="782">
        <f t="shared" si="0"/>
        <v>0.25884889397788641</v>
      </c>
      <c r="BL278" s="782" t="e">
        <f t="shared" si="0"/>
        <v>#DIV/0!</v>
      </c>
      <c r="BM278" s="782" t="e">
        <f t="shared" si="0"/>
        <v>#DIV/0!</v>
      </c>
      <c r="BN278" s="782">
        <f t="shared" si="0"/>
        <v>0.37728382256175941</v>
      </c>
      <c r="BO278" s="782">
        <f t="shared" si="0"/>
        <v>0.78033410129208169</v>
      </c>
      <c r="BP278" s="782">
        <f t="shared" si="0"/>
        <v>0.88519312303294706</v>
      </c>
      <c r="BQ278" s="782">
        <f t="shared" ref="BQ278:BR278" si="1">(BQ106+BQ135-BQ3-BQ4-BQ5-BQ8+BQ191)/(BQ132+BQ109+BQ11-BQ133-BQ108-BQ234)</f>
        <v>0.7121756781221279</v>
      </c>
      <c r="BR278" s="782">
        <f t="shared" si="1"/>
        <v>0.32625903015631091</v>
      </c>
      <c r="BS278" s="782">
        <f t="shared" ref="BS278:CD278" si="2">(BS106+BS135-BS3-BS4-BS5-BS8+BS191)/(BS132+BS109+BS11-BS133-BS108-BS234)</f>
        <v>0.83650679209802203</v>
      </c>
      <c r="BT278" s="782">
        <f t="shared" si="2"/>
        <v>1.0247249028628911</v>
      </c>
      <c r="BU278" s="782">
        <f t="shared" si="2"/>
        <v>0.74949617521413814</v>
      </c>
      <c r="BV278" s="782">
        <f t="shared" si="2"/>
        <v>3.5152460914421062</v>
      </c>
      <c r="BW278" s="782">
        <f t="shared" si="2"/>
        <v>0.81319639039283553</v>
      </c>
      <c r="BX278" s="782">
        <f t="shared" si="2"/>
        <v>1.9427131027547511</v>
      </c>
      <c r="BY278" s="782">
        <f t="shared" si="2"/>
        <v>2.1119048283431461</v>
      </c>
      <c r="BZ278" s="782">
        <f t="shared" si="2"/>
        <v>1.6444855360892594</v>
      </c>
      <c r="CA278" s="782">
        <f t="shared" si="2"/>
        <v>0.88112176052704683</v>
      </c>
      <c r="CB278" s="782">
        <f t="shared" si="2"/>
        <v>0.54348470848590624</v>
      </c>
      <c r="CC278" s="782" t="e">
        <f t="shared" si="2"/>
        <v>#DIV/0!</v>
      </c>
      <c r="CD278" s="782">
        <f t="shared" si="2"/>
        <v>2.966080002543801</v>
      </c>
    </row>
    <row r="279" spans="1:104" s="564" customFormat="1" ht="25.2" customHeight="1" x14ac:dyDescent="0.3">
      <c r="A279" s="563" t="s">
        <v>1889</v>
      </c>
      <c r="B279" s="564" t="s">
        <v>1890</v>
      </c>
      <c r="D279" s="968" t="e">
        <f t="shared" ref="D279:AI279" si="3">1-((D123+D124+D125+D126)/(D115+D116+D117+D118))</f>
        <v>#DIV/0!</v>
      </c>
      <c r="E279" s="968" t="e">
        <f t="shared" si="3"/>
        <v>#DIV/0!</v>
      </c>
      <c r="F279" s="968" t="e">
        <f t="shared" si="3"/>
        <v>#DIV/0!</v>
      </c>
      <c r="G279" s="968" t="e">
        <f t="shared" si="3"/>
        <v>#DIV/0!</v>
      </c>
      <c r="H279" s="968" t="e">
        <f t="shared" si="3"/>
        <v>#DIV/0!</v>
      </c>
      <c r="I279" s="968" t="e">
        <f t="shared" si="3"/>
        <v>#DIV/0!</v>
      </c>
      <c r="J279" s="968">
        <f t="shared" si="3"/>
        <v>0.65545943861260503</v>
      </c>
      <c r="K279" s="968" t="e">
        <f t="shared" si="3"/>
        <v>#DIV/0!</v>
      </c>
      <c r="L279" s="968" t="e">
        <f t="shared" si="3"/>
        <v>#DIV/0!</v>
      </c>
      <c r="M279" s="968" t="e">
        <f t="shared" si="3"/>
        <v>#DIV/0!</v>
      </c>
      <c r="N279" s="968" t="e">
        <f t="shared" si="3"/>
        <v>#DIV/0!</v>
      </c>
      <c r="O279" s="968">
        <f t="shared" si="3"/>
        <v>0.48935421331111661</v>
      </c>
      <c r="P279" s="968" t="e">
        <f t="shared" si="3"/>
        <v>#DIV/0!</v>
      </c>
      <c r="Q279" s="968">
        <f t="shared" si="3"/>
        <v>0.63969981428103695</v>
      </c>
      <c r="R279" s="968">
        <f t="shared" si="3"/>
        <v>0.31622924778483419</v>
      </c>
      <c r="S279" s="968" t="e">
        <f t="shared" si="3"/>
        <v>#DIV/0!</v>
      </c>
      <c r="T279" s="968">
        <f t="shared" si="3"/>
        <v>0.53941293130968726</v>
      </c>
      <c r="U279" s="968">
        <f t="shared" si="3"/>
        <v>0.59250562644176108</v>
      </c>
      <c r="V279" s="968">
        <f t="shared" si="3"/>
        <v>0.43923241463150653</v>
      </c>
      <c r="W279" s="968" t="e">
        <f t="shared" si="3"/>
        <v>#DIV/0!</v>
      </c>
      <c r="X279" s="968" t="e">
        <f t="shared" si="3"/>
        <v>#DIV/0!</v>
      </c>
      <c r="Y279" s="968">
        <f t="shared" si="3"/>
        <v>0.43142752410820306</v>
      </c>
      <c r="Z279" s="968">
        <f t="shared" si="3"/>
        <v>0.55577670118088851</v>
      </c>
      <c r="AA279" s="968">
        <f t="shared" si="3"/>
        <v>0.43411264739372979</v>
      </c>
      <c r="AB279" s="968">
        <f t="shared" si="3"/>
        <v>0.64149067323817466</v>
      </c>
      <c r="AC279" s="968">
        <f t="shared" si="3"/>
        <v>0.555322291928533</v>
      </c>
      <c r="AD279" s="968">
        <f t="shared" si="3"/>
        <v>0.50218860507479968</v>
      </c>
      <c r="AE279" s="968">
        <f t="shared" si="3"/>
        <v>0.54263400738035672</v>
      </c>
      <c r="AF279" s="968">
        <f t="shared" si="3"/>
        <v>0.41177238731310117</v>
      </c>
      <c r="AG279" s="968">
        <f t="shared" si="3"/>
        <v>0.48335968315997058</v>
      </c>
      <c r="AH279" s="968" t="e">
        <f t="shared" si="3"/>
        <v>#DIV/0!</v>
      </c>
      <c r="AI279" s="968">
        <f t="shared" si="3"/>
        <v>0.56505283720833765</v>
      </c>
      <c r="AJ279" s="968">
        <f t="shared" ref="AJ279:BR279" si="4">1-((AJ123+AJ124+AJ125+AJ126)/(AJ115+AJ116+AJ117+AJ118))</f>
        <v>0.50181050577520536</v>
      </c>
      <c r="AK279" s="968" t="e">
        <f t="shared" si="4"/>
        <v>#DIV/0!</v>
      </c>
      <c r="AL279" s="968" t="e">
        <f t="shared" si="4"/>
        <v>#DIV/0!</v>
      </c>
      <c r="AM279" s="968">
        <f t="shared" si="4"/>
        <v>0.34300199653365948</v>
      </c>
      <c r="AN279" s="968">
        <f t="shared" si="4"/>
        <v>0.22286733387388558</v>
      </c>
      <c r="AO279" s="968">
        <f t="shared" si="4"/>
        <v>0.55130171298173303</v>
      </c>
      <c r="AP279" s="968" t="e">
        <f t="shared" si="4"/>
        <v>#DIV/0!</v>
      </c>
      <c r="AQ279" s="968" t="e">
        <f t="shared" si="4"/>
        <v>#DIV/0!</v>
      </c>
      <c r="AR279" s="968">
        <f t="shared" si="4"/>
        <v>0.40767206138549328</v>
      </c>
      <c r="AS279" s="968" t="e">
        <f t="shared" si="4"/>
        <v>#DIV/0!</v>
      </c>
      <c r="AT279" s="968">
        <f t="shared" si="4"/>
        <v>0.51453163068905372</v>
      </c>
      <c r="AU279" s="968" t="e">
        <f t="shared" si="4"/>
        <v>#DIV/0!</v>
      </c>
      <c r="AV279" s="968">
        <f t="shared" si="4"/>
        <v>0.61650728253372011</v>
      </c>
      <c r="AW279" s="968" t="e">
        <f t="shared" si="4"/>
        <v>#DIV/0!</v>
      </c>
      <c r="AX279" s="968">
        <f t="shared" si="4"/>
        <v>0.38819242959672473</v>
      </c>
      <c r="AY279" s="968">
        <f t="shared" si="4"/>
        <v>0.55441668354996465</v>
      </c>
      <c r="AZ279" s="968">
        <f t="shared" si="4"/>
        <v>0.49621787979970411</v>
      </c>
      <c r="BA279" s="968">
        <f t="shared" si="4"/>
        <v>0.3821984420627853</v>
      </c>
      <c r="BB279" s="968" t="e">
        <f t="shared" si="4"/>
        <v>#DIV/0!</v>
      </c>
      <c r="BC279" s="968">
        <f t="shared" si="4"/>
        <v>0.48979588267189056</v>
      </c>
      <c r="BD279" s="968">
        <f t="shared" si="4"/>
        <v>0.49180522315620834</v>
      </c>
      <c r="BE279" s="968" t="e">
        <f t="shared" si="4"/>
        <v>#DIV/0!</v>
      </c>
      <c r="BF279" s="968">
        <f t="shared" si="4"/>
        <v>0.60175735705950273</v>
      </c>
      <c r="BG279" s="968">
        <f t="shared" si="4"/>
        <v>0.56544234879019384</v>
      </c>
      <c r="BH279" s="968" t="e">
        <f t="shared" si="4"/>
        <v>#DIV/0!</v>
      </c>
      <c r="BI279" s="968">
        <f t="shared" si="4"/>
        <v>0.57782711074867277</v>
      </c>
      <c r="BJ279" s="968" t="e">
        <f t="shared" si="4"/>
        <v>#DIV/0!</v>
      </c>
      <c r="BK279" s="968">
        <f t="shared" si="4"/>
        <v>0.59072265272804159</v>
      </c>
      <c r="BL279" s="968" t="e">
        <f t="shared" si="4"/>
        <v>#DIV/0!</v>
      </c>
      <c r="BM279" s="968" t="e">
        <f t="shared" si="4"/>
        <v>#DIV/0!</v>
      </c>
      <c r="BN279" s="968">
        <f t="shared" si="4"/>
        <v>0.56412700368781121</v>
      </c>
      <c r="BO279" s="968">
        <f t="shared" si="4"/>
        <v>0.40929335220787644</v>
      </c>
      <c r="BP279" s="968">
        <f t="shared" si="4"/>
        <v>0.2572928821470245</v>
      </c>
      <c r="BQ279" s="968" t="e">
        <f t="shared" si="4"/>
        <v>#DIV/0!</v>
      </c>
      <c r="BR279" s="968">
        <f t="shared" si="4"/>
        <v>0.39358057139771052</v>
      </c>
      <c r="BS279" s="968" t="e">
        <f t="shared" ref="BS279:CD279" si="5">1-((BS123+BS124+BS125+BS126)/(BS115+BS116+BS117+BS118))</f>
        <v>#DIV/0!</v>
      </c>
      <c r="BT279" s="968">
        <f t="shared" si="5"/>
        <v>0.50322203907936847</v>
      </c>
      <c r="BU279" s="968">
        <f t="shared" si="5"/>
        <v>0.42321851324771131</v>
      </c>
      <c r="BV279" s="968" t="e">
        <f t="shared" si="5"/>
        <v>#DIV/0!</v>
      </c>
      <c r="BW279" s="968">
        <f t="shared" si="5"/>
        <v>0.56846709702394682</v>
      </c>
      <c r="BX279" s="968">
        <f t="shared" si="5"/>
        <v>0.55566954209601971</v>
      </c>
      <c r="BY279" s="968">
        <f t="shared" si="5"/>
        <v>0.692266506602641</v>
      </c>
      <c r="BZ279" s="968">
        <f t="shared" si="5"/>
        <v>0.56489876775637327</v>
      </c>
      <c r="CA279" s="968">
        <f t="shared" si="5"/>
        <v>0.66323504375605347</v>
      </c>
      <c r="CB279" s="968">
        <f t="shared" si="5"/>
        <v>0.43385698211115353</v>
      </c>
      <c r="CC279" s="968" t="e">
        <f t="shared" si="5"/>
        <v>#DIV/0!</v>
      </c>
      <c r="CD279" s="968">
        <f t="shared" si="5"/>
        <v>0.58484419228069129</v>
      </c>
    </row>
    <row r="280" spans="1:104" s="180" customFormat="1" x14ac:dyDescent="0.3">
      <c r="A280" s="155"/>
    </row>
    <row r="281" spans="1:104" s="180" customFormat="1" x14ac:dyDescent="0.3">
      <c r="A281" s="155"/>
    </row>
    <row r="282" spans="1:104" s="180" customFormat="1" x14ac:dyDescent="0.3">
      <c r="A282" s="155"/>
    </row>
    <row r="283" spans="1:104" s="180" customFormat="1" x14ac:dyDescent="0.3">
      <c r="A283" s="155"/>
    </row>
    <row r="284" spans="1:104" s="180" customFormat="1" x14ac:dyDescent="0.3">
      <c r="A284" s="155"/>
    </row>
    <row r="285" spans="1:104" x14ac:dyDescent="0.3">
      <c r="A285" s="551">
        <f>A201</f>
        <v>906</v>
      </c>
      <c r="B285" s="551" t="str">
        <f t="shared" ref="B285:BM285" si="6">B201</f>
        <v>TD-Was a Unmodified Audit Opinion issued?</v>
      </c>
      <c r="C285" s="551">
        <f t="shared" si="6"/>
        <v>0</v>
      </c>
      <c r="D285" s="551">
        <f t="shared" si="6"/>
        <v>0</v>
      </c>
      <c r="E285" s="551">
        <f t="shared" si="6"/>
        <v>1</v>
      </c>
      <c r="F285" s="551">
        <f t="shared" si="6"/>
        <v>0</v>
      </c>
      <c r="G285" s="551">
        <f t="shared" si="6"/>
        <v>1</v>
      </c>
      <c r="H285" s="551">
        <f t="shared" si="6"/>
        <v>1</v>
      </c>
      <c r="I285" s="551">
        <f t="shared" si="6"/>
        <v>1</v>
      </c>
      <c r="J285" s="551">
        <f t="shared" si="6"/>
        <v>1</v>
      </c>
      <c r="K285" s="551">
        <f t="shared" si="6"/>
        <v>1</v>
      </c>
      <c r="L285" s="551">
        <f t="shared" si="6"/>
        <v>1</v>
      </c>
      <c r="M285" s="551">
        <f t="shared" si="6"/>
        <v>1</v>
      </c>
      <c r="N285" s="551">
        <f t="shared" si="6"/>
        <v>1</v>
      </c>
      <c r="O285" s="551">
        <f t="shared" si="6"/>
        <v>1</v>
      </c>
      <c r="P285" s="551">
        <f t="shared" si="6"/>
        <v>1</v>
      </c>
      <c r="Q285" s="551">
        <f t="shared" si="6"/>
        <v>1</v>
      </c>
      <c r="R285" s="551">
        <f t="shared" si="6"/>
        <v>1</v>
      </c>
      <c r="S285" s="551">
        <f t="shared" si="6"/>
        <v>1</v>
      </c>
      <c r="T285" s="551">
        <f t="shared" si="6"/>
        <v>1</v>
      </c>
      <c r="U285" s="551">
        <f t="shared" si="6"/>
        <v>1</v>
      </c>
      <c r="V285" s="551">
        <f t="shared" si="6"/>
        <v>1</v>
      </c>
      <c r="W285" s="551">
        <f t="shared" si="6"/>
        <v>1</v>
      </c>
      <c r="X285" s="551">
        <f t="shared" si="6"/>
        <v>0</v>
      </c>
      <c r="Y285" s="551">
        <f t="shared" si="6"/>
        <v>1</v>
      </c>
      <c r="Z285" s="551">
        <f t="shared" si="6"/>
        <v>1</v>
      </c>
      <c r="AA285" s="551">
        <f t="shared" si="6"/>
        <v>1</v>
      </c>
      <c r="AB285" s="551">
        <f t="shared" si="6"/>
        <v>1</v>
      </c>
      <c r="AC285" s="551">
        <f t="shared" si="6"/>
        <v>1</v>
      </c>
      <c r="AD285" s="551">
        <f t="shared" si="6"/>
        <v>1</v>
      </c>
      <c r="AE285" s="551">
        <f t="shared" si="6"/>
        <v>1</v>
      </c>
      <c r="AF285" s="551">
        <f t="shared" si="6"/>
        <v>1</v>
      </c>
      <c r="AG285" s="551">
        <f t="shared" si="6"/>
        <v>1</v>
      </c>
      <c r="AH285" s="551">
        <f t="shared" si="6"/>
        <v>1</v>
      </c>
      <c r="AI285" s="551">
        <f t="shared" si="6"/>
        <v>1</v>
      </c>
      <c r="AJ285" s="551">
        <f t="shared" si="6"/>
        <v>1</v>
      </c>
      <c r="AK285" s="551">
        <f t="shared" si="6"/>
        <v>0</v>
      </c>
      <c r="AL285" s="551">
        <f t="shared" si="6"/>
        <v>0</v>
      </c>
      <c r="AM285" s="551">
        <f t="shared" si="6"/>
        <v>1</v>
      </c>
      <c r="AN285" s="551">
        <f t="shared" si="6"/>
        <v>1</v>
      </c>
      <c r="AO285" s="551">
        <f t="shared" si="6"/>
        <v>1</v>
      </c>
      <c r="AP285" s="551">
        <f t="shared" si="6"/>
        <v>1</v>
      </c>
      <c r="AQ285" s="551">
        <f t="shared" si="6"/>
        <v>1</v>
      </c>
      <c r="AR285" s="551">
        <f t="shared" si="6"/>
        <v>1</v>
      </c>
      <c r="AS285" s="551">
        <f t="shared" si="6"/>
        <v>1</v>
      </c>
      <c r="AT285" s="551">
        <f t="shared" si="6"/>
        <v>1</v>
      </c>
      <c r="AU285" s="551">
        <f t="shared" si="6"/>
        <v>1</v>
      </c>
      <c r="AV285" s="551">
        <f t="shared" si="6"/>
        <v>1</v>
      </c>
      <c r="AW285" s="551">
        <f t="shared" si="6"/>
        <v>1</v>
      </c>
      <c r="AX285" s="551">
        <f t="shared" si="6"/>
        <v>1</v>
      </c>
      <c r="AY285" s="551">
        <f t="shared" si="6"/>
        <v>1</v>
      </c>
      <c r="AZ285" s="551">
        <f t="shared" si="6"/>
        <v>1</v>
      </c>
      <c r="BA285" s="551">
        <f t="shared" si="6"/>
        <v>1</v>
      </c>
      <c r="BB285" s="551">
        <f t="shared" si="6"/>
        <v>1</v>
      </c>
      <c r="BC285" s="551">
        <f t="shared" si="6"/>
        <v>1</v>
      </c>
      <c r="BD285" s="551">
        <f t="shared" si="6"/>
        <v>1</v>
      </c>
      <c r="BE285" s="551">
        <f t="shared" si="6"/>
        <v>1</v>
      </c>
      <c r="BF285" s="551">
        <f t="shared" si="6"/>
        <v>1</v>
      </c>
      <c r="BG285" s="551">
        <f t="shared" si="6"/>
        <v>1</v>
      </c>
      <c r="BH285" s="551">
        <f t="shared" si="6"/>
        <v>1</v>
      </c>
      <c r="BI285" s="551">
        <f t="shared" si="6"/>
        <v>1</v>
      </c>
      <c r="BJ285" s="551">
        <f t="shared" si="6"/>
        <v>1</v>
      </c>
      <c r="BK285" s="551">
        <f t="shared" si="6"/>
        <v>1</v>
      </c>
      <c r="BL285" s="551">
        <f t="shared" si="6"/>
        <v>0</v>
      </c>
      <c r="BM285" s="551">
        <f t="shared" si="6"/>
        <v>0</v>
      </c>
      <c r="BN285" s="551">
        <f t="shared" ref="BN285:BR285" si="7">BN201</f>
        <v>1</v>
      </c>
      <c r="BO285" s="551">
        <f t="shared" si="7"/>
        <v>1</v>
      </c>
      <c r="BP285" s="551">
        <f t="shared" si="7"/>
        <v>1</v>
      </c>
      <c r="BQ285" s="551">
        <f t="shared" si="7"/>
        <v>1</v>
      </c>
      <c r="BR285" s="551">
        <f t="shared" si="7"/>
        <v>1</v>
      </c>
      <c r="BS285" s="551">
        <f t="shared" ref="BS285:CD285" si="8">BS201</f>
        <v>1</v>
      </c>
      <c r="BT285" s="551">
        <f t="shared" si="8"/>
        <v>1</v>
      </c>
      <c r="BU285" s="551">
        <f t="shared" si="8"/>
        <v>1</v>
      </c>
      <c r="BV285" s="551">
        <f t="shared" si="8"/>
        <v>1</v>
      </c>
      <c r="BW285" s="551">
        <f t="shared" si="8"/>
        <v>1</v>
      </c>
      <c r="BX285" s="551">
        <f t="shared" si="8"/>
        <v>1</v>
      </c>
      <c r="BY285" s="551">
        <f t="shared" si="8"/>
        <v>1</v>
      </c>
      <c r="BZ285" s="551">
        <f t="shared" si="8"/>
        <v>1</v>
      </c>
      <c r="CA285" s="551">
        <f t="shared" si="8"/>
        <v>1</v>
      </c>
      <c r="CB285" s="551">
        <f t="shared" si="8"/>
        <v>1</v>
      </c>
      <c r="CC285" s="551">
        <f t="shared" si="8"/>
        <v>0</v>
      </c>
      <c r="CD285" s="551">
        <f t="shared" si="8"/>
        <v>1</v>
      </c>
      <c r="CE285" s="180"/>
      <c r="CF285" s="180"/>
      <c r="CG285" s="180"/>
      <c r="CH285" s="180"/>
      <c r="CI285" s="180"/>
      <c r="CJ285" s="180"/>
      <c r="CK285" s="180"/>
      <c r="CL285" s="180"/>
      <c r="CM285" s="180"/>
      <c r="CN285" s="180"/>
      <c r="CO285" s="180"/>
      <c r="CP285" s="180"/>
      <c r="CQ285" s="180"/>
      <c r="CR285" s="180"/>
      <c r="CS285" s="180"/>
      <c r="CT285" s="180"/>
      <c r="CU285" s="180"/>
      <c r="CV285" s="180"/>
      <c r="CW285" s="180"/>
      <c r="CX285" s="180"/>
      <c r="CY285" s="180"/>
      <c r="CZ285" s="180"/>
    </row>
    <row r="286" spans="1:104" x14ac:dyDescent="0.3">
      <c r="A286" s="551">
        <f>A202</f>
        <v>907</v>
      </c>
      <c r="B286" s="551" t="str">
        <f t="shared" ref="B286:BM286" si="9">B202</f>
        <v>TD-Was there a finding for lack of segregation of duties at this unit?</v>
      </c>
      <c r="C286" s="551">
        <f t="shared" si="9"/>
        <v>0</v>
      </c>
      <c r="D286" s="551">
        <f t="shared" si="9"/>
        <v>0</v>
      </c>
      <c r="E286" s="551">
        <f t="shared" si="9"/>
        <v>2</v>
      </c>
      <c r="F286" s="551">
        <f t="shared" si="9"/>
        <v>0</v>
      </c>
      <c r="G286" s="551">
        <f t="shared" si="9"/>
        <v>2</v>
      </c>
      <c r="H286" s="551">
        <f t="shared" si="9"/>
        <v>1</v>
      </c>
      <c r="I286" s="551">
        <f t="shared" si="9"/>
        <v>2</v>
      </c>
      <c r="J286" s="551">
        <f t="shared" si="9"/>
        <v>1</v>
      </c>
      <c r="K286" s="551">
        <f t="shared" si="9"/>
        <v>2</v>
      </c>
      <c r="L286" s="551">
        <f t="shared" si="9"/>
        <v>2</v>
      </c>
      <c r="M286" s="551">
        <f t="shared" si="9"/>
        <v>2</v>
      </c>
      <c r="N286" s="551">
        <f t="shared" si="9"/>
        <v>1</v>
      </c>
      <c r="O286" s="551">
        <f t="shared" si="9"/>
        <v>2</v>
      </c>
      <c r="P286" s="551">
        <f t="shared" si="9"/>
        <v>1</v>
      </c>
      <c r="Q286" s="551">
        <f t="shared" si="9"/>
        <v>2</v>
      </c>
      <c r="R286" s="551">
        <f t="shared" si="9"/>
        <v>2</v>
      </c>
      <c r="S286" s="551">
        <f t="shared" si="9"/>
        <v>1</v>
      </c>
      <c r="T286" s="551">
        <f t="shared" si="9"/>
        <v>2</v>
      </c>
      <c r="U286" s="551">
        <f t="shared" si="9"/>
        <v>2</v>
      </c>
      <c r="V286" s="551">
        <f t="shared" si="9"/>
        <v>2</v>
      </c>
      <c r="W286" s="551">
        <f t="shared" si="9"/>
        <v>2</v>
      </c>
      <c r="X286" s="551">
        <f t="shared" si="9"/>
        <v>0</v>
      </c>
      <c r="Y286" s="551">
        <f t="shared" si="9"/>
        <v>2</v>
      </c>
      <c r="Z286" s="551">
        <f t="shared" si="9"/>
        <v>1</v>
      </c>
      <c r="AA286" s="551">
        <f t="shared" si="9"/>
        <v>2</v>
      </c>
      <c r="AB286" s="551">
        <f t="shared" si="9"/>
        <v>2</v>
      </c>
      <c r="AC286" s="551">
        <f t="shared" si="9"/>
        <v>1</v>
      </c>
      <c r="AD286" s="551">
        <f t="shared" si="9"/>
        <v>2</v>
      </c>
      <c r="AE286" s="551">
        <f t="shared" si="9"/>
        <v>2</v>
      </c>
      <c r="AF286" s="551">
        <f t="shared" si="9"/>
        <v>2</v>
      </c>
      <c r="AG286" s="551">
        <f t="shared" si="9"/>
        <v>2</v>
      </c>
      <c r="AH286" s="551">
        <f t="shared" si="9"/>
        <v>1</v>
      </c>
      <c r="AI286" s="551">
        <f t="shared" si="9"/>
        <v>2</v>
      </c>
      <c r="AJ286" s="551">
        <f t="shared" si="9"/>
        <v>1</v>
      </c>
      <c r="AK286" s="551">
        <f t="shared" si="9"/>
        <v>0</v>
      </c>
      <c r="AL286" s="551">
        <f t="shared" si="9"/>
        <v>0</v>
      </c>
      <c r="AM286" s="551">
        <f t="shared" si="9"/>
        <v>2</v>
      </c>
      <c r="AN286" s="551">
        <f t="shared" si="9"/>
        <v>2</v>
      </c>
      <c r="AO286" s="551">
        <f t="shared" si="9"/>
        <v>1</v>
      </c>
      <c r="AP286" s="551">
        <f t="shared" si="9"/>
        <v>1</v>
      </c>
      <c r="AQ286" s="551">
        <f t="shared" si="9"/>
        <v>2</v>
      </c>
      <c r="AR286" s="551">
        <f t="shared" si="9"/>
        <v>2</v>
      </c>
      <c r="AS286" s="551">
        <f t="shared" si="9"/>
        <v>2</v>
      </c>
      <c r="AT286" s="551">
        <f t="shared" si="9"/>
        <v>1</v>
      </c>
      <c r="AU286" s="551">
        <f t="shared" si="9"/>
        <v>2</v>
      </c>
      <c r="AV286" s="551">
        <f t="shared" si="9"/>
        <v>2</v>
      </c>
      <c r="AW286" s="551">
        <f t="shared" si="9"/>
        <v>2</v>
      </c>
      <c r="AX286" s="551">
        <f t="shared" si="9"/>
        <v>2</v>
      </c>
      <c r="AY286" s="551">
        <f t="shared" si="9"/>
        <v>2</v>
      </c>
      <c r="AZ286" s="551">
        <f t="shared" si="9"/>
        <v>1</v>
      </c>
      <c r="BA286" s="551">
        <f t="shared" si="9"/>
        <v>2</v>
      </c>
      <c r="BB286" s="551">
        <f t="shared" si="9"/>
        <v>1</v>
      </c>
      <c r="BC286" s="551">
        <f t="shared" si="9"/>
        <v>1</v>
      </c>
      <c r="BD286" s="551">
        <f t="shared" si="9"/>
        <v>1</v>
      </c>
      <c r="BE286" s="551">
        <f t="shared" si="9"/>
        <v>1</v>
      </c>
      <c r="BF286" s="551">
        <f t="shared" si="9"/>
        <v>1</v>
      </c>
      <c r="BG286" s="551">
        <f t="shared" si="9"/>
        <v>2</v>
      </c>
      <c r="BH286" s="551">
        <f t="shared" si="9"/>
        <v>1</v>
      </c>
      <c r="BI286" s="551">
        <f t="shared" si="9"/>
        <v>1</v>
      </c>
      <c r="BJ286" s="551">
        <f t="shared" si="9"/>
        <v>1</v>
      </c>
      <c r="BK286" s="551">
        <f t="shared" si="9"/>
        <v>1</v>
      </c>
      <c r="BL286" s="551">
        <f t="shared" si="9"/>
        <v>0</v>
      </c>
      <c r="BM286" s="551">
        <f t="shared" si="9"/>
        <v>0</v>
      </c>
      <c r="BN286" s="551">
        <f t="shared" ref="BN286:BR286" si="10">BN202</f>
        <v>1</v>
      </c>
      <c r="BO286" s="551">
        <f t="shared" si="10"/>
        <v>1</v>
      </c>
      <c r="BP286" s="551">
        <f t="shared" si="10"/>
        <v>2</v>
      </c>
      <c r="BQ286" s="551">
        <f t="shared" si="10"/>
        <v>2</v>
      </c>
      <c r="BR286" s="551">
        <f t="shared" si="10"/>
        <v>2</v>
      </c>
      <c r="BS286" s="551">
        <f t="shared" ref="BS286:CD286" si="11">BS202</f>
        <v>2</v>
      </c>
      <c r="BT286" s="551">
        <f t="shared" si="11"/>
        <v>1</v>
      </c>
      <c r="BU286" s="551">
        <f t="shared" si="11"/>
        <v>2</v>
      </c>
      <c r="BV286" s="551">
        <f t="shared" si="11"/>
        <v>2</v>
      </c>
      <c r="BW286" s="551">
        <f t="shared" si="11"/>
        <v>2</v>
      </c>
      <c r="BX286" s="551">
        <f t="shared" si="11"/>
        <v>1</v>
      </c>
      <c r="BY286" s="551">
        <f t="shared" si="11"/>
        <v>1</v>
      </c>
      <c r="BZ286" s="551">
        <f t="shared" si="11"/>
        <v>2</v>
      </c>
      <c r="CA286" s="551">
        <f t="shared" si="11"/>
        <v>1</v>
      </c>
      <c r="CB286" s="551">
        <f t="shared" si="11"/>
        <v>1</v>
      </c>
      <c r="CC286" s="551">
        <f t="shared" si="11"/>
        <v>0</v>
      </c>
      <c r="CD286" s="551">
        <f t="shared" si="11"/>
        <v>2</v>
      </c>
      <c r="CE286" s="180"/>
      <c r="CF286" s="180"/>
      <c r="CG286" s="180"/>
      <c r="CH286" s="180"/>
      <c r="CI286" s="180"/>
      <c r="CJ286" s="180"/>
      <c r="CK286" s="180"/>
      <c r="CL286" s="180"/>
      <c r="CM286" s="180"/>
      <c r="CN286" s="180"/>
      <c r="CO286" s="180"/>
      <c r="CP286" s="180"/>
      <c r="CQ286" s="180"/>
      <c r="CR286" s="180"/>
      <c r="CS286" s="180"/>
      <c r="CT286" s="180"/>
      <c r="CU286" s="180"/>
      <c r="CV286" s="180"/>
      <c r="CW286" s="180"/>
      <c r="CX286" s="180"/>
      <c r="CY286" s="180"/>
      <c r="CZ286" s="180"/>
    </row>
    <row r="287" spans="1:104" x14ac:dyDescent="0.3">
      <c r="A287" s="551">
        <f>A239</f>
        <v>1055</v>
      </c>
      <c r="B287" s="551" t="str">
        <f t="shared" ref="B287:BM287" si="12">B239</f>
        <v>Did your audit disclose as a finding bank reconciliations or subsidiary ledger reconciliations not performed timely? (Yes or No)</v>
      </c>
      <c r="C287" s="551">
        <f t="shared" si="12"/>
        <v>0</v>
      </c>
      <c r="D287" s="551">
        <f t="shared" si="12"/>
        <v>0</v>
      </c>
      <c r="E287" s="551">
        <f t="shared" si="12"/>
        <v>2</v>
      </c>
      <c r="F287" s="551">
        <f t="shared" si="12"/>
        <v>0</v>
      </c>
      <c r="G287" s="551">
        <f t="shared" si="12"/>
        <v>2</v>
      </c>
      <c r="H287" s="551">
        <f t="shared" si="12"/>
        <v>2</v>
      </c>
      <c r="I287" s="551">
        <f t="shared" si="12"/>
        <v>2</v>
      </c>
      <c r="J287" s="551">
        <f t="shared" si="12"/>
        <v>2</v>
      </c>
      <c r="K287" s="551">
        <f t="shared" si="12"/>
        <v>2</v>
      </c>
      <c r="L287" s="551">
        <f t="shared" si="12"/>
        <v>2</v>
      </c>
      <c r="M287" s="551">
        <f t="shared" si="12"/>
        <v>2</v>
      </c>
      <c r="N287" s="551">
        <f t="shared" si="12"/>
        <v>2</v>
      </c>
      <c r="O287" s="551">
        <f t="shared" si="12"/>
        <v>2</v>
      </c>
      <c r="P287" s="551">
        <f t="shared" si="12"/>
        <v>2</v>
      </c>
      <c r="Q287" s="551">
        <f t="shared" si="12"/>
        <v>2</v>
      </c>
      <c r="R287" s="551">
        <f t="shared" si="12"/>
        <v>2</v>
      </c>
      <c r="S287" s="551">
        <f t="shared" si="12"/>
        <v>2</v>
      </c>
      <c r="T287" s="551">
        <f t="shared" si="12"/>
        <v>2</v>
      </c>
      <c r="U287" s="551">
        <f t="shared" si="12"/>
        <v>2</v>
      </c>
      <c r="V287" s="551">
        <f t="shared" si="12"/>
        <v>2</v>
      </c>
      <c r="W287" s="551">
        <f t="shared" si="12"/>
        <v>2</v>
      </c>
      <c r="X287" s="551">
        <f t="shared" si="12"/>
        <v>0</v>
      </c>
      <c r="Y287" s="551">
        <f t="shared" si="12"/>
        <v>2</v>
      </c>
      <c r="Z287" s="551">
        <f t="shared" si="12"/>
        <v>2</v>
      </c>
      <c r="AA287" s="551">
        <f t="shared" si="12"/>
        <v>2</v>
      </c>
      <c r="AB287" s="551">
        <f t="shared" si="12"/>
        <v>1</v>
      </c>
      <c r="AC287" s="551">
        <f t="shared" si="12"/>
        <v>2</v>
      </c>
      <c r="AD287" s="551">
        <f t="shared" si="12"/>
        <v>2</v>
      </c>
      <c r="AE287" s="551">
        <f t="shared" si="12"/>
        <v>2</v>
      </c>
      <c r="AF287" s="551">
        <f t="shared" si="12"/>
        <v>2</v>
      </c>
      <c r="AG287" s="551">
        <f t="shared" si="12"/>
        <v>1</v>
      </c>
      <c r="AH287" s="551">
        <f t="shared" si="12"/>
        <v>2</v>
      </c>
      <c r="AI287" s="551">
        <f t="shared" si="12"/>
        <v>2</v>
      </c>
      <c r="AJ287" s="551">
        <f t="shared" si="12"/>
        <v>2</v>
      </c>
      <c r="AK287" s="551">
        <f t="shared" si="12"/>
        <v>0</v>
      </c>
      <c r="AL287" s="551">
        <f t="shared" si="12"/>
        <v>0</v>
      </c>
      <c r="AM287" s="551">
        <f t="shared" si="12"/>
        <v>2</v>
      </c>
      <c r="AN287" s="551">
        <f t="shared" si="12"/>
        <v>2</v>
      </c>
      <c r="AO287" s="551">
        <f t="shared" si="12"/>
        <v>2</v>
      </c>
      <c r="AP287" s="551">
        <f t="shared" si="12"/>
        <v>2</v>
      </c>
      <c r="AQ287" s="551">
        <f t="shared" si="12"/>
        <v>2</v>
      </c>
      <c r="AR287" s="551">
        <f t="shared" si="12"/>
        <v>2</v>
      </c>
      <c r="AS287" s="551">
        <f t="shared" si="12"/>
        <v>2</v>
      </c>
      <c r="AT287" s="551">
        <f t="shared" si="12"/>
        <v>1</v>
      </c>
      <c r="AU287" s="551">
        <f t="shared" si="12"/>
        <v>2</v>
      </c>
      <c r="AV287" s="551">
        <f t="shared" si="12"/>
        <v>2</v>
      </c>
      <c r="AW287" s="551">
        <f t="shared" si="12"/>
        <v>2</v>
      </c>
      <c r="AX287" s="551">
        <f t="shared" si="12"/>
        <v>2</v>
      </c>
      <c r="AY287" s="551">
        <f t="shared" si="12"/>
        <v>2</v>
      </c>
      <c r="AZ287" s="551">
        <f t="shared" si="12"/>
        <v>2</v>
      </c>
      <c r="BA287" s="551">
        <f t="shared" si="12"/>
        <v>2</v>
      </c>
      <c r="BB287" s="551">
        <f t="shared" si="12"/>
        <v>2</v>
      </c>
      <c r="BC287" s="551">
        <f t="shared" si="12"/>
        <v>2</v>
      </c>
      <c r="BD287" s="551">
        <f t="shared" si="12"/>
        <v>2</v>
      </c>
      <c r="BE287" s="551">
        <f t="shared" si="12"/>
        <v>2</v>
      </c>
      <c r="BF287" s="551">
        <f t="shared" si="12"/>
        <v>2</v>
      </c>
      <c r="BG287" s="551">
        <f t="shared" si="12"/>
        <v>2</v>
      </c>
      <c r="BH287" s="551">
        <f t="shared" si="12"/>
        <v>2</v>
      </c>
      <c r="BI287" s="551">
        <f t="shared" si="12"/>
        <v>2</v>
      </c>
      <c r="BJ287" s="551">
        <f t="shared" si="12"/>
        <v>2</v>
      </c>
      <c r="BK287" s="551">
        <f t="shared" si="12"/>
        <v>2</v>
      </c>
      <c r="BL287" s="551">
        <f t="shared" si="12"/>
        <v>0</v>
      </c>
      <c r="BM287" s="551">
        <f t="shared" si="12"/>
        <v>0</v>
      </c>
      <c r="BN287" s="551">
        <f t="shared" ref="BN287:BR287" si="13">BN239</f>
        <v>2</v>
      </c>
      <c r="BO287" s="551">
        <f t="shared" si="13"/>
        <v>2</v>
      </c>
      <c r="BP287" s="551">
        <f t="shared" si="13"/>
        <v>2</v>
      </c>
      <c r="BQ287" s="551">
        <f t="shared" si="13"/>
        <v>2</v>
      </c>
      <c r="BR287" s="551">
        <f t="shared" si="13"/>
        <v>2</v>
      </c>
      <c r="BS287" s="551">
        <f t="shared" ref="BS287:CD287" si="14">BS239</f>
        <v>2</v>
      </c>
      <c r="BT287" s="551">
        <f t="shared" si="14"/>
        <v>1</v>
      </c>
      <c r="BU287" s="551">
        <f t="shared" si="14"/>
        <v>2</v>
      </c>
      <c r="BV287" s="551">
        <f t="shared" si="14"/>
        <v>2</v>
      </c>
      <c r="BW287" s="551">
        <f t="shared" si="14"/>
        <v>2</v>
      </c>
      <c r="BX287" s="551">
        <f t="shared" si="14"/>
        <v>2</v>
      </c>
      <c r="BY287" s="551">
        <f t="shared" si="14"/>
        <v>2</v>
      </c>
      <c r="BZ287" s="551">
        <f t="shared" si="14"/>
        <v>2</v>
      </c>
      <c r="CA287" s="551">
        <f t="shared" si="14"/>
        <v>1</v>
      </c>
      <c r="CB287" s="551">
        <f t="shared" si="14"/>
        <v>1</v>
      </c>
      <c r="CC287" s="551">
        <f t="shared" si="14"/>
        <v>0</v>
      </c>
      <c r="CD287" s="551">
        <f t="shared" si="14"/>
        <v>2</v>
      </c>
      <c r="CE287" s="180"/>
      <c r="CF287" s="180"/>
      <c r="CG287" s="180"/>
      <c r="CH287" s="180"/>
      <c r="CI287" s="180"/>
      <c r="CJ287" s="180"/>
      <c r="CK287" s="180"/>
      <c r="CL287" s="180"/>
      <c r="CM287" s="180"/>
      <c r="CN287" s="180"/>
      <c r="CO287" s="180"/>
      <c r="CP287" s="180"/>
      <c r="CQ287" s="180"/>
      <c r="CR287" s="180"/>
      <c r="CS287" s="180"/>
      <c r="CT287" s="180"/>
      <c r="CU287" s="180"/>
      <c r="CV287" s="180"/>
      <c r="CW287" s="180"/>
      <c r="CX287" s="180"/>
      <c r="CY287" s="180"/>
      <c r="CZ287" s="180"/>
    </row>
    <row r="288" spans="1:104" x14ac:dyDescent="0.3">
      <c r="A288" s="551">
        <f>A240</f>
        <v>1056</v>
      </c>
      <c r="B288" s="551" t="str">
        <f t="shared" ref="B288:BM288" si="15">B240</f>
        <v>Did your audit disclose as a finding that the unitGÇÖs records were not completed by the agreed upon time? (Yes or No)</v>
      </c>
      <c r="C288" s="551">
        <f t="shared" si="15"/>
        <v>0</v>
      </c>
      <c r="D288" s="551">
        <f t="shared" si="15"/>
        <v>0</v>
      </c>
      <c r="E288" s="551">
        <f t="shared" si="15"/>
        <v>2</v>
      </c>
      <c r="F288" s="551">
        <f t="shared" si="15"/>
        <v>0</v>
      </c>
      <c r="G288" s="551">
        <f t="shared" si="15"/>
        <v>2</v>
      </c>
      <c r="H288" s="551">
        <f t="shared" si="15"/>
        <v>2</v>
      </c>
      <c r="I288" s="551">
        <f t="shared" si="15"/>
        <v>2</v>
      </c>
      <c r="J288" s="551">
        <f t="shared" si="15"/>
        <v>2</v>
      </c>
      <c r="K288" s="551">
        <f t="shared" si="15"/>
        <v>2</v>
      </c>
      <c r="L288" s="551">
        <f t="shared" si="15"/>
        <v>2</v>
      </c>
      <c r="M288" s="551">
        <f t="shared" si="15"/>
        <v>2</v>
      </c>
      <c r="N288" s="551">
        <f t="shared" si="15"/>
        <v>2</v>
      </c>
      <c r="O288" s="551">
        <f t="shared" si="15"/>
        <v>2</v>
      </c>
      <c r="P288" s="551">
        <f t="shared" si="15"/>
        <v>2</v>
      </c>
      <c r="Q288" s="551">
        <f t="shared" si="15"/>
        <v>2</v>
      </c>
      <c r="R288" s="551">
        <f t="shared" si="15"/>
        <v>2</v>
      </c>
      <c r="S288" s="551">
        <f t="shared" si="15"/>
        <v>2</v>
      </c>
      <c r="T288" s="551">
        <f t="shared" si="15"/>
        <v>2</v>
      </c>
      <c r="U288" s="551">
        <f t="shared" si="15"/>
        <v>2</v>
      </c>
      <c r="V288" s="551">
        <f t="shared" si="15"/>
        <v>2</v>
      </c>
      <c r="W288" s="551">
        <f t="shared" si="15"/>
        <v>2</v>
      </c>
      <c r="X288" s="551">
        <f t="shared" si="15"/>
        <v>0</v>
      </c>
      <c r="Y288" s="551">
        <f t="shared" si="15"/>
        <v>2</v>
      </c>
      <c r="Z288" s="551">
        <f t="shared" si="15"/>
        <v>2</v>
      </c>
      <c r="AA288" s="551">
        <f t="shared" si="15"/>
        <v>2</v>
      </c>
      <c r="AB288" s="551">
        <f t="shared" si="15"/>
        <v>1</v>
      </c>
      <c r="AC288" s="551">
        <f t="shared" si="15"/>
        <v>2</v>
      </c>
      <c r="AD288" s="551">
        <f t="shared" si="15"/>
        <v>2</v>
      </c>
      <c r="AE288" s="551">
        <f t="shared" si="15"/>
        <v>2</v>
      </c>
      <c r="AF288" s="551">
        <f t="shared" si="15"/>
        <v>2</v>
      </c>
      <c r="AG288" s="551">
        <f t="shared" si="15"/>
        <v>1</v>
      </c>
      <c r="AH288" s="551">
        <f t="shared" si="15"/>
        <v>2</v>
      </c>
      <c r="AI288" s="551">
        <f t="shared" si="15"/>
        <v>2</v>
      </c>
      <c r="AJ288" s="551">
        <f t="shared" si="15"/>
        <v>2</v>
      </c>
      <c r="AK288" s="551">
        <f t="shared" si="15"/>
        <v>0</v>
      </c>
      <c r="AL288" s="551">
        <f t="shared" si="15"/>
        <v>0</v>
      </c>
      <c r="AM288" s="551">
        <f t="shared" si="15"/>
        <v>2</v>
      </c>
      <c r="AN288" s="551">
        <f t="shared" si="15"/>
        <v>2</v>
      </c>
      <c r="AO288" s="551">
        <f t="shared" si="15"/>
        <v>1</v>
      </c>
      <c r="AP288" s="551">
        <f t="shared" si="15"/>
        <v>2</v>
      </c>
      <c r="AQ288" s="551">
        <f t="shared" si="15"/>
        <v>2</v>
      </c>
      <c r="AR288" s="551">
        <f t="shared" si="15"/>
        <v>2</v>
      </c>
      <c r="AS288" s="551">
        <f t="shared" si="15"/>
        <v>2</v>
      </c>
      <c r="AT288" s="551">
        <f t="shared" si="15"/>
        <v>1</v>
      </c>
      <c r="AU288" s="551">
        <f t="shared" si="15"/>
        <v>2</v>
      </c>
      <c r="AV288" s="551">
        <f t="shared" si="15"/>
        <v>2</v>
      </c>
      <c r="AW288" s="551">
        <f t="shared" si="15"/>
        <v>2</v>
      </c>
      <c r="AX288" s="551">
        <f t="shared" si="15"/>
        <v>2</v>
      </c>
      <c r="AY288" s="551">
        <f t="shared" si="15"/>
        <v>2</v>
      </c>
      <c r="AZ288" s="551">
        <f t="shared" si="15"/>
        <v>2</v>
      </c>
      <c r="BA288" s="551">
        <f t="shared" si="15"/>
        <v>2</v>
      </c>
      <c r="BB288" s="551">
        <f t="shared" si="15"/>
        <v>2</v>
      </c>
      <c r="BC288" s="551">
        <f t="shared" si="15"/>
        <v>2</v>
      </c>
      <c r="BD288" s="551">
        <f t="shared" si="15"/>
        <v>1</v>
      </c>
      <c r="BE288" s="551">
        <f t="shared" si="15"/>
        <v>2</v>
      </c>
      <c r="BF288" s="551">
        <f t="shared" si="15"/>
        <v>2</v>
      </c>
      <c r="BG288" s="551">
        <f t="shared" si="15"/>
        <v>2</v>
      </c>
      <c r="BH288" s="551">
        <f t="shared" si="15"/>
        <v>2</v>
      </c>
      <c r="BI288" s="551">
        <f t="shared" si="15"/>
        <v>2</v>
      </c>
      <c r="BJ288" s="551">
        <f t="shared" si="15"/>
        <v>2</v>
      </c>
      <c r="BK288" s="551">
        <f t="shared" si="15"/>
        <v>2</v>
      </c>
      <c r="BL288" s="551">
        <f t="shared" si="15"/>
        <v>0</v>
      </c>
      <c r="BM288" s="551">
        <f t="shared" si="15"/>
        <v>0</v>
      </c>
      <c r="BN288" s="551">
        <f t="shared" ref="BN288:BR288" si="16">BN240</f>
        <v>2</v>
      </c>
      <c r="BO288" s="551">
        <f t="shared" si="16"/>
        <v>1</v>
      </c>
      <c r="BP288" s="551">
        <f t="shared" si="16"/>
        <v>2</v>
      </c>
      <c r="BQ288" s="551">
        <f t="shared" si="16"/>
        <v>2</v>
      </c>
      <c r="BR288" s="551">
        <f t="shared" si="16"/>
        <v>2</v>
      </c>
      <c r="BS288" s="551">
        <f t="shared" ref="BS288:CD288" si="17">BS240</f>
        <v>2</v>
      </c>
      <c r="BT288" s="551">
        <f t="shared" si="17"/>
        <v>2</v>
      </c>
      <c r="BU288" s="551">
        <f t="shared" si="17"/>
        <v>2</v>
      </c>
      <c r="BV288" s="551">
        <f t="shared" si="17"/>
        <v>2</v>
      </c>
      <c r="BW288" s="551">
        <f t="shared" si="17"/>
        <v>2</v>
      </c>
      <c r="BX288" s="551">
        <f t="shared" si="17"/>
        <v>2</v>
      </c>
      <c r="BY288" s="551">
        <f t="shared" si="17"/>
        <v>2</v>
      </c>
      <c r="BZ288" s="551">
        <f t="shared" si="17"/>
        <v>2</v>
      </c>
      <c r="CA288" s="551">
        <f t="shared" si="17"/>
        <v>1</v>
      </c>
      <c r="CB288" s="551">
        <f t="shared" si="17"/>
        <v>2</v>
      </c>
      <c r="CC288" s="551">
        <f t="shared" si="17"/>
        <v>0</v>
      </c>
      <c r="CD288" s="551">
        <f t="shared" si="17"/>
        <v>2</v>
      </c>
      <c r="CE288" s="180"/>
      <c r="CF288" s="180"/>
      <c r="CG288" s="180"/>
      <c r="CH288" s="180"/>
      <c r="CI288" s="180"/>
      <c r="CJ288" s="180"/>
      <c r="CK288" s="180"/>
      <c r="CL288" s="180"/>
      <c r="CM288" s="180"/>
      <c r="CN288" s="180"/>
      <c r="CO288" s="180"/>
      <c r="CP288" s="180"/>
      <c r="CQ288" s="180"/>
      <c r="CR288" s="180"/>
      <c r="CS288" s="180"/>
      <c r="CT288" s="180"/>
      <c r="CU288" s="180"/>
      <c r="CV288" s="180"/>
      <c r="CW288" s="180"/>
      <c r="CX288" s="180"/>
      <c r="CY288" s="180"/>
      <c r="CZ288" s="180"/>
    </row>
    <row r="289" spans="1:104" x14ac:dyDescent="0.3">
      <c r="A289" s="551">
        <f>A241</f>
        <v>1057</v>
      </c>
      <c r="B289" s="551" t="str">
        <f t="shared" ref="B289:BM289" si="18">B241</f>
        <v>Did your audit disclose any budget violations at the adopted ordinance level? (Yes or No)</v>
      </c>
      <c r="C289" s="551">
        <f t="shared" si="18"/>
        <v>0</v>
      </c>
      <c r="D289" s="551">
        <f t="shared" si="18"/>
        <v>0</v>
      </c>
      <c r="E289" s="551">
        <f t="shared" si="18"/>
        <v>2</v>
      </c>
      <c r="F289" s="551">
        <f t="shared" si="18"/>
        <v>0</v>
      </c>
      <c r="G289" s="551">
        <f t="shared" si="18"/>
        <v>2</v>
      </c>
      <c r="H289" s="551">
        <f t="shared" si="18"/>
        <v>2</v>
      </c>
      <c r="I289" s="551">
        <f t="shared" si="18"/>
        <v>1</v>
      </c>
      <c r="J289" s="551">
        <f t="shared" si="18"/>
        <v>2</v>
      </c>
      <c r="K289" s="551">
        <f t="shared" si="18"/>
        <v>2</v>
      </c>
      <c r="L289" s="551">
        <f t="shared" si="18"/>
        <v>2</v>
      </c>
      <c r="M289" s="551">
        <f t="shared" si="18"/>
        <v>2</v>
      </c>
      <c r="N289" s="551">
        <f t="shared" si="18"/>
        <v>2</v>
      </c>
      <c r="O289" s="551">
        <f t="shared" si="18"/>
        <v>2</v>
      </c>
      <c r="P289" s="551">
        <f t="shared" si="18"/>
        <v>1</v>
      </c>
      <c r="Q289" s="551">
        <f t="shared" si="18"/>
        <v>1</v>
      </c>
      <c r="R289" s="551">
        <f t="shared" si="18"/>
        <v>2</v>
      </c>
      <c r="S289" s="551">
        <f t="shared" si="18"/>
        <v>1</v>
      </c>
      <c r="T289" s="551">
        <f t="shared" si="18"/>
        <v>2</v>
      </c>
      <c r="U289" s="551">
        <f t="shared" si="18"/>
        <v>2</v>
      </c>
      <c r="V289" s="551">
        <f t="shared" si="18"/>
        <v>2</v>
      </c>
      <c r="W289" s="551">
        <f t="shared" si="18"/>
        <v>2</v>
      </c>
      <c r="X289" s="551">
        <f t="shared" si="18"/>
        <v>0</v>
      </c>
      <c r="Y289" s="551">
        <f t="shared" si="18"/>
        <v>2</v>
      </c>
      <c r="Z289" s="551">
        <f t="shared" si="18"/>
        <v>1</v>
      </c>
      <c r="AA289" s="551">
        <f t="shared" si="18"/>
        <v>2</v>
      </c>
      <c r="AB289" s="551">
        <f t="shared" si="18"/>
        <v>1</v>
      </c>
      <c r="AC289" s="551">
        <f t="shared" si="18"/>
        <v>2</v>
      </c>
      <c r="AD289" s="551">
        <f t="shared" si="18"/>
        <v>2</v>
      </c>
      <c r="AE289" s="551">
        <f t="shared" si="18"/>
        <v>2</v>
      </c>
      <c r="AF289" s="551">
        <f t="shared" si="18"/>
        <v>1</v>
      </c>
      <c r="AG289" s="551">
        <f t="shared" si="18"/>
        <v>2</v>
      </c>
      <c r="AH289" s="551">
        <f t="shared" si="18"/>
        <v>2</v>
      </c>
      <c r="AI289" s="551">
        <f t="shared" si="18"/>
        <v>2</v>
      </c>
      <c r="AJ289" s="551">
        <f t="shared" si="18"/>
        <v>2</v>
      </c>
      <c r="AK289" s="551">
        <f t="shared" si="18"/>
        <v>0</v>
      </c>
      <c r="AL289" s="551">
        <f t="shared" si="18"/>
        <v>0</v>
      </c>
      <c r="AM289" s="551">
        <f t="shared" si="18"/>
        <v>1</v>
      </c>
      <c r="AN289" s="551">
        <f t="shared" si="18"/>
        <v>2</v>
      </c>
      <c r="AO289" s="551">
        <f t="shared" si="18"/>
        <v>2</v>
      </c>
      <c r="AP289" s="551">
        <f t="shared" si="18"/>
        <v>2</v>
      </c>
      <c r="AQ289" s="551">
        <f t="shared" si="18"/>
        <v>1</v>
      </c>
      <c r="AR289" s="551">
        <f t="shared" si="18"/>
        <v>2</v>
      </c>
      <c r="AS289" s="551">
        <f t="shared" si="18"/>
        <v>2</v>
      </c>
      <c r="AT289" s="551">
        <f t="shared" si="18"/>
        <v>1</v>
      </c>
      <c r="AU289" s="551">
        <f t="shared" si="18"/>
        <v>2</v>
      </c>
      <c r="AV289" s="551">
        <f t="shared" si="18"/>
        <v>1</v>
      </c>
      <c r="AW289" s="551">
        <f t="shared" si="18"/>
        <v>2</v>
      </c>
      <c r="AX289" s="551">
        <f t="shared" si="18"/>
        <v>1</v>
      </c>
      <c r="AY289" s="551">
        <f t="shared" si="18"/>
        <v>2</v>
      </c>
      <c r="AZ289" s="551">
        <f t="shared" si="18"/>
        <v>2</v>
      </c>
      <c r="BA289" s="551">
        <f t="shared" si="18"/>
        <v>2</v>
      </c>
      <c r="BB289" s="551">
        <f t="shared" si="18"/>
        <v>2</v>
      </c>
      <c r="BC289" s="551">
        <f t="shared" si="18"/>
        <v>2</v>
      </c>
      <c r="BD289" s="551">
        <f t="shared" si="18"/>
        <v>2</v>
      </c>
      <c r="BE289" s="551">
        <f t="shared" si="18"/>
        <v>2</v>
      </c>
      <c r="BF289" s="551">
        <f t="shared" si="18"/>
        <v>1</v>
      </c>
      <c r="BG289" s="551">
        <f t="shared" si="18"/>
        <v>1</v>
      </c>
      <c r="BH289" s="551">
        <f t="shared" si="18"/>
        <v>2</v>
      </c>
      <c r="BI289" s="551">
        <f t="shared" si="18"/>
        <v>1</v>
      </c>
      <c r="BJ289" s="551">
        <f t="shared" si="18"/>
        <v>1</v>
      </c>
      <c r="BK289" s="551">
        <f t="shared" si="18"/>
        <v>2</v>
      </c>
      <c r="BL289" s="551">
        <f t="shared" si="18"/>
        <v>0</v>
      </c>
      <c r="BM289" s="551">
        <f t="shared" si="18"/>
        <v>0</v>
      </c>
      <c r="BN289" s="551">
        <f t="shared" ref="BN289:BR289" si="19">BN241</f>
        <v>2</v>
      </c>
      <c r="BO289" s="551">
        <f t="shared" si="19"/>
        <v>2</v>
      </c>
      <c r="BP289" s="551">
        <f t="shared" si="19"/>
        <v>1</v>
      </c>
      <c r="BQ289" s="551">
        <f t="shared" si="19"/>
        <v>2</v>
      </c>
      <c r="BR289" s="551">
        <f t="shared" si="19"/>
        <v>2</v>
      </c>
      <c r="BS289" s="551">
        <f t="shared" ref="BS289:CD289" si="20">BS241</f>
        <v>2</v>
      </c>
      <c r="BT289" s="551">
        <f t="shared" si="20"/>
        <v>1</v>
      </c>
      <c r="BU289" s="551">
        <f t="shared" si="20"/>
        <v>2</v>
      </c>
      <c r="BV289" s="551">
        <f t="shared" si="20"/>
        <v>2</v>
      </c>
      <c r="BW289" s="551">
        <f t="shared" si="20"/>
        <v>1</v>
      </c>
      <c r="BX289" s="551">
        <f t="shared" si="20"/>
        <v>2</v>
      </c>
      <c r="BY289" s="551">
        <f t="shared" si="20"/>
        <v>1</v>
      </c>
      <c r="BZ289" s="551">
        <f t="shared" si="20"/>
        <v>2</v>
      </c>
      <c r="CA289" s="551">
        <f t="shared" si="20"/>
        <v>1</v>
      </c>
      <c r="CB289" s="551">
        <f t="shared" si="20"/>
        <v>1</v>
      </c>
      <c r="CC289" s="551">
        <f t="shared" si="20"/>
        <v>0</v>
      </c>
      <c r="CD289" s="551">
        <f t="shared" si="20"/>
        <v>2</v>
      </c>
      <c r="CE289" s="180"/>
      <c r="CF289" s="180"/>
      <c r="CG289" s="180"/>
      <c r="CH289" s="180"/>
      <c r="CI289" s="180"/>
      <c r="CJ289" s="180"/>
      <c r="CK289" s="180"/>
      <c r="CL289" s="180"/>
      <c r="CM289" s="180"/>
      <c r="CN289" s="180"/>
      <c r="CO289" s="180"/>
      <c r="CP289" s="180"/>
      <c r="CQ289" s="180"/>
      <c r="CR289" s="180"/>
      <c r="CS289" s="180"/>
      <c r="CT289" s="180"/>
      <c r="CU289" s="180"/>
      <c r="CV289" s="180"/>
      <c r="CW289" s="180"/>
      <c r="CX289" s="180"/>
      <c r="CY289" s="180"/>
      <c r="CZ289" s="180"/>
    </row>
    <row r="290" spans="1:104" x14ac:dyDescent="0.3">
      <c r="A290" s="551">
        <f>A242</f>
        <v>1058</v>
      </c>
      <c r="B290" s="551" t="str">
        <f t="shared" ref="B290:BM290" si="21">B242</f>
        <v>Did your audit disclose as a finding any statutory violations? (not including budget violations) (Yes or No)</v>
      </c>
      <c r="C290" s="551">
        <f t="shared" si="21"/>
        <v>0</v>
      </c>
      <c r="D290" s="551">
        <f t="shared" si="21"/>
        <v>0</v>
      </c>
      <c r="E290" s="551">
        <f t="shared" si="21"/>
        <v>2</v>
      </c>
      <c r="F290" s="551">
        <f t="shared" si="21"/>
        <v>0</v>
      </c>
      <c r="G290" s="551">
        <f t="shared" si="21"/>
        <v>2</v>
      </c>
      <c r="H290" s="551">
        <f t="shared" si="21"/>
        <v>2</v>
      </c>
      <c r="I290" s="551">
        <f t="shared" si="21"/>
        <v>2</v>
      </c>
      <c r="J290" s="551">
        <f t="shared" si="21"/>
        <v>2</v>
      </c>
      <c r="K290" s="551">
        <f t="shared" si="21"/>
        <v>2</v>
      </c>
      <c r="L290" s="551">
        <f t="shared" si="21"/>
        <v>2</v>
      </c>
      <c r="M290" s="551">
        <f t="shared" si="21"/>
        <v>2</v>
      </c>
      <c r="N290" s="551">
        <f t="shared" si="21"/>
        <v>2</v>
      </c>
      <c r="O290" s="551">
        <f t="shared" si="21"/>
        <v>2</v>
      </c>
      <c r="P290" s="551">
        <f t="shared" si="21"/>
        <v>2</v>
      </c>
      <c r="Q290" s="551">
        <f t="shared" si="21"/>
        <v>2</v>
      </c>
      <c r="R290" s="551">
        <f t="shared" si="21"/>
        <v>2</v>
      </c>
      <c r="S290" s="551">
        <f t="shared" si="21"/>
        <v>2</v>
      </c>
      <c r="T290" s="551">
        <f t="shared" si="21"/>
        <v>2</v>
      </c>
      <c r="U290" s="551">
        <f t="shared" si="21"/>
        <v>2</v>
      </c>
      <c r="V290" s="551">
        <f t="shared" si="21"/>
        <v>2</v>
      </c>
      <c r="W290" s="551">
        <f t="shared" si="21"/>
        <v>2</v>
      </c>
      <c r="X290" s="551">
        <f t="shared" si="21"/>
        <v>0</v>
      </c>
      <c r="Y290" s="551">
        <f t="shared" si="21"/>
        <v>2</v>
      </c>
      <c r="Z290" s="551">
        <f t="shared" si="21"/>
        <v>1</v>
      </c>
      <c r="AA290" s="551">
        <f t="shared" si="21"/>
        <v>2</v>
      </c>
      <c r="AB290" s="551">
        <f t="shared" si="21"/>
        <v>2</v>
      </c>
      <c r="AC290" s="551">
        <f t="shared" si="21"/>
        <v>2</v>
      </c>
      <c r="AD290" s="551">
        <f t="shared" si="21"/>
        <v>2</v>
      </c>
      <c r="AE290" s="551">
        <f t="shared" si="21"/>
        <v>2</v>
      </c>
      <c r="AF290" s="551">
        <f t="shared" si="21"/>
        <v>2</v>
      </c>
      <c r="AG290" s="551">
        <f t="shared" si="21"/>
        <v>1</v>
      </c>
      <c r="AH290" s="551">
        <f t="shared" si="21"/>
        <v>2</v>
      </c>
      <c r="AI290" s="551">
        <f t="shared" si="21"/>
        <v>2</v>
      </c>
      <c r="AJ290" s="551">
        <f t="shared" si="21"/>
        <v>2</v>
      </c>
      <c r="AK290" s="551">
        <f t="shared" si="21"/>
        <v>0</v>
      </c>
      <c r="AL290" s="551">
        <f t="shared" si="21"/>
        <v>0</v>
      </c>
      <c r="AM290" s="551">
        <f t="shared" si="21"/>
        <v>2</v>
      </c>
      <c r="AN290" s="551">
        <f t="shared" si="21"/>
        <v>2</v>
      </c>
      <c r="AO290" s="551">
        <f t="shared" si="21"/>
        <v>2</v>
      </c>
      <c r="AP290" s="551">
        <f t="shared" si="21"/>
        <v>2</v>
      </c>
      <c r="AQ290" s="551">
        <f t="shared" si="21"/>
        <v>2</v>
      </c>
      <c r="AR290" s="551">
        <f t="shared" si="21"/>
        <v>2</v>
      </c>
      <c r="AS290" s="551">
        <f t="shared" si="21"/>
        <v>2</v>
      </c>
      <c r="AT290" s="551">
        <f t="shared" si="21"/>
        <v>2</v>
      </c>
      <c r="AU290" s="551">
        <f t="shared" si="21"/>
        <v>2</v>
      </c>
      <c r="AV290" s="551">
        <f t="shared" si="21"/>
        <v>2</v>
      </c>
      <c r="AW290" s="551">
        <f t="shared" si="21"/>
        <v>2</v>
      </c>
      <c r="AX290" s="551">
        <f t="shared" si="21"/>
        <v>2</v>
      </c>
      <c r="AY290" s="551">
        <f t="shared" si="21"/>
        <v>2</v>
      </c>
      <c r="AZ290" s="551">
        <f t="shared" si="21"/>
        <v>2</v>
      </c>
      <c r="BA290" s="551">
        <f t="shared" si="21"/>
        <v>2</v>
      </c>
      <c r="BB290" s="551">
        <f t="shared" si="21"/>
        <v>2</v>
      </c>
      <c r="BC290" s="551">
        <f t="shared" si="21"/>
        <v>2</v>
      </c>
      <c r="BD290" s="551">
        <f t="shared" si="21"/>
        <v>2</v>
      </c>
      <c r="BE290" s="551">
        <f t="shared" si="21"/>
        <v>2</v>
      </c>
      <c r="BF290" s="551">
        <f t="shared" si="21"/>
        <v>2</v>
      </c>
      <c r="BG290" s="551">
        <f t="shared" si="21"/>
        <v>2</v>
      </c>
      <c r="BH290" s="551">
        <f t="shared" si="21"/>
        <v>2</v>
      </c>
      <c r="BI290" s="551">
        <f t="shared" si="21"/>
        <v>2</v>
      </c>
      <c r="BJ290" s="551">
        <f t="shared" si="21"/>
        <v>2</v>
      </c>
      <c r="BK290" s="551">
        <f t="shared" si="21"/>
        <v>2</v>
      </c>
      <c r="BL290" s="551">
        <f t="shared" si="21"/>
        <v>0</v>
      </c>
      <c r="BM290" s="551">
        <f t="shared" si="21"/>
        <v>0</v>
      </c>
      <c r="BN290" s="551">
        <f t="shared" ref="BN290:BR290" si="22">BN242</f>
        <v>2</v>
      </c>
      <c r="BO290" s="551">
        <f t="shared" si="22"/>
        <v>2</v>
      </c>
      <c r="BP290" s="551">
        <f t="shared" si="22"/>
        <v>2</v>
      </c>
      <c r="BQ290" s="551">
        <f t="shared" si="22"/>
        <v>2</v>
      </c>
      <c r="BR290" s="551">
        <f t="shared" si="22"/>
        <v>2</v>
      </c>
      <c r="BS290" s="551">
        <f t="shared" ref="BS290:CD290" si="23">BS242</f>
        <v>2</v>
      </c>
      <c r="BT290" s="551">
        <f t="shared" si="23"/>
        <v>1</v>
      </c>
      <c r="BU290" s="551">
        <f t="shared" si="23"/>
        <v>2</v>
      </c>
      <c r="BV290" s="551">
        <f t="shared" si="23"/>
        <v>2</v>
      </c>
      <c r="BW290" s="551">
        <f t="shared" si="23"/>
        <v>2</v>
      </c>
      <c r="BX290" s="551">
        <f t="shared" si="23"/>
        <v>2</v>
      </c>
      <c r="BY290" s="551">
        <f t="shared" si="23"/>
        <v>1</v>
      </c>
      <c r="BZ290" s="551">
        <f t="shared" si="23"/>
        <v>2</v>
      </c>
      <c r="CA290" s="551">
        <f t="shared" si="23"/>
        <v>1</v>
      </c>
      <c r="CB290" s="551">
        <f t="shared" si="23"/>
        <v>1</v>
      </c>
      <c r="CC290" s="551">
        <f t="shared" si="23"/>
        <v>0</v>
      </c>
      <c r="CD290" s="551">
        <f t="shared" si="23"/>
        <v>2</v>
      </c>
      <c r="CE290" s="180"/>
      <c r="CF290" s="180"/>
      <c r="CG290" s="180"/>
      <c r="CH290" s="180"/>
      <c r="CI290" s="180"/>
      <c r="CJ290" s="180"/>
      <c r="CK290" s="180"/>
      <c r="CL290" s="180"/>
      <c r="CM290" s="180"/>
      <c r="CN290" s="180"/>
      <c r="CO290" s="180"/>
      <c r="CP290" s="180"/>
      <c r="CQ290" s="180"/>
      <c r="CR290" s="180"/>
      <c r="CS290" s="180"/>
      <c r="CT290" s="180"/>
      <c r="CU290" s="180"/>
      <c r="CV290" s="180"/>
      <c r="CW290" s="180"/>
      <c r="CX290" s="180"/>
      <c r="CY290" s="180"/>
      <c r="CZ290" s="180"/>
    </row>
    <row r="291" spans="1:104" x14ac:dyDescent="0.3">
      <c r="A291" s="551">
        <f>A243</f>
        <v>1059</v>
      </c>
      <c r="B291" s="551" t="str">
        <f t="shared" ref="B291:BM291" si="24">B243</f>
        <v>Did the unit have a board-appointed finance officer the entire fiscal year? (Yes or No)?</v>
      </c>
      <c r="C291" s="551">
        <f t="shared" si="24"/>
        <v>0</v>
      </c>
      <c r="D291" s="551">
        <f t="shared" si="24"/>
        <v>0</v>
      </c>
      <c r="E291" s="551">
        <f t="shared" si="24"/>
        <v>1</v>
      </c>
      <c r="F291" s="551">
        <f t="shared" si="24"/>
        <v>0</v>
      </c>
      <c r="G291" s="551">
        <f t="shared" si="24"/>
        <v>1</v>
      </c>
      <c r="H291" s="551">
        <f t="shared" si="24"/>
        <v>1</v>
      </c>
      <c r="I291" s="551">
        <f t="shared" si="24"/>
        <v>1</v>
      </c>
      <c r="J291" s="551">
        <f t="shared" si="24"/>
        <v>1</v>
      </c>
      <c r="K291" s="551">
        <f t="shared" si="24"/>
        <v>1</v>
      </c>
      <c r="L291" s="551">
        <f t="shared" si="24"/>
        <v>1</v>
      </c>
      <c r="M291" s="551">
        <f t="shared" si="24"/>
        <v>1</v>
      </c>
      <c r="N291" s="551">
        <f t="shared" si="24"/>
        <v>1</v>
      </c>
      <c r="O291" s="551">
        <f t="shared" si="24"/>
        <v>1</v>
      </c>
      <c r="P291" s="551">
        <f t="shared" si="24"/>
        <v>1</v>
      </c>
      <c r="Q291" s="551">
        <f t="shared" si="24"/>
        <v>1</v>
      </c>
      <c r="R291" s="551">
        <f t="shared" si="24"/>
        <v>1</v>
      </c>
      <c r="S291" s="551">
        <f t="shared" si="24"/>
        <v>1</v>
      </c>
      <c r="T291" s="551">
        <f t="shared" si="24"/>
        <v>1</v>
      </c>
      <c r="U291" s="551">
        <f t="shared" si="24"/>
        <v>1</v>
      </c>
      <c r="V291" s="551">
        <f t="shared" si="24"/>
        <v>1</v>
      </c>
      <c r="W291" s="551">
        <f t="shared" si="24"/>
        <v>1</v>
      </c>
      <c r="X291" s="551">
        <f t="shared" si="24"/>
        <v>0</v>
      </c>
      <c r="Y291" s="551">
        <f t="shared" si="24"/>
        <v>1</v>
      </c>
      <c r="Z291" s="551">
        <f t="shared" si="24"/>
        <v>1</v>
      </c>
      <c r="AA291" s="551">
        <f t="shared" si="24"/>
        <v>1</v>
      </c>
      <c r="AB291" s="551">
        <f t="shared" si="24"/>
        <v>1</v>
      </c>
      <c r="AC291" s="551">
        <f t="shared" si="24"/>
        <v>1</v>
      </c>
      <c r="AD291" s="551">
        <f t="shared" si="24"/>
        <v>1</v>
      </c>
      <c r="AE291" s="551">
        <f t="shared" si="24"/>
        <v>1</v>
      </c>
      <c r="AF291" s="551">
        <f t="shared" si="24"/>
        <v>1</v>
      </c>
      <c r="AG291" s="551">
        <f t="shared" si="24"/>
        <v>1</v>
      </c>
      <c r="AH291" s="551">
        <f t="shared" si="24"/>
        <v>1</v>
      </c>
      <c r="AI291" s="551">
        <f t="shared" si="24"/>
        <v>1</v>
      </c>
      <c r="AJ291" s="551">
        <f t="shared" si="24"/>
        <v>1</v>
      </c>
      <c r="AK291" s="551">
        <f t="shared" si="24"/>
        <v>0</v>
      </c>
      <c r="AL291" s="551">
        <f t="shared" si="24"/>
        <v>0</v>
      </c>
      <c r="AM291" s="551">
        <f t="shared" si="24"/>
        <v>1</v>
      </c>
      <c r="AN291" s="551">
        <f t="shared" si="24"/>
        <v>1</v>
      </c>
      <c r="AO291" s="551">
        <f t="shared" si="24"/>
        <v>1</v>
      </c>
      <c r="AP291" s="551">
        <f t="shared" si="24"/>
        <v>1</v>
      </c>
      <c r="AQ291" s="551">
        <f t="shared" si="24"/>
        <v>1</v>
      </c>
      <c r="AR291" s="551">
        <f t="shared" si="24"/>
        <v>1</v>
      </c>
      <c r="AS291" s="551">
        <f t="shared" si="24"/>
        <v>1</v>
      </c>
      <c r="AT291" s="551">
        <f t="shared" si="24"/>
        <v>1</v>
      </c>
      <c r="AU291" s="551">
        <f t="shared" si="24"/>
        <v>1</v>
      </c>
      <c r="AV291" s="551">
        <f t="shared" si="24"/>
        <v>1</v>
      </c>
      <c r="AW291" s="551">
        <f t="shared" si="24"/>
        <v>1</v>
      </c>
      <c r="AX291" s="551">
        <f t="shared" si="24"/>
        <v>1</v>
      </c>
      <c r="AY291" s="551">
        <f t="shared" si="24"/>
        <v>1</v>
      </c>
      <c r="AZ291" s="551">
        <f t="shared" si="24"/>
        <v>1</v>
      </c>
      <c r="BA291" s="551">
        <f t="shared" si="24"/>
        <v>1</v>
      </c>
      <c r="BB291" s="551">
        <f t="shared" si="24"/>
        <v>1</v>
      </c>
      <c r="BC291" s="551">
        <f t="shared" si="24"/>
        <v>1</v>
      </c>
      <c r="BD291" s="551">
        <f t="shared" si="24"/>
        <v>1</v>
      </c>
      <c r="BE291" s="551">
        <f t="shared" si="24"/>
        <v>1</v>
      </c>
      <c r="BF291" s="551">
        <f t="shared" si="24"/>
        <v>1</v>
      </c>
      <c r="BG291" s="551">
        <f t="shared" si="24"/>
        <v>1</v>
      </c>
      <c r="BH291" s="551">
        <f t="shared" si="24"/>
        <v>1</v>
      </c>
      <c r="BI291" s="551">
        <f t="shared" si="24"/>
        <v>1</v>
      </c>
      <c r="BJ291" s="551">
        <f t="shared" si="24"/>
        <v>1</v>
      </c>
      <c r="BK291" s="551">
        <f t="shared" si="24"/>
        <v>1</v>
      </c>
      <c r="BL291" s="551">
        <f t="shared" si="24"/>
        <v>0</v>
      </c>
      <c r="BM291" s="551">
        <f t="shared" si="24"/>
        <v>0</v>
      </c>
      <c r="BN291" s="551">
        <f t="shared" ref="BN291:BR291" si="25">BN243</f>
        <v>1</v>
      </c>
      <c r="BO291" s="551">
        <f t="shared" si="25"/>
        <v>1</v>
      </c>
      <c r="BP291" s="551">
        <f t="shared" si="25"/>
        <v>1</v>
      </c>
      <c r="BQ291" s="551">
        <f t="shared" si="25"/>
        <v>1</v>
      </c>
      <c r="BR291" s="551">
        <f t="shared" si="25"/>
        <v>1</v>
      </c>
      <c r="BS291" s="551">
        <f t="shared" ref="BS291:CD291" si="26">BS243</f>
        <v>1</v>
      </c>
      <c r="BT291" s="551">
        <f t="shared" si="26"/>
        <v>1</v>
      </c>
      <c r="BU291" s="551">
        <f t="shared" si="26"/>
        <v>1</v>
      </c>
      <c r="BV291" s="551">
        <f t="shared" si="26"/>
        <v>1</v>
      </c>
      <c r="BW291" s="551">
        <f t="shared" si="26"/>
        <v>1</v>
      </c>
      <c r="BX291" s="551">
        <f t="shared" si="26"/>
        <v>1</v>
      </c>
      <c r="BY291" s="551">
        <f t="shared" si="26"/>
        <v>1</v>
      </c>
      <c r="BZ291" s="551">
        <f t="shared" si="26"/>
        <v>1</v>
      </c>
      <c r="CA291" s="551">
        <f t="shared" si="26"/>
        <v>1</v>
      </c>
      <c r="CB291" s="551">
        <f t="shared" si="26"/>
        <v>1</v>
      </c>
      <c r="CC291" s="551">
        <f t="shared" si="26"/>
        <v>0</v>
      </c>
      <c r="CD291" s="551">
        <f t="shared" si="26"/>
        <v>1</v>
      </c>
      <c r="CE291" s="180"/>
      <c r="CF291" s="180"/>
      <c r="CG291" s="180"/>
      <c r="CH291" s="180"/>
      <c r="CI291" s="180"/>
      <c r="CJ291" s="180"/>
      <c r="CK291" s="180"/>
      <c r="CL291" s="180"/>
      <c r="CM291" s="180"/>
      <c r="CN291" s="180"/>
      <c r="CO291" s="180"/>
      <c r="CP291" s="180"/>
      <c r="CQ291" s="180"/>
      <c r="CR291" s="180"/>
      <c r="CS291" s="180"/>
      <c r="CT291" s="180"/>
      <c r="CU291" s="180"/>
      <c r="CV291" s="180"/>
      <c r="CW291" s="180"/>
      <c r="CX291" s="180"/>
      <c r="CY291" s="180"/>
      <c r="CZ291" s="180"/>
    </row>
    <row r="292" spans="1:104" x14ac:dyDescent="0.3">
      <c r="A292" s="551">
        <f>A257</f>
        <v>1078</v>
      </c>
      <c r="B292" s="551" t="str">
        <f t="shared" ref="B292:BM292" si="27">B257</f>
        <v>If the answer to 1059 is "No" then was the unit without a board-appointed interim or permanent finance officer for more than 2 weeks at any time in the fiscal year? (Note:  Please include a noncompliance finding related to GS 159-24, GS 159-25(a)(2) or GS</v>
      </c>
      <c r="C292" s="551">
        <f t="shared" si="27"/>
        <v>0</v>
      </c>
      <c r="D292" s="551">
        <f t="shared" si="27"/>
        <v>0</v>
      </c>
      <c r="E292" s="551">
        <f t="shared" si="27"/>
        <v>3</v>
      </c>
      <c r="F292" s="551">
        <f t="shared" si="27"/>
        <v>0</v>
      </c>
      <c r="G292" s="551">
        <f t="shared" si="27"/>
        <v>3</v>
      </c>
      <c r="H292" s="551">
        <f t="shared" si="27"/>
        <v>3</v>
      </c>
      <c r="I292" s="551">
        <f t="shared" si="27"/>
        <v>3</v>
      </c>
      <c r="J292" s="551">
        <f t="shared" si="27"/>
        <v>3</v>
      </c>
      <c r="K292" s="551">
        <f t="shared" si="27"/>
        <v>3</v>
      </c>
      <c r="L292" s="551">
        <f t="shared" si="27"/>
        <v>3</v>
      </c>
      <c r="M292" s="551">
        <f t="shared" si="27"/>
        <v>3</v>
      </c>
      <c r="N292" s="551">
        <f t="shared" si="27"/>
        <v>3</v>
      </c>
      <c r="O292" s="551">
        <f t="shared" si="27"/>
        <v>3</v>
      </c>
      <c r="P292" s="551">
        <f t="shared" si="27"/>
        <v>3</v>
      </c>
      <c r="Q292" s="551">
        <f t="shared" si="27"/>
        <v>3</v>
      </c>
      <c r="R292" s="551">
        <f t="shared" si="27"/>
        <v>3</v>
      </c>
      <c r="S292" s="551">
        <f t="shared" si="27"/>
        <v>3</v>
      </c>
      <c r="T292" s="551">
        <f t="shared" si="27"/>
        <v>3</v>
      </c>
      <c r="U292" s="551">
        <f t="shared" si="27"/>
        <v>3</v>
      </c>
      <c r="V292" s="551">
        <f t="shared" si="27"/>
        <v>3</v>
      </c>
      <c r="W292" s="551">
        <f t="shared" si="27"/>
        <v>3</v>
      </c>
      <c r="X292" s="551">
        <f t="shared" si="27"/>
        <v>0</v>
      </c>
      <c r="Y292" s="551">
        <f t="shared" si="27"/>
        <v>3</v>
      </c>
      <c r="Z292" s="551">
        <f t="shared" si="27"/>
        <v>3</v>
      </c>
      <c r="AA292" s="551">
        <f t="shared" si="27"/>
        <v>3</v>
      </c>
      <c r="AB292" s="551">
        <f t="shared" si="27"/>
        <v>3</v>
      </c>
      <c r="AC292" s="551">
        <f t="shared" si="27"/>
        <v>3</v>
      </c>
      <c r="AD292" s="551">
        <f t="shared" si="27"/>
        <v>3</v>
      </c>
      <c r="AE292" s="551">
        <f t="shared" si="27"/>
        <v>3</v>
      </c>
      <c r="AF292" s="551">
        <f t="shared" si="27"/>
        <v>3</v>
      </c>
      <c r="AG292" s="551">
        <f t="shared" si="27"/>
        <v>3</v>
      </c>
      <c r="AH292" s="551">
        <f t="shared" si="27"/>
        <v>3</v>
      </c>
      <c r="AI292" s="551">
        <f t="shared" si="27"/>
        <v>3</v>
      </c>
      <c r="AJ292" s="551">
        <f t="shared" si="27"/>
        <v>3</v>
      </c>
      <c r="AK292" s="551">
        <f t="shared" si="27"/>
        <v>0</v>
      </c>
      <c r="AL292" s="551">
        <f t="shared" si="27"/>
        <v>0</v>
      </c>
      <c r="AM292" s="551">
        <f t="shared" si="27"/>
        <v>3</v>
      </c>
      <c r="AN292" s="551">
        <f t="shared" si="27"/>
        <v>3</v>
      </c>
      <c r="AO292" s="551">
        <f t="shared" si="27"/>
        <v>3</v>
      </c>
      <c r="AP292" s="551">
        <f t="shared" si="27"/>
        <v>3</v>
      </c>
      <c r="AQ292" s="551">
        <f t="shared" si="27"/>
        <v>3</v>
      </c>
      <c r="AR292" s="551">
        <f t="shared" si="27"/>
        <v>3</v>
      </c>
      <c r="AS292" s="551">
        <f t="shared" si="27"/>
        <v>3</v>
      </c>
      <c r="AT292" s="551">
        <f t="shared" si="27"/>
        <v>3</v>
      </c>
      <c r="AU292" s="551">
        <f t="shared" si="27"/>
        <v>3</v>
      </c>
      <c r="AV292" s="551">
        <f t="shared" si="27"/>
        <v>3</v>
      </c>
      <c r="AW292" s="551">
        <f t="shared" si="27"/>
        <v>3</v>
      </c>
      <c r="AX292" s="551">
        <f t="shared" si="27"/>
        <v>3</v>
      </c>
      <c r="AY292" s="551">
        <f t="shared" si="27"/>
        <v>3</v>
      </c>
      <c r="AZ292" s="551">
        <f t="shared" si="27"/>
        <v>3</v>
      </c>
      <c r="BA292" s="551">
        <f t="shared" si="27"/>
        <v>3</v>
      </c>
      <c r="BB292" s="551">
        <f t="shared" si="27"/>
        <v>3</v>
      </c>
      <c r="BC292" s="551">
        <f t="shared" si="27"/>
        <v>3</v>
      </c>
      <c r="BD292" s="551">
        <f t="shared" si="27"/>
        <v>3</v>
      </c>
      <c r="BE292" s="551">
        <f t="shared" si="27"/>
        <v>3</v>
      </c>
      <c r="BF292" s="551">
        <f t="shared" si="27"/>
        <v>3</v>
      </c>
      <c r="BG292" s="551">
        <f t="shared" si="27"/>
        <v>3</v>
      </c>
      <c r="BH292" s="551">
        <f t="shared" si="27"/>
        <v>3</v>
      </c>
      <c r="BI292" s="551">
        <f t="shared" si="27"/>
        <v>3</v>
      </c>
      <c r="BJ292" s="551">
        <f t="shared" si="27"/>
        <v>3</v>
      </c>
      <c r="BK292" s="551">
        <f t="shared" si="27"/>
        <v>3</v>
      </c>
      <c r="BL292" s="551">
        <f t="shared" si="27"/>
        <v>0</v>
      </c>
      <c r="BM292" s="551">
        <f t="shared" si="27"/>
        <v>0</v>
      </c>
      <c r="BN292" s="551">
        <f t="shared" ref="BN292:BR292" si="28">BN257</f>
        <v>3</v>
      </c>
      <c r="BO292" s="551">
        <f t="shared" si="28"/>
        <v>3</v>
      </c>
      <c r="BP292" s="551">
        <f t="shared" si="28"/>
        <v>2</v>
      </c>
      <c r="BQ292" s="551">
        <f t="shared" si="28"/>
        <v>3</v>
      </c>
      <c r="BR292" s="551">
        <f t="shared" si="28"/>
        <v>3</v>
      </c>
      <c r="BS292" s="551">
        <f t="shared" ref="BS292:CD292" si="29">BS257</f>
        <v>3</v>
      </c>
      <c r="BT292" s="551">
        <f t="shared" si="29"/>
        <v>3</v>
      </c>
      <c r="BU292" s="551">
        <f t="shared" si="29"/>
        <v>3</v>
      </c>
      <c r="BV292" s="551">
        <f t="shared" si="29"/>
        <v>3</v>
      </c>
      <c r="BW292" s="551">
        <f t="shared" si="29"/>
        <v>3</v>
      </c>
      <c r="BX292" s="551">
        <f t="shared" si="29"/>
        <v>3</v>
      </c>
      <c r="BY292" s="551">
        <f t="shared" si="29"/>
        <v>3</v>
      </c>
      <c r="BZ292" s="551">
        <f t="shared" si="29"/>
        <v>3</v>
      </c>
      <c r="CA292" s="551">
        <f t="shared" si="29"/>
        <v>3</v>
      </c>
      <c r="CB292" s="551">
        <f t="shared" si="29"/>
        <v>3</v>
      </c>
      <c r="CC292" s="551">
        <f t="shared" si="29"/>
        <v>0</v>
      </c>
      <c r="CD292" s="551">
        <f t="shared" si="29"/>
        <v>3</v>
      </c>
      <c r="CE292" s="180"/>
      <c r="CF292" s="180"/>
      <c r="CG292" s="180"/>
      <c r="CH292" s="180"/>
      <c r="CI292" s="180"/>
      <c r="CJ292" s="180"/>
      <c r="CK292" s="180"/>
      <c r="CL292" s="180"/>
      <c r="CM292" s="180"/>
      <c r="CN292" s="180"/>
      <c r="CO292" s="180"/>
      <c r="CP292" s="180"/>
      <c r="CQ292" s="180"/>
      <c r="CR292" s="180"/>
      <c r="CS292" s="180"/>
      <c r="CT292" s="180"/>
      <c r="CU292" s="180"/>
      <c r="CV292" s="180"/>
      <c r="CW292" s="180"/>
      <c r="CX292" s="180"/>
      <c r="CY292" s="180"/>
      <c r="CZ292" s="180"/>
    </row>
    <row r="293" spans="1:104" x14ac:dyDescent="0.3">
      <c r="A293" s="551">
        <f>A249</f>
        <v>1067</v>
      </c>
      <c r="B293" s="551" t="str">
        <f t="shared" ref="B293:BM293" si="30">B249</f>
        <v>Was the finance officer or interim finance officer bonded pursuant to G.S. 159-29 which requires that the finance officer give a true accounting and faithful performance bond in an amount not less than the greater of (1) $50,000 or (2) an amount equal to</v>
      </c>
      <c r="C293" s="551">
        <f t="shared" si="30"/>
        <v>0</v>
      </c>
      <c r="D293" s="551">
        <f t="shared" si="30"/>
        <v>0</v>
      </c>
      <c r="E293" s="551">
        <f t="shared" si="30"/>
        <v>1</v>
      </c>
      <c r="F293" s="551">
        <f t="shared" si="30"/>
        <v>0</v>
      </c>
      <c r="G293" s="551">
        <f t="shared" si="30"/>
        <v>1</v>
      </c>
      <c r="H293" s="551">
        <f t="shared" si="30"/>
        <v>1</v>
      </c>
      <c r="I293" s="551">
        <f t="shared" si="30"/>
        <v>1</v>
      </c>
      <c r="J293" s="551">
        <f t="shared" si="30"/>
        <v>1</v>
      </c>
      <c r="K293" s="551">
        <f t="shared" si="30"/>
        <v>1</v>
      </c>
      <c r="L293" s="551">
        <f t="shared" si="30"/>
        <v>1</v>
      </c>
      <c r="M293" s="551">
        <f t="shared" si="30"/>
        <v>1</v>
      </c>
      <c r="N293" s="551">
        <f t="shared" si="30"/>
        <v>1</v>
      </c>
      <c r="O293" s="551">
        <f t="shared" si="30"/>
        <v>1</v>
      </c>
      <c r="P293" s="551">
        <f t="shared" si="30"/>
        <v>1</v>
      </c>
      <c r="Q293" s="551">
        <f t="shared" si="30"/>
        <v>1</v>
      </c>
      <c r="R293" s="551">
        <f t="shared" si="30"/>
        <v>1</v>
      </c>
      <c r="S293" s="551">
        <f t="shared" si="30"/>
        <v>1</v>
      </c>
      <c r="T293" s="551">
        <f t="shared" si="30"/>
        <v>1</v>
      </c>
      <c r="U293" s="551">
        <f t="shared" si="30"/>
        <v>1</v>
      </c>
      <c r="V293" s="551">
        <f t="shared" si="30"/>
        <v>1</v>
      </c>
      <c r="W293" s="551">
        <f t="shared" si="30"/>
        <v>1</v>
      </c>
      <c r="X293" s="551">
        <f t="shared" si="30"/>
        <v>0</v>
      </c>
      <c r="Y293" s="551">
        <f t="shared" si="30"/>
        <v>1</v>
      </c>
      <c r="Z293" s="551">
        <f t="shared" si="30"/>
        <v>1</v>
      </c>
      <c r="AA293" s="551">
        <f t="shared" si="30"/>
        <v>1</v>
      </c>
      <c r="AB293" s="551">
        <f t="shared" si="30"/>
        <v>1</v>
      </c>
      <c r="AC293" s="551">
        <f t="shared" si="30"/>
        <v>1</v>
      </c>
      <c r="AD293" s="551">
        <f t="shared" si="30"/>
        <v>1</v>
      </c>
      <c r="AE293" s="551">
        <f t="shared" si="30"/>
        <v>1</v>
      </c>
      <c r="AF293" s="551">
        <f t="shared" si="30"/>
        <v>1</v>
      </c>
      <c r="AG293" s="551">
        <f t="shared" si="30"/>
        <v>1</v>
      </c>
      <c r="AH293" s="551">
        <f t="shared" si="30"/>
        <v>1</v>
      </c>
      <c r="AI293" s="551">
        <f t="shared" si="30"/>
        <v>1</v>
      </c>
      <c r="AJ293" s="551">
        <f t="shared" si="30"/>
        <v>1</v>
      </c>
      <c r="AK293" s="551">
        <f t="shared" si="30"/>
        <v>0</v>
      </c>
      <c r="AL293" s="551">
        <f t="shared" si="30"/>
        <v>0</v>
      </c>
      <c r="AM293" s="551">
        <f t="shared" si="30"/>
        <v>1</v>
      </c>
      <c r="AN293" s="551">
        <f t="shared" si="30"/>
        <v>1</v>
      </c>
      <c r="AO293" s="551">
        <f t="shared" si="30"/>
        <v>1</v>
      </c>
      <c r="AP293" s="551">
        <f t="shared" si="30"/>
        <v>1</v>
      </c>
      <c r="AQ293" s="551">
        <f t="shared" si="30"/>
        <v>1</v>
      </c>
      <c r="AR293" s="551">
        <f t="shared" si="30"/>
        <v>1</v>
      </c>
      <c r="AS293" s="551">
        <f t="shared" si="30"/>
        <v>1</v>
      </c>
      <c r="AT293" s="551">
        <f t="shared" si="30"/>
        <v>1</v>
      </c>
      <c r="AU293" s="551">
        <f t="shared" si="30"/>
        <v>1</v>
      </c>
      <c r="AV293" s="551">
        <f t="shared" si="30"/>
        <v>1</v>
      </c>
      <c r="AW293" s="551">
        <f t="shared" si="30"/>
        <v>1</v>
      </c>
      <c r="AX293" s="551">
        <f t="shared" si="30"/>
        <v>1</v>
      </c>
      <c r="AY293" s="551">
        <f t="shared" si="30"/>
        <v>1</v>
      </c>
      <c r="AZ293" s="551">
        <f t="shared" si="30"/>
        <v>1</v>
      </c>
      <c r="BA293" s="551">
        <f t="shared" si="30"/>
        <v>1</v>
      </c>
      <c r="BB293" s="551">
        <f t="shared" si="30"/>
        <v>1</v>
      </c>
      <c r="BC293" s="551">
        <f t="shared" si="30"/>
        <v>1</v>
      </c>
      <c r="BD293" s="551">
        <f t="shared" si="30"/>
        <v>1</v>
      </c>
      <c r="BE293" s="551">
        <f t="shared" si="30"/>
        <v>1</v>
      </c>
      <c r="BF293" s="551">
        <f t="shared" si="30"/>
        <v>1</v>
      </c>
      <c r="BG293" s="551">
        <f t="shared" si="30"/>
        <v>0</v>
      </c>
      <c r="BH293" s="551">
        <f t="shared" si="30"/>
        <v>1</v>
      </c>
      <c r="BI293" s="551">
        <f t="shared" si="30"/>
        <v>1</v>
      </c>
      <c r="BJ293" s="551">
        <f t="shared" si="30"/>
        <v>1</v>
      </c>
      <c r="BK293" s="551">
        <f t="shared" si="30"/>
        <v>1</v>
      </c>
      <c r="BL293" s="551">
        <f t="shared" si="30"/>
        <v>0</v>
      </c>
      <c r="BM293" s="551">
        <f t="shared" si="30"/>
        <v>0</v>
      </c>
      <c r="BN293" s="551">
        <f t="shared" ref="BN293:BR293" si="31">BN249</f>
        <v>1</v>
      </c>
      <c r="BO293" s="551">
        <f t="shared" si="31"/>
        <v>1</v>
      </c>
      <c r="BP293" s="551">
        <f t="shared" si="31"/>
        <v>1</v>
      </c>
      <c r="BQ293" s="551">
        <f t="shared" si="31"/>
        <v>1</v>
      </c>
      <c r="BR293" s="551">
        <f t="shared" si="31"/>
        <v>1</v>
      </c>
      <c r="BS293" s="551">
        <f t="shared" ref="BS293:CD293" si="32">BS249</f>
        <v>1</v>
      </c>
      <c r="BT293" s="551">
        <f t="shared" si="32"/>
        <v>2</v>
      </c>
      <c r="BU293" s="551">
        <f t="shared" si="32"/>
        <v>1</v>
      </c>
      <c r="BV293" s="551">
        <f t="shared" si="32"/>
        <v>1</v>
      </c>
      <c r="BW293" s="551">
        <f t="shared" si="32"/>
        <v>1</v>
      </c>
      <c r="BX293" s="551">
        <f t="shared" si="32"/>
        <v>1</v>
      </c>
      <c r="BY293" s="551">
        <f t="shared" si="32"/>
        <v>1</v>
      </c>
      <c r="BZ293" s="551">
        <f t="shared" si="32"/>
        <v>1</v>
      </c>
      <c r="CA293" s="551">
        <f t="shared" si="32"/>
        <v>1</v>
      </c>
      <c r="CB293" s="551">
        <f t="shared" si="32"/>
        <v>1</v>
      </c>
      <c r="CC293" s="551">
        <f t="shared" si="32"/>
        <v>0</v>
      </c>
      <c r="CD293" s="551">
        <f t="shared" si="32"/>
        <v>1</v>
      </c>
      <c r="CE293" s="180"/>
      <c r="CF293" s="180"/>
      <c r="CG293" s="180"/>
      <c r="CH293" s="180"/>
      <c r="CI293" s="180"/>
      <c r="CJ293" s="180"/>
      <c r="CK293" s="180"/>
      <c r="CL293" s="180"/>
      <c r="CM293" s="180"/>
      <c r="CN293" s="180"/>
      <c r="CO293" s="180"/>
      <c r="CP293" s="180"/>
      <c r="CQ293" s="180"/>
      <c r="CR293" s="180"/>
      <c r="CS293" s="180"/>
      <c r="CT293" s="180"/>
      <c r="CU293" s="180"/>
      <c r="CV293" s="180"/>
      <c r="CW293" s="180"/>
      <c r="CX293" s="180"/>
      <c r="CY293" s="180"/>
      <c r="CZ293" s="180"/>
    </row>
    <row r="294" spans="1:104" x14ac:dyDescent="0.3">
      <c r="A294" s="551">
        <f>A207</f>
        <v>951</v>
      </c>
      <c r="B294" s="551" t="str">
        <f t="shared" ref="B294:BM294" si="33">B207</f>
        <v>TD-Is there a finding for lack of technical skills, knowledge and experience (SKE) at this unit?</v>
      </c>
      <c r="C294" s="551">
        <f t="shared" si="33"/>
        <v>0</v>
      </c>
      <c r="D294" s="551">
        <f t="shared" si="33"/>
        <v>0</v>
      </c>
      <c r="E294" s="551">
        <f t="shared" si="33"/>
        <v>2</v>
      </c>
      <c r="F294" s="551">
        <f t="shared" si="33"/>
        <v>0</v>
      </c>
      <c r="G294" s="551">
        <f t="shared" si="33"/>
        <v>2</v>
      </c>
      <c r="H294" s="551">
        <f t="shared" si="33"/>
        <v>2</v>
      </c>
      <c r="I294" s="551">
        <f t="shared" si="33"/>
        <v>2</v>
      </c>
      <c r="J294" s="551">
        <f t="shared" si="33"/>
        <v>1</v>
      </c>
      <c r="K294" s="551">
        <f t="shared" si="33"/>
        <v>2</v>
      </c>
      <c r="L294" s="551">
        <f t="shared" si="33"/>
        <v>2</v>
      </c>
      <c r="M294" s="551">
        <f t="shared" si="33"/>
        <v>2</v>
      </c>
      <c r="N294" s="551">
        <f t="shared" si="33"/>
        <v>1</v>
      </c>
      <c r="O294" s="551">
        <f t="shared" si="33"/>
        <v>2</v>
      </c>
      <c r="P294" s="551">
        <f t="shared" si="33"/>
        <v>2</v>
      </c>
      <c r="Q294" s="551">
        <f t="shared" si="33"/>
        <v>2</v>
      </c>
      <c r="R294" s="551">
        <f t="shared" si="33"/>
        <v>2</v>
      </c>
      <c r="S294" s="551">
        <f t="shared" si="33"/>
        <v>2</v>
      </c>
      <c r="T294" s="551">
        <f t="shared" si="33"/>
        <v>2</v>
      </c>
      <c r="U294" s="551">
        <f t="shared" si="33"/>
        <v>2</v>
      </c>
      <c r="V294" s="551">
        <f t="shared" si="33"/>
        <v>2</v>
      </c>
      <c r="W294" s="551">
        <f t="shared" si="33"/>
        <v>2</v>
      </c>
      <c r="X294" s="551">
        <f t="shared" si="33"/>
        <v>0</v>
      </c>
      <c r="Y294" s="551">
        <f t="shared" si="33"/>
        <v>2</v>
      </c>
      <c r="Z294" s="551">
        <f t="shared" si="33"/>
        <v>2</v>
      </c>
      <c r="AA294" s="551">
        <f t="shared" si="33"/>
        <v>2</v>
      </c>
      <c r="AB294" s="551">
        <f t="shared" si="33"/>
        <v>2</v>
      </c>
      <c r="AC294" s="551">
        <f t="shared" si="33"/>
        <v>2</v>
      </c>
      <c r="AD294" s="551">
        <f t="shared" si="33"/>
        <v>2</v>
      </c>
      <c r="AE294" s="551">
        <f t="shared" si="33"/>
        <v>2</v>
      </c>
      <c r="AF294" s="551">
        <f t="shared" si="33"/>
        <v>2</v>
      </c>
      <c r="AG294" s="551">
        <f t="shared" si="33"/>
        <v>2</v>
      </c>
      <c r="AH294" s="551">
        <f t="shared" si="33"/>
        <v>2</v>
      </c>
      <c r="AI294" s="551">
        <f t="shared" si="33"/>
        <v>2</v>
      </c>
      <c r="AJ294" s="551">
        <f t="shared" si="33"/>
        <v>1</v>
      </c>
      <c r="AK294" s="551">
        <f t="shared" si="33"/>
        <v>0</v>
      </c>
      <c r="AL294" s="551">
        <f t="shared" si="33"/>
        <v>0</v>
      </c>
      <c r="AM294" s="551">
        <f t="shared" si="33"/>
        <v>2</v>
      </c>
      <c r="AN294" s="551">
        <f t="shared" si="33"/>
        <v>2</v>
      </c>
      <c r="AO294" s="551">
        <f t="shared" si="33"/>
        <v>2</v>
      </c>
      <c r="AP294" s="551">
        <f t="shared" si="33"/>
        <v>2</v>
      </c>
      <c r="AQ294" s="551">
        <f t="shared" si="33"/>
        <v>2</v>
      </c>
      <c r="AR294" s="551">
        <f t="shared" si="33"/>
        <v>2</v>
      </c>
      <c r="AS294" s="551">
        <f t="shared" si="33"/>
        <v>2</v>
      </c>
      <c r="AT294" s="551">
        <f t="shared" si="33"/>
        <v>2</v>
      </c>
      <c r="AU294" s="551">
        <f t="shared" si="33"/>
        <v>2</v>
      </c>
      <c r="AV294" s="551">
        <f t="shared" si="33"/>
        <v>2</v>
      </c>
      <c r="AW294" s="551">
        <f t="shared" si="33"/>
        <v>2</v>
      </c>
      <c r="AX294" s="551">
        <f t="shared" si="33"/>
        <v>2</v>
      </c>
      <c r="AY294" s="551">
        <f t="shared" si="33"/>
        <v>2</v>
      </c>
      <c r="AZ294" s="551">
        <f t="shared" si="33"/>
        <v>2</v>
      </c>
      <c r="BA294" s="551">
        <f t="shared" si="33"/>
        <v>2</v>
      </c>
      <c r="BB294" s="551">
        <f t="shared" si="33"/>
        <v>2</v>
      </c>
      <c r="BC294" s="551">
        <f t="shared" si="33"/>
        <v>1</v>
      </c>
      <c r="BD294" s="551">
        <f t="shared" si="33"/>
        <v>2</v>
      </c>
      <c r="BE294" s="551">
        <f t="shared" si="33"/>
        <v>2</v>
      </c>
      <c r="BF294" s="551">
        <f t="shared" si="33"/>
        <v>2</v>
      </c>
      <c r="BG294" s="551">
        <f t="shared" si="33"/>
        <v>2</v>
      </c>
      <c r="BH294" s="551">
        <f t="shared" si="33"/>
        <v>1</v>
      </c>
      <c r="BI294" s="551">
        <f t="shared" si="33"/>
        <v>2</v>
      </c>
      <c r="BJ294" s="551">
        <f t="shared" si="33"/>
        <v>2</v>
      </c>
      <c r="BK294" s="551">
        <f t="shared" si="33"/>
        <v>2</v>
      </c>
      <c r="BL294" s="551">
        <f t="shared" si="33"/>
        <v>0</v>
      </c>
      <c r="BM294" s="551">
        <f t="shared" si="33"/>
        <v>0</v>
      </c>
      <c r="BN294" s="551">
        <f t="shared" ref="BN294:BR294" si="34">BN207</f>
        <v>2</v>
      </c>
      <c r="BO294" s="551">
        <f t="shared" si="34"/>
        <v>2</v>
      </c>
      <c r="BP294" s="551">
        <f t="shared" si="34"/>
        <v>2</v>
      </c>
      <c r="BQ294" s="551">
        <f t="shared" si="34"/>
        <v>2</v>
      </c>
      <c r="BR294" s="551">
        <f t="shared" si="34"/>
        <v>2</v>
      </c>
      <c r="BS294" s="551">
        <f t="shared" ref="BS294:CD294" si="35">BS207</f>
        <v>2</v>
      </c>
      <c r="BT294" s="551">
        <f t="shared" si="35"/>
        <v>2</v>
      </c>
      <c r="BU294" s="551">
        <f t="shared" si="35"/>
        <v>2</v>
      </c>
      <c r="BV294" s="551">
        <f t="shared" si="35"/>
        <v>2</v>
      </c>
      <c r="BW294" s="551">
        <f t="shared" si="35"/>
        <v>2</v>
      </c>
      <c r="BX294" s="551">
        <f t="shared" si="35"/>
        <v>2</v>
      </c>
      <c r="BY294" s="551">
        <f t="shared" si="35"/>
        <v>1</v>
      </c>
      <c r="BZ294" s="551">
        <f t="shared" si="35"/>
        <v>2</v>
      </c>
      <c r="CA294" s="551">
        <f t="shared" si="35"/>
        <v>1</v>
      </c>
      <c r="CB294" s="551">
        <f t="shared" si="35"/>
        <v>2</v>
      </c>
      <c r="CC294" s="551">
        <f t="shared" si="35"/>
        <v>0</v>
      </c>
      <c r="CD294" s="551">
        <f t="shared" si="35"/>
        <v>2</v>
      </c>
      <c r="CE294" s="180"/>
      <c r="CF294" s="180"/>
      <c r="CG294" s="180"/>
      <c r="CH294" s="180"/>
      <c r="CI294" s="180"/>
      <c r="CJ294" s="180"/>
      <c r="CK294" s="180"/>
      <c r="CL294" s="180"/>
      <c r="CM294" s="180"/>
      <c r="CN294" s="180"/>
      <c r="CO294" s="180"/>
      <c r="CP294" s="180"/>
      <c r="CQ294" s="180"/>
      <c r="CR294" s="180"/>
      <c r="CS294" s="180"/>
      <c r="CT294" s="180"/>
      <c r="CU294" s="180"/>
      <c r="CV294" s="180"/>
      <c r="CW294" s="180"/>
      <c r="CX294" s="180"/>
      <c r="CY294" s="180"/>
      <c r="CZ294" s="180"/>
    </row>
    <row r="295" spans="1:104" x14ac:dyDescent="0.3">
      <c r="A295" s="551">
        <f>A209</f>
        <v>953</v>
      </c>
      <c r="B295" s="551" t="str">
        <f t="shared" ref="B295:BM295" si="36">B209</f>
        <v>TD-Is there is a going concern finding noted in the audit report?</v>
      </c>
      <c r="C295" s="551">
        <f t="shared" si="36"/>
        <v>0</v>
      </c>
      <c r="D295" s="551">
        <f t="shared" si="36"/>
        <v>0</v>
      </c>
      <c r="E295" s="551">
        <f t="shared" si="36"/>
        <v>2</v>
      </c>
      <c r="F295" s="551">
        <f t="shared" si="36"/>
        <v>0</v>
      </c>
      <c r="G295" s="551">
        <f t="shared" si="36"/>
        <v>2</v>
      </c>
      <c r="H295" s="551">
        <f t="shared" si="36"/>
        <v>2</v>
      </c>
      <c r="I295" s="551">
        <f t="shared" si="36"/>
        <v>2</v>
      </c>
      <c r="J295" s="551">
        <f t="shared" si="36"/>
        <v>2</v>
      </c>
      <c r="K295" s="551">
        <f t="shared" si="36"/>
        <v>2</v>
      </c>
      <c r="L295" s="551">
        <f t="shared" si="36"/>
        <v>2</v>
      </c>
      <c r="M295" s="551">
        <f t="shared" si="36"/>
        <v>2</v>
      </c>
      <c r="N295" s="551">
        <f t="shared" si="36"/>
        <v>2</v>
      </c>
      <c r="O295" s="551">
        <f t="shared" si="36"/>
        <v>2</v>
      </c>
      <c r="P295" s="551">
        <f t="shared" si="36"/>
        <v>2</v>
      </c>
      <c r="Q295" s="551">
        <f t="shared" si="36"/>
        <v>2</v>
      </c>
      <c r="R295" s="551">
        <f t="shared" si="36"/>
        <v>2</v>
      </c>
      <c r="S295" s="551">
        <f t="shared" si="36"/>
        <v>2</v>
      </c>
      <c r="T295" s="551">
        <f t="shared" si="36"/>
        <v>2</v>
      </c>
      <c r="U295" s="551">
        <f t="shared" si="36"/>
        <v>2</v>
      </c>
      <c r="V295" s="551">
        <f t="shared" si="36"/>
        <v>2</v>
      </c>
      <c r="W295" s="551">
        <f t="shared" si="36"/>
        <v>2</v>
      </c>
      <c r="X295" s="551">
        <f t="shared" si="36"/>
        <v>0</v>
      </c>
      <c r="Y295" s="551">
        <f t="shared" si="36"/>
        <v>2</v>
      </c>
      <c r="Z295" s="551">
        <f t="shared" si="36"/>
        <v>2</v>
      </c>
      <c r="AA295" s="551">
        <f t="shared" si="36"/>
        <v>2</v>
      </c>
      <c r="AB295" s="551">
        <f t="shared" si="36"/>
        <v>2</v>
      </c>
      <c r="AC295" s="551">
        <f t="shared" si="36"/>
        <v>2</v>
      </c>
      <c r="AD295" s="551">
        <f t="shared" si="36"/>
        <v>2</v>
      </c>
      <c r="AE295" s="551">
        <f t="shared" si="36"/>
        <v>2</v>
      </c>
      <c r="AF295" s="551">
        <f t="shared" si="36"/>
        <v>2</v>
      </c>
      <c r="AG295" s="551">
        <f t="shared" si="36"/>
        <v>2</v>
      </c>
      <c r="AH295" s="551">
        <f t="shared" si="36"/>
        <v>2</v>
      </c>
      <c r="AI295" s="551">
        <f t="shared" si="36"/>
        <v>2</v>
      </c>
      <c r="AJ295" s="551">
        <f t="shared" si="36"/>
        <v>2</v>
      </c>
      <c r="AK295" s="551">
        <f t="shared" si="36"/>
        <v>0</v>
      </c>
      <c r="AL295" s="551">
        <f t="shared" si="36"/>
        <v>0</v>
      </c>
      <c r="AM295" s="551">
        <f t="shared" si="36"/>
        <v>2</v>
      </c>
      <c r="AN295" s="551">
        <f t="shared" si="36"/>
        <v>2</v>
      </c>
      <c r="AO295" s="551">
        <f t="shared" si="36"/>
        <v>2</v>
      </c>
      <c r="AP295" s="551">
        <f t="shared" si="36"/>
        <v>2</v>
      </c>
      <c r="AQ295" s="551">
        <f t="shared" si="36"/>
        <v>2</v>
      </c>
      <c r="AR295" s="551">
        <f t="shared" si="36"/>
        <v>2</v>
      </c>
      <c r="AS295" s="551">
        <f t="shared" si="36"/>
        <v>2</v>
      </c>
      <c r="AT295" s="551">
        <f t="shared" si="36"/>
        <v>2</v>
      </c>
      <c r="AU295" s="551">
        <f t="shared" si="36"/>
        <v>2</v>
      </c>
      <c r="AV295" s="551">
        <f t="shared" si="36"/>
        <v>2</v>
      </c>
      <c r="AW295" s="551">
        <f t="shared" si="36"/>
        <v>2</v>
      </c>
      <c r="AX295" s="551">
        <f t="shared" si="36"/>
        <v>2</v>
      </c>
      <c r="AY295" s="551">
        <f t="shared" si="36"/>
        <v>2</v>
      </c>
      <c r="AZ295" s="551">
        <f t="shared" si="36"/>
        <v>2</v>
      </c>
      <c r="BA295" s="551">
        <f t="shared" si="36"/>
        <v>2</v>
      </c>
      <c r="BB295" s="551">
        <f t="shared" si="36"/>
        <v>2</v>
      </c>
      <c r="BC295" s="551">
        <f t="shared" si="36"/>
        <v>2</v>
      </c>
      <c r="BD295" s="551">
        <f t="shared" si="36"/>
        <v>2</v>
      </c>
      <c r="BE295" s="551">
        <f t="shared" si="36"/>
        <v>2</v>
      </c>
      <c r="BF295" s="551">
        <f t="shared" si="36"/>
        <v>2</v>
      </c>
      <c r="BG295" s="551">
        <f t="shared" si="36"/>
        <v>2</v>
      </c>
      <c r="BH295" s="551">
        <f t="shared" si="36"/>
        <v>2</v>
      </c>
      <c r="BI295" s="551">
        <f t="shared" si="36"/>
        <v>2</v>
      </c>
      <c r="BJ295" s="551">
        <f t="shared" si="36"/>
        <v>2</v>
      </c>
      <c r="BK295" s="551">
        <f t="shared" si="36"/>
        <v>2</v>
      </c>
      <c r="BL295" s="551">
        <f t="shared" si="36"/>
        <v>0</v>
      </c>
      <c r="BM295" s="551">
        <f t="shared" si="36"/>
        <v>0</v>
      </c>
      <c r="BN295" s="551">
        <f t="shared" ref="BN295:BR295" si="37">BN209</f>
        <v>2</v>
      </c>
      <c r="BO295" s="551">
        <f t="shared" si="37"/>
        <v>2</v>
      </c>
      <c r="BP295" s="551">
        <f t="shared" si="37"/>
        <v>2</v>
      </c>
      <c r="BQ295" s="551">
        <f t="shared" si="37"/>
        <v>2</v>
      </c>
      <c r="BR295" s="551">
        <f t="shared" si="37"/>
        <v>2</v>
      </c>
      <c r="BS295" s="551">
        <f t="shared" ref="BS295:CD295" si="38">BS209</f>
        <v>2</v>
      </c>
      <c r="BT295" s="551">
        <f t="shared" si="38"/>
        <v>2</v>
      </c>
      <c r="BU295" s="551">
        <f t="shared" si="38"/>
        <v>2</v>
      </c>
      <c r="BV295" s="551">
        <f t="shared" si="38"/>
        <v>2</v>
      </c>
      <c r="BW295" s="551">
        <f t="shared" si="38"/>
        <v>2</v>
      </c>
      <c r="BX295" s="551">
        <f t="shared" si="38"/>
        <v>2</v>
      </c>
      <c r="BY295" s="551">
        <f t="shared" si="38"/>
        <v>2</v>
      </c>
      <c r="BZ295" s="551">
        <f t="shared" si="38"/>
        <v>2</v>
      </c>
      <c r="CA295" s="551">
        <f t="shared" si="38"/>
        <v>2</v>
      </c>
      <c r="CB295" s="551">
        <f t="shared" si="38"/>
        <v>2</v>
      </c>
      <c r="CC295" s="551">
        <f t="shared" si="38"/>
        <v>0</v>
      </c>
      <c r="CD295" s="551">
        <f t="shared" si="38"/>
        <v>2</v>
      </c>
      <c r="CE295" s="180"/>
      <c r="CF295" s="180"/>
      <c r="CG295" s="180"/>
      <c r="CH295" s="180"/>
      <c r="CI295" s="180"/>
      <c r="CJ295" s="180"/>
      <c r="CK295" s="180"/>
      <c r="CL295" s="180"/>
      <c r="CM295" s="180"/>
      <c r="CN295" s="180"/>
      <c r="CO295" s="180"/>
      <c r="CP295" s="180"/>
      <c r="CQ295" s="180"/>
      <c r="CR295" s="180"/>
      <c r="CS295" s="180"/>
      <c r="CT295" s="180"/>
      <c r="CU295" s="180"/>
      <c r="CV295" s="180"/>
      <c r="CW295" s="180"/>
      <c r="CX295" s="180"/>
      <c r="CY295" s="180"/>
      <c r="CZ295" s="180"/>
    </row>
    <row r="296" spans="1:104" x14ac:dyDescent="0.3">
      <c r="A296" s="551">
        <f>A210</f>
        <v>955</v>
      </c>
      <c r="B296" s="551" t="str">
        <f t="shared" ref="B296:BM296" si="39">B210</f>
        <v>TD-Number of significant deficiency findings (other than in Questions 10-13 )</v>
      </c>
      <c r="C296" s="551">
        <f t="shared" si="39"/>
        <v>0</v>
      </c>
      <c r="D296" s="551">
        <f t="shared" si="39"/>
        <v>0</v>
      </c>
      <c r="E296" s="551">
        <f t="shared" si="39"/>
        <v>0</v>
      </c>
      <c r="F296" s="551">
        <f t="shared" si="39"/>
        <v>0</v>
      </c>
      <c r="G296" s="551">
        <f t="shared" si="39"/>
        <v>0</v>
      </c>
      <c r="H296" s="551">
        <f t="shared" si="39"/>
        <v>0</v>
      </c>
      <c r="I296" s="551">
        <f t="shared" si="39"/>
        <v>0</v>
      </c>
      <c r="J296" s="551">
        <f t="shared" si="39"/>
        <v>0</v>
      </c>
      <c r="K296" s="551">
        <f t="shared" si="39"/>
        <v>0</v>
      </c>
      <c r="L296" s="551">
        <f t="shared" si="39"/>
        <v>0</v>
      </c>
      <c r="M296" s="551">
        <f t="shared" si="39"/>
        <v>0</v>
      </c>
      <c r="N296" s="551">
        <f t="shared" si="39"/>
        <v>0</v>
      </c>
      <c r="O296" s="551">
        <f t="shared" si="39"/>
        <v>0</v>
      </c>
      <c r="P296" s="551">
        <f t="shared" si="39"/>
        <v>0</v>
      </c>
      <c r="Q296" s="551">
        <f t="shared" si="39"/>
        <v>0</v>
      </c>
      <c r="R296" s="551">
        <f t="shared" si="39"/>
        <v>0</v>
      </c>
      <c r="S296" s="551">
        <f t="shared" si="39"/>
        <v>0</v>
      </c>
      <c r="T296" s="551">
        <f t="shared" si="39"/>
        <v>0</v>
      </c>
      <c r="U296" s="551">
        <f t="shared" si="39"/>
        <v>0</v>
      </c>
      <c r="V296" s="551">
        <f t="shared" si="39"/>
        <v>0</v>
      </c>
      <c r="W296" s="551">
        <f t="shared" si="39"/>
        <v>0</v>
      </c>
      <c r="X296" s="551">
        <f t="shared" si="39"/>
        <v>0</v>
      </c>
      <c r="Y296" s="551">
        <f t="shared" si="39"/>
        <v>0</v>
      </c>
      <c r="Z296" s="551">
        <f t="shared" si="39"/>
        <v>0</v>
      </c>
      <c r="AA296" s="551">
        <f t="shared" si="39"/>
        <v>0</v>
      </c>
      <c r="AB296" s="551">
        <f t="shared" si="39"/>
        <v>0</v>
      </c>
      <c r="AC296" s="551">
        <f t="shared" si="39"/>
        <v>0</v>
      </c>
      <c r="AD296" s="551">
        <f t="shared" si="39"/>
        <v>0</v>
      </c>
      <c r="AE296" s="551">
        <f t="shared" si="39"/>
        <v>0</v>
      </c>
      <c r="AF296" s="551">
        <f t="shared" si="39"/>
        <v>0</v>
      </c>
      <c r="AG296" s="551">
        <f t="shared" si="39"/>
        <v>0</v>
      </c>
      <c r="AH296" s="551">
        <f t="shared" si="39"/>
        <v>1</v>
      </c>
      <c r="AI296" s="551">
        <f t="shared" si="39"/>
        <v>0</v>
      </c>
      <c r="AJ296" s="551">
        <f t="shared" si="39"/>
        <v>0</v>
      </c>
      <c r="AK296" s="551">
        <f t="shared" si="39"/>
        <v>0</v>
      </c>
      <c r="AL296" s="551">
        <f t="shared" si="39"/>
        <v>0</v>
      </c>
      <c r="AM296" s="551">
        <f t="shared" si="39"/>
        <v>1</v>
      </c>
      <c r="AN296" s="551">
        <f t="shared" si="39"/>
        <v>0</v>
      </c>
      <c r="AO296" s="551">
        <f t="shared" si="39"/>
        <v>0</v>
      </c>
      <c r="AP296" s="551">
        <f t="shared" si="39"/>
        <v>0</v>
      </c>
      <c r="AQ296" s="551">
        <f t="shared" si="39"/>
        <v>1</v>
      </c>
      <c r="AR296" s="551">
        <f t="shared" si="39"/>
        <v>0</v>
      </c>
      <c r="AS296" s="551">
        <f t="shared" si="39"/>
        <v>0</v>
      </c>
      <c r="AT296" s="551">
        <f t="shared" si="39"/>
        <v>1</v>
      </c>
      <c r="AU296" s="551">
        <f t="shared" si="39"/>
        <v>0</v>
      </c>
      <c r="AV296" s="551">
        <f t="shared" si="39"/>
        <v>0</v>
      </c>
      <c r="AW296" s="551">
        <f t="shared" si="39"/>
        <v>0</v>
      </c>
      <c r="AX296" s="551">
        <f t="shared" si="39"/>
        <v>0</v>
      </c>
      <c r="AY296" s="551">
        <f t="shared" si="39"/>
        <v>0</v>
      </c>
      <c r="AZ296" s="551">
        <f t="shared" si="39"/>
        <v>0</v>
      </c>
      <c r="BA296" s="551">
        <f t="shared" si="39"/>
        <v>0</v>
      </c>
      <c r="BB296" s="551">
        <f t="shared" si="39"/>
        <v>0</v>
      </c>
      <c r="BC296" s="551">
        <f t="shared" si="39"/>
        <v>0</v>
      </c>
      <c r="BD296" s="551">
        <f t="shared" si="39"/>
        <v>1</v>
      </c>
      <c r="BE296" s="551">
        <f t="shared" si="39"/>
        <v>0</v>
      </c>
      <c r="BF296" s="551">
        <f t="shared" si="39"/>
        <v>0</v>
      </c>
      <c r="BG296" s="551">
        <f t="shared" si="39"/>
        <v>0</v>
      </c>
      <c r="BH296" s="551">
        <f t="shared" si="39"/>
        <v>0</v>
      </c>
      <c r="BI296" s="551">
        <f t="shared" si="39"/>
        <v>0</v>
      </c>
      <c r="BJ296" s="551">
        <f t="shared" si="39"/>
        <v>0</v>
      </c>
      <c r="BK296" s="551">
        <f t="shared" si="39"/>
        <v>0</v>
      </c>
      <c r="BL296" s="551">
        <f t="shared" si="39"/>
        <v>0</v>
      </c>
      <c r="BM296" s="551">
        <f t="shared" si="39"/>
        <v>0</v>
      </c>
      <c r="BN296" s="551">
        <f t="shared" ref="BN296:BR296" si="40">BN210</f>
        <v>0</v>
      </c>
      <c r="BO296" s="551">
        <f t="shared" si="40"/>
        <v>1</v>
      </c>
      <c r="BP296" s="551">
        <f t="shared" si="40"/>
        <v>1</v>
      </c>
      <c r="BQ296" s="551">
        <f t="shared" si="40"/>
        <v>0</v>
      </c>
      <c r="BR296" s="551">
        <f t="shared" si="40"/>
        <v>0</v>
      </c>
      <c r="BS296" s="551">
        <f t="shared" ref="BS296:CD296" si="41">BS210</f>
        <v>0</v>
      </c>
      <c r="BT296" s="551">
        <f t="shared" si="41"/>
        <v>5</v>
      </c>
      <c r="BU296" s="551">
        <f t="shared" si="41"/>
        <v>0</v>
      </c>
      <c r="BV296" s="551">
        <f t="shared" si="41"/>
        <v>0</v>
      </c>
      <c r="BW296" s="551">
        <f t="shared" si="41"/>
        <v>0</v>
      </c>
      <c r="BX296" s="551">
        <f t="shared" si="41"/>
        <v>0</v>
      </c>
      <c r="BY296" s="551">
        <f t="shared" si="41"/>
        <v>0</v>
      </c>
      <c r="BZ296" s="551">
        <f t="shared" si="41"/>
        <v>0</v>
      </c>
      <c r="CA296" s="551">
        <f t="shared" si="41"/>
        <v>1</v>
      </c>
      <c r="CB296" s="551">
        <f t="shared" si="41"/>
        <v>4</v>
      </c>
      <c r="CC296" s="551">
        <f t="shared" si="41"/>
        <v>0</v>
      </c>
      <c r="CD296" s="551">
        <f t="shared" si="41"/>
        <v>0</v>
      </c>
      <c r="CE296" s="180"/>
      <c r="CF296" s="180"/>
      <c r="CG296" s="180"/>
      <c r="CH296" s="180"/>
      <c r="CI296" s="180"/>
      <c r="CJ296" s="180"/>
      <c r="CK296" s="180"/>
      <c r="CL296" s="180"/>
      <c r="CM296" s="180"/>
      <c r="CN296" s="180"/>
      <c r="CO296" s="180"/>
      <c r="CP296" s="180"/>
      <c r="CQ296" s="180"/>
      <c r="CR296" s="180"/>
      <c r="CS296" s="180"/>
      <c r="CT296" s="180"/>
      <c r="CU296" s="180"/>
      <c r="CV296" s="180"/>
      <c r="CW296" s="180"/>
      <c r="CX296" s="180"/>
      <c r="CY296" s="180"/>
      <c r="CZ296" s="180"/>
    </row>
    <row r="297" spans="1:104" x14ac:dyDescent="0.3">
      <c r="A297" s="551">
        <f>A211</f>
        <v>957</v>
      </c>
      <c r="B297" s="551" t="str">
        <f t="shared" ref="B297:BM297" si="42">B211</f>
        <v>TD-Number of material weaknesses findings (other than in Questions 10-13)</v>
      </c>
      <c r="C297" s="551">
        <f t="shared" si="42"/>
        <v>0</v>
      </c>
      <c r="D297" s="551">
        <f t="shared" si="42"/>
        <v>0</v>
      </c>
      <c r="E297" s="551">
        <f t="shared" si="42"/>
        <v>0</v>
      </c>
      <c r="F297" s="551">
        <f t="shared" si="42"/>
        <v>0</v>
      </c>
      <c r="G297" s="551">
        <f t="shared" si="42"/>
        <v>0</v>
      </c>
      <c r="H297" s="551">
        <f t="shared" si="42"/>
        <v>0</v>
      </c>
      <c r="I297" s="551">
        <f t="shared" si="42"/>
        <v>0</v>
      </c>
      <c r="J297" s="551">
        <f t="shared" si="42"/>
        <v>0</v>
      </c>
      <c r="K297" s="551">
        <f t="shared" si="42"/>
        <v>0</v>
      </c>
      <c r="L297" s="551">
        <f t="shared" si="42"/>
        <v>0</v>
      </c>
      <c r="M297" s="551">
        <f t="shared" si="42"/>
        <v>0</v>
      </c>
      <c r="N297" s="551">
        <f t="shared" si="42"/>
        <v>0</v>
      </c>
      <c r="O297" s="551">
        <f t="shared" si="42"/>
        <v>0</v>
      </c>
      <c r="P297" s="551">
        <f t="shared" si="42"/>
        <v>0</v>
      </c>
      <c r="Q297" s="551">
        <f t="shared" si="42"/>
        <v>0</v>
      </c>
      <c r="R297" s="551">
        <f t="shared" si="42"/>
        <v>0</v>
      </c>
      <c r="S297" s="551">
        <f t="shared" si="42"/>
        <v>0</v>
      </c>
      <c r="T297" s="551">
        <f t="shared" si="42"/>
        <v>0</v>
      </c>
      <c r="U297" s="551">
        <f t="shared" si="42"/>
        <v>1</v>
      </c>
      <c r="V297" s="551">
        <f t="shared" si="42"/>
        <v>0</v>
      </c>
      <c r="W297" s="551">
        <f t="shared" si="42"/>
        <v>0</v>
      </c>
      <c r="X297" s="551">
        <f t="shared" si="42"/>
        <v>0</v>
      </c>
      <c r="Y297" s="551">
        <f t="shared" si="42"/>
        <v>0</v>
      </c>
      <c r="Z297" s="551">
        <f t="shared" si="42"/>
        <v>1</v>
      </c>
      <c r="AA297" s="551">
        <f t="shared" si="42"/>
        <v>0</v>
      </c>
      <c r="AB297" s="551">
        <f t="shared" si="42"/>
        <v>3</v>
      </c>
      <c r="AC297" s="551">
        <f t="shared" si="42"/>
        <v>0</v>
      </c>
      <c r="AD297" s="551">
        <f t="shared" si="42"/>
        <v>0</v>
      </c>
      <c r="AE297" s="551">
        <f t="shared" si="42"/>
        <v>0</v>
      </c>
      <c r="AF297" s="551">
        <f t="shared" si="42"/>
        <v>0</v>
      </c>
      <c r="AG297" s="551">
        <f t="shared" si="42"/>
        <v>4</v>
      </c>
      <c r="AH297" s="551">
        <f t="shared" si="42"/>
        <v>0</v>
      </c>
      <c r="AI297" s="551">
        <f t="shared" si="42"/>
        <v>0</v>
      </c>
      <c r="AJ297" s="551">
        <f t="shared" si="42"/>
        <v>0</v>
      </c>
      <c r="AK297" s="551">
        <f t="shared" si="42"/>
        <v>0</v>
      </c>
      <c r="AL297" s="551">
        <f t="shared" si="42"/>
        <v>0</v>
      </c>
      <c r="AM297" s="551">
        <f t="shared" si="42"/>
        <v>0</v>
      </c>
      <c r="AN297" s="551">
        <f t="shared" si="42"/>
        <v>0</v>
      </c>
      <c r="AO297" s="551">
        <f t="shared" si="42"/>
        <v>2</v>
      </c>
      <c r="AP297" s="551">
        <f t="shared" si="42"/>
        <v>0</v>
      </c>
      <c r="AQ297" s="551">
        <f t="shared" si="42"/>
        <v>0</v>
      </c>
      <c r="AR297" s="551">
        <f t="shared" si="42"/>
        <v>0</v>
      </c>
      <c r="AS297" s="551">
        <f t="shared" si="42"/>
        <v>0</v>
      </c>
      <c r="AT297" s="551">
        <f t="shared" si="42"/>
        <v>0</v>
      </c>
      <c r="AU297" s="551">
        <f t="shared" si="42"/>
        <v>0</v>
      </c>
      <c r="AV297" s="551">
        <f t="shared" si="42"/>
        <v>0</v>
      </c>
      <c r="AW297" s="551">
        <f t="shared" si="42"/>
        <v>0</v>
      </c>
      <c r="AX297" s="551">
        <f t="shared" si="42"/>
        <v>0</v>
      </c>
      <c r="AY297" s="551">
        <f t="shared" si="42"/>
        <v>0</v>
      </c>
      <c r="AZ297" s="551">
        <f t="shared" si="42"/>
        <v>0</v>
      </c>
      <c r="BA297" s="551">
        <f t="shared" si="42"/>
        <v>0</v>
      </c>
      <c r="BB297" s="551">
        <f t="shared" si="42"/>
        <v>0</v>
      </c>
      <c r="BC297" s="551">
        <f t="shared" si="42"/>
        <v>0</v>
      </c>
      <c r="BD297" s="551">
        <f t="shared" si="42"/>
        <v>1</v>
      </c>
      <c r="BE297" s="551">
        <f t="shared" si="42"/>
        <v>0</v>
      </c>
      <c r="BF297" s="551">
        <f t="shared" si="42"/>
        <v>0</v>
      </c>
      <c r="BG297" s="551">
        <f t="shared" si="42"/>
        <v>0</v>
      </c>
      <c r="BH297" s="551">
        <f t="shared" si="42"/>
        <v>0</v>
      </c>
      <c r="BI297" s="551">
        <f t="shared" si="42"/>
        <v>0</v>
      </c>
      <c r="BJ297" s="551">
        <f t="shared" si="42"/>
        <v>1</v>
      </c>
      <c r="BK297" s="551">
        <f t="shared" si="42"/>
        <v>1</v>
      </c>
      <c r="BL297" s="551">
        <f t="shared" si="42"/>
        <v>0</v>
      </c>
      <c r="BM297" s="551">
        <f t="shared" si="42"/>
        <v>0</v>
      </c>
      <c r="BN297" s="551">
        <f t="shared" ref="BN297:BR297" si="43">BN211</f>
        <v>0</v>
      </c>
      <c r="BO297" s="551">
        <f t="shared" si="43"/>
        <v>0</v>
      </c>
      <c r="BP297" s="551">
        <f t="shared" si="43"/>
        <v>0</v>
      </c>
      <c r="BQ297" s="551">
        <f t="shared" si="43"/>
        <v>0</v>
      </c>
      <c r="BR297" s="551">
        <f t="shared" si="43"/>
        <v>0</v>
      </c>
      <c r="BS297" s="551">
        <f t="shared" ref="BS297:CD297" si="44">BS211</f>
        <v>0</v>
      </c>
      <c r="BT297" s="551">
        <f t="shared" si="44"/>
        <v>1</v>
      </c>
      <c r="BU297" s="551">
        <f t="shared" si="44"/>
        <v>0</v>
      </c>
      <c r="BV297" s="551">
        <f t="shared" si="44"/>
        <v>0</v>
      </c>
      <c r="BW297" s="551">
        <f t="shared" si="44"/>
        <v>3</v>
      </c>
      <c r="BX297" s="551">
        <f t="shared" si="44"/>
        <v>0</v>
      </c>
      <c r="BY297" s="551">
        <f t="shared" si="44"/>
        <v>0</v>
      </c>
      <c r="BZ297" s="551">
        <f t="shared" si="44"/>
        <v>1</v>
      </c>
      <c r="CA297" s="551">
        <f t="shared" si="44"/>
        <v>2</v>
      </c>
      <c r="CB297" s="551">
        <f t="shared" si="44"/>
        <v>0</v>
      </c>
      <c r="CC297" s="551">
        <f t="shared" si="44"/>
        <v>0</v>
      </c>
      <c r="CD297" s="551">
        <f t="shared" si="44"/>
        <v>0</v>
      </c>
      <c r="CE297" s="180"/>
      <c r="CF297" s="180"/>
      <c r="CG297" s="180"/>
      <c r="CH297" s="180"/>
      <c r="CI297" s="180"/>
      <c r="CJ297" s="180"/>
      <c r="CK297" s="180"/>
      <c r="CL297" s="180"/>
      <c r="CM297" s="180"/>
      <c r="CN297" s="180"/>
      <c r="CO297" s="180"/>
      <c r="CP297" s="180"/>
      <c r="CQ297" s="180"/>
      <c r="CR297" s="180"/>
      <c r="CS297" s="180"/>
      <c r="CT297" s="180"/>
      <c r="CU297" s="180"/>
      <c r="CV297" s="180"/>
      <c r="CW297" s="180"/>
      <c r="CX297" s="180"/>
      <c r="CY297" s="180"/>
      <c r="CZ297" s="180"/>
    </row>
    <row r="298" spans="1:104" x14ac:dyDescent="0.3">
      <c r="A298" s="551">
        <f>A218</f>
        <v>973</v>
      </c>
      <c r="B298" s="551" t="str">
        <f t="shared" ref="B298:BM298" si="45">B218</f>
        <v>Were there any issues or other matters presented to the Governing Board regarding internal controls (not already listed as a material weakness or significant deficiency?</v>
      </c>
      <c r="C298" s="551">
        <f t="shared" si="45"/>
        <v>0</v>
      </c>
      <c r="D298" s="551">
        <f t="shared" si="45"/>
        <v>0</v>
      </c>
      <c r="E298" s="551">
        <f t="shared" si="45"/>
        <v>0</v>
      </c>
      <c r="F298" s="551">
        <f t="shared" si="45"/>
        <v>0</v>
      </c>
      <c r="G298" s="551">
        <f t="shared" si="45"/>
        <v>0</v>
      </c>
      <c r="H298" s="551">
        <f t="shared" si="45"/>
        <v>0</v>
      </c>
      <c r="I298" s="551">
        <f t="shared" si="45"/>
        <v>0</v>
      </c>
      <c r="J298" s="551">
        <f t="shared" si="45"/>
        <v>0</v>
      </c>
      <c r="K298" s="551">
        <f t="shared" si="45"/>
        <v>0</v>
      </c>
      <c r="L298" s="551">
        <f t="shared" si="45"/>
        <v>0</v>
      </c>
      <c r="M298" s="551">
        <f t="shared" si="45"/>
        <v>0</v>
      </c>
      <c r="N298" s="551">
        <f t="shared" si="45"/>
        <v>0</v>
      </c>
      <c r="O298" s="551">
        <f t="shared" si="45"/>
        <v>0</v>
      </c>
      <c r="P298" s="551">
        <f t="shared" si="45"/>
        <v>1</v>
      </c>
      <c r="Q298" s="551">
        <f t="shared" si="45"/>
        <v>0</v>
      </c>
      <c r="R298" s="551">
        <f t="shared" si="45"/>
        <v>0</v>
      </c>
      <c r="S298" s="551">
        <f t="shared" si="45"/>
        <v>0</v>
      </c>
      <c r="T298" s="551">
        <f t="shared" si="45"/>
        <v>0</v>
      </c>
      <c r="U298" s="551">
        <f t="shared" si="45"/>
        <v>0</v>
      </c>
      <c r="V298" s="551">
        <f t="shared" si="45"/>
        <v>0</v>
      </c>
      <c r="W298" s="551">
        <f t="shared" si="45"/>
        <v>0</v>
      </c>
      <c r="X298" s="551">
        <f t="shared" si="45"/>
        <v>0</v>
      </c>
      <c r="Y298" s="551">
        <f t="shared" si="45"/>
        <v>0</v>
      </c>
      <c r="Z298" s="551">
        <f t="shared" si="45"/>
        <v>1</v>
      </c>
      <c r="AA298" s="551">
        <f t="shared" si="45"/>
        <v>0</v>
      </c>
      <c r="AB298" s="551">
        <f t="shared" si="45"/>
        <v>0</v>
      </c>
      <c r="AC298" s="551">
        <f t="shared" si="45"/>
        <v>0</v>
      </c>
      <c r="AD298" s="551">
        <f t="shared" si="45"/>
        <v>0</v>
      </c>
      <c r="AE298" s="551">
        <f t="shared" si="45"/>
        <v>0</v>
      </c>
      <c r="AF298" s="551">
        <f t="shared" si="45"/>
        <v>0</v>
      </c>
      <c r="AG298" s="551">
        <f t="shared" si="45"/>
        <v>1</v>
      </c>
      <c r="AH298" s="551">
        <f t="shared" si="45"/>
        <v>0</v>
      </c>
      <c r="AI298" s="551">
        <f t="shared" si="45"/>
        <v>0</v>
      </c>
      <c r="AJ298" s="551">
        <f t="shared" si="45"/>
        <v>0</v>
      </c>
      <c r="AK298" s="551">
        <f t="shared" si="45"/>
        <v>0</v>
      </c>
      <c r="AL298" s="551">
        <f t="shared" si="45"/>
        <v>0</v>
      </c>
      <c r="AM298" s="551">
        <f t="shared" si="45"/>
        <v>0</v>
      </c>
      <c r="AN298" s="551">
        <f t="shared" si="45"/>
        <v>0</v>
      </c>
      <c r="AO298" s="551">
        <f t="shared" si="45"/>
        <v>0</v>
      </c>
      <c r="AP298" s="551">
        <f t="shared" si="45"/>
        <v>0</v>
      </c>
      <c r="AQ298" s="551">
        <f t="shared" si="45"/>
        <v>0</v>
      </c>
      <c r="AR298" s="551">
        <f t="shared" si="45"/>
        <v>0</v>
      </c>
      <c r="AS298" s="551">
        <f t="shared" si="45"/>
        <v>0</v>
      </c>
      <c r="AT298" s="551">
        <f t="shared" si="45"/>
        <v>0</v>
      </c>
      <c r="AU298" s="551">
        <f t="shared" si="45"/>
        <v>0</v>
      </c>
      <c r="AV298" s="551">
        <f t="shared" si="45"/>
        <v>0</v>
      </c>
      <c r="AW298" s="551">
        <f t="shared" si="45"/>
        <v>0</v>
      </c>
      <c r="AX298" s="551">
        <f t="shared" si="45"/>
        <v>0</v>
      </c>
      <c r="AY298" s="551">
        <f t="shared" si="45"/>
        <v>0</v>
      </c>
      <c r="AZ298" s="551">
        <f t="shared" si="45"/>
        <v>0</v>
      </c>
      <c r="BA298" s="551">
        <f t="shared" si="45"/>
        <v>0</v>
      </c>
      <c r="BB298" s="551">
        <f t="shared" si="45"/>
        <v>0</v>
      </c>
      <c r="BC298" s="551">
        <f t="shared" si="45"/>
        <v>0</v>
      </c>
      <c r="BD298" s="551">
        <f t="shared" si="45"/>
        <v>0</v>
      </c>
      <c r="BE298" s="551">
        <f t="shared" si="45"/>
        <v>0</v>
      </c>
      <c r="BF298" s="551">
        <f t="shared" si="45"/>
        <v>0</v>
      </c>
      <c r="BG298" s="551">
        <f t="shared" si="45"/>
        <v>0</v>
      </c>
      <c r="BH298" s="551">
        <f t="shared" si="45"/>
        <v>0</v>
      </c>
      <c r="BI298" s="551">
        <f t="shared" si="45"/>
        <v>0</v>
      </c>
      <c r="BJ298" s="551">
        <f t="shared" si="45"/>
        <v>0</v>
      </c>
      <c r="BK298" s="551">
        <f t="shared" si="45"/>
        <v>0</v>
      </c>
      <c r="BL298" s="551">
        <f t="shared" si="45"/>
        <v>0</v>
      </c>
      <c r="BM298" s="551">
        <f t="shared" si="45"/>
        <v>0</v>
      </c>
      <c r="BN298" s="551">
        <f t="shared" ref="BN298:BR298" si="46">BN218</f>
        <v>0</v>
      </c>
      <c r="BO298" s="551">
        <f t="shared" si="46"/>
        <v>0</v>
      </c>
      <c r="BP298" s="551">
        <f t="shared" si="46"/>
        <v>0</v>
      </c>
      <c r="BQ298" s="551">
        <f t="shared" si="46"/>
        <v>0</v>
      </c>
      <c r="BR298" s="551">
        <f t="shared" si="46"/>
        <v>0</v>
      </c>
      <c r="BS298" s="551">
        <f t="shared" ref="BS298:CD298" si="47">BS218</f>
        <v>0</v>
      </c>
      <c r="BT298" s="551">
        <f t="shared" si="47"/>
        <v>0</v>
      </c>
      <c r="BU298" s="551">
        <f t="shared" si="47"/>
        <v>0</v>
      </c>
      <c r="BV298" s="551">
        <f t="shared" si="47"/>
        <v>0</v>
      </c>
      <c r="BW298" s="551">
        <f t="shared" si="47"/>
        <v>0</v>
      </c>
      <c r="BX298" s="551">
        <f t="shared" si="47"/>
        <v>0</v>
      </c>
      <c r="BY298" s="551">
        <f t="shared" si="47"/>
        <v>0</v>
      </c>
      <c r="BZ298" s="551">
        <f t="shared" si="47"/>
        <v>0</v>
      </c>
      <c r="CA298" s="551">
        <f t="shared" si="47"/>
        <v>1</v>
      </c>
      <c r="CB298" s="551">
        <f t="shared" si="47"/>
        <v>0</v>
      </c>
      <c r="CC298" s="551">
        <f t="shared" si="47"/>
        <v>0</v>
      </c>
      <c r="CD298" s="551">
        <f t="shared" si="47"/>
        <v>0</v>
      </c>
      <c r="CE298" s="180"/>
      <c r="CF298" s="180"/>
      <c r="CG298" s="180"/>
      <c r="CH298" s="180"/>
      <c r="CI298" s="180"/>
      <c r="CJ298" s="180"/>
      <c r="CK298" s="180"/>
      <c r="CL298" s="180"/>
      <c r="CM298" s="180"/>
      <c r="CN298" s="180"/>
      <c r="CO298" s="180"/>
      <c r="CP298" s="180"/>
      <c r="CQ298" s="180"/>
      <c r="CR298" s="180"/>
      <c r="CS298" s="180"/>
      <c r="CT298" s="180"/>
      <c r="CU298" s="180"/>
      <c r="CV298" s="180"/>
      <c r="CW298" s="180"/>
      <c r="CX298" s="180"/>
      <c r="CY298" s="180"/>
      <c r="CZ298" s="180"/>
    </row>
    <row r="299" spans="1:104" x14ac:dyDescent="0.3">
      <c r="A299" s="551">
        <f>A212</f>
        <v>959</v>
      </c>
      <c r="B299" s="551" t="str">
        <f t="shared" ref="B299:BM299" si="48">B212</f>
        <v>TD-Did unit have their debt service payments restructured in this fiscal year? (does not include refinancings designed to take advantage of lower interest rates)</v>
      </c>
      <c r="C299" s="551">
        <f t="shared" si="48"/>
        <v>0</v>
      </c>
      <c r="D299" s="551">
        <f t="shared" si="48"/>
        <v>0</v>
      </c>
      <c r="E299" s="551">
        <f t="shared" si="48"/>
        <v>2</v>
      </c>
      <c r="F299" s="551">
        <f t="shared" si="48"/>
        <v>0</v>
      </c>
      <c r="G299" s="551">
        <f t="shared" si="48"/>
        <v>2</v>
      </c>
      <c r="H299" s="551">
        <f t="shared" si="48"/>
        <v>2</v>
      </c>
      <c r="I299" s="551">
        <f t="shared" si="48"/>
        <v>3</v>
      </c>
      <c r="J299" s="551">
        <f t="shared" si="48"/>
        <v>2</v>
      </c>
      <c r="K299" s="551">
        <f t="shared" si="48"/>
        <v>3</v>
      </c>
      <c r="L299" s="551">
        <f t="shared" si="48"/>
        <v>3</v>
      </c>
      <c r="M299" s="551">
        <f t="shared" si="48"/>
        <v>2</v>
      </c>
      <c r="N299" s="551">
        <f t="shared" si="48"/>
        <v>3</v>
      </c>
      <c r="O299" s="551">
        <f t="shared" si="48"/>
        <v>3</v>
      </c>
      <c r="P299" s="551">
        <f t="shared" si="48"/>
        <v>3</v>
      </c>
      <c r="Q299" s="551">
        <f t="shared" si="48"/>
        <v>2</v>
      </c>
      <c r="R299" s="551">
        <f t="shared" si="48"/>
        <v>2</v>
      </c>
      <c r="S299" s="551">
        <f t="shared" si="48"/>
        <v>3</v>
      </c>
      <c r="T299" s="551">
        <f t="shared" si="48"/>
        <v>2</v>
      </c>
      <c r="U299" s="551">
        <f t="shared" si="48"/>
        <v>2</v>
      </c>
      <c r="V299" s="551">
        <f t="shared" si="48"/>
        <v>2</v>
      </c>
      <c r="W299" s="551">
        <f t="shared" si="48"/>
        <v>2</v>
      </c>
      <c r="X299" s="551">
        <f t="shared" si="48"/>
        <v>0</v>
      </c>
      <c r="Y299" s="551">
        <f t="shared" si="48"/>
        <v>2</v>
      </c>
      <c r="Z299" s="551">
        <f t="shared" si="48"/>
        <v>2</v>
      </c>
      <c r="AA299" s="551">
        <f t="shared" si="48"/>
        <v>2</v>
      </c>
      <c r="AB299" s="551">
        <f t="shared" si="48"/>
        <v>3</v>
      </c>
      <c r="AC299" s="551">
        <f t="shared" si="48"/>
        <v>2</v>
      </c>
      <c r="AD299" s="551">
        <f t="shared" si="48"/>
        <v>3</v>
      </c>
      <c r="AE299" s="551">
        <f t="shared" si="48"/>
        <v>2</v>
      </c>
      <c r="AF299" s="551">
        <f t="shared" si="48"/>
        <v>2</v>
      </c>
      <c r="AG299" s="551">
        <f t="shared" si="48"/>
        <v>2</v>
      </c>
      <c r="AH299" s="551">
        <f t="shared" si="48"/>
        <v>2</v>
      </c>
      <c r="AI299" s="551">
        <f t="shared" si="48"/>
        <v>2</v>
      </c>
      <c r="AJ299" s="551">
        <f t="shared" si="48"/>
        <v>3</v>
      </c>
      <c r="AK299" s="551">
        <f t="shared" si="48"/>
        <v>0</v>
      </c>
      <c r="AL299" s="551">
        <f t="shared" si="48"/>
        <v>0</v>
      </c>
      <c r="AM299" s="551">
        <f t="shared" si="48"/>
        <v>2</v>
      </c>
      <c r="AN299" s="551">
        <f t="shared" si="48"/>
        <v>2</v>
      </c>
      <c r="AO299" s="551">
        <f t="shared" si="48"/>
        <v>2</v>
      </c>
      <c r="AP299" s="551">
        <f t="shared" si="48"/>
        <v>3</v>
      </c>
      <c r="AQ299" s="551">
        <f t="shared" si="48"/>
        <v>2</v>
      </c>
      <c r="AR299" s="551">
        <f t="shared" si="48"/>
        <v>2</v>
      </c>
      <c r="AS299" s="551">
        <f t="shared" si="48"/>
        <v>2</v>
      </c>
      <c r="AT299" s="551">
        <f t="shared" si="48"/>
        <v>2</v>
      </c>
      <c r="AU299" s="551">
        <f t="shared" si="48"/>
        <v>3</v>
      </c>
      <c r="AV299" s="551">
        <f t="shared" si="48"/>
        <v>2</v>
      </c>
      <c r="AW299" s="551">
        <f t="shared" si="48"/>
        <v>2</v>
      </c>
      <c r="AX299" s="551">
        <f t="shared" si="48"/>
        <v>2</v>
      </c>
      <c r="AY299" s="551">
        <f t="shared" si="48"/>
        <v>2</v>
      </c>
      <c r="AZ299" s="551">
        <f t="shared" si="48"/>
        <v>2</v>
      </c>
      <c r="BA299" s="551">
        <f t="shared" si="48"/>
        <v>3</v>
      </c>
      <c r="BB299" s="551">
        <f t="shared" si="48"/>
        <v>2</v>
      </c>
      <c r="BC299" s="551">
        <f t="shared" si="48"/>
        <v>3</v>
      </c>
      <c r="BD299" s="551">
        <f t="shared" si="48"/>
        <v>2</v>
      </c>
      <c r="BE299" s="551">
        <f t="shared" si="48"/>
        <v>2</v>
      </c>
      <c r="BF299" s="551">
        <f t="shared" si="48"/>
        <v>2</v>
      </c>
      <c r="BG299" s="551">
        <f t="shared" si="48"/>
        <v>3</v>
      </c>
      <c r="BH299" s="551">
        <f t="shared" si="48"/>
        <v>3</v>
      </c>
      <c r="BI299" s="551">
        <f t="shared" si="48"/>
        <v>2</v>
      </c>
      <c r="BJ299" s="551">
        <f t="shared" si="48"/>
        <v>3</v>
      </c>
      <c r="BK299" s="551">
        <f t="shared" si="48"/>
        <v>3</v>
      </c>
      <c r="BL299" s="551">
        <f t="shared" si="48"/>
        <v>0</v>
      </c>
      <c r="BM299" s="551">
        <f t="shared" si="48"/>
        <v>0</v>
      </c>
      <c r="BN299" s="551">
        <f t="shared" ref="BN299:BR299" si="49">BN212</f>
        <v>2</v>
      </c>
      <c r="BO299" s="551">
        <f t="shared" si="49"/>
        <v>3</v>
      </c>
      <c r="BP299" s="551">
        <f t="shared" si="49"/>
        <v>2</v>
      </c>
      <c r="BQ299" s="551">
        <f t="shared" si="49"/>
        <v>2</v>
      </c>
      <c r="BR299" s="551">
        <f t="shared" si="49"/>
        <v>2</v>
      </c>
      <c r="BS299" s="551">
        <f t="shared" ref="BS299:CD299" si="50">BS212</f>
        <v>2</v>
      </c>
      <c r="BT299" s="551">
        <f t="shared" si="50"/>
        <v>2</v>
      </c>
      <c r="BU299" s="551">
        <f t="shared" si="50"/>
        <v>2</v>
      </c>
      <c r="BV299" s="551">
        <f t="shared" si="50"/>
        <v>3</v>
      </c>
      <c r="BW299" s="551">
        <f t="shared" si="50"/>
        <v>2</v>
      </c>
      <c r="BX299" s="551">
        <f t="shared" si="50"/>
        <v>2</v>
      </c>
      <c r="BY299" s="551">
        <f t="shared" si="50"/>
        <v>3</v>
      </c>
      <c r="BZ299" s="551">
        <f t="shared" si="50"/>
        <v>2</v>
      </c>
      <c r="CA299" s="551">
        <f t="shared" si="50"/>
        <v>2</v>
      </c>
      <c r="CB299" s="551">
        <f t="shared" si="50"/>
        <v>2</v>
      </c>
      <c r="CC299" s="551">
        <f t="shared" si="50"/>
        <v>0</v>
      </c>
      <c r="CD299" s="551">
        <f t="shared" si="50"/>
        <v>2</v>
      </c>
      <c r="CE299" s="180"/>
      <c r="CF299" s="180"/>
      <c r="CG299" s="180"/>
      <c r="CH299" s="180"/>
      <c r="CI299" s="180"/>
      <c r="CJ299" s="180"/>
      <c r="CK299" s="180"/>
      <c r="CL299" s="180"/>
      <c r="CM299" s="180"/>
      <c r="CN299" s="180"/>
      <c r="CO299" s="180"/>
      <c r="CP299" s="180"/>
      <c r="CQ299" s="180"/>
      <c r="CR299" s="180"/>
      <c r="CS299" s="180"/>
      <c r="CT299" s="180"/>
      <c r="CU299" s="180"/>
      <c r="CV299" s="180"/>
      <c r="CW299" s="180"/>
      <c r="CX299" s="180"/>
      <c r="CY299" s="180"/>
      <c r="CZ299" s="180"/>
    </row>
    <row r="300" spans="1:104" x14ac:dyDescent="0.3">
      <c r="A300" s="551">
        <f>A219</f>
        <v>974</v>
      </c>
      <c r="B300" s="551" t="str">
        <f t="shared" ref="B300:BM300" si="51">B219</f>
        <v>Did the Unit have any of the following occur:
1.  Were any debt service payments deferred or restructured in this fiscal year? (does not include refinancings designed to take advantage of lower interest rates)
2.  Bond covenants were not met
3.  Debt serv</v>
      </c>
      <c r="C300" s="551">
        <f t="shared" si="51"/>
        <v>0</v>
      </c>
      <c r="D300" s="551">
        <f t="shared" si="51"/>
        <v>0</v>
      </c>
      <c r="E300" s="551">
        <f t="shared" si="51"/>
        <v>2</v>
      </c>
      <c r="F300" s="551">
        <f t="shared" si="51"/>
        <v>0</v>
      </c>
      <c r="G300" s="551">
        <f t="shared" si="51"/>
        <v>2</v>
      </c>
      <c r="H300" s="551">
        <f t="shared" si="51"/>
        <v>2</v>
      </c>
      <c r="I300" s="551">
        <f t="shared" si="51"/>
        <v>3</v>
      </c>
      <c r="J300" s="551">
        <f t="shared" si="51"/>
        <v>2</v>
      </c>
      <c r="K300" s="551">
        <f t="shared" si="51"/>
        <v>3</v>
      </c>
      <c r="L300" s="551">
        <f t="shared" si="51"/>
        <v>3</v>
      </c>
      <c r="M300" s="551">
        <f t="shared" si="51"/>
        <v>2</v>
      </c>
      <c r="N300" s="551">
        <f t="shared" si="51"/>
        <v>3</v>
      </c>
      <c r="O300" s="551">
        <f t="shared" si="51"/>
        <v>3</v>
      </c>
      <c r="P300" s="551">
        <f t="shared" si="51"/>
        <v>3</v>
      </c>
      <c r="Q300" s="551">
        <f t="shared" si="51"/>
        <v>2</v>
      </c>
      <c r="R300" s="551">
        <f t="shared" si="51"/>
        <v>3</v>
      </c>
      <c r="S300" s="551">
        <f t="shared" si="51"/>
        <v>3</v>
      </c>
      <c r="T300" s="551">
        <f t="shared" si="51"/>
        <v>2</v>
      </c>
      <c r="U300" s="551">
        <f t="shared" si="51"/>
        <v>2</v>
      </c>
      <c r="V300" s="551">
        <f t="shared" si="51"/>
        <v>2</v>
      </c>
      <c r="W300" s="551">
        <f t="shared" si="51"/>
        <v>2</v>
      </c>
      <c r="X300" s="551">
        <f t="shared" si="51"/>
        <v>0</v>
      </c>
      <c r="Y300" s="551">
        <f t="shared" si="51"/>
        <v>2</v>
      </c>
      <c r="Z300" s="551">
        <f t="shared" si="51"/>
        <v>2</v>
      </c>
      <c r="AA300" s="551">
        <f t="shared" si="51"/>
        <v>2</v>
      </c>
      <c r="AB300" s="551">
        <f t="shared" si="51"/>
        <v>3</v>
      </c>
      <c r="AC300" s="551">
        <f t="shared" si="51"/>
        <v>2</v>
      </c>
      <c r="AD300" s="551">
        <f t="shared" si="51"/>
        <v>3</v>
      </c>
      <c r="AE300" s="551">
        <f t="shared" si="51"/>
        <v>2</v>
      </c>
      <c r="AF300" s="551">
        <f t="shared" si="51"/>
        <v>2</v>
      </c>
      <c r="AG300" s="551">
        <f t="shared" si="51"/>
        <v>2</v>
      </c>
      <c r="AH300" s="551">
        <f t="shared" si="51"/>
        <v>2</v>
      </c>
      <c r="AI300" s="551">
        <f t="shared" si="51"/>
        <v>2</v>
      </c>
      <c r="AJ300" s="551">
        <f t="shared" si="51"/>
        <v>3</v>
      </c>
      <c r="AK300" s="551">
        <f t="shared" si="51"/>
        <v>0</v>
      </c>
      <c r="AL300" s="551">
        <f t="shared" si="51"/>
        <v>0</v>
      </c>
      <c r="AM300" s="551">
        <f t="shared" si="51"/>
        <v>2</v>
      </c>
      <c r="AN300" s="551">
        <f t="shared" si="51"/>
        <v>2</v>
      </c>
      <c r="AO300" s="551">
        <f t="shared" si="51"/>
        <v>1</v>
      </c>
      <c r="AP300" s="551">
        <f t="shared" si="51"/>
        <v>3</v>
      </c>
      <c r="AQ300" s="551">
        <f t="shared" si="51"/>
        <v>2</v>
      </c>
      <c r="AR300" s="551">
        <f t="shared" si="51"/>
        <v>2</v>
      </c>
      <c r="AS300" s="551">
        <f t="shared" si="51"/>
        <v>2</v>
      </c>
      <c r="AT300" s="551">
        <f t="shared" si="51"/>
        <v>2</v>
      </c>
      <c r="AU300" s="551">
        <f t="shared" si="51"/>
        <v>3</v>
      </c>
      <c r="AV300" s="551">
        <f t="shared" si="51"/>
        <v>2</v>
      </c>
      <c r="AW300" s="551">
        <f t="shared" si="51"/>
        <v>2</v>
      </c>
      <c r="AX300" s="551">
        <f t="shared" si="51"/>
        <v>2</v>
      </c>
      <c r="AY300" s="551">
        <f t="shared" si="51"/>
        <v>2</v>
      </c>
      <c r="AZ300" s="551">
        <f t="shared" si="51"/>
        <v>2</v>
      </c>
      <c r="BA300" s="551">
        <f t="shared" si="51"/>
        <v>3</v>
      </c>
      <c r="BB300" s="551">
        <f t="shared" si="51"/>
        <v>2</v>
      </c>
      <c r="BC300" s="551">
        <f t="shared" si="51"/>
        <v>3</v>
      </c>
      <c r="BD300" s="551">
        <f t="shared" si="51"/>
        <v>2</v>
      </c>
      <c r="BE300" s="551">
        <f t="shared" si="51"/>
        <v>2</v>
      </c>
      <c r="BF300" s="551">
        <f t="shared" si="51"/>
        <v>3</v>
      </c>
      <c r="BG300" s="551">
        <f t="shared" si="51"/>
        <v>3</v>
      </c>
      <c r="BH300" s="551">
        <f t="shared" si="51"/>
        <v>3</v>
      </c>
      <c r="BI300" s="551">
        <f t="shared" si="51"/>
        <v>2</v>
      </c>
      <c r="BJ300" s="551">
        <f t="shared" si="51"/>
        <v>3</v>
      </c>
      <c r="BK300" s="551">
        <f t="shared" si="51"/>
        <v>3</v>
      </c>
      <c r="BL300" s="551">
        <f t="shared" si="51"/>
        <v>0</v>
      </c>
      <c r="BM300" s="551">
        <f t="shared" si="51"/>
        <v>0</v>
      </c>
      <c r="BN300" s="551">
        <f t="shared" ref="BN300:BR300" si="52">BN219</f>
        <v>2</v>
      </c>
      <c r="BO300" s="551">
        <f t="shared" si="52"/>
        <v>3</v>
      </c>
      <c r="BP300" s="551">
        <f t="shared" si="52"/>
        <v>2</v>
      </c>
      <c r="BQ300" s="551">
        <f t="shared" si="52"/>
        <v>2</v>
      </c>
      <c r="BR300" s="551">
        <f t="shared" si="52"/>
        <v>3</v>
      </c>
      <c r="BS300" s="551">
        <f t="shared" ref="BS300:CD300" si="53">BS219</f>
        <v>2</v>
      </c>
      <c r="BT300" s="551">
        <f t="shared" si="53"/>
        <v>1</v>
      </c>
      <c r="BU300" s="551">
        <f t="shared" si="53"/>
        <v>2</v>
      </c>
      <c r="BV300" s="551">
        <f t="shared" si="53"/>
        <v>3</v>
      </c>
      <c r="BW300" s="551">
        <f t="shared" si="53"/>
        <v>2</v>
      </c>
      <c r="BX300" s="551">
        <f t="shared" si="53"/>
        <v>2</v>
      </c>
      <c r="BY300" s="551">
        <f t="shared" si="53"/>
        <v>3</v>
      </c>
      <c r="BZ300" s="551">
        <f t="shared" si="53"/>
        <v>2</v>
      </c>
      <c r="CA300" s="551">
        <f t="shared" si="53"/>
        <v>2</v>
      </c>
      <c r="CB300" s="551">
        <f t="shared" si="53"/>
        <v>2</v>
      </c>
      <c r="CC300" s="551">
        <f t="shared" si="53"/>
        <v>0</v>
      </c>
      <c r="CD300" s="551">
        <f t="shared" si="53"/>
        <v>2</v>
      </c>
      <c r="CE300" s="550"/>
      <c r="CF300" s="550"/>
      <c r="CG300" s="550"/>
      <c r="CH300" s="550"/>
      <c r="CI300" s="550"/>
      <c r="CJ300" s="550"/>
      <c r="CK300" s="550"/>
      <c r="CL300" s="550"/>
      <c r="CM300" s="550"/>
      <c r="CN300" s="550"/>
      <c r="CO300" s="550"/>
      <c r="CP300" s="550"/>
      <c r="CQ300" s="550"/>
      <c r="CR300" s="550"/>
      <c r="CS300" s="550"/>
      <c r="CT300" s="550"/>
      <c r="CU300" s="550"/>
      <c r="CV300" s="550"/>
      <c r="CW300" s="550"/>
      <c r="CX300" s="550"/>
      <c r="CY300" s="550"/>
      <c r="CZ300" s="550"/>
    </row>
    <row r="301" spans="1:104" x14ac:dyDescent="0.3">
      <c r="A301" s="551">
        <f>A220</f>
        <v>975</v>
      </c>
      <c r="B301" s="551" t="str">
        <f t="shared" ref="B301:BM301" si="54">B220</f>
        <v>Does the Performance Indicator Print worksheet in this workbook have a red shaded cell?</v>
      </c>
      <c r="C301" s="551">
        <f t="shared" si="54"/>
        <v>0</v>
      </c>
      <c r="D301" s="551">
        <f t="shared" si="54"/>
        <v>0</v>
      </c>
      <c r="E301" s="551">
        <f t="shared" si="54"/>
        <v>2</v>
      </c>
      <c r="F301" s="551">
        <f t="shared" si="54"/>
        <v>0</v>
      </c>
      <c r="G301" s="551">
        <f t="shared" si="54"/>
        <v>2</v>
      </c>
      <c r="H301" s="551">
        <f t="shared" si="54"/>
        <v>2</v>
      </c>
      <c r="I301" s="551">
        <f t="shared" si="54"/>
        <v>1</v>
      </c>
      <c r="J301" s="551">
        <f t="shared" si="54"/>
        <v>1</v>
      </c>
      <c r="K301" s="551">
        <f t="shared" si="54"/>
        <v>2</v>
      </c>
      <c r="L301" s="551">
        <f t="shared" si="54"/>
        <v>2</v>
      </c>
      <c r="M301" s="551">
        <f t="shared" si="54"/>
        <v>1</v>
      </c>
      <c r="N301" s="551">
        <f t="shared" si="54"/>
        <v>2</v>
      </c>
      <c r="O301" s="551">
        <f t="shared" si="54"/>
        <v>1</v>
      </c>
      <c r="P301" s="551">
        <f t="shared" si="54"/>
        <v>1</v>
      </c>
      <c r="Q301" s="551">
        <f t="shared" si="54"/>
        <v>1</v>
      </c>
      <c r="R301" s="551">
        <f t="shared" si="54"/>
        <v>1</v>
      </c>
      <c r="S301" s="551">
        <f t="shared" si="54"/>
        <v>1</v>
      </c>
      <c r="T301" s="551">
        <f t="shared" si="54"/>
        <v>2</v>
      </c>
      <c r="U301" s="551">
        <f t="shared" si="54"/>
        <v>1</v>
      </c>
      <c r="V301" s="551">
        <f t="shared" si="54"/>
        <v>1</v>
      </c>
      <c r="W301" s="551">
        <f t="shared" si="54"/>
        <v>2</v>
      </c>
      <c r="X301" s="551">
        <f t="shared" si="54"/>
        <v>0</v>
      </c>
      <c r="Y301" s="551">
        <f t="shared" si="54"/>
        <v>1</v>
      </c>
      <c r="Z301" s="551">
        <f t="shared" si="54"/>
        <v>1</v>
      </c>
      <c r="AA301" s="551">
        <f t="shared" si="54"/>
        <v>1</v>
      </c>
      <c r="AB301" s="551">
        <f t="shared" si="54"/>
        <v>1</v>
      </c>
      <c r="AC301" s="551">
        <f t="shared" si="54"/>
        <v>2</v>
      </c>
      <c r="AD301" s="551">
        <f t="shared" si="54"/>
        <v>1</v>
      </c>
      <c r="AE301" s="551">
        <f t="shared" si="54"/>
        <v>2</v>
      </c>
      <c r="AF301" s="551">
        <f t="shared" si="54"/>
        <v>1</v>
      </c>
      <c r="AG301" s="551">
        <f t="shared" si="54"/>
        <v>1</v>
      </c>
      <c r="AH301" s="551">
        <f t="shared" si="54"/>
        <v>1</v>
      </c>
      <c r="AI301" s="551">
        <f t="shared" si="54"/>
        <v>1</v>
      </c>
      <c r="AJ301" s="551">
        <f t="shared" si="54"/>
        <v>2</v>
      </c>
      <c r="AK301" s="551">
        <f t="shared" si="54"/>
        <v>0</v>
      </c>
      <c r="AL301" s="551">
        <f t="shared" si="54"/>
        <v>0</v>
      </c>
      <c r="AM301" s="551">
        <f t="shared" si="54"/>
        <v>1</v>
      </c>
      <c r="AN301" s="551">
        <f t="shared" si="54"/>
        <v>1</v>
      </c>
      <c r="AO301" s="551">
        <f t="shared" si="54"/>
        <v>1</v>
      </c>
      <c r="AP301" s="551">
        <f t="shared" si="54"/>
        <v>2</v>
      </c>
      <c r="AQ301" s="551">
        <f t="shared" si="54"/>
        <v>1</v>
      </c>
      <c r="AR301" s="551">
        <f t="shared" si="54"/>
        <v>1</v>
      </c>
      <c r="AS301" s="551">
        <f t="shared" si="54"/>
        <v>1</v>
      </c>
      <c r="AT301" s="551">
        <f t="shared" si="54"/>
        <v>1</v>
      </c>
      <c r="AU301" s="551">
        <f t="shared" si="54"/>
        <v>2</v>
      </c>
      <c r="AV301" s="551">
        <f t="shared" si="54"/>
        <v>1</v>
      </c>
      <c r="AW301" s="551">
        <f t="shared" si="54"/>
        <v>2</v>
      </c>
      <c r="AX301" s="551">
        <f t="shared" si="54"/>
        <v>1</v>
      </c>
      <c r="AY301" s="551">
        <f t="shared" si="54"/>
        <v>2</v>
      </c>
      <c r="AZ301" s="551">
        <f t="shared" si="54"/>
        <v>1</v>
      </c>
      <c r="BA301" s="551">
        <f t="shared" si="54"/>
        <v>1</v>
      </c>
      <c r="BB301" s="551">
        <f t="shared" si="54"/>
        <v>2</v>
      </c>
      <c r="BC301" s="551">
        <f t="shared" si="54"/>
        <v>1</v>
      </c>
      <c r="BD301" s="551">
        <f t="shared" si="54"/>
        <v>1</v>
      </c>
      <c r="BE301" s="551">
        <f t="shared" si="54"/>
        <v>2</v>
      </c>
      <c r="BF301" s="551">
        <f t="shared" si="54"/>
        <v>1</v>
      </c>
      <c r="BG301" s="551">
        <f t="shared" si="54"/>
        <v>1</v>
      </c>
      <c r="BH301" s="551">
        <f t="shared" si="54"/>
        <v>2</v>
      </c>
      <c r="BI301" s="551">
        <f t="shared" si="54"/>
        <v>1</v>
      </c>
      <c r="BJ301" s="551">
        <f t="shared" si="54"/>
        <v>1</v>
      </c>
      <c r="BK301" s="551">
        <f t="shared" si="54"/>
        <v>1</v>
      </c>
      <c r="BL301" s="551">
        <f t="shared" si="54"/>
        <v>0</v>
      </c>
      <c r="BM301" s="551">
        <f t="shared" si="54"/>
        <v>0</v>
      </c>
      <c r="BN301" s="551">
        <f t="shared" ref="BN301:BR301" si="55">BN220</f>
        <v>2</v>
      </c>
      <c r="BO301" s="551">
        <f t="shared" si="55"/>
        <v>1</v>
      </c>
      <c r="BP301" s="551">
        <f t="shared" si="55"/>
        <v>1</v>
      </c>
      <c r="BQ301" s="551">
        <f t="shared" si="55"/>
        <v>2</v>
      </c>
      <c r="BR301" s="551">
        <f t="shared" si="55"/>
        <v>1</v>
      </c>
      <c r="BS301" s="551">
        <f t="shared" ref="BS301:CD301" si="56">BS220</f>
        <v>2</v>
      </c>
      <c r="BT301" s="551">
        <f t="shared" si="56"/>
        <v>1</v>
      </c>
      <c r="BU301" s="551">
        <f t="shared" si="56"/>
        <v>1</v>
      </c>
      <c r="BV301" s="551">
        <f t="shared" si="56"/>
        <v>2</v>
      </c>
      <c r="BW301" s="551">
        <f t="shared" si="56"/>
        <v>1</v>
      </c>
      <c r="BX301" s="551">
        <f t="shared" si="56"/>
        <v>1</v>
      </c>
      <c r="BY301" s="551">
        <f t="shared" si="56"/>
        <v>1</v>
      </c>
      <c r="BZ301" s="551">
        <f t="shared" si="56"/>
        <v>1</v>
      </c>
      <c r="CA301" s="551">
        <f t="shared" si="56"/>
        <v>1</v>
      </c>
      <c r="CB301" s="551">
        <f t="shared" si="56"/>
        <v>1</v>
      </c>
      <c r="CC301" s="551">
        <f t="shared" si="56"/>
        <v>0</v>
      </c>
      <c r="CD301" s="551">
        <f t="shared" si="56"/>
        <v>1</v>
      </c>
      <c r="CE301" s="550"/>
      <c r="CF301" s="550"/>
      <c r="CG301" s="550"/>
      <c r="CH301" s="550"/>
      <c r="CI301" s="550"/>
      <c r="CJ301" s="550"/>
      <c r="CK301" s="550"/>
      <c r="CL301" s="550"/>
      <c r="CM301" s="550"/>
      <c r="CN301" s="550"/>
      <c r="CO301" s="550"/>
      <c r="CP301" s="550"/>
      <c r="CQ301" s="550"/>
      <c r="CR301" s="550"/>
      <c r="CS301" s="550"/>
      <c r="CT301" s="550"/>
      <c r="CU301" s="550"/>
      <c r="CV301" s="550"/>
      <c r="CW301" s="550"/>
      <c r="CX301" s="550"/>
      <c r="CY301" s="550"/>
      <c r="CZ301" s="550"/>
    </row>
    <row r="302" spans="1:104" x14ac:dyDescent="0.3">
      <c r="A302" s="551">
        <f>A250</f>
        <v>1068</v>
      </c>
      <c r="B302" s="551" t="str">
        <f t="shared" ref="B302:BM302" si="57">B250</f>
        <v>Does the unit have a self-insurance fund?</v>
      </c>
      <c r="C302" s="551">
        <f t="shared" si="57"/>
        <v>0</v>
      </c>
      <c r="D302" s="551">
        <f t="shared" si="57"/>
        <v>0</v>
      </c>
      <c r="E302" s="551">
        <f t="shared" si="57"/>
        <v>2</v>
      </c>
      <c r="F302" s="551">
        <f t="shared" si="57"/>
        <v>0</v>
      </c>
      <c r="G302" s="551">
        <f t="shared" si="57"/>
        <v>2</v>
      </c>
      <c r="H302" s="551">
        <f t="shared" si="57"/>
        <v>2</v>
      </c>
      <c r="I302" s="551">
        <f t="shared" si="57"/>
        <v>2</v>
      </c>
      <c r="J302" s="551">
        <f t="shared" si="57"/>
        <v>2</v>
      </c>
      <c r="K302" s="551">
        <f t="shared" si="57"/>
        <v>2</v>
      </c>
      <c r="L302" s="551">
        <f t="shared" si="57"/>
        <v>2</v>
      </c>
      <c r="M302" s="551">
        <f t="shared" si="57"/>
        <v>2</v>
      </c>
      <c r="N302" s="551">
        <f t="shared" si="57"/>
        <v>2</v>
      </c>
      <c r="O302" s="551">
        <f t="shared" si="57"/>
        <v>2</v>
      </c>
      <c r="P302" s="551">
        <f t="shared" si="57"/>
        <v>2</v>
      </c>
      <c r="Q302" s="551">
        <f t="shared" si="57"/>
        <v>1</v>
      </c>
      <c r="R302" s="551">
        <f t="shared" si="57"/>
        <v>2</v>
      </c>
      <c r="S302" s="551">
        <f t="shared" si="57"/>
        <v>2</v>
      </c>
      <c r="T302" s="551">
        <f t="shared" si="57"/>
        <v>2</v>
      </c>
      <c r="U302" s="551">
        <f t="shared" si="57"/>
        <v>2</v>
      </c>
      <c r="V302" s="551">
        <f t="shared" si="57"/>
        <v>2</v>
      </c>
      <c r="W302" s="551">
        <f t="shared" si="57"/>
        <v>2</v>
      </c>
      <c r="X302" s="551">
        <f t="shared" si="57"/>
        <v>0</v>
      </c>
      <c r="Y302" s="551">
        <f t="shared" si="57"/>
        <v>2</v>
      </c>
      <c r="Z302" s="551">
        <f t="shared" si="57"/>
        <v>2</v>
      </c>
      <c r="AA302" s="551">
        <f t="shared" si="57"/>
        <v>2</v>
      </c>
      <c r="AB302" s="551">
        <f t="shared" si="57"/>
        <v>2</v>
      </c>
      <c r="AC302" s="551">
        <f t="shared" si="57"/>
        <v>2</v>
      </c>
      <c r="AD302" s="551">
        <f t="shared" si="57"/>
        <v>2</v>
      </c>
      <c r="AE302" s="551">
        <f t="shared" si="57"/>
        <v>2</v>
      </c>
      <c r="AF302" s="551">
        <f t="shared" si="57"/>
        <v>2</v>
      </c>
      <c r="AG302" s="551">
        <f t="shared" si="57"/>
        <v>2</v>
      </c>
      <c r="AH302" s="551">
        <f t="shared" si="57"/>
        <v>2</v>
      </c>
      <c r="AI302" s="551">
        <f t="shared" si="57"/>
        <v>1</v>
      </c>
      <c r="AJ302" s="551">
        <f t="shared" si="57"/>
        <v>2</v>
      </c>
      <c r="AK302" s="551">
        <f t="shared" si="57"/>
        <v>0</v>
      </c>
      <c r="AL302" s="551">
        <f t="shared" si="57"/>
        <v>0</v>
      </c>
      <c r="AM302" s="551">
        <f t="shared" si="57"/>
        <v>1</v>
      </c>
      <c r="AN302" s="551">
        <f t="shared" si="57"/>
        <v>2</v>
      </c>
      <c r="AO302" s="551">
        <f t="shared" si="57"/>
        <v>2</v>
      </c>
      <c r="AP302" s="551">
        <f t="shared" si="57"/>
        <v>2</v>
      </c>
      <c r="AQ302" s="551">
        <f t="shared" si="57"/>
        <v>2</v>
      </c>
      <c r="AR302" s="551">
        <f t="shared" si="57"/>
        <v>2</v>
      </c>
      <c r="AS302" s="551">
        <f t="shared" si="57"/>
        <v>2</v>
      </c>
      <c r="AT302" s="551">
        <f t="shared" si="57"/>
        <v>2</v>
      </c>
      <c r="AU302" s="551">
        <f t="shared" si="57"/>
        <v>2</v>
      </c>
      <c r="AV302" s="551">
        <f t="shared" si="57"/>
        <v>2</v>
      </c>
      <c r="AW302" s="551">
        <f t="shared" si="57"/>
        <v>2</v>
      </c>
      <c r="AX302" s="551">
        <f t="shared" si="57"/>
        <v>2</v>
      </c>
      <c r="AY302" s="551">
        <f t="shared" si="57"/>
        <v>2</v>
      </c>
      <c r="AZ302" s="551">
        <f t="shared" si="57"/>
        <v>2</v>
      </c>
      <c r="BA302" s="551">
        <f t="shared" si="57"/>
        <v>2</v>
      </c>
      <c r="BB302" s="551">
        <f t="shared" si="57"/>
        <v>2</v>
      </c>
      <c r="BC302" s="551">
        <f t="shared" si="57"/>
        <v>2</v>
      </c>
      <c r="BD302" s="551">
        <f t="shared" si="57"/>
        <v>2</v>
      </c>
      <c r="BE302" s="551">
        <f t="shared" si="57"/>
        <v>2</v>
      </c>
      <c r="BF302" s="551">
        <f t="shared" si="57"/>
        <v>2</v>
      </c>
      <c r="BG302" s="551">
        <f t="shared" si="57"/>
        <v>2</v>
      </c>
      <c r="BH302" s="551">
        <f t="shared" si="57"/>
        <v>2</v>
      </c>
      <c r="BI302" s="551">
        <f t="shared" si="57"/>
        <v>2</v>
      </c>
      <c r="BJ302" s="551">
        <f t="shared" si="57"/>
        <v>2</v>
      </c>
      <c r="BK302" s="551">
        <f t="shared" si="57"/>
        <v>2</v>
      </c>
      <c r="BL302" s="551">
        <f t="shared" si="57"/>
        <v>0</v>
      </c>
      <c r="BM302" s="551">
        <f t="shared" si="57"/>
        <v>0</v>
      </c>
      <c r="BN302" s="551">
        <f t="shared" ref="BN302:BR302" si="58">BN250</f>
        <v>2</v>
      </c>
      <c r="BO302" s="551">
        <f t="shared" si="58"/>
        <v>2</v>
      </c>
      <c r="BP302" s="551">
        <f t="shared" si="58"/>
        <v>2</v>
      </c>
      <c r="BQ302" s="551">
        <f t="shared" si="58"/>
        <v>2</v>
      </c>
      <c r="BR302" s="551">
        <f t="shared" si="58"/>
        <v>2</v>
      </c>
      <c r="BS302" s="551">
        <f t="shared" ref="BS302:CD302" si="59">BS250</f>
        <v>2</v>
      </c>
      <c r="BT302" s="551">
        <f t="shared" si="59"/>
        <v>2</v>
      </c>
      <c r="BU302" s="551">
        <f t="shared" si="59"/>
        <v>2</v>
      </c>
      <c r="BV302" s="551">
        <f t="shared" si="59"/>
        <v>2</v>
      </c>
      <c r="BW302" s="551">
        <f t="shared" si="59"/>
        <v>2</v>
      </c>
      <c r="BX302" s="551">
        <f t="shared" si="59"/>
        <v>2</v>
      </c>
      <c r="BY302" s="551">
        <f t="shared" si="59"/>
        <v>2</v>
      </c>
      <c r="BZ302" s="551">
        <f t="shared" si="59"/>
        <v>2</v>
      </c>
      <c r="CA302" s="551">
        <f t="shared" si="59"/>
        <v>2</v>
      </c>
      <c r="CB302" s="551">
        <f t="shared" si="59"/>
        <v>2</v>
      </c>
      <c r="CC302" s="551">
        <f t="shared" si="59"/>
        <v>0</v>
      </c>
      <c r="CD302" s="551">
        <f t="shared" si="59"/>
        <v>2</v>
      </c>
      <c r="CE302" s="550"/>
      <c r="CF302" s="550"/>
      <c r="CG302" s="550"/>
      <c r="CH302" s="550"/>
      <c r="CI302" s="550"/>
      <c r="CJ302" s="550"/>
      <c r="CK302" s="550"/>
      <c r="CL302" s="550"/>
      <c r="CM302" s="550"/>
      <c r="CN302" s="550"/>
      <c r="CO302" s="550"/>
      <c r="CP302" s="550"/>
      <c r="CQ302" s="550"/>
      <c r="CR302" s="550"/>
      <c r="CS302" s="550"/>
      <c r="CT302" s="550"/>
      <c r="CU302" s="550"/>
      <c r="CV302" s="550"/>
      <c r="CW302" s="550"/>
      <c r="CX302" s="550"/>
      <c r="CY302" s="550"/>
      <c r="CZ302" s="550"/>
    </row>
    <row r="303" spans="1:104" x14ac:dyDescent="0.3">
      <c r="A303" s="551">
        <f>A251</f>
        <v>1069</v>
      </c>
      <c r="B303" s="551" t="str">
        <f t="shared" ref="B303:BM303" si="60">B251</f>
        <v>If the unit is self-insured for employee health care, does the unit use a qualified consultant to establish rates and appropriate reserve levels?</v>
      </c>
      <c r="C303" s="551">
        <f t="shared" si="60"/>
        <v>0</v>
      </c>
      <c r="D303" s="551">
        <f t="shared" si="60"/>
        <v>0</v>
      </c>
      <c r="E303" s="551">
        <f t="shared" si="60"/>
        <v>3</v>
      </c>
      <c r="F303" s="551">
        <f t="shared" si="60"/>
        <v>0</v>
      </c>
      <c r="G303" s="551">
        <f t="shared" si="60"/>
        <v>3</v>
      </c>
      <c r="H303" s="551">
        <f t="shared" si="60"/>
        <v>2</v>
      </c>
      <c r="I303" s="551">
        <f t="shared" si="60"/>
        <v>3</v>
      </c>
      <c r="J303" s="551">
        <f t="shared" si="60"/>
        <v>2</v>
      </c>
      <c r="K303" s="551">
        <f t="shared" si="60"/>
        <v>2</v>
      </c>
      <c r="L303" s="551">
        <f t="shared" si="60"/>
        <v>3</v>
      </c>
      <c r="M303" s="551">
        <f t="shared" si="60"/>
        <v>3</v>
      </c>
      <c r="N303" s="551">
        <f t="shared" si="60"/>
        <v>3</v>
      </c>
      <c r="O303" s="551">
        <f t="shared" si="60"/>
        <v>2</v>
      </c>
      <c r="P303" s="551">
        <f t="shared" si="60"/>
        <v>3</v>
      </c>
      <c r="Q303" s="551">
        <f t="shared" si="60"/>
        <v>1</v>
      </c>
      <c r="R303" s="551">
        <f t="shared" si="60"/>
        <v>2</v>
      </c>
      <c r="S303" s="551">
        <f t="shared" si="60"/>
        <v>3</v>
      </c>
      <c r="T303" s="551">
        <f t="shared" si="60"/>
        <v>3</v>
      </c>
      <c r="U303" s="551">
        <f t="shared" si="60"/>
        <v>2</v>
      </c>
      <c r="V303" s="551">
        <f t="shared" si="60"/>
        <v>3</v>
      </c>
      <c r="W303" s="551">
        <f t="shared" si="60"/>
        <v>3</v>
      </c>
      <c r="X303" s="551">
        <f t="shared" si="60"/>
        <v>0</v>
      </c>
      <c r="Y303" s="551">
        <f t="shared" si="60"/>
        <v>3</v>
      </c>
      <c r="Z303" s="551">
        <f t="shared" si="60"/>
        <v>3</v>
      </c>
      <c r="AA303" s="551">
        <f t="shared" si="60"/>
        <v>3</v>
      </c>
      <c r="AB303" s="551">
        <f t="shared" si="60"/>
        <v>3</v>
      </c>
      <c r="AC303" s="551">
        <f t="shared" si="60"/>
        <v>3</v>
      </c>
      <c r="AD303" s="551">
        <f t="shared" si="60"/>
        <v>3</v>
      </c>
      <c r="AE303" s="551">
        <f t="shared" si="60"/>
        <v>2</v>
      </c>
      <c r="AF303" s="551">
        <f t="shared" si="60"/>
        <v>3</v>
      </c>
      <c r="AG303" s="551">
        <f t="shared" si="60"/>
        <v>2</v>
      </c>
      <c r="AH303" s="551">
        <f t="shared" si="60"/>
        <v>3</v>
      </c>
      <c r="AI303" s="551">
        <f t="shared" si="60"/>
        <v>1</v>
      </c>
      <c r="AJ303" s="551">
        <f t="shared" si="60"/>
        <v>3</v>
      </c>
      <c r="AK303" s="551">
        <f t="shared" si="60"/>
        <v>0</v>
      </c>
      <c r="AL303" s="551">
        <f t="shared" si="60"/>
        <v>0</v>
      </c>
      <c r="AM303" s="551">
        <f t="shared" si="60"/>
        <v>1</v>
      </c>
      <c r="AN303" s="551">
        <f t="shared" si="60"/>
        <v>3</v>
      </c>
      <c r="AO303" s="551">
        <f t="shared" si="60"/>
        <v>3</v>
      </c>
      <c r="AP303" s="551">
        <f t="shared" si="60"/>
        <v>3</v>
      </c>
      <c r="AQ303" s="551">
        <f t="shared" si="60"/>
        <v>2</v>
      </c>
      <c r="AR303" s="551">
        <f t="shared" si="60"/>
        <v>3</v>
      </c>
      <c r="AS303" s="551">
        <f t="shared" si="60"/>
        <v>2</v>
      </c>
      <c r="AT303" s="551">
        <f t="shared" si="60"/>
        <v>3</v>
      </c>
      <c r="AU303" s="551">
        <f t="shared" si="60"/>
        <v>3</v>
      </c>
      <c r="AV303" s="551">
        <f t="shared" si="60"/>
        <v>2</v>
      </c>
      <c r="AW303" s="551">
        <f t="shared" si="60"/>
        <v>3</v>
      </c>
      <c r="AX303" s="551">
        <f t="shared" si="60"/>
        <v>3</v>
      </c>
      <c r="AY303" s="551">
        <f t="shared" si="60"/>
        <v>2</v>
      </c>
      <c r="AZ303" s="551">
        <f t="shared" si="60"/>
        <v>3</v>
      </c>
      <c r="BA303" s="551">
        <f t="shared" si="60"/>
        <v>3</v>
      </c>
      <c r="BB303" s="551">
        <f t="shared" si="60"/>
        <v>3</v>
      </c>
      <c r="BC303" s="551">
        <f t="shared" si="60"/>
        <v>3</v>
      </c>
      <c r="BD303" s="551">
        <f t="shared" si="60"/>
        <v>3</v>
      </c>
      <c r="BE303" s="551">
        <f t="shared" si="60"/>
        <v>2</v>
      </c>
      <c r="BF303" s="551">
        <f t="shared" si="60"/>
        <v>3</v>
      </c>
      <c r="BG303" s="551">
        <f t="shared" si="60"/>
        <v>3</v>
      </c>
      <c r="BH303" s="551">
        <f t="shared" si="60"/>
        <v>3</v>
      </c>
      <c r="BI303" s="551">
        <f t="shared" si="60"/>
        <v>3</v>
      </c>
      <c r="BJ303" s="551">
        <f t="shared" si="60"/>
        <v>3</v>
      </c>
      <c r="BK303" s="551">
        <f t="shared" si="60"/>
        <v>3</v>
      </c>
      <c r="BL303" s="551">
        <f t="shared" si="60"/>
        <v>0</v>
      </c>
      <c r="BM303" s="551">
        <f t="shared" si="60"/>
        <v>0</v>
      </c>
      <c r="BN303" s="551">
        <f t="shared" ref="BN303:BR303" si="61">BN251</f>
        <v>3</v>
      </c>
      <c r="BO303" s="551">
        <f t="shared" si="61"/>
        <v>3</v>
      </c>
      <c r="BP303" s="551">
        <f t="shared" si="61"/>
        <v>2</v>
      </c>
      <c r="BQ303" s="551">
        <f t="shared" si="61"/>
        <v>3</v>
      </c>
      <c r="BR303" s="551">
        <f t="shared" si="61"/>
        <v>3</v>
      </c>
      <c r="BS303" s="551">
        <f t="shared" ref="BS303:CD303" si="62">BS251</f>
        <v>3</v>
      </c>
      <c r="BT303" s="551">
        <f t="shared" si="62"/>
        <v>2</v>
      </c>
      <c r="BU303" s="551">
        <f t="shared" si="62"/>
        <v>2</v>
      </c>
      <c r="BV303" s="551">
        <f t="shared" si="62"/>
        <v>3</v>
      </c>
      <c r="BW303" s="551">
        <f t="shared" si="62"/>
        <v>2</v>
      </c>
      <c r="BX303" s="551">
        <f t="shared" si="62"/>
        <v>3</v>
      </c>
      <c r="BY303" s="551">
        <f t="shared" si="62"/>
        <v>3</v>
      </c>
      <c r="BZ303" s="551">
        <f t="shared" si="62"/>
        <v>3</v>
      </c>
      <c r="CA303" s="551">
        <f t="shared" si="62"/>
        <v>3</v>
      </c>
      <c r="CB303" s="551">
        <f t="shared" si="62"/>
        <v>2</v>
      </c>
      <c r="CC303" s="551">
        <f t="shared" si="62"/>
        <v>0</v>
      </c>
      <c r="CD303" s="551">
        <f t="shared" si="62"/>
        <v>3</v>
      </c>
      <c r="CE303" s="550"/>
      <c r="CF303" s="550"/>
      <c r="CG303" s="550"/>
      <c r="CH303" s="550"/>
      <c r="CI303" s="550"/>
      <c r="CJ303" s="550"/>
      <c r="CK303" s="550"/>
      <c r="CL303" s="550"/>
      <c r="CM303" s="550"/>
      <c r="CN303" s="550"/>
      <c r="CO303" s="550"/>
      <c r="CP303" s="550"/>
      <c r="CQ303" s="550"/>
      <c r="CR303" s="550"/>
      <c r="CS303" s="550"/>
      <c r="CT303" s="550"/>
      <c r="CU303" s="550"/>
      <c r="CV303" s="550"/>
      <c r="CW303" s="550"/>
      <c r="CX303" s="550"/>
      <c r="CY303" s="550"/>
      <c r="CZ303" s="550"/>
    </row>
    <row r="304" spans="1:104" x14ac:dyDescent="0.3">
      <c r="A304" s="551">
        <f>A252</f>
        <v>1070</v>
      </c>
      <c r="B304" s="551" t="str">
        <f t="shared" ref="B304:BM304" si="63">B252</f>
        <v>Does the Unit have a non-state administrered pension plan?</v>
      </c>
      <c r="C304" s="551">
        <f t="shared" si="63"/>
        <v>0</v>
      </c>
      <c r="D304" s="551">
        <f t="shared" si="63"/>
        <v>0</v>
      </c>
      <c r="E304" s="551">
        <f t="shared" si="63"/>
        <v>2</v>
      </c>
      <c r="F304" s="551">
        <f t="shared" si="63"/>
        <v>0</v>
      </c>
      <c r="G304" s="551">
        <f t="shared" si="63"/>
        <v>2</v>
      </c>
      <c r="H304" s="551">
        <f t="shared" si="63"/>
        <v>2</v>
      </c>
      <c r="I304" s="551">
        <f t="shared" si="63"/>
        <v>2</v>
      </c>
      <c r="J304" s="551">
        <f t="shared" si="63"/>
        <v>2</v>
      </c>
      <c r="K304" s="551">
        <f t="shared" si="63"/>
        <v>2</v>
      </c>
      <c r="L304" s="551">
        <f t="shared" si="63"/>
        <v>2</v>
      </c>
      <c r="M304" s="551">
        <f t="shared" si="63"/>
        <v>2</v>
      </c>
      <c r="N304" s="551">
        <f t="shared" si="63"/>
        <v>2</v>
      </c>
      <c r="O304" s="551">
        <f t="shared" si="63"/>
        <v>2</v>
      </c>
      <c r="P304" s="551">
        <f t="shared" si="63"/>
        <v>1</v>
      </c>
      <c r="Q304" s="551">
        <f t="shared" si="63"/>
        <v>2</v>
      </c>
      <c r="R304" s="551">
        <f t="shared" si="63"/>
        <v>2</v>
      </c>
      <c r="S304" s="551">
        <f t="shared" si="63"/>
        <v>2</v>
      </c>
      <c r="T304" s="551">
        <f t="shared" si="63"/>
        <v>2</v>
      </c>
      <c r="U304" s="551">
        <f t="shared" si="63"/>
        <v>2</v>
      </c>
      <c r="V304" s="551">
        <f t="shared" si="63"/>
        <v>2</v>
      </c>
      <c r="W304" s="551">
        <f t="shared" si="63"/>
        <v>2</v>
      </c>
      <c r="X304" s="551">
        <f t="shared" si="63"/>
        <v>0</v>
      </c>
      <c r="Y304" s="551">
        <f t="shared" si="63"/>
        <v>2</v>
      </c>
      <c r="Z304" s="551">
        <f t="shared" si="63"/>
        <v>2</v>
      </c>
      <c r="AA304" s="551">
        <f t="shared" si="63"/>
        <v>2</v>
      </c>
      <c r="AB304" s="551">
        <f t="shared" si="63"/>
        <v>2</v>
      </c>
      <c r="AC304" s="551">
        <f t="shared" si="63"/>
        <v>2</v>
      </c>
      <c r="AD304" s="551">
        <f t="shared" si="63"/>
        <v>2</v>
      </c>
      <c r="AE304" s="551">
        <f t="shared" si="63"/>
        <v>2</v>
      </c>
      <c r="AF304" s="551">
        <f t="shared" si="63"/>
        <v>1</v>
      </c>
      <c r="AG304" s="551">
        <f t="shared" si="63"/>
        <v>2</v>
      </c>
      <c r="AH304" s="551">
        <f t="shared" si="63"/>
        <v>0</v>
      </c>
      <c r="AI304" s="551">
        <f t="shared" si="63"/>
        <v>2</v>
      </c>
      <c r="AJ304" s="551">
        <f t="shared" si="63"/>
        <v>2</v>
      </c>
      <c r="AK304" s="551">
        <f t="shared" si="63"/>
        <v>0</v>
      </c>
      <c r="AL304" s="551">
        <f t="shared" si="63"/>
        <v>0</v>
      </c>
      <c r="AM304" s="551">
        <f t="shared" si="63"/>
        <v>2</v>
      </c>
      <c r="AN304" s="551">
        <f t="shared" si="63"/>
        <v>2</v>
      </c>
      <c r="AO304" s="551">
        <f t="shared" si="63"/>
        <v>2</v>
      </c>
      <c r="AP304" s="551">
        <f t="shared" si="63"/>
        <v>2</v>
      </c>
      <c r="AQ304" s="551">
        <f t="shared" si="63"/>
        <v>2</v>
      </c>
      <c r="AR304" s="551">
        <f t="shared" si="63"/>
        <v>2</v>
      </c>
      <c r="AS304" s="551">
        <f t="shared" si="63"/>
        <v>2</v>
      </c>
      <c r="AT304" s="551">
        <f t="shared" si="63"/>
        <v>2</v>
      </c>
      <c r="AU304" s="551">
        <f t="shared" si="63"/>
        <v>2</v>
      </c>
      <c r="AV304" s="551">
        <f t="shared" si="63"/>
        <v>2</v>
      </c>
      <c r="AW304" s="551">
        <f t="shared" si="63"/>
        <v>2</v>
      </c>
      <c r="AX304" s="551">
        <f t="shared" si="63"/>
        <v>2</v>
      </c>
      <c r="AY304" s="551">
        <f t="shared" si="63"/>
        <v>1</v>
      </c>
      <c r="AZ304" s="551">
        <f t="shared" si="63"/>
        <v>2</v>
      </c>
      <c r="BA304" s="551">
        <f t="shared" si="63"/>
        <v>2</v>
      </c>
      <c r="BB304" s="551">
        <f t="shared" si="63"/>
        <v>2</v>
      </c>
      <c r="BC304" s="551">
        <f t="shared" si="63"/>
        <v>2</v>
      </c>
      <c r="BD304" s="551">
        <f t="shared" si="63"/>
        <v>2</v>
      </c>
      <c r="BE304" s="551">
        <f t="shared" si="63"/>
        <v>2</v>
      </c>
      <c r="BF304" s="551">
        <f t="shared" si="63"/>
        <v>2</v>
      </c>
      <c r="BG304" s="551">
        <f t="shared" si="63"/>
        <v>2</v>
      </c>
      <c r="BH304" s="551">
        <f t="shared" si="63"/>
        <v>2</v>
      </c>
      <c r="BI304" s="551">
        <f t="shared" si="63"/>
        <v>2</v>
      </c>
      <c r="BJ304" s="551">
        <f t="shared" si="63"/>
        <v>2</v>
      </c>
      <c r="BK304" s="551">
        <f t="shared" si="63"/>
        <v>2</v>
      </c>
      <c r="BL304" s="551">
        <f t="shared" si="63"/>
        <v>0</v>
      </c>
      <c r="BM304" s="551">
        <f t="shared" si="63"/>
        <v>0</v>
      </c>
      <c r="BN304" s="551">
        <f t="shared" ref="BN304:BR304" si="64">BN252</f>
        <v>2</v>
      </c>
      <c r="BO304" s="551">
        <f t="shared" si="64"/>
        <v>2</v>
      </c>
      <c r="BP304" s="551">
        <f t="shared" si="64"/>
        <v>2</v>
      </c>
      <c r="BQ304" s="551">
        <f t="shared" si="64"/>
        <v>2</v>
      </c>
      <c r="BR304" s="551">
        <f t="shared" si="64"/>
        <v>2</v>
      </c>
      <c r="BS304" s="551">
        <f t="shared" ref="BS304:CD304" si="65">BS252</f>
        <v>2</v>
      </c>
      <c r="BT304" s="551">
        <f t="shared" si="65"/>
        <v>2</v>
      </c>
      <c r="BU304" s="551">
        <f t="shared" si="65"/>
        <v>2</v>
      </c>
      <c r="BV304" s="551">
        <f t="shared" si="65"/>
        <v>2</v>
      </c>
      <c r="BW304" s="551">
        <f t="shared" si="65"/>
        <v>2</v>
      </c>
      <c r="BX304" s="551">
        <f t="shared" si="65"/>
        <v>2</v>
      </c>
      <c r="BY304" s="551">
        <f t="shared" si="65"/>
        <v>2</v>
      </c>
      <c r="BZ304" s="551">
        <f t="shared" si="65"/>
        <v>2</v>
      </c>
      <c r="CA304" s="551">
        <f t="shared" si="65"/>
        <v>2</v>
      </c>
      <c r="CB304" s="551">
        <f t="shared" si="65"/>
        <v>2</v>
      </c>
      <c r="CC304" s="551">
        <f t="shared" si="65"/>
        <v>0</v>
      </c>
      <c r="CD304" s="551">
        <f t="shared" si="65"/>
        <v>2</v>
      </c>
      <c r="CE304" s="550"/>
      <c r="CF304" s="550"/>
      <c r="CG304" s="550"/>
      <c r="CH304" s="550"/>
      <c r="CI304" s="550"/>
      <c r="CJ304" s="550"/>
      <c r="CK304" s="550"/>
      <c r="CL304" s="550"/>
      <c r="CM304" s="550"/>
      <c r="CN304" s="550"/>
      <c r="CO304" s="550"/>
      <c r="CP304" s="550"/>
      <c r="CQ304" s="550"/>
      <c r="CR304" s="550"/>
      <c r="CS304" s="550"/>
      <c r="CT304" s="550"/>
      <c r="CU304" s="550"/>
      <c r="CV304" s="550"/>
      <c r="CW304" s="550"/>
      <c r="CX304" s="550"/>
      <c r="CY304" s="550"/>
      <c r="CZ304" s="550"/>
    </row>
    <row r="305" spans="1:104" x14ac:dyDescent="0.3">
      <c r="A305" s="551">
        <f>A253</f>
        <v>1071</v>
      </c>
      <c r="B305" s="551" t="str">
        <f t="shared" ref="B305:BM305" si="66">B253</f>
        <v>Please list the amount of ARPA funds expended in total this fiscal year for non-capital purposes.  Enter "zero" if no ARPA funds expended for this fiscal year for non-capital purposes.</v>
      </c>
      <c r="C305" s="551">
        <f t="shared" si="66"/>
        <v>0</v>
      </c>
      <c r="D305" s="551">
        <f t="shared" si="66"/>
        <v>0</v>
      </c>
      <c r="E305" s="551">
        <f t="shared" si="66"/>
        <v>0</v>
      </c>
      <c r="F305" s="551">
        <f t="shared" si="66"/>
        <v>0</v>
      </c>
      <c r="G305" s="551">
        <f t="shared" si="66"/>
        <v>363420</v>
      </c>
      <c r="H305" s="551">
        <f t="shared" si="66"/>
        <v>1577196</v>
      </c>
      <c r="I305" s="551">
        <f t="shared" si="66"/>
        <v>989296</v>
      </c>
      <c r="J305" s="551">
        <f t="shared" si="66"/>
        <v>48257</v>
      </c>
      <c r="K305" s="551">
        <f t="shared" si="66"/>
        <v>230670</v>
      </c>
      <c r="L305" s="551">
        <f t="shared" si="66"/>
        <v>30070</v>
      </c>
      <c r="M305" s="551">
        <f t="shared" si="66"/>
        <v>716185</v>
      </c>
      <c r="N305" s="551">
        <f t="shared" si="66"/>
        <v>120468</v>
      </c>
      <c r="O305" s="551">
        <f t="shared" si="66"/>
        <v>1673799</v>
      </c>
      <c r="P305" s="551">
        <f t="shared" si="66"/>
        <v>46515</v>
      </c>
      <c r="Q305" s="551">
        <f t="shared" si="66"/>
        <v>4288255</v>
      </c>
      <c r="R305" s="551">
        <f t="shared" si="66"/>
        <v>148767</v>
      </c>
      <c r="S305" s="551">
        <f t="shared" si="66"/>
        <v>0</v>
      </c>
      <c r="T305" s="551">
        <f t="shared" si="66"/>
        <v>10722551</v>
      </c>
      <c r="U305" s="551">
        <f t="shared" si="66"/>
        <v>2841919</v>
      </c>
      <c r="V305" s="551">
        <f t="shared" si="66"/>
        <v>0</v>
      </c>
      <c r="W305" s="551">
        <f t="shared" si="66"/>
        <v>1227202</v>
      </c>
      <c r="X305" s="551">
        <f t="shared" si="66"/>
        <v>0</v>
      </c>
      <c r="Y305" s="551">
        <f t="shared" si="66"/>
        <v>3253264</v>
      </c>
      <c r="Z305" s="551">
        <f t="shared" si="66"/>
        <v>363952</v>
      </c>
      <c r="AA305" s="551">
        <f t="shared" si="66"/>
        <v>5181064</v>
      </c>
      <c r="AB305" s="551">
        <f t="shared" si="66"/>
        <v>0</v>
      </c>
      <c r="AC305" s="551">
        <f t="shared" si="66"/>
        <v>0</v>
      </c>
      <c r="AD305" s="551">
        <f t="shared" si="66"/>
        <v>158456</v>
      </c>
      <c r="AE305" s="551">
        <f t="shared" si="66"/>
        <v>0</v>
      </c>
      <c r="AF305" s="551">
        <f t="shared" si="66"/>
        <v>474062</v>
      </c>
      <c r="AG305" s="551">
        <f t="shared" si="66"/>
        <v>1765070</v>
      </c>
      <c r="AH305" s="551">
        <f t="shared" si="66"/>
        <v>367458</v>
      </c>
      <c r="AI305" s="551">
        <f t="shared" si="66"/>
        <v>6704351</v>
      </c>
      <c r="AJ305" s="551">
        <f t="shared" si="66"/>
        <v>115368</v>
      </c>
      <c r="AK305" s="551">
        <f t="shared" si="66"/>
        <v>0</v>
      </c>
      <c r="AL305" s="551">
        <f t="shared" si="66"/>
        <v>0</v>
      </c>
      <c r="AM305" s="551">
        <f t="shared" si="66"/>
        <v>0</v>
      </c>
      <c r="AN305" s="551">
        <f t="shared" si="66"/>
        <v>76932</v>
      </c>
      <c r="AO305" s="551">
        <f t="shared" si="66"/>
        <v>166838</v>
      </c>
      <c r="AP305" s="551">
        <f t="shared" si="66"/>
        <v>0</v>
      </c>
      <c r="AQ305" s="551">
        <f t="shared" si="66"/>
        <v>0</v>
      </c>
      <c r="AR305" s="551">
        <f t="shared" si="66"/>
        <v>669264</v>
      </c>
      <c r="AS305" s="551">
        <f t="shared" si="66"/>
        <v>102470</v>
      </c>
      <c r="AT305" s="551">
        <f t="shared" si="66"/>
        <v>0</v>
      </c>
      <c r="AU305" s="551">
        <f t="shared" si="66"/>
        <v>70230</v>
      </c>
      <c r="AV305" s="551">
        <f t="shared" si="66"/>
        <v>0</v>
      </c>
      <c r="AW305" s="551">
        <f t="shared" si="66"/>
        <v>0</v>
      </c>
      <c r="AX305" s="551">
        <f t="shared" si="66"/>
        <v>298675</v>
      </c>
      <c r="AY305" s="551">
        <f t="shared" si="66"/>
        <v>136478</v>
      </c>
      <c r="AZ305" s="551">
        <f t="shared" si="66"/>
        <v>147238</v>
      </c>
      <c r="BA305" s="551">
        <f t="shared" si="66"/>
        <v>115000</v>
      </c>
      <c r="BB305" s="551">
        <f t="shared" si="66"/>
        <v>7163</v>
      </c>
      <c r="BC305" s="551">
        <f t="shared" si="66"/>
        <v>172156</v>
      </c>
      <c r="BD305" s="551">
        <f t="shared" si="66"/>
        <v>0</v>
      </c>
      <c r="BE305" s="551">
        <f t="shared" si="66"/>
        <v>0</v>
      </c>
      <c r="BF305" s="551">
        <f t="shared" si="66"/>
        <v>35750</v>
      </c>
      <c r="BG305" s="551">
        <f t="shared" si="66"/>
        <v>0</v>
      </c>
      <c r="BH305" s="551">
        <f t="shared" si="66"/>
        <v>0</v>
      </c>
      <c r="BI305" s="551">
        <f t="shared" si="66"/>
        <v>122131</v>
      </c>
      <c r="BJ305" s="551">
        <f t="shared" si="66"/>
        <v>25637</v>
      </c>
      <c r="BK305" s="551">
        <f t="shared" si="66"/>
        <v>0</v>
      </c>
      <c r="BL305" s="551">
        <f t="shared" si="66"/>
        <v>0</v>
      </c>
      <c r="BM305" s="551">
        <f t="shared" si="66"/>
        <v>0</v>
      </c>
      <c r="BN305" s="551">
        <f t="shared" ref="BN305:BR305" si="67">BN253</f>
        <v>0</v>
      </c>
      <c r="BO305" s="551">
        <f t="shared" si="67"/>
        <v>0</v>
      </c>
      <c r="BP305" s="551">
        <f t="shared" si="67"/>
        <v>190305</v>
      </c>
      <c r="BQ305" s="551">
        <f t="shared" si="67"/>
        <v>5296752</v>
      </c>
      <c r="BR305" s="551">
        <f t="shared" si="67"/>
        <v>393591</v>
      </c>
      <c r="BS305" s="551">
        <f t="shared" ref="BS305:CD305" si="68">BS253</f>
        <v>50000</v>
      </c>
      <c r="BT305" s="551">
        <f t="shared" si="68"/>
        <v>80790</v>
      </c>
      <c r="BU305" s="551">
        <f t="shared" si="68"/>
        <v>0</v>
      </c>
      <c r="BV305" s="551">
        <f t="shared" si="68"/>
        <v>0</v>
      </c>
      <c r="BW305" s="551">
        <f t="shared" si="68"/>
        <v>0</v>
      </c>
      <c r="BX305" s="551">
        <f t="shared" si="68"/>
        <v>478178</v>
      </c>
      <c r="BY305" s="551">
        <f t="shared" si="68"/>
        <v>7399</v>
      </c>
      <c r="BZ305" s="551">
        <f t="shared" si="68"/>
        <v>89554</v>
      </c>
      <c r="CA305" s="551">
        <f t="shared" si="68"/>
        <v>46732</v>
      </c>
      <c r="CB305" s="551">
        <f t="shared" si="68"/>
        <v>445539</v>
      </c>
      <c r="CC305" s="551">
        <f t="shared" si="68"/>
        <v>0</v>
      </c>
      <c r="CD305" s="551">
        <f t="shared" si="68"/>
        <v>0</v>
      </c>
      <c r="CE305" s="550"/>
      <c r="CF305" s="550"/>
      <c r="CG305" s="550"/>
      <c r="CH305" s="550"/>
      <c r="CI305" s="550"/>
      <c r="CJ305" s="550"/>
      <c r="CK305" s="550"/>
      <c r="CL305" s="550"/>
      <c r="CM305" s="550"/>
      <c r="CN305" s="550"/>
      <c r="CO305" s="550"/>
      <c r="CP305" s="550"/>
      <c r="CQ305" s="550"/>
      <c r="CR305" s="550"/>
      <c r="CS305" s="550"/>
      <c r="CT305" s="550"/>
      <c r="CU305" s="550"/>
      <c r="CV305" s="550"/>
      <c r="CW305" s="550"/>
      <c r="CX305" s="550"/>
      <c r="CY305" s="550"/>
      <c r="CZ305" s="550"/>
    </row>
    <row r="306" spans="1:104" s="180" customFormat="1" x14ac:dyDescent="0.3">
      <c r="A306" s="155">
        <f>A230</f>
        <v>995</v>
      </c>
      <c r="B306" s="155" t="str">
        <f t="shared" ref="B306:BM306" si="69">B230</f>
        <v>Units with Electric Operations have $.07, $.08, $.09</v>
      </c>
      <c r="C306" s="155">
        <f t="shared" si="69"/>
        <v>0</v>
      </c>
      <c r="D306" s="155">
        <f t="shared" si="69"/>
        <v>0</v>
      </c>
      <c r="E306" s="155">
        <f t="shared" si="69"/>
        <v>0</v>
      </c>
      <c r="F306" s="155">
        <f t="shared" si="69"/>
        <v>0</v>
      </c>
      <c r="G306" s="155">
        <f t="shared" si="69"/>
        <v>0</v>
      </c>
      <c r="H306" s="155">
        <f t="shared" si="69"/>
        <v>0</v>
      </c>
      <c r="I306" s="155">
        <f t="shared" si="69"/>
        <v>0</v>
      </c>
      <c r="J306" s="155">
        <f t="shared" si="69"/>
        <v>0</v>
      </c>
      <c r="K306" s="155">
        <f t="shared" si="69"/>
        <v>0</v>
      </c>
      <c r="L306" s="155">
        <f t="shared" si="69"/>
        <v>0</v>
      </c>
      <c r="M306" s="155">
        <f t="shared" si="69"/>
        <v>0</v>
      </c>
      <c r="N306" s="155">
        <f t="shared" si="69"/>
        <v>0</v>
      </c>
      <c r="O306" s="155">
        <f t="shared" si="69"/>
        <v>0</v>
      </c>
      <c r="P306" s="155">
        <f t="shared" si="69"/>
        <v>0</v>
      </c>
      <c r="Q306" s="155">
        <f t="shared" si="69"/>
        <v>7.0000000000000007E-2</v>
      </c>
      <c r="R306" s="155">
        <f t="shared" si="69"/>
        <v>0</v>
      </c>
      <c r="S306" s="155">
        <f t="shared" si="69"/>
        <v>0</v>
      </c>
      <c r="T306" s="155">
        <f t="shared" si="69"/>
        <v>0</v>
      </c>
      <c r="U306" s="155">
        <f t="shared" si="69"/>
        <v>0</v>
      </c>
      <c r="V306" s="155">
        <f t="shared" si="69"/>
        <v>7.0000000000000007E-2</v>
      </c>
      <c r="W306" s="155">
        <f t="shared" si="69"/>
        <v>0</v>
      </c>
      <c r="X306" s="155">
        <f t="shared" si="69"/>
        <v>0</v>
      </c>
      <c r="Y306" s="155">
        <f t="shared" si="69"/>
        <v>0</v>
      </c>
      <c r="Z306" s="155">
        <f t="shared" si="69"/>
        <v>0</v>
      </c>
      <c r="AA306" s="155">
        <f t="shared" si="69"/>
        <v>0</v>
      </c>
      <c r="AB306" s="155">
        <f t="shared" si="69"/>
        <v>0</v>
      </c>
      <c r="AC306" s="155">
        <f t="shared" si="69"/>
        <v>0</v>
      </c>
      <c r="AD306" s="155">
        <f t="shared" si="69"/>
        <v>0</v>
      </c>
      <c r="AE306" s="155">
        <f t="shared" si="69"/>
        <v>0</v>
      </c>
      <c r="AF306" s="155">
        <f t="shared" si="69"/>
        <v>0</v>
      </c>
      <c r="AG306" s="155">
        <f t="shared" si="69"/>
        <v>0</v>
      </c>
      <c r="AH306" s="155">
        <f t="shared" si="69"/>
        <v>0</v>
      </c>
      <c r="AI306" s="155">
        <f t="shared" si="69"/>
        <v>0.08</v>
      </c>
      <c r="AJ306" s="155">
        <f t="shared" si="69"/>
        <v>0</v>
      </c>
      <c r="AK306" s="155">
        <f t="shared" si="69"/>
        <v>0</v>
      </c>
      <c r="AL306" s="155">
        <f t="shared" si="69"/>
        <v>0</v>
      </c>
      <c r="AM306" s="155">
        <f t="shared" si="69"/>
        <v>7.0000000000000007E-2</v>
      </c>
      <c r="AN306" s="155">
        <f t="shared" si="69"/>
        <v>0</v>
      </c>
      <c r="AO306" s="155">
        <f t="shared" si="69"/>
        <v>0</v>
      </c>
      <c r="AP306" s="155">
        <f t="shared" si="69"/>
        <v>0</v>
      </c>
      <c r="AQ306" s="155">
        <f t="shared" si="69"/>
        <v>0</v>
      </c>
      <c r="AR306" s="155">
        <f t="shared" si="69"/>
        <v>0</v>
      </c>
      <c r="AS306" s="155">
        <f t="shared" si="69"/>
        <v>0</v>
      </c>
      <c r="AT306" s="155">
        <f t="shared" si="69"/>
        <v>0</v>
      </c>
      <c r="AU306" s="155">
        <f t="shared" si="69"/>
        <v>0.09</v>
      </c>
      <c r="AV306" s="155">
        <f t="shared" si="69"/>
        <v>0</v>
      </c>
      <c r="AW306" s="155">
        <f t="shared" si="69"/>
        <v>0</v>
      </c>
      <c r="AX306" s="155">
        <f t="shared" si="69"/>
        <v>0</v>
      </c>
      <c r="AY306" s="155">
        <f t="shared" si="69"/>
        <v>0</v>
      </c>
      <c r="AZ306" s="155">
        <f t="shared" si="69"/>
        <v>0</v>
      </c>
      <c r="BA306" s="155">
        <f t="shared" si="69"/>
        <v>0</v>
      </c>
      <c r="BB306" s="155">
        <f t="shared" si="69"/>
        <v>0</v>
      </c>
      <c r="BC306" s="155">
        <f t="shared" si="69"/>
        <v>0</v>
      </c>
      <c r="BD306" s="155">
        <f t="shared" si="69"/>
        <v>0</v>
      </c>
      <c r="BE306" s="155">
        <f t="shared" si="69"/>
        <v>0</v>
      </c>
      <c r="BF306" s="155">
        <f t="shared" si="69"/>
        <v>0</v>
      </c>
      <c r="BG306" s="155">
        <f t="shared" si="69"/>
        <v>0</v>
      </c>
      <c r="BH306" s="155">
        <f t="shared" si="69"/>
        <v>0</v>
      </c>
      <c r="BI306" s="155">
        <f t="shared" si="69"/>
        <v>0</v>
      </c>
      <c r="BJ306" s="155">
        <f t="shared" si="69"/>
        <v>0</v>
      </c>
      <c r="BK306" s="155">
        <f t="shared" si="69"/>
        <v>0</v>
      </c>
      <c r="BL306" s="155">
        <f t="shared" si="69"/>
        <v>0.08</v>
      </c>
      <c r="BM306" s="155">
        <f t="shared" si="69"/>
        <v>0</v>
      </c>
      <c r="BN306" s="155">
        <f t="shared" ref="BN306:BR306" si="70">BN230</f>
        <v>0</v>
      </c>
      <c r="BO306" s="155">
        <f t="shared" si="70"/>
        <v>0</v>
      </c>
      <c r="BP306" s="155">
        <f t="shared" si="70"/>
        <v>0</v>
      </c>
      <c r="BQ306" s="155">
        <f t="shared" si="70"/>
        <v>0</v>
      </c>
      <c r="BR306" s="155">
        <f t="shared" si="70"/>
        <v>0.09</v>
      </c>
      <c r="BS306" s="155">
        <f t="shared" ref="BS306:CD306" si="71">BS230</f>
        <v>7.0000000000000007E-2</v>
      </c>
      <c r="BT306" s="155">
        <f t="shared" si="71"/>
        <v>0</v>
      </c>
      <c r="BU306" s="155">
        <f t="shared" si="71"/>
        <v>0</v>
      </c>
      <c r="BV306" s="155">
        <f t="shared" si="71"/>
        <v>0</v>
      </c>
      <c r="BW306" s="155">
        <f t="shared" si="71"/>
        <v>0</v>
      </c>
      <c r="BX306" s="155">
        <f t="shared" si="71"/>
        <v>0</v>
      </c>
      <c r="BY306" s="155">
        <f t="shared" si="71"/>
        <v>0</v>
      </c>
      <c r="BZ306" s="155">
        <f t="shared" si="71"/>
        <v>0</v>
      </c>
      <c r="CA306" s="155">
        <f t="shared" si="71"/>
        <v>0</v>
      </c>
      <c r="CB306" s="155">
        <f t="shared" si="71"/>
        <v>0</v>
      </c>
      <c r="CC306" s="155">
        <f t="shared" si="71"/>
        <v>0</v>
      </c>
      <c r="CD306" s="155">
        <f t="shared" si="71"/>
        <v>0</v>
      </c>
      <c r="CE306" s="550"/>
      <c r="CF306" s="550"/>
      <c r="CG306" s="550"/>
      <c r="CH306" s="550"/>
      <c r="CI306" s="550"/>
      <c r="CJ306" s="550"/>
      <c r="CK306" s="550"/>
      <c r="CL306" s="550"/>
      <c r="CM306" s="550"/>
      <c r="CN306" s="550"/>
      <c r="CO306" s="550"/>
      <c r="CP306" s="550"/>
      <c r="CQ306" s="550"/>
      <c r="CR306" s="550"/>
      <c r="CS306" s="550"/>
      <c r="CT306" s="550"/>
      <c r="CU306" s="550"/>
      <c r="CV306" s="550"/>
      <c r="CW306" s="550"/>
      <c r="CX306" s="550"/>
      <c r="CY306" s="550"/>
      <c r="CZ306" s="550"/>
    </row>
    <row r="307" spans="1:104" s="180" customFormat="1" x14ac:dyDescent="0.3">
      <c r="A307" s="155">
        <f>A231</f>
        <v>996</v>
      </c>
      <c r="B307" s="155" t="str">
        <f t="shared" ref="B307:BM308" si="72">B231</f>
        <v>Units with Water Sewer Operations have $.01</v>
      </c>
      <c r="C307" s="155">
        <f t="shared" si="72"/>
        <v>0</v>
      </c>
      <c r="D307" s="155">
        <f t="shared" si="72"/>
        <v>0.01</v>
      </c>
      <c r="E307" s="155">
        <f t="shared" si="72"/>
        <v>0</v>
      </c>
      <c r="F307" s="155">
        <f t="shared" si="72"/>
        <v>0.01</v>
      </c>
      <c r="G307" s="155">
        <f t="shared" si="72"/>
        <v>0</v>
      </c>
      <c r="H307" s="155">
        <f t="shared" si="72"/>
        <v>0</v>
      </c>
      <c r="I307" s="155">
        <f t="shared" si="72"/>
        <v>0</v>
      </c>
      <c r="J307" s="155">
        <f t="shared" si="72"/>
        <v>0.01</v>
      </c>
      <c r="K307" s="155">
        <f t="shared" si="72"/>
        <v>0</v>
      </c>
      <c r="L307" s="155">
        <f t="shared" si="72"/>
        <v>0</v>
      </c>
      <c r="M307" s="155">
        <f t="shared" si="72"/>
        <v>0</v>
      </c>
      <c r="N307" s="155">
        <f t="shared" si="72"/>
        <v>0</v>
      </c>
      <c r="O307" s="155">
        <f t="shared" si="72"/>
        <v>0.01</v>
      </c>
      <c r="P307" s="155">
        <f t="shared" si="72"/>
        <v>0</v>
      </c>
      <c r="Q307" s="155">
        <f t="shared" si="72"/>
        <v>0.01</v>
      </c>
      <c r="R307" s="155">
        <f t="shared" si="72"/>
        <v>0.01</v>
      </c>
      <c r="S307" s="155">
        <f t="shared" si="72"/>
        <v>0</v>
      </c>
      <c r="T307" s="155">
        <f t="shared" si="72"/>
        <v>0.01</v>
      </c>
      <c r="U307" s="155">
        <f t="shared" si="72"/>
        <v>0.01</v>
      </c>
      <c r="V307" s="155">
        <f t="shared" si="72"/>
        <v>0.01</v>
      </c>
      <c r="W307" s="155">
        <f t="shared" si="72"/>
        <v>0</v>
      </c>
      <c r="X307" s="155">
        <f t="shared" si="72"/>
        <v>0.01</v>
      </c>
      <c r="Y307" s="155">
        <f t="shared" si="72"/>
        <v>0.01</v>
      </c>
      <c r="Z307" s="155">
        <f t="shared" si="72"/>
        <v>0.01</v>
      </c>
      <c r="AA307" s="155">
        <f t="shared" si="72"/>
        <v>0.01</v>
      </c>
      <c r="AB307" s="155">
        <f t="shared" si="72"/>
        <v>0.01</v>
      </c>
      <c r="AC307" s="155">
        <f t="shared" si="72"/>
        <v>0.01</v>
      </c>
      <c r="AD307" s="155">
        <f t="shared" si="72"/>
        <v>0.01</v>
      </c>
      <c r="AE307" s="155">
        <f t="shared" si="72"/>
        <v>0.01</v>
      </c>
      <c r="AF307" s="155">
        <f t="shared" si="72"/>
        <v>0.01</v>
      </c>
      <c r="AG307" s="155">
        <f t="shared" si="72"/>
        <v>0.01</v>
      </c>
      <c r="AH307" s="155">
        <f t="shared" si="72"/>
        <v>0</v>
      </c>
      <c r="AI307" s="155">
        <f t="shared" si="72"/>
        <v>0.01</v>
      </c>
      <c r="AJ307" s="155">
        <f t="shared" si="72"/>
        <v>0.01</v>
      </c>
      <c r="AK307" s="155">
        <f t="shared" si="72"/>
        <v>0.01</v>
      </c>
      <c r="AL307" s="155">
        <f t="shared" si="72"/>
        <v>0.01</v>
      </c>
      <c r="AM307" s="155">
        <f t="shared" si="72"/>
        <v>0.01</v>
      </c>
      <c r="AN307" s="155">
        <f t="shared" si="72"/>
        <v>0.01</v>
      </c>
      <c r="AO307" s="155">
        <f t="shared" si="72"/>
        <v>0.01</v>
      </c>
      <c r="AP307" s="155">
        <f t="shared" si="72"/>
        <v>0</v>
      </c>
      <c r="AQ307" s="563">
        <v>0</v>
      </c>
      <c r="AR307" s="155">
        <f t="shared" si="72"/>
        <v>0.01</v>
      </c>
      <c r="AS307" s="155">
        <f t="shared" si="72"/>
        <v>0</v>
      </c>
      <c r="AT307" s="155">
        <f t="shared" si="72"/>
        <v>0.01</v>
      </c>
      <c r="AU307" s="155">
        <f t="shared" si="72"/>
        <v>0</v>
      </c>
      <c r="AV307" s="155">
        <f t="shared" si="72"/>
        <v>0.01</v>
      </c>
      <c r="AW307" s="155">
        <f t="shared" si="72"/>
        <v>0</v>
      </c>
      <c r="AX307" s="155">
        <f t="shared" si="72"/>
        <v>0.01</v>
      </c>
      <c r="AY307" s="155">
        <f t="shared" si="72"/>
        <v>0.01</v>
      </c>
      <c r="AZ307" s="155">
        <f t="shared" si="72"/>
        <v>0.01</v>
      </c>
      <c r="BA307" s="155">
        <f t="shared" si="72"/>
        <v>0.01</v>
      </c>
      <c r="BB307" s="155">
        <f t="shared" si="72"/>
        <v>0</v>
      </c>
      <c r="BC307" s="155">
        <f t="shared" si="72"/>
        <v>0.01</v>
      </c>
      <c r="BD307" s="155">
        <f t="shared" si="72"/>
        <v>0.01</v>
      </c>
      <c r="BE307" s="155">
        <f t="shared" si="72"/>
        <v>0</v>
      </c>
      <c r="BF307" s="155">
        <f t="shared" si="72"/>
        <v>0.01</v>
      </c>
      <c r="BG307" s="155">
        <f t="shared" si="72"/>
        <v>0.01</v>
      </c>
      <c r="BH307" s="155">
        <f t="shared" si="72"/>
        <v>0</v>
      </c>
      <c r="BI307" s="155">
        <f t="shared" si="72"/>
        <v>0.01</v>
      </c>
      <c r="BJ307" s="155">
        <f t="shared" si="72"/>
        <v>0</v>
      </c>
      <c r="BK307" s="155">
        <f t="shared" si="72"/>
        <v>0.01</v>
      </c>
      <c r="BL307" s="155">
        <f t="shared" si="72"/>
        <v>0.01</v>
      </c>
      <c r="BM307" s="155">
        <f t="shared" si="72"/>
        <v>0.01</v>
      </c>
      <c r="BN307" s="155">
        <f t="shared" ref="BN307:BR309" si="73">BN231</f>
        <v>0.01</v>
      </c>
      <c r="BO307" s="155">
        <f t="shared" si="73"/>
        <v>0.01</v>
      </c>
      <c r="BP307" s="155">
        <f t="shared" si="73"/>
        <v>0.01</v>
      </c>
      <c r="BQ307" s="155">
        <f t="shared" si="73"/>
        <v>0</v>
      </c>
      <c r="BR307" s="155">
        <f t="shared" si="73"/>
        <v>0.01</v>
      </c>
      <c r="BS307" s="155">
        <f t="shared" ref="BS307:CD307" si="74">BS231</f>
        <v>0</v>
      </c>
      <c r="BT307" s="155">
        <f t="shared" si="74"/>
        <v>0.01</v>
      </c>
      <c r="BU307" s="155">
        <f t="shared" si="74"/>
        <v>0.01</v>
      </c>
      <c r="BV307" s="155">
        <f t="shared" si="74"/>
        <v>0</v>
      </c>
      <c r="BW307" s="155">
        <f t="shared" si="74"/>
        <v>0.01</v>
      </c>
      <c r="BX307" s="155">
        <f t="shared" si="74"/>
        <v>0.01</v>
      </c>
      <c r="BY307" s="155">
        <f t="shared" si="74"/>
        <v>0.01</v>
      </c>
      <c r="BZ307" s="155">
        <f t="shared" si="74"/>
        <v>0.01</v>
      </c>
      <c r="CA307" s="155">
        <f t="shared" si="74"/>
        <v>0.01</v>
      </c>
      <c r="CB307" s="155">
        <f t="shared" si="74"/>
        <v>0.01</v>
      </c>
      <c r="CC307" s="155">
        <f t="shared" si="74"/>
        <v>0</v>
      </c>
      <c r="CD307" s="155">
        <f t="shared" si="74"/>
        <v>0.01</v>
      </c>
      <c r="CE307" s="550"/>
      <c r="CF307" s="550"/>
      <c r="CG307" s="550"/>
      <c r="CH307" s="550"/>
      <c r="CI307" s="550"/>
      <c r="CJ307" s="550"/>
      <c r="CK307" s="550"/>
      <c r="CL307" s="550"/>
      <c r="CM307" s="550"/>
      <c r="CN307" s="550"/>
      <c r="CO307" s="550"/>
      <c r="CP307" s="550"/>
      <c r="CQ307" s="550"/>
      <c r="CR307" s="550"/>
      <c r="CS307" s="550"/>
      <c r="CT307" s="550"/>
      <c r="CU307" s="550"/>
      <c r="CV307" s="550"/>
      <c r="CW307" s="550"/>
      <c r="CX307" s="550"/>
      <c r="CY307" s="550"/>
      <c r="CZ307" s="550"/>
    </row>
    <row r="308" spans="1:104" x14ac:dyDescent="0.3">
      <c r="A308" s="155">
        <f t="shared" ref="A308:P309" si="75">A232</f>
        <v>998</v>
      </c>
      <c r="B308" s="155" t="str">
        <f t="shared" si="75"/>
        <v>CCH Unit Type</v>
      </c>
      <c r="C308" s="155">
        <f t="shared" si="75"/>
        <v>0</v>
      </c>
      <c r="D308" s="155">
        <f t="shared" si="75"/>
        <v>50</v>
      </c>
      <c r="E308" s="155">
        <f t="shared" si="75"/>
        <v>50</v>
      </c>
      <c r="F308" s="155">
        <f t="shared" si="75"/>
        <v>50</v>
      </c>
      <c r="G308" s="155">
        <f t="shared" si="75"/>
        <v>50</v>
      </c>
      <c r="H308" s="155">
        <f t="shared" si="75"/>
        <v>50</v>
      </c>
      <c r="I308" s="155">
        <f t="shared" si="75"/>
        <v>50</v>
      </c>
      <c r="J308" s="155">
        <f t="shared" si="75"/>
        <v>50</v>
      </c>
      <c r="K308" s="155">
        <f t="shared" si="75"/>
        <v>50</v>
      </c>
      <c r="L308" s="155">
        <f t="shared" si="75"/>
        <v>50</v>
      </c>
      <c r="M308" s="155">
        <f t="shared" si="75"/>
        <v>50</v>
      </c>
      <c r="N308" s="155">
        <f t="shared" si="75"/>
        <v>50</v>
      </c>
      <c r="O308" s="155">
        <f t="shared" si="75"/>
        <v>50</v>
      </c>
      <c r="P308" s="155">
        <f t="shared" si="75"/>
        <v>50</v>
      </c>
      <c r="Q308" s="155">
        <f t="shared" si="72"/>
        <v>50</v>
      </c>
      <c r="R308" s="155">
        <f t="shared" si="72"/>
        <v>50</v>
      </c>
      <c r="S308" s="155">
        <f t="shared" si="72"/>
        <v>50</v>
      </c>
      <c r="T308" s="155">
        <f t="shared" si="72"/>
        <v>50</v>
      </c>
      <c r="U308" s="155">
        <f t="shared" si="72"/>
        <v>50</v>
      </c>
      <c r="V308" s="155">
        <f t="shared" si="72"/>
        <v>50</v>
      </c>
      <c r="W308" s="155">
        <f t="shared" si="72"/>
        <v>50</v>
      </c>
      <c r="X308" s="155">
        <f t="shared" si="72"/>
        <v>50</v>
      </c>
      <c r="Y308" s="155">
        <f t="shared" si="72"/>
        <v>50</v>
      </c>
      <c r="Z308" s="155">
        <f t="shared" si="72"/>
        <v>50</v>
      </c>
      <c r="AA308" s="155">
        <f t="shared" si="72"/>
        <v>50</v>
      </c>
      <c r="AB308" s="155">
        <f t="shared" si="72"/>
        <v>50</v>
      </c>
      <c r="AC308" s="155">
        <f t="shared" si="72"/>
        <v>50</v>
      </c>
      <c r="AD308" s="155">
        <f t="shared" si="72"/>
        <v>50</v>
      </c>
      <c r="AE308" s="155">
        <f t="shared" si="72"/>
        <v>50</v>
      </c>
      <c r="AF308" s="155">
        <f t="shared" si="72"/>
        <v>50</v>
      </c>
      <c r="AG308" s="155">
        <f t="shared" si="72"/>
        <v>50</v>
      </c>
      <c r="AH308" s="155">
        <f t="shared" si="72"/>
        <v>50</v>
      </c>
      <c r="AI308" s="155">
        <f t="shared" si="72"/>
        <v>50</v>
      </c>
      <c r="AJ308" s="155">
        <f t="shared" si="72"/>
        <v>50</v>
      </c>
      <c r="AK308" s="155">
        <f t="shared" si="72"/>
        <v>50</v>
      </c>
      <c r="AL308" s="155">
        <f t="shared" si="72"/>
        <v>50</v>
      </c>
      <c r="AM308" s="155">
        <f t="shared" si="72"/>
        <v>50</v>
      </c>
      <c r="AN308" s="155">
        <f t="shared" si="72"/>
        <v>50</v>
      </c>
      <c r="AO308" s="155">
        <f t="shared" si="72"/>
        <v>50</v>
      </c>
      <c r="AP308" s="155">
        <f t="shared" si="72"/>
        <v>50</v>
      </c>
      <c r="AQ308" s="155">
        <f t="shared" si="72"/>
        <v>50</v>
      </c>
      <c r="AR308" s="155">
        <f t="shared" si="72"/>
        <v>50</v>
      </c>
      <c r="AS308" s="155">
        <f t="shared" si="72"/>
        <v>50</v>
      </c>
      <c r="AT308" s="155">
        <f t="shared" si="72"/>
        <v>50</v>
      </c>
      <c r="AU308" s="155">
        <f t="shared" si="72"/>
        <v>50</v>
      </c>
      <c r="AV308" s="155">
        <f t="shared" si="72"/>
        <v>50</v>
      </c>
      <c r="AW308" s="155">
        <f t="shared" si="72"/>
        <v>50</v>
      </c>
      <c r="AX308" s="155">
        <f t="shared" si="72"/>
        <v>50</v>
      </c>
      <c r="AY308" s="155">
        <f t="shared" si="72"/>
        <v>50</v>
      </c>
      <c r="AZ308" s="155">
        <f t="shared" si="72"/>
        <v>50</v>
      </c>
      <c r="BA308" s="155">
        <f t="shared" si="72"/>
        <v>50</v>
      </c>
      <c r="BB308" s="155">
        <f t="shared" si="72"/>
        <v>50</v>
      </c>
      <c r="BC308" s="155">
        <f t="shared" si="72"/>
        <v>50</v>
      </c>
      <c r="BD308" s="155">
        <f t="shared" si="72"/>
        <v>50</v>
      </c>
      <c r="BE308" s="155">
        <f t="shared" si="72"/>
        <v>50</v>
      </c>
      <c r="BF308" s="155">
        <f t="shared" si="72"/>
        <v>50</v>
      </c>
      <c r="BG308" s="155">
        <f t="shared" si="72"/>
        <v>50</v>
      </c>
      <c r="BH308" s="155">
        <f t="shared" si="72"/>
        <v>50</v>
      </c>
      <c r="BI308" s="155">
        <f t="shared" si="72"/>
        <v>50</v>
      </c>
      <c r="BJ308" s="155">
        <f t="shared" si="72"/>
        <v>50</v>
      </c>
      <c r="BK308" s="155">
        <f t="shared" si="72"/>
        <v>50</v>
      </c>
      <c r="BL308" s="155">
        <f t="shared" si="72"/>
        <v>50</v>
      </c>
      <c r="BM308" s="155">
        <f t="shared" si="72"/>
        <v>50</v>
      </c>
      <c r="BN308" s="155">
        <f t="shared" si="73"/>
        <v>50</v>
      </c>
      <c r="BO308" s="155">
        <f t="shared" si="73"/>
        <v>50</v>
      </c>
      <c r="BP308" s="155">
        <f t="shared" si="73"/>
        <v>50</v>
      </c>
      <c r="BQ308" s="155">
        <f t="shared" si="73"/>
        <v>50</v>
      </c>
      <c r="BR308" s="155">
        <f t="shared" si="73"/>
        <v>50</v>
      </c>
      <c r="BS308" s="155">
        <f t="shared" ref="BS308:CD308" si="76">BS232</f>
        <v>50</v>
      </c>
      <c r="BT308" s="155">
        <f t="shared" si="76"/>
        <v>50</v>
      </c>
      <c r="BU308" s="155">
        <f t="shared" si="76"/>
        <v>50</v>
      </c>
      <c r="BV308" s="155">
        <f t="shared" si="76"/>
        <v>50</v>
      </c>
      <c r="BW308" s="155">
        <f t="shared" si="76"/>
        <v>50</v>
      </c>
      <c r="BX308" s="155">
        <f t="shared" si="76"/>
        <v>50</v>
      </c>
      <c r="BY308" s="155">
        <f t="shared" si="76"/>
        <v>50</v>
      </c>
      <c r="BZ308" s="155">
        <f t="shared" si="76"/>
        <v>50</v>
      </c>
      <c r="CA308" s="155">
        <f t="shared" si="76"/>
        <v>50</v>
      </c>
      <c r="CB308" s="155">
        <f t="shared" si="76"/>
        <v>50</v>
      </c>
      <c r="CC308" s="155">
        <f t="shared" si="76"/>
        <v>50</v>
      </c>
      <c r="CD308" s="155">
        <f t="shared" si="76"/>
        <v>50</v>
      </c>
      <c r="CE308" s="554"/>
      <c r="CF308" s="554"/>
      <c r="CG308" s="554"/>
      <c r="CH308" s="554"/>
      <c r="CI308" s="554"/>
      <c r="CJ308" s="554"/>
      <c r="CK308" s="554"/>
      <c r="CL308" s="554"/>
      <c r="CM308" s="554"/>
      <c r="CN308" s="554"/>
      <c r="CO308" s="554"/>
      <c r="CP308" s="554"/>
      <c r="CQ308" s="554"/>
      <c r="CR308" s="554"/>
      <c r="CS308" s="554"/>
      <c r="CT308" s="554"/>
      <c r="CU308" s="554"/>
      <c r="CV308" s="554"/>
      <c r="CW308" s="554"/>
      <c r="CX308" s="554"/>
      <c r="CY308" s="554"/>
      <c r="CZ308" s="554"/>
    </row>
    <row r="309" spans="1:104" x14ac:dyDescent="0.3">
      <c r="A309" s="155">
        <f t="shared" si="75"/>
        <v>999</v>
      </c>
      <c r="B309" s="155" t="str">
        <f t="shared" ref="B309:BM309" si="77">B233</f>
        <v>CCH Unit Code</v>
      </c>
      <c r="C309" s="155">
        <f t="shared" si="77"/>
        <v>0</v>
      </c>
      <c r="D309" s="155">
        <f t="shared" si="77"/>
        <v>50254</v>
      </c>
      <c r="E309" s="155">
        <f t="shared" si="77"/>
        <v>50255</v>
      </c>
      <c r="F309" s="155">
        <f t="shared" si="77"/>
        <v>50256</v>
      </c>
      <c r="G309" s="155">
        <f t="shared" si="77"/>
        <v>50558</v>
      </c>
      <c r="H309" s="155">
        <f t="shared" si="77"/>
        <v>50566</v>
      </c>
      <c r="I309" s="155">
        <f t="shared" si="77"/>
        <v>50562</v>
      </c>
      <c r="J309" s="155">
        <f t="shared" si="77"/>
        <v>50257</v>
      </c>
      <c r="K309" s="155">
        <f t="shared" si="77"/>
        <v>50555</v>
      </c>
      <c r="L309" s="155">
        <f t="shared" si="77"/>
        <v>50445</v>
      </c>
      <c r="M309" s="155">
        <f t="shared" si="77"/>
        <v>50452</v>
      </c>
      <c r="N309" s="155">
        <f t="shared" si="77"/>
        <v>50563</v>
      </c>
      <c r="O309" s="155">
        <f t="shared" si="77"/>
        <v>50258</v>
      </c>
      <c r="P309" s="155">
        <f t="shared" si="77"/>
        <v>50523</v>
      </c>
      <c r="Q309" s="155">
        <f t="shared" si="77"/>
        <v>50259</v>
      </c>
      <c r="R309" s="155">
        <f t="shared" si="77"/>
        <v>50260</v>
      </c>
      <c r="S309" s="155">
        <f t="shared" si="77"/>
        <v>50487</v>
      </c>
      <c r="T309" s="155">
        <f t="shared" si="77"/>
        <v>50261</v>
      </c>
      <c r="U309" s="155">
        <f t="shared" si="77"/>
        <v>50262</v>
      </c>
      <c r="V309" s="155">
        <f t="shared" si="77"/>
        <v>50263</v>
      </c>
      <c r="W309" s="155">
        <f t="shared" si="77"/>
        <v>50264</v>
      </c>
      <c r="X309" s="155">
        <f t="shared" si="77"/>
        <v>50265</v>
      </c>
      <c r="Y309" s="155">
        <f t="shared" si="77"/>
        <v>50266</v>
      </c>
      <c r="Z309" s="155">
        <f t="shared" si="77"/>
        <v>50267</v>
      </c>
      <c r="AA309" s="155">
        <f t="shared" si="77"/>
        <v>50268</v>
      </c>
      <c r="AB309" s="155">
        <f t="shared" si="77"/>
        <v>50269</v>
      </c>
      <c r="AC309" s="155">
        <f t="shared" si="77"/>
        <v>50270</v>
      </c>
      <c r="AD309" s="155">
        <f t="shared" si="77"/>
        <v>50271</v>
      </c>
      <c r="AE309" s="155">
        <f t="shared" si="77"/>
        <v>50272</v>
      </c>
      <c r="AF309" s="155">
        <f t="shared" si="77"/>
        <v>50273</v>
      </c>
      <c r="AG309" s="155">
        <f t="shared" si="77"/>
        <v>50274</v>
      </c>
      <c r="AH309" s="155">
        <f t="shared" si="77"/>
        <v>50480</v>
      </c>
      <c r="AI309" s="155">
        <f t="shared" si="77"/>
        <v>50275</v>
      </c>
      <c r="AJ309" s="155">
        <f t="shared" si="77"/>
        <v>50277</v>
      </c>
      <c r="AK309" s="155">
        <f t="shared" si="77"/>
        <v>50276</v>
      </c>
      <c r="AL309" s="155">
        <f t="shared" si="77"/>
        <v>50278</v>
      </c>
      <c r="AM309" s="155">
        <f t="shared" si="77"/>
        <v>50279</v>
      </c>
      <c r="AN309" s="155">
        <f t="shared" si="77"/>
        <v>50280</v>
      </c>
      <c r="AO309" s="155">
        <f t="shared" si="77"/>
        <v>50281</v>
      </c>
      <c r="AP309" s="155">
        <f t="shared" si="77"/>
        <v>50478</v>
      </c>
      <c r="AQ309" s="155">
        <f t="shared" si="77"/>
        <v>50524</v>
      </c>
      <c r="AR309" s="155">
        <f t="shared" si="77"/>
        <v>50282</v>
      </c>
      <c r="AS309" s="155">
        <f t="shared" si="77"/>
        <v>50525</v>
      </c>
      <c r="AT309" s="155">
        <f t="shared" si="77"/>
        <v>50283</v>
      </c>
      <c r="AU309" s="155">
        <f t="shared" si="77"/>
        <v>50285</v>
      </c>
      <c r="AV309" s="155">
        <f t="shared" si="77"/>
        <v>50553</v>
      </c>
      <c r="AW309" s="155">
        <f t="shared" si="77"/>
        <v>50548</v>
      </c>
      <c r="AX309" s="155">
        <f t="shared" si="77"/>
        <v>50284</v>
      </c>
      <c r="AY309" s="155">
        <f t="shared" si="77"/>
        <v>50286</v>
      </c>
      <c r="AZ309" s="155">
        <f t="shared" si="77"/>
        <v>50287</v>
      </c>
      <c r="BA309" s="155">
        <f t="shared" si="77"/>
        <v>50288</v>
      </c>
      <c r="BB309" s="155">
        <f t="shared" si="77"/>
        <v>50290</v>
      </c>
      <c r="BC309" s="155">
        <f t="shared" si="77"/>
        <v>50564</v>
      </c>
      <c r="BD309" s="155">
        <f t="shared" si="77"/>
        <v>50289</v>
      </c>
      <c r="BE309" s="155">
        <f t="shared" si="77"/>
        <v>50291</v>
      </c>
      <c r="BF309" s="155">
        <f t="shared" si="77"/>
        <v>50292</v>
      </c>
      <c r="BG309" s="155">
        <f t="shared" si="77"/>
        <v>50293</v>
      </c>
      <c r="BH309" s="155">
        <f t="shared" si="77"/>
        <v>50463</v>
      </c>
      <c r="BI309" s="155">
        <f t="shared" si="77"/>
        <v>50294</v>
      </c>
      <c r="BJ309" s="155">
        <f t="shared" si="77"/>
        <v>50538</v>
      </c>
      <c r="BK309" s="155">
        <f t="shared" si="77"/>
        <v>50295</v>
      </c>
      <c r="BL309" s="155">
        <f t="shared" si="77"/>
        <v>50296</v>
      </c>
      <c r="BM309" s="155">
        <f t="shared" si="77"/>
        <v>50297</v>
      </c>
      <c r="BN309" s="155">
        <f t="shared" si="73"/>
        <v>50449</v>
      </c>
      <c r="BO309" s="155">
        <f t="shared" si="73"/>
        <v>50300</v>
      </c>
      <c r="BP309" s="155">
        <f t="shared" si="73"/>
        <v>50298</v>
      </c>
      <c r="BQ309" s="155">
        <f t="shared" si="73"/>
        <v>50299</v>
      </c>
      <c r="BR309" s="155">
        <f t="shared" si="73"/>
        <v>50301</v>
      </c>
      <c r="BS309" s="155">
        <f t="shared" ref="BS309:CD309" si="78">BS233</f>
        <v>50302</v>
      </c>
      <c r="BT309" s="155">
        <f t="shared" si="78"/>
        <v>50303</v>
      </c>
      <c r="BU309" s="155">
        <f t="shared" si="78"/>
        <v>50304</v>
      </c>
      <c r="BV309" s="155">
        <f t="shared" si="78"/>
        <v>50540</v>
      </c>
      <c r="BW309" s="155">
        <f t="shared" si="78"/>
        <v>50305</v>
      </c>
      <c r="BX309" s="155">
        <f t="shared" si="78"/>
        <v>50306</v>
      </c>
      <c r="BY309" s="155">
        <f t="shared" si="78"/>
        <v>50479</v>
      </c>
      <c r="BZ309" s="155">
        <f t="shared" si="78"/>
        <v>50307</v>
      </c>
      <c r="CA309" s="155">
        <f t="shared" si="78"/>
        <v>50308</v>
      </c>
      <c r="CB309" s="155">
        <f t="shared" si="78"/>
        <v>50309</v>
      </c>
      <c r="CC309" s="155">
        <f t="shared" si="78"/>
        <v>50310</v>
      </c>
      <c r="CD309" s="155">
        <f t="shared" si="78"/>
        <v>50311</v>
      </c>
      <c r="CE309" s="554"/>
      <c r="CF309" s="554"/>
      <c r="CG309" s="554"/>
      <c r="CH309" s="554"/>
      <c r="CI309" s="554"/>
      <c r="CJ309" s="554"/>
      <c r="CK309" s="554"/>
      <c r="CL309" s="554"/>
      <c r="CM309" s="554"/>
      <c r="CN309" s="554"/>
      <c r="CO309" s="554"/>
      <c r="CP309" s="554"/>
      <c r="CQ309" s="554"/>
      <c r="CR309" s="554"/>
      <c r="CS309" s="554"/>
      <c r="CT309" s="554"/>
      <c r="CU309" s="554"/>
      <c r="CV309" s="554"/>
      <c r="CW309" s="554"/>
      <c r="CX309" s="554"/>
      <c r="CY309" s="554"/>
      <c r="CZ309" s="554"/>
    </row>
    <row r="310" spans="1:104" x14ac:dyDescent="0.3">
      <c r="A310" s="552">
        <f>A144</f>
        <v>554</v>
      </c>
      <c r="B310" s="552" t="str">
        <f t="shared" ref="B310:BM311" si="79">B144</f>
        <v>Single Audit Only - total amount of federal awards and grants expended as found on SEFSA</v>
      </c>
      <c r="C310" s="552">
        <f t="shared" si="79"/>
        <v>0</v>
      </c>
      <c r="D310" s="552">
        <f t="shared" si="79"/>
        <v>0</v>
      </c>
      <c r="E310" s="552">
        <f t="shared" si="79"/>
        <v>0</v>
      </c>
      <c r="F310" s="552">
        <f t="shared" si="79"/>
        <v>0</v>
      </c>
      <c r="G310" s="552">
        <f t="shared" si="79"/>
        <v>0</v>
      </c>
      <c r="H310" s="552">
        <f t="shared" si="79"/>
        <v>0</v>
      </c>
      <c r="I310" s="552">
        <f t="shared" si="79"/>
        <v>0</v>
      </c>
      <c r="J310" s="552">
        <f t="shared" si="79"/>
        <v>0</v>
      </c>
      <c r="K310" s="552">
        <f t="shared" si="79"/>
        <v>0</v>
      </c>
      <c r="L310" s="552">
        <f t="shared" si="79"/>
        <v>0</v>
      </c>
      <c r="M310" s="552">
        <f t="shared" si="79"/>
        <v>3800109</v>
      </c>
      <c r="N310" s="552">
        <f t="shared" si="79"/>
        <v>0</v>
      </c>
      <c r="O310" s="552">
        <f t="shared" si="79"/>
        <v>3201761</v>
      </c>
      <c r="P310" s="552">
        <f t="shared" si="79"/>
        <v>0</v>
      </c>
      <c r="Q310" s="552">
        <f t="shared" si="79"/>
        <v>4524749</v>
      </c>
      <c r="R310" s="552">
        <f t="shared" si="79"/>
        <v>0</v>
      </c>
      <c r="S310" s="552">
        <f t="shared" si="79"/>
        <v>0</v>
      </c>
      <c r="T310" s="552">
        <f t="shared" si="79"/>
        <v>12538127</v>
      </c>
      <c r="U310" s="552">
        <f t="shared" si="79"/>
        <v>3272054</v>
      </c>
      <c r="V310" s="552">
        <f t="shared" si="79"/>
        <v>940666</v>
      </c>
      <c r="W310" s="552">
        <f t="shared" si="79"/>
        <v>3738046</v>
      </c>
      <c r="X310" s="552">
        <f t="shared" si="79"/>
        <v>0</v>
      </c>
      <c r="Y310" s="552">
        <f t="shared" si="79"/>
        <v>3385695</v>
      </c>
      <c r="Z310" s="552">
        <f t="shared" si="79"/>
        <v>0</v>
      </c>
      <c r="AA310" s="552">
        <f t="shared" si="79"/>
        <v>5744466</v>
      </c>
      <c r="AB310" s="552">
        <f t="shared" si="79"/>
        <v>1398816</v>
      </c>
      <c r="AC310" s="552">
        <f t="shared" si="79"/>
        <v>824547</v>
      </c>
      <c r="AD310" s="552">
        <f t="shared" si="79"/>
        <v>0</v>
      </c>
      <c r="AE310" s="552">
        <f t="shared" si="79"/>
        <v>829463</v>
      </c>
      <c r="AF310" s="552">
        <f t="shared" si="79"/>
        <v>9419793</v>
      </c>
      <c r="AG310" s="552">
        <f t="shared" si="79"/>
        <v>1765070</v>
      </c>
      <c r="AH310" s="552">
        <f t="shared" si="79"/>
        <v>0</v>
      </c>
      <c r="AI310" s="552">
        <f t="shared" si="79"/>
        <v>10123097</v>
      </c>
      <c r="AJ310" s="552">
        <f t="shared" si="79"/>
        <v>0</v>
      </c>
      <c r="AK310" s="552">
        <f t="shared" si="79"/>
        <v>0</v>
      </c>
      <c r="AL310" s="552">
        <f t="shared" si="79"/>
        <v>0</v>
      </c>
      <c r="AM310" s="552">
        <f t="shared" si="79"/>
        <v>1882187</v>
      </c>
      <c r="AN310" s="552">
        <f t="shared" si="79"/>
        <v>0</v>
      </c>
      <c r="AO310" s="552">
        <f t="shared" si="79"/>
        <v>0</v>
      </c>
      <c r="AP310" s="552">
        <f t="shared" si="79"/>
        <v>0</v>
      </c>
      <c r="AQ310" s="552">
        <f t="shared" si="79"/>
        <v>0</v>
      </c>
      <c r="AR310" s="552">
        <f t="shared" si="79"/>
        <v>1931645</v>
      </c>
      <c r="AS310" s="552">
        <f t="shared" si="79"/>
        <v>0</v>
      </c>
      <c r="AT310" s="552">
        <f t="shared" si="79"/>
        <v>0</v>
      </c>
      <c r="AU310" s="552">
        <f t="shared" si="79"/>
        <v>0</v>
      </c>
      <c r="AV310" s="552">
        <f t="shared" si="79"/>
        <v>2192499</v>
      </c>
      <c r="AW310" s="552">
        <f t="shared" si="79"/>
        <v>0</v>
      </c>
      <c r="AX310" s="552">
        <f t="shared" si="79"/>
        <v>0</v>
      </c>
      <c r="AY310" s="552">
        <f t="shared" si="79"/>
        <v>506784</v>
      </c>
      <c r="AZ310" s="552">
        <f t="shared" si="79"/>
        <v>0</v>
      </c>
      <c r="BA310" s="552">
        <f t="shared" si="79"/>
        <v>0</v>
      </c>
      <c r="BB310" s="552">
        <f t="shared" si="79"/>
        <v>0</v>
      </c>
      <c r="BC310" s="552">
        <f t="shared" si="79"/>
        <v>0</v>
      </c>
      <c r="BD310" s="552">
        <f t="shared" si="79"/>
        <v>10272256</v>
      </c>
      <c r="BE310" s="552">
        <f t="shared" si="79"/>
        <v>0</v>
      </c>
      <c r="BF310" s="552">
        <f t="shared" si="79"/>
        <v>0</v>
      </c>
      <c r="BG310" s="552">
        <f t="shared" si="79"/>
        <v>0</v>
      </c>
      <c r="BH310" s="552">
        <f t="shared" si="79"/>
        <v>0</v>
      </c>
      <c r="BI310" s="552">
        <f t="shared" si="79"/>
        <v>0</v>
      </c>
      <c r="BJ310" s="552">
        <f t="shared" si="79"/>
        <v>0</v>
      </c>
      <c r="BK310" s="552">
        <f t="shared" si="79"/>
        <v>584617</v>
      </c>
      <c r="BL310" s="552">
        <f t="shared" si="79"/>
        <v>0</v>
      </c>
      <c r="BM310" s="552">
        <f t="shared" si="79"/>
        <v>0</v>
      </c>
      <c r="BN310" s="552">
        <f t="shared" ref="BN310:BR313" si="80">BN144</f>
        <v>2092052</v>
      </c>
      <c r="BO310" s="552">
        <f t="shared" si="80"/>
        <v>0</v>
      </c>
      <c r="BP310" s="552">
        <f t="shared" si="80"/>
        <v>0</v>
      </c>
      <c r="BQ310" s="552">
        <f t="shared" si="80"/>
        <v>5365568</v>
      </c>
      <c r="BR310" s="552">
        <f t="shared" si="80"/>
        <v>0</v>
      </c>
      <c r="BS310" s="552">
        <f t="shared" ref="BS310:CD310" si="81">BS144</f>
        <v>1375628</v>
      </c>
      <c r="BT310" s="552">
        <f t="shared" si="81"/>
        <v>0</v>
      </c>
      <c r="BU310" s="552">
        <f t="shared" si="81"/>
        <v>0</v>
      </c>
      <c r="BV310" s="552">
        <f t="shared" si="81"/>
        <v>0</v>
      </c>
      <c r="BW310" s="552">
        <f t="shared" si="81"/>
        <v>0</v>
      </c>
      <c r="BX310" s="552">
        <f t="shared" si="81"/>
        <v>0</v>
      </c>
      <c r="BY310" s="552">
        <f t="shared" si="81"/>
        <v>0</v>
      </c>
      <c r="BZ310" s="552">
        <f t="shared" si="81"/>
        <v>0</v>
      </c>
      <c r="CA310" s="552">
        <f t="shared" si="81"/>
        <v>0</v>
      </c>
      <c r="CB310" s="552">
        <f t="shared" si="81"/>
        <v>1114479</v>
      </c>
      <c r="CC310" s="552">
        <f t="shared" si="81"/>
        <v>0</v>
      </c>
      <c r="CD310" s="552">
        <f t="shared" si="81"/>
        <v>0</v>
      </c>
      <c r="CE310" s="554"/>
      <c r="CF310" s="554"/>
      <c r="CG310" s="554"/>
      <c r="CH310" s="554"/>
      <c r="CI310" s="554"/>
      <c r="CJ310" s="554"/>
      <c r="CK310" s="554"/>
      <c r="CL310" s="554"/>
      <c r="CM310" s="554"/>
      <c r="CN310" s="554"/>
      <c r="CO310" s="554"/>
      <c r="CP310" s="554"/>
      <c r="CQ310" s="554"/>
      <c r="CR310" s="554"/>
      <c r="CS310" s="554"/>
      <c r="CT310" s="554"/>
      <c r="CU310" s="554"/>
      <c r="CV310" s="554"/>
      <c r="CW310" s="554"/>
      <c r="CX310" s="554"/>
      <c r="CY310" s="554"/>
      <c r="CZ310" s="554"/>
    </row>
    <row r="311" spans="1:104" x14ac:dyDescent="0.3">
      <c r="A311" s="552">
        <f t="shared" ref="A311:P313" si="82">A145</f>
        <v>555</v>
      </c>
      <c r="B311" s="552" t="str">
        <f t="shared" si="82"/>
        <v>Single Audit Only - Total amount of federal awards and grants that were audited as major as found on SEFSA</v>
      </c>
      <c r="C311" s="552">
        <f t="shared" si="82"/>
        <v>0</v>
      </c>
      <c r="D311" s="552">
        <f t="shared" si="82"/>
        <v>0</v>
      </c>
      <c r="E311" s="552">
        <f t="shared" si="82"/>
        <v>0</v>
      </c>
      <c r="F311" s="552">
        <f t="shared" si="82"/>
        <v>0</v>
      </c>
      <c r="G311" s="552">
        <f t="shared" si="82"/>
        <v>0</v>
      </c>
      <c r="H311" s="552">
        <f t="shared" si="82"/>
        <v>0</v>
      </c>
      <c r="I311" s="552">
        <f t="shared" si="82"/>
        <v>0</v>
      </c>
      <c r="J311" s="552">
        <f t="shared" si="82"/>
        <v>0</v>
      </c>
      <c r="K311" s="552">
        <f t="shared" si="82"/>
        <v>0</v>
      </c>
      <c r="L311" s="552">
        <f t="shared" si="82"/>
        <v>0</v>
      </c>
      <c r="M311" s="552">
        <f t="shared" si="82"/>
        <v>3786784</v>
      </c>
      <c r="N311" s="552">
        <f t="shared" si="82"/>
        <v>0</v>
      </c>
      <c r="O311" s="552">
        <f t="shared" si="82"/>
        <v>3201761</v>
      </c>
      <c r="P311" s="552">
        <f t="shared" si="82"/>
        <v>0</v>
      </c>
      <c r="Q311" s="552">
        <f t="shared" si="79"/>
        <v>4288253</v>
      </c>
      <c r="R311" s="552">
        <f t="shared" si="79"/>
        <v>0</v>
      </c>
      <c r="S311" s="552">
        <f t="shared" si="79"/>
        <v>0</v>
      </c>
      <c r="T311" s="552">
        <f t="shared" si="79"/>
        <v>11575109</v>
      </c>
      <c r="U311" s="552">
        <f t="shared" si="79"/>
        <v>2841919</v>
      </c>
      <c r="V311" s="552">
        <f t="shared" si="79"/>
        <v>587612</v>
      </c>
      <c r="W311" s="552">
        <f t="shared" si="79"/>
        <v>1227202</v>
      </c>
      <c r="X311" s="552">
        <f t="shared" si="79"/>
        <v>0</v>
      </c>
      <c r="Y311" s="552">
        <f t="shared" si="79"/>
        <v>3343949</v>
      </c>
      <c r="Z311" s="552">
        <f t="shared" si="79"/>
        <v>0</v>
      </c>
      <c r="AA311" s="552">
        <f t="shared" si="79"/>
        <v>5181064</v>
      </c>
      <c r="AB311" s="552">
        <f t="shared" si="79"/>
        <v>1007481</v>
      </c>
      <c r="AC311" s="552">
        <f t="shared" si="79"/>
        <v>454273</v>
      </c>
      <c r="AD311" s="552">
        <f t="shared" si="79"/>
        <v>0</v>
      </c>
      <c r="AE311" s="552">
        <f t="shared" si="79"/>
        <v>415669</v>
      </c>
      <c r="AF311" s="552">
        <f t="shared" si="79"/>
        <v>8767119</v>
      </c>
      <c r="AG311" s="552">
        <f t="shared" si="79"/>
        <v>1765070</v>
      </c>
      <c r="AH311" s="552">
        <f t="shared" si="79"/>
        <v>0</v>
      </c>
      <c r="AI311" s="552">
        <f t="shared" si="79"/>
        <v>7130546</v>
      </c>
      <c r="AJ311" s="552">
        <f t="shared" si="79"/>
        <v>0</v>
      </c>
      <c r="AK311" s="552">
        <f t="shared" si="79"/>
        <v>0</v>
      </c>
      <c r="AL311" s="552">
        <f t="shared" si="79"/>
        <v>0</v>
      </c>
      <c r="AM311" s="552">
        <f t="shared" si="79"/>
        <v>877014</v>
      </c>
      <c r="AN311" s="552">
        <f t="shared" si="79"/>
        <v>0</v>
      </c>
      <c r="AO311" s="552">
        <f t="shared" si="79"/>
        <v>0</v>
      </c>
      <c r="AP311" s="552">
        <f t="shared" si="79"/>
        <v>0</v>
      </c>
      <c r="AQ311" s="552">
        <f t="shared" si="79"/>
        <v>0</v>
      </c>
      <c r="AR311" s="552">
        <f t="shared" si="79"/>
        <v>1621451</v>
      </c>
      <c r="AS311" s="552">
        <f t="shared" si="79"/>
        <v>0</v>
      </c>
      <c r="AT311" s="552">
        <f t="shared" si="79"/>
        <v>0</v>
      </c>
      <c r="AU311" s="552">
        <f t="shared" si="79"/>
        <v>0</v>
      </c>
      <c r="AV311" s="552">
        <f t="shared" si="79"/>
        <v>1519605</v>
      </c>
      <c r="AW311" s="552">
        <f t="shared" si="79"/>
        <v>0</v>
      </c>
      <c r="AX311" s="552">
        <f t="shared" si="79"/>
        <v>0</v>
      </c>
      <c r="AY311" s="552">
        <f t="shared" si="79"/>
        <v>0</v>
      </c>
      <c r="AZ311" s="552">
        <f t="shared" si="79"/>
        <v>0</v>
      </c>
      <c r="BA311" s="552">
        <f t="shared" si="79"/>
        <v>0</v>
      </c>
      <c r="BB311" s="552">
        <f t="shared" si="79"/>
        <v>0</v>
      </c>
      <c r="BC311" s="552">
        <f t="shared" si="79"/>
        <v>0</v>
      </c>
      <c r="BD311" s="552">
        <f t="shared" si="79"/>
        <v>10059458</v>
      </c>
      <c r="BE311" s="552">
        <f t="shared" si="79"/>
        <v>0</v>
      </c>
      <c r="BF311" s="552">
        <f t="shared" si="79"/>
        <v>0</v>
      </c>
      <c r="BG311" s="552">
        <f t="shared" si="79"/>
        <v>0</v>
      </c>
      <c r="BH311" s="552">
        <f t="shared" si="79"/>
        <v>0</v>
      </c>
      <c r="BI311" s="552">
        <f t="shared" si="79"/>
        <v>0</v>
      </c>
      <c r="BJ311" s="552">
        <f t="shared" si="79"/>
        <v>0</v>
      </c>
      <c r="BK311" s="552">
        <f t="shared" si="79"/>
        <v>0</v>
      </c>
      <c r="BL311" s="552">
        <f t="shared" si="79"/>
        <v>0</v>
      </c>
      <c r="BM311" s="552">
        <f t="shared" si="79"/>
        <v>0</v>
      </c>
      <c r="BN311" s="552">
        <f t="shared" si="80"/>
        <v>2092052</v>
      </c>
      <c r="BO311" s="552">
        <f t="shared" si="80"/>
        <v>0</v>
      </c>
      <c r="BP311" s="552">
        <f t="shared" si="80"/>
        <v>0</v>
      </c>
      <c r="BQ311" s="552">
        <f t="shared" si="80"/>
        <v>0</v>
      </c>
      <c r="BR311" s="552">
        <f t="shared" si="80"/>
        <v>0</v>
      </c>
      <c r="BS311" s="552">
        <f t="shared" ref="BS311:CD311" si="83">BS145</f>
        <v>862828</v>
      </c>
      <c r="BT311" s="552">
        <f t="shared" si="83"/>
        <v>0</v>
      </c>
      <c r="BU311" s="552">
        <f t="shared" si="83"/>
        <v>0</v>
      </c>
      <c r="BV311" s="552">
        <f t="shared" si="83"/>
        <v>0</v>
      </c>
      <c r="BW311" s="552">
        <f t="shared" si="83"/>
        <v>0</v>
      </c>
      <c r="BX311" s="552">
        <f t="shared" si="83"/>
        <v>0</v>
      </c>
      <c r="BY311" s="552">
        <f t="shared" si="83"/>
        <v>0</v>
      </c>
      <c r="BZ311" s="552">
        <f t="shared" si="83"/>
        <v>0</v>
      </c>
      <c r="CA311" s="552">
        <f t="shared" si="83"/>
        <v>0</v>
      </c>
      <c r="CB311" s="552">
        <f t="shared" si="83"/>
        <v>668940</v>
      </c>
      <c r="CC311" s="552">
        <f t="shared" si="83"/>
        <v>0</v>
      </c>
      <c r="CD311" s="552">
        <f t="shared" si="83"/>
        <v>0</v>
      </c>
      <c r="CE311" s="554"/>
      <c r="CF311" s="554"/>
      <c r="CG311" s="554"/>
      <c r="CH311" s="554"/>
      <c r="CI311" s="554"/>
      <c r="CJ311" s="554"/>
      <c r="CK311" s="554"/>
      <c r="CL311" s="554"/>
      <c r="CM311" s="554"/>
      <c r="CN311" s="554"/>
      <c r="CO311" s="554"/>
      <c r="CP311" s="554"/>
      <c r="CQ311" s="554"/>
      <c r="CR311" s="554"/>
      <c r="CS311" s="554"/>
      <c r="CT311" s="554"/>
      <c r="CU311" s="554"/>
      <c r="CV311" s="554"/>
      <c r="CW311" s="554"/>
      <c r="CX311" s="554"/>
      <c r="CY311" s="554"/>
      <c r="CZ311" s="554"/>
    </row>
    <row r="312" spans="1:104" x14ac:dyDescent="0.3">
      <c r="A312" s="552">
        <f t="shared" si="82"/>
        <v>556</v>
      </c>
      <c r="B312" s="552" t="str">
        <f t="shared" ref="B312:BM313" si="84">B146</f>
        <v>Single Audit Only - total amount of state awards and grants expended as found on SEFSA</v>
      </c>
      <c r="C312" s="552">
        <f t="shared" si="84"/>
        <v>0</v>
      </c>
      <c r="D312" s="552">
        <f t="shared" si="84"/>
        <v>0</v>
      </c>
      <c r="E312" s="552">
        <f t="shared" si="84"/>
        <v>0</v>
      </c>
      <c r="F312" s="552">
        <f t="shared" si="84"/>
        <v>0</v>
      </c>
      <c r="G312" s="552">
        <f t="shared" si="84"/>
        <v>0</v>
      </c>
      <c r="H312" s="552">
        <f t="shared" si="84"/>
        <v>0</v>
      </c>
      <c r="I312" s="552">
        <f t="shared" si="84"/>
        <v>0</v>
      </c>
      <c r="J312" s="552">
        <f t="shared" si="84"/>
        <v>0</v>
      </c>
      <c r="K312" s="552">
        <f t="shared" si="84"/>
        <v>0</v>
      </c>
      <c r="L312" s="552">
        <f t="shared" si="84"/>
        <v>0</v>
      </c>
      <c r="M312" s="552">
        <f t="shared" si="84"/>
        <v>333707</v>
      </c>
      <c r="N312" s="552">
        <f t="shared" si="84"/>
        <v>0</v>
      </c>
      <c r="O312" s="552">
        <f t="shared" si="84"/>
        <v>34925</v>
      </c>
      <c r="P312" s="552">
        <f t="shared" si="84"/>
        <v>0</v>
      </c>
      <c r="Q312" s="552">
        <f t="shared" si="84"/>
        <v>434390</v>
      </c>
      <c r="R312" s="552">
        <f t="shared" si="84"/>
        <v>0</v>
      </c>
      <c r="S312" s="552">
        <f t="shared" si="84"/>
        <v>0</v>
      </c>
      <c r="T312" s="552">
        <f t="shared" si="84"/>
        <v>2389158</v>
      </c>
      <c r="U312" s="552">
        <f t="shared" si="84"/>
        <v>443475</v>
      </c>
      <c r="V312" s="552">
        <f t="shared" si="84"/>
        <v>590988</v>
      </c>
      <c r="W312" s="552">
        <f t="shared" si="84"/>
        <v>792012</v>
      </c>
      <c r="X312" s="552">
        <f t="shared" si="84"/>
        <v>0</v>
      </c>
      <c r="Y312" s="552">
        <f t="shared" si="84"/>
        <v>2127152</v>
      </c>
      <c r="Z312" s="552">
        <f t="shared" si="84"/>
        <v>0</v>
      </c>
      <c r="AA312" s="552">
        <f t="shared" si="84"/>
        <v>74547</v>
      </c>
      <c r="AB312" s="552">
        <f t="shared" si="84"/>
        <v>1878629</v>
      </c>
      <c r="AC312" s="552">
        <f t="shared" si="84"/>
        <v>56163</v>
      </c>
      <c r="AD312" s="552">
        <f t="shared" si="84"/>
        <v>0</v>
      </c>
      <c r="AE312" s="552">
        <f t="shared" si="84"/>
        <v>4467859</v>
      </c>
      <c r="AF312" s="552">
        <f t="shared" si="84"/>
        <v>4710557</v>
      </c>
      <c r="AG312" s="552">
        <f t="shared" si="84"/>
        <v>603077</v>
      </c>
      <c r="AH312" s="552">
        <f t="shared" si="84"/>
        <v>0</v>
      </c>
      <c r="AI312" s="552">
        <f t="shared" si="84"/>
        <v>1559737</v>
      </c>
      <c r="AJ312" s="552">
        <f t="shared" si="84"/>
        <v>0</v>
      </c>
      <c r="AK312" s="552">
        <f t="shared" si="84"/>
        <v>0</v>
      </c>
      <c r="AL312" s="552">
        <f t="shared" si="84"/>
        <v>0</v>
      </c>
      <c r="AM312" s="552">
        <f t="shared" si="84"/>
        <v>996597</v>
      </c>
      <c r="AN312" s="552">
        <f t="shared" si="84"/>
        <v>0</v>
      </c>
      <c r="AO312" s="552">
        <f t="shared" si="84"/>
        <v>0</v>
      </c>
      <c r="AP312" s="552">
        <f t="shared" si="84"/>
        <v>0</v>
      </c>
      <c r="AQ312" s="552">
        <f t="shared" si="84"/>
        <v>0</v>
      </c>
      <c r="AR312" s="552">
        <f t="shared" si="84"/>
        <v>190694</v>
      </c>
      <c r="AS312" s="552">
        <f t="shared" si="84"/>
        <v>0</v>
      </c>
      <c r="AT312" s="552">
        <f t="shared" si="84"/>
        <v>0</v>
      </c>
      <c r="AU312" s="552">
        <f t="shared" si="84"/>
        <v>0</v>
      </c>
      <c r="AV312" s="552">
        <f t="shared" si="84"/>
        <v>798220</v>
      </c>
      <c r="AW312" s="552">
        <f t="shared" si="84"/>
        <v>0</v>
      </c>
      <c r="AX312" s="552">
        <f t="shared" si="84"/>
        <v>0</v>
      </c>
      <c r="AY312" s="552">
        <f t="shared" si="84"/>
        <v>2141745</v>
      </c>
      <c r="AZ312" s="552">
        <f t="shared" si="84"/>
        <v>0</v>
      </c>
      <c r="BA312" s="552">
        <f t="shared" si="84"/>
        <v>0</v>
      </c>
      <c r="BB312" s="552">
        <f t="shared" si="84"/>
        <v>0</v>
      </c>
      <c r="BC312" s="552">
        <f t="shared" si="84"/>
        <v>0</v>
      </c>
      <c r="BD312" s="552">
        <f t="shared" si="84"/>
        <v>451303</v>
      </c>
      <c r="BE312" s="552">
        <f t="shared" si="84"/>
        <v>0</v>
      </c>
      <c r="BF312" s="552">
        <f t="shared" si="84"/>
        <v>0</v>
      </c>
      <c r="BG312" s="552">
        <f t="shared" si="84"/>
        <v>0</v>
      </c>
      <c r="BH312" s="552">
        <f t="shared" si="84"/>
        <v>0</v>
      </c>
      <c r="BI312" s="552">
        <f t="shared" si="84"/>
        <v>0</v>
      </c>
      <c r="BJ312" s="552">
        <f t="shared" si="84"/>
        <v>0</v>
      </c>
      <c r="BK312" s="552">
        <f t="shared" si="84"/>
        <v>2121120</v>
      </c>
      <c r="BL312" s="552">
        <f t="shared" si="84"/>
        <v>0</v>
      </c>
      <c r="BM312" s="552">
        <f t="shared" si="84"/>
        <v>0</v>
      </c>
      <c r="BN312" s="552">
        <f t="shared" si="80"/>
        <v>92194</v>
      </c>
      <c r="BO312" s="552">
        <f t="shared" si="80"/>
        <v>0</v>
      </c>
      <c r="BP312" s="552">
        <f t="shared" si="80"/>
        <v>0</v>
      </c>
      <c r="BQ312" s="552">
        <f t="shared" si="80"/>
        <v>651412</v>
      </c>
      <c r="BR312" s="552">
        <f t="shared" si="80"/>
        <v>0</v>
      </c>
      <c r="BS312" s="552">
        <f t="shared" ref="BS312:CD312" si="85">BS146</f>
        <v>380469</v>
      </c>
      <c r="BT312" s="552">
        <f t="shared" si="85"/>
        <v>0</v>
      </c>
      <c r="BU312" s="552">
        <f t="shared" si="85"/>
        <v>0</v>
      </c>
      <c r="BV312" s="552">
        <f t="shared" si="85"/>
        <v>0</v>
      </c>
      <c r="BW312" s="552">
        <f t="shared" si="85"/>
        <v>0</v>
      </c>
      <c r="BX312" s="552">
        <f t="shared" si="85"/>
        <v>0</v>
      </c>
      <c r="BY312" s="552">
        <f t="shared" si="85"/>
        <v>0</v>
      </c>
      <c r="BZ312" s="552">
        <f t="shared" si="85"/>
        <v>0</v>
      </c>
      <c r="CA312" s="552">
        <f t="shared" si="85"/>
        <v>0</v>
      </c>
      <c r="CB312" s="552">
        <f t="shared" si="85"/>
        <v>846339</v>
      </c>
      <c r="CC312" s="552">
        <f t="shared" si="85"/>
        <v>0</v>
      </c>
      <c r="CD312" s="552">
        <f t="shared" si="85"/>
        <v>0</v>
      </c>
      <c r="CE312" s="554"/>
      <c r="CF312" s="554"/>
      <c r="CG312" s="554"/>
      <c r="CH312" s="554"/>
      <c r="CI312" s="554"/>
      <c r="CJ312" s="554"/>
      <c r="CK312" s="554"/>
      <c r="CL312" s="554"/>
      <c r="CM312" s="554"/>
      <c r="CN312" s="554"/>
      <c r="CO312" s="554"/>
      <c r="CP312" s="554"/>
      <c r="CQ312" s="554"/>
      <c r="CR312" s="554"/>
      <c r="CS312" s="554"/>
      <c r="CT312" s="554"/>
      <c r="CU312" s="554"/>
      <c r="CV312" s="554"/>
      <c r="CW312" s="554"/>
      <c r="CX312" s="554"/>
      <c r="CY312" s="554"/>
      <c r="CZ312" s="554"/>
    </row>
    <row r="313" spans="1:104" x14ac:dyDescent="0.3">
      <c r="A313" s="552">
        <f t="shared" si="82"/>
        <v>557</v>
      </c>
      <c r="B313" s="552" t="str">
        <f t="shared" si="84"/>
        <v>Single Audit Only - Total amount of state awards and grants that were audited as major as found on SEFSA</v>
      </c>
      <c r="C313" s="552">
        <f t="shared" si="84"/>
        <v>0</v>
      </c>
      <c r="D313" s="552">
        <f t="shared" si="84"/>
        <v>0</v>
      </c>
      <c r="E313" s="552">
        <f t="shared" si="84"/>
        <v>0</v>
      </c>
      <c r="F313" s="552">
        <f t="shared" si="84"/>
        <v>0</v>
      </c>
      <c r="G313" s="552">
        <f t="shared" si="84"/>
        <v>0</v>
      </c>
      <c r="H313" s="552">
        <f t="shared" si="84"/>
        <v>0</v>
      </c>
      <c r="I313" s="552">
        <f t="shared" si="84"/>
        <v>0</v>
      </c>
      <c r="J313" s="552">
        <f t="shared" si="84"/>
        <v>0</v>
      </c>
      <c r="K313" s="552">
        <f t="shared" si="84"/>
        <v>0</v>
      </c>
      <c r="L313" s="552">
        <f t="shared" si="84"/>
        <v>0</v>
      </c>
      <c r="M313" s="552">
        <f t="shared" si="84"/>
        <v>333707</v>
      </c>
      <c r="N313" s="552">
        <f t="shared" si="84"/>
        <v>0</v>
      </c>
      <c r="O313" s="552">
        <f t="shared" si="84"/>
        <v>0</v>
      </c>
      <c r="P313" s="552">
        <f t="shared" si="84"/>
        <v>0</v>
      </c>
      <c r="Q313" s="552">
        <f t="shared" si="84"/>
        <v>339726</v>
      </c>
      <c r="R313" s="552">
        <f t="shared" si="84"/>
        <v>0</v>
      </c>
      <c r="S313" s="552">
        <f t="shared" si="84"/>
        <v>0</v>
      </c>
      <c r="T313" s="552">
        <f t="shared" si="84"/>
        <v>1187735</v>
      </c>
      <c r="U313" s="552">
        <f t="shared" si="84"/>
        <v>0</v>
      </c>
      <c r="V313" s="552">
        <f t="shared" si="84"/>
        <v>455498</v>
      </c>
      <c r="W313" s="552">
        <f t="shared" si="84"/>
        <v>783018</v>
      </c>
      <c r="X313" s="552">
        <f t="shared" si="84"/>
        <v>0</v>
      </c>
      <c r="Y313" s="552">
        <f t="shared" si="84"/>
        <v>742333</v>
      </c>
      <c r="Z313" s="552">
        <f t="shared" si="84"/>
        <v>0</v>
      </c>
      <c r="AA313" s="552">
        <f t="shared" si="84"/>
        <v>0</v>
      </c>
      <c r="AB313" s="552">
        <f t="shared" si="84"/>
        <v>1769977</v>
      </c>
      <c r="AC313" s="552">
        <f t="shared" si="84"/>
        <v>0</v>
      </c>
      <c r="AD313" s="552">
        <f t="shared" si="84"/>
        <v>0</v>
      </c>
      <c r="AE313" s="552">
        <f t="shared" si="84"/>
        <v>4247635</v>
      </c>
      <c r="AF313" s="552">
        <f t="shared" si="84"/>
        <v>4348895</v>
      </c>
      <c r="AG313" s="552">
        <f t="shared" si="84"/>
        <v>362035</v>
      </c>
      <c r="AH313" s="552">
        <f t="shared" si="84"/>
        <v>0</v>
      </c>
      <c r="AI313" s="552">
        <f t="shared" si="84"/>
        <v>1140455</v>
      </c>
      <c r="AJ313" s="552">
        <f t="shared" si="84"/>
        <v>0</v>
      </c>
      <c r="AK313" s="552">
        <f t="shared" si="84"/>
        <v>0</v>
      </c>
      <c r="AL313" s="552">
        <f t="shared" si="84"/>
        <v>0</v>
      </c>
      <c r="AM313" s="552">
        <f t="shared" si="84"/>
        <v>413630</v>
      </c>
      <c r="AN313" s="552">
        <f t="shared" si="84"/>
        <v>0</v>
      </c>
      <c r="AO313" s="552">
        <f t="shared" si="84"/>
        <v>0</v>
      </c>
      <c r="AP313" s="552">
        <f t="shared" si="84"/>
        <v>0</v>
      </c>
      <c r="AQ313" s="552">
        <f t="shared" si="84"/>
        <v>0</v>
      </c>
      <c r="AR313" s="552">
        <f t="shared" si="84"/>
        <v>152721</v>
      </c>
      <c r="AS313" s="552">
        <f t="shared" si="84"/>
        <v>0</v>
      </c>
      <c r="AT313" s="552">
        <f t="shared" si="84"/>
        <v>0</v>
      </c>
      <c r="AU313" s="552">
        <f t="shared" si="84"/>
        <v>0</v>
      </c>
      <c r="AV313" s="552">
        <f t="shared" si="84"/>
        <v>506535</v>
      </c>
      <c r="AW313" s="552">
        <f t="shared" si="84"/>
        <v>0</v>
      </c>
      <c r="AX313" s="552">
        <f t="shared" si="84"/>
        <v>0</v>
      </c>
      <c r="AY313" s="552">
        <f t="shared" si="84"/>
        <v>1950821</v>
      </c>
      <c r="AZ313" s="552">
        <f t="shared" si="84"/>
        <v>0</v>
      </c>
      <c r="BA313" s="552">
        <f t="shared" si="84"/>
        <v>0</v>
      </c>
      <c r="BB313" s="552">
        <f t="shared" si="84"/>
        <v>0</v>
      </c>
      <c r="BC313" s="552">
        <f t="shared" si="84"/>
        <v>0</v>
      </c>
      <c r="BD313" s="552">
        <f t="shared" si="84"/>
        <v>0</v>
      </c>
      <c r="BE313" s="552">
        <f t="shared" si="84"/>
        <v>0</v>
      </c>
      <c r="BF313" s="552">
        <f t="shared" si="84"/>
        <v>0</v>
      </c>
      <c r="BG313" s="552">
        <f t="shared" si="84"/>
        <v>0</v>
      </c>
      <c r="BH313" s="552">
        <f t="shared" si="84"/>
        <v>0</v>
      </c>
      <c r="BI313" s="552">
        <f t="shared" si="84"/>
        <v>0</v>
      </c>
      <c r="BJ313" s="552">
        <f t="shared" si="84"/>
        <v>0</v>
      </c>
      <c r="BK313" s="552">
        <f t="shared" si="84"/>
        <v>1878629</v>
      </c>
      <c r="BL313" s="552">
        <f t="shared" si="84"/>
        <v>0</v>
      </c>
      <c r="BM313" s="552">
        <f t="shared" si="84"/>
        <v>0</v>
      </c>
      <c r="BN313" s="552">
        <f t="shared" si="80"/>
        <v>0</v>
      </c>
      <c r="BO313" s="552">
        <f t="shared" si="80"/>
        <v>0</v>
      </c>
      <c r="BP313" s="552">
        <f t="shared" si="80"/>
        <v>0</v>
      </c>
      <c r="BQ313" s="552">
        <f t="shared" si="80"/>
        <v>579914</v>
      </c>
      <c r="BR313" s="552">
        <f t="shared" si="80"/>
        <v>0</v>
      </c>
      <c r="BS313" s="552">
        <f t="shared" ref="BS313:CD313" si="86">BS147</f>
        <v>0</v>
      </c>
      <c r="BT313" s="552">
        <f t="shared" si="86"/>
        <v>0</v>
      </c>
      <c r="BU313" s="552">
        <f t="shared" si="86"/>
        <v>0</v>
      </c>
      <c r="BV313" s="552">
        <f t="shared" si="86"/>
        <v>0</v>
      </c>
      <c r="BW313" s="552">
        <f t="shared" si="86"/>
        <v>0</v>
      </c>
      <c r="BX313" s="552">
        <f t="shared" si="86"/>
        <v>0</v>
      </c>
      <c r="BY313" s="552">
        <f t="shared" si="86"/>
        <v>0</v>
      </c>
      <c r="BZ313" s="552">
        <f t="shared" si="86"/>
        <v>0</v>
      </c>
      <c r="CA313" s="552">
        <f t="shared" si="86"/>
        <v>0</v>
      </c>
      <c r="CB313" s="552">
        <f t="shared" si="86"/>
        <v>373271</v>
      </c>
      <c r="CC313" s="552">
        <f t="shared" si="86"/>
        <v>0</v>
      </c>
      <c r="CD313" s="552">
        <f t="shared" si="86"/>
        <v>0</v>
      </c>
      <c r="CE313" s="558"/>
      <c r="CF313" s="558"/>
      <c r="CG313" s="558"/>
      <c r="CH313" s="558"/>
      <c r="CI313" s="558"/>
      <c r="CJ313" s="558"/>
      <c r="CK313" s="558"/>
      <c r="CL313" s="558"/>
      <c r="CM313" s="558"/>
      <c r="CN313" s="558"/>
      <c r="CO313" s="558"/>
      <c r="CP313" s="558"/>
      <c r="CQ313" s="558"/>
      <c r="CR313" s="558"/>
      <c r="CS313" s="558"/>
      <c r="CT313" s="558"/>
      <c r="CU313" s="558"/>
      <c r="CV313" s="558"/>
      <c r="CW313" s="558"/>
      <c r="CX313" s="558"/>
      <c r="CY313" s="558"/>
      <c r="CZ313" s="558"/>
    </row>
    <row r="314" spans="1:104" x14ac:dyDescent="0.3">
      <c r="A314" s="552">
        <f>A164</f>
        <v>606</v>
      </c>
      <c r="B314" s="552" t="str">
        <f t="shared" ref="B314:BM314" si="87">B164</f>
        <v>Compliance opinion - enter "1" for clean Opinion or "2" for other than clean opinion</v>
      </c>
      <c r="C314" s="552">
        <f t="shared" si="87"/>
        <v>0</v>
      </c>
      <c r="D314" s="552">
        <f t="shared" si="87"/>
        <v>0</v>
      </c>
      <c r="E314" s="552">
        <f t="shared" si="87"/>
        <v>0</v>
      </c>
      <c r="F314" s="552">
        <f t="shared" si="87"/>
        <v>0</v>
      </c>
      <c r="G314" s="552">
        <f t="shared" si="87"/>
        <v>0</v>
      </c>
      <c r="H314" s="552">
        <f t="shared" si="87"/>
        <v>0</v>
      </c>
      <c r="I314" s="552">
        <f t="shared" si="87"/>
        <v>0</v>
      </c>
      <c r="J314" s="552">
        <f t="shared" si="87"/>
        <v>0</v>
      </c>
      <c r="K314" s="552">
        <f t="shared" si="87"/>
        <v>0</v>
      </c>
      <c r="L314" s="552">
        <f t="shared" si="87"/>
        <v>0</v>
      </c>
      <c r="M314" s="552">
        <f t="shared" si="87"/>
        <v>1</v>
      </c>
      <c r="N314" s="552">
        <f t="shared" si="87"/>
        <v>0</v>
      </c>
      <c r="O314" s="552">
        <f t="shared" si="87"/>
        <v>1</v>
      </c>
      <c r="P314" s="552">
        <f t="shared" si="87"/>
        <v>0</v>
      </c>
      <c r="Q314" s="552">
        <f t="shared" si="87"/>
        <v>1</v>
      </c>
      <c r="R314" s="552">
        <f t="shared" si="87"/>
        <v>0</v>
      </c>
      <c r="S314" s="552">
        <f t="shared" si="87"/>
        <v>0</v>
      </c>
      <c r="T314" s="552">
        <f t="shared" si="87"/>
        <v>1</v>
      </c>
      <c r="U314" s="552">
        <f t="shared" si="87"/>
        <v>1</v>
      </c>
      <c r="V314" s="552">
        <f t="shared" si="87"/>
        <v>1</v>
      </c>
      <c r="W314" s="552">
        <f t="shared" si="87"/>
        <v>1</v>
      </c>
      <c r="X314" s="552">
        <f t="shared" si="87"/>
        <v>0</v>
      </c>
      <c r="Y314" s="552">
        <f t="shared" si="87"/>
        <v>1</v>
      </c>
      <c r="Z314" s="552">
        <f t="shared" si="87"/>
        <v>0</v>
      </c>
      <c r="AA314" s="552">
        <f t="shared" si="87"/>
        <v>1</v>
      </c>
      <c r="AB314" s="552">
        <f t="shared" si="87"/>
        <v>1</v>
      </c>
      <c r="AC314" s="552">
        <f t="shared" si="87"/>
        <v>1</v>
      </c>
      <c r="AD314" s="552">
        <f t="shared" si="87"/>
        <v>0</v>
      </c>
      <c r="AE314" s="552">
        <f t="shared" si="87"/>
        <v>1</v>
      </c>
      <c r="AF314" s="552">
        <f t="shared" si="87"/>
        <v>1</v>
      </c>
      <c r="AG314" s="552">
        <f t="shared" si="87"/>
        <v>1</v>
      </c>
      <c r="AH314" s="552">
        <f t="shared" si="87"/>
        <v>0</v>
      </c>
      <c r="AI314" s="552">
        <f t="shared" si="87"/>
        <v>1</v>
      </c>
      <c r="AJ314" s="552">
        <f t="shared" si="87"/>
        <v>0</v>
      </c>
      <c r="AK314" s="552">
        <f t="shared" si="87"/>
        <v>0</v>
      </c>
      <c r="AL314" s="552">
        <f t="shared" si="87"/>
        <v>0</v>
      </c>
      <c r="AM314" s="552">
        <f t="shared" si="87"/>
        <v>1</v>
      </c>
      <c r="AN314" s="552">
        <f t="shared" si="87"/>
        <v>0</v>
      </c>
      <c r="AO314" s="552">
        <f t="shared" si="87"/>
        <v>0</v>
      </c>
      <c r="AP314" s="552">
        <f t="shared" si="87"/>
        <v>0</v>
      </c>
      <c r="AQ314" s="552">
        <f t="shared" si="87"/>
        <v>0</v>
      </c>
      <c r="AR314" s="552">
        <f t="shared" si="87"/>
        <v>1</v>
      </c>
      <c r="AS314" s="552">
        <f t="shared" si="87"/>
        <v>0</v>
      </c>
      <c r="AT314" s="552">
        <f t="shared" si="87"/>
        <v>0</v>
      </c>
      <c r="AU314" s="552">
        <f t="shared" si="87"/>
        <v>0</v>
      </c>
      <c r="AV314" s="552">
        <f t="shared" si="87"/>
        <v>1</v>
      </c>
      <c r="AW314" s="552">
        <f t="shared" si="87"/>
        <v>0</v>
      </c>
      <c r="AX314" s="552">
        <f t="shared" si="87"/>
        <v>0</v>
      </c>
      <c r="AY314" s="552">
        <f t="shared" si="87"/>
        <v>1</v>
      </c>
      <c r="AZ314" s="552">
        <f t="shared" si="87"/>
        <v>0</v>
      </c>
      <c r="BA314" s="552">
        <f t="shared" si="87"/>
        <v>0</v>
      </c>
      <c r="BB314" s="552">
        <f t="shared" si="87"/>
        <v>0</v>
      </c>
      <c r="BC314" s="552">
        <f t="shared" si="87"/>
        <v>0</v>
      </c>
      <c r="BD314" s="552">
        <f t="shared" si="87"/>
        <v>1</v>
      </c>
      <c r="BE314" s="552">
        <f t="shared" si="87"/>
        <v>0</v>
      </c>
      <c r="BF314" s="552">
        <f t="shared" si="87"/>
        <v>0</v>
      </c>
      <c r="BG314" s="552">
        <f t="shared" si="87"/>
        <v>0</v>
      </c>
      <c r="BH314" s="552">
        <f t="shared" si="87"/>
        <v>0</v>
      </c>
      <c r="BI314" s="552">
        <f t="shared" si="87"/>
        <v>0</v>
      </c>
      <c r="BJ314" s="552">
        <f t="shared" si="87"/>
        <v>0</v>
      </c>
      <c r="BK314" s="552">
        <f t="shared" si="87"/>
        <v>1</v>
      </c>
      <c r="BL314" s="552">
        <f t="shared" si="87"/>
        <v>0</v>
      </c>
      <c r="BM314" s="552">
        <f t="shared" si="87"/>
        <v>0</v>
      </c>
      <c r="BN314" s="552">
        <f t="shared" ref="BN314:BR314" si="88">BN164</f>
        <v>1</v>
      </c>
      <c r="BO314" s="552">
        <f t="shared" si="88"/>
        <v>0</v>
      </c>
      <c r="BP314" s="552">
        <f t="shared" si="88"/>
        <v>0</v>
      </c>
      <c r="BQ314" s="552">
        <f t="shared" si="88"/>
        <v>1</v>
      </c>
      <c r="BR314" s="552">
        <f t="shared" si="88"/>
        <v>0</v>
      </c>
      <c r="BS314" s="552">
        <f t="shared" ref="BS314:CD314" si="89">BS164</f>
        <v>1</v>
      </c>
      <c r="BT314" s="552">
        <f t="shared" si="89"/>
        <v>0</v>
      </c>
      <c r="BU314" s="552">
        <f t="shared" si="89"/>
        <v>0</v>
      </c>
      <c r="BV314" s="552">
        <f t="shared" si="89"/>
        <v>0</v>
      </c>
      <c r="BW314" s="552">
        <f t="shared" si="89"/>
        <v>0</v>
      </c>
      <c r="BX314" s="552">
        <f t="shared" si="89"/>
        <v>0</v>
      </c>
      <c r="BY314" s="552">
        <f t="shared" si="89"/>
        <v>0</v>
      </c>
      <c r="BZ314" s="552">
        <f t="shared" si="89"/>
        <v>0</v>
      </c>
      <c r="CA314" s="552">
        <f t="shared" si="89"/>
        <v>0</v>
      </c>
      <c r="CB314" s="552">
        <f t="shared" si="89"/>
        <v>1</v>
      </c>
      <c r="CC314" s="552">
        <f t="shared" si="89"/>
        <v>0</v>
      </c>
      <c r="CD314" s="552">
        <f t="shared" si="89"/>
        <v>0</v>
      </c>
      <c r="CE314" s="558"/>
      <c r="CF314" s="558"/>
      <c r="CG314" s="558"/>
      <c r="CH314" s="558"/>
      <c r="CI314" s="558"/>
      <c r="CJ314" s="558"/>
      <c r="CK314" s="558"/>
      <c r="CL314" s="558"/>
      <c r="CM314" s="558"/>
      <c r="CN314" s="558"/>
      <c r="CO314" s="558"/>
      <c r="CP314" s="558"/>
      <c r="CQ314" s="558"/>
      <c r="CR314" s="558"/>
      <c r="CS314" s="558"/>
      <c r="CT314" s="558"/>
      <c r="CU314" s="558"/>
      <c r="CV314" s="558"/>
      <c r="CW314" s="558"/>
      <c r="CX314" s="558"/>
      <c r="CY314" s="558"/>
      <c r="CZ314" s="558"/>
    </row>
    <row r="315" spans="1:104" s="180" customFormat="1" x14ac:dyDescent="0.3">
      <c r="A315" s="553">
        <f>A58</f>
        <v>336</v>
      </c>
      <c r="B315" s="553" t="str">
        <f t="shared" ref="B315:BM315" si="90">B58</f>
        <v>Gov - Select Current Liabilities</v>
      </c>
      <c r="C315" s="553">
        <f t="shared" si="90"/>
        <v>0</v>
      </c>
      <c r="D315" s="553">
        <f t="shared" si="90"/>
        <v>0</v>
      </c>
      <c r="E315" s="553">
        <f t="shared" si="90"/>
        <v>44372</v>
      </c>
      <c r="F315" s="553">
        <f t="shared" si="90"/>
        <v>0</v>
      </c>
      <c r="G315" s="553">
        <f t="shared" si="90"/>
        <v>456968</v>
      </c>
      <c r="H315" s="553">
        <f t="shared" si="90"/>
        <v>130761</v>
      </c>
      <c r="I315" s="553">
        <f t="shared" si="90"/>
        <v>85549</v>
      </c>
      <c r="J315" s="553">
        <f t="shared" si="90"/>
        <v>413</v>
      </c>
      <c r="K315" s="553">
        <f t="shared" si="90"/>
        <v>41769</v>
      </c>
      <c r="L315" s="553">
        <f t="shared" si="90"/>
        <v>9341</v>
      </c>
      <c r="M315" s="553">
        <f t="shared" si="90"/>
        <v>5864320</v>
      </c>
      <c r="N315" s="553">
        <f t="shared" si="90"/>
        <v>36680</v>
      </c>
      <c r="O315" s="553">
        <f t="shared" si="90"/>
        <v>171171</v>
      </c>
      <c r="P315" s="553">
        <f t="shared" si="90"/>
        <v>2448</v>
      </c>
      <c r="Q315" s="553">
        <f t="shared" si="90"/>
        <v>8588110</v>
      </c>
      <c r="R315" s="553">
        <f t="shared" si="90"/>
        <v>96081</v>
      </c>
      <c r="S315" s="553">
        <f t="shared" si="90"/>
        <v>30909</v>
      </c>
      <c r="T315" s="553">
        <f t="shared" si="90"/>
        <v>15892876</v>
      </c>
      <c r="U315" s="553">
        <f t="shared" si="90"/>
        <v>2019712</v>
      </c>
      <c r="V315" s="553">
        <f t="shared" si="90"/>
        <v>3511874</v>
      </c>
      <c r="W315" s="553">
        <f t="shared" si="90"/>
        <v>13958340</v>
      </c>
      <c r="X315" s="553">
        <f t="shared" si="90"/>
        <v>0</v>
      </c>
      <c r="Y315" s="553">
        <f t="shared" si="90"/>
        <v>3328217</v>
      </c>
      <c r="Z315" s="553">
        <f t="shared" si="90"/>
        <v>310776</v>
      </c>
      <c r="AA315" s="553">
        <f t="shared" si="90"/>
        <v>2110306</v>
      </c>
      <c r="AB315" s="553">
        <f t="shared" si="90"/>
        <v>479608</v>
      </c>
      <c r="AC315" s="553">
        <f t="shared" si="90"/>
        <v>412576</v>
      </c>
      <c r="AD315" s="553">
        <f t="shared" si="90"/>
        <v>71161</v>
      </c>
      <c r="AE315" s="553">
        <f t="shared" si="90"/>
        <v>208980</v>
      </c>
      <c r="AF315" s="553">
        <f t="shared" si="90"/>
        <v>5148630</v>
      </c>
      <c r="AG315" s="553">
        <f t="shared" si="90"/>
        <v>438619</v>
      </c>
      <c r="AH315" s="553">
        <f t="shared" si="90"/>
        <v>31571</v>
      </c>
      <c r="AI315" s="553">
        <f t="shared" si="90"/>
        <v>6071163</v>
      </c>
      <c r="AJ315" s="553">
        <f t="shared" si="90"/>
        <v>224916</v>
      </c>
      <c r="AK315" s="553">
        <f t="shared" si="90"/>
        <v>0</v>
      </c>
      <c r="AL315" s="553">
        <f t="shared" si="90"/>
        <v>0</v>
      </c>
      <c r="AM315" s="553">
        <f t="shared" si="90"/>
        <v>7858202</v>
      </c>
      <c r="AN315" s="553">
        <f t="shared" si="90"/>
        <v>42616</v>
      </c>
      <c r="AO315" s="553">
        <f t="shared" si="90"/>
        <v>73110</v>
      </c>
      <c r="AP315" s="553">
        <f t="shared" si="90"/>
        <v>42355</v>
      </c>
      <c r="AQ315" s="553">
        <f t="shared" si="90"/>
        <v>2360003</v>
      </c>
      <c r="AR315" s="553">
        <f t="shared" si="90"/>
        <v>248844</v>
      </c>
      <c r="AS315" s="553">
        <f t="shared" si="90"/>
        <v>18669</v>
      </c>
      <c r="AT315" s="553">
        <f t="shared" si="90"/>
        <v>296312</v>
      </c>
      <c r="AU315" s="553">
        <f t="shared" si="90"/>
        <v>11526</v>
      </c>
      <c r="AV315" s="553">
        <f t="shared" si="90"/>
        <v>10518521</v>
      </c>
      <c r="AW315" s="553">
        <f t="shared" si="90"/>
        <v>2492535</v>
      </c>
      <c r="AX315" s="553">
        <f t="shared" si="90"/>
        <v>68056</v>
      </c>
      <c r="AY315" s="553">
        <f t="shared" si="90"/>
        <v>1293980</v>
      </c>
      <c r="AZ315" s="553">
        <f t="shared" si="90"/>
        <v>287478</v>
      </c>
      <c r="BA315" s="553">
        <f t="shared" si="90"/>
        <v>70101</v>
      </c>
      <c r="BB315" s="553">
        <f t="shared" si="90"/>
        <v>0</v>
      </c>
      <c r="BC315" s="553">
        <f t="shared" si="90"/>
        <v>11956</v>
      </c>
      <c r="BD315" s="553">
        <f t="shared" si="90"/>
        <v>726725</v>
      </c>
      <c r="BE315" s="553">
        <f t="shared" si="90"/>
        <v>1227</v>
      </c>
      <c r="BF315" s="553">
        <f t="shared" si="90"/>
        <v>15322</v>
      </c>
      <c r="BG315" s="553">
        <f t="shared" si="90"/>
        <v>30925</v>
      </c>
      <c r="BH315" s="553">
        <f t="shared" si="90"/>
        <v>1461</v>
      </c>
      <c r="BI315" s="553">
        <f t="shared" si="90"/>
        <v>3548</v>
      </c>
      <c r="BJ315" s="553">
        <f t="shared" si="90"/>
        <v>6125</v>
      </c>
      <c r="BK315" s="553">
        <f t="shared" si="90"/>
        <v>326729</v>
      </c>
      <c r="BL315" s="553">
        <f t="shared" si="90"/>
        <v>0</v>
      </c>
      <c r="BM315" s="553">
        <f t="shared" si="90"/>
        <v>0</v>
      </c>
      <c r="BN315" s="553">
        <f t="shared" ref="BN315:BR315" si="91">BN58</f>
        <v>551115</v>
      </c>
      <c r="BO315" s="553">
        <f t="shared" si="91"/>
        <v>92474</v>
      </c>
      <c r="BP315" s="553">
        <f t="shared" si="91"/>
        <v>21215</v>
      </c>
      <c r="BQ315" s="553">
        <f t="shared" si="91"/>
        <v>1576869</v>
      </c>
      <c r="BR315" s="553">
        <f t="shared" si="91"/>
        <v>118986</v>
      </c>
      <c r="BS315" s="553">
        <f t="shared" ref="BS315:CD315" si="92">BS58</f>
        <v>5019623</v>
      </c>
      <c r="BT315" s="553">
        <f t="shared" si="92"/>
        <v>66927</v>
      </c>
      <c r="BU315" s="553">
        <f t="shared" si="92"/>
        <v>378515</v>
      </c>
      <c r="BV315" s="553">
        <f t="shared" si="92"/>
        <v>29756</v>
      </c>
      <c r="BW315" s="553">
        <f t="shared" si="92"/>
        <v>276029</v>
      </c>
      <c r="BX315" s="553">
        <f t="shared" si="92"/>
        <v>54314</v>
      </c>
      <c r="BY315" s="553">
        <f t="shared" si="92"/>
        <v>61154</v>
      </c>
      <c r="BZ315" s="553">
        <f t="shared" si="92"/>
        <v>1230094</v>
      </c>
      <c r="CA315" s="553">
        <f t="shared" si="92"/>
        <v>8653</v>
      </c>
      <c r="CB315" s="553">
        <f t="shared" si="92"/>
        <v>202816</v>
      </c>
      <c r="CC315" s="553">
        <f t="shared" si="92"/>
        <v>0</v>
      </c>
      <c r="CD315" s="553">
        <f t="shared" si="92"/>
        <v>26463</v>
      </c>
      <c r="CE315" s="562"/>
      <c r="CF315" s="562"/>
      <c r="CG315" s="562"/>
      <c r="CH315" s="562"/>
      <c r="CI315" s="562"/>
      <c r="CJ315" s="562"/>
      <c r="CK315" s="562"/>
      <c r="CL315" s="562"/>
      <c r="CM315" s="562"/>
      <c r="CN315" s="562"/>
      <c r="CO315" s="562"/>
      <c r="CP315" s="562"/>
      <c r="CQ315" s="562"/>
      <c r="CR315" s="562"/>
      <c r="CS315" s="562"/>
      <c r="CT315" s="562"/>
      <c r="CU315" s="562"/>
      <c r="CV315" s="562"/>
      <c r="CW315" s="562"/>
      <c r="CX315" s="562"/>
      <c r="CY315" s="562"/>
      <c r="CZ315" s="562"/>
    </row>
    <row r="316" spans="1:104" s="180" customFormat="1" x14ac:dyDescent="0.3">
      <c r="A316" s="553">
        <f>A14</f>
        <v>44</v>
      </c>
      <c r="B316" s="553" t="str">
        <f t="shared" ref="B316:BM317" si="93">B14</f>
        <v>WS - Total Current Assets</v>
      </c>
      <c r="C316" s="553">
        <f t="shared" si="93"/>
        <v>0</v>
      </c>
      <c r="D316" s="553">
        <f t="shared" si="93"/>
        <v>0</v>
      </c>
      <c r="E316" s="553">
        <f t="shared" si="93"/>
        <v>0</v>
      </c>
      <c r="F316" s="553">
        <f t="shared" si="93"/>
        <v>0</v>
      </c>
      <c r="G316" s="553">
        <f t="shared" si="93"/>
        <v>0</v>
      </c>
      <c r="H316" s="553">
        <f t="shared" si="93"/>
        <v>0</v>
      </c>
      <c r="I316" s="553">
        <f t="shared" si="93"/>
        <v>0</v>
      </c>
      <c r="J316" s="553">
        <f t="shared" si="93"/>
        <v>86425</v>
      </c>
      <c r="K316" s="553">
        <f t="shared" si="93"/>
        <v>0</v>
      </c>
      <c r="L316" s="553">
        <f t="shared" si="93"/>
        <v>0</v>
      </c>
      <c r="M316" s="553">
        <f t="shared" si="93"/>
        <v>0</v>
      </c>
      <c r="N316" s="553">
        <f t="shared" si="93"/>
        <v>0</v>
      </c>
      <c r="O316" s="553">
        <f t="shared" si="93"/>
        <v>3352329</v>
      </c>
      <c r="P316" s="553">
        <f t="shared" si="93"/>
        <v>0</v>
      </c>
      <c r="Q316" s="553">
        <f t="shared" si="93"/>
        <v>62468767</v>
      </c>
      <c r="R316" s="553">
        <f t="shared" si="93"/>
        <v>928038</v>
      </c>
      <c r="S316" s="553">
        <f t="shared" si="93"/>
        <v>0</v>
      </c>
      <c r="T316" s="553">
        <f t="shared" si="93"/>
        <v>46277676</v>
      </c>
      <c r="U316" s="553">
        <f t="shared" si="93"/>
        <v>10133018</v>
      </c>
      <c r="V316" s="553">
        <f t="shared" si="93"/>
        <v>24416441</v>
      </c>
      <c r="W316" s="553">
        <f t="shared" si="93"/>
        <v>0</v>
      </c>
      <c r="X316" s="553">
        <f t="shared" si="93"/>
        <v>0</v>
      </c>
      <c r="Y316" s="553">
        <f t="shared" si="93"/>
        <v>10845615</v>
      </c>
      <c r="Z316" s="553">
        <f t="shared" si="93"/>
        <v>1999619</v>
      </c>
      <c r="AA316" s="553">
        <f t="shared" si="93"/>
        <v>16388514</v>
      </c>
      <c r="AB316" s="553">
        <f t="shared" si="93"/>
        <v>3074010</v>
      </c>
      <c r="AC316" s="553">
        <f t="shared" si="93"/>
        <v>1722984</v>
      </c>
      <c r="AD316" s="553">
        <f t="shared" si="93"/>
        <v>1334444</v>
      </c>
      <c r="AE316" s="553">
        <f t="shared" si="93"/>
        <v>2269729</v>
      </c>
      <c r="AF316" s="553">
        <f t="shared" si="93"/>
        <v>4641796</v>
      </c>
      <c r="AG316" s="553">
        <f t="shared" si="93"/>
        <v>3352866</v>
      </c>
      <c r="AH316" s="553">
        <f t="shared" si="93"/>
        <v>0</v>
      </c>
      <c r="AI316" s="553">
        <f t="shared" si="93"/>
        <v>20608169</v>
      </c>
      <c r="AJ316" s="553">
        <f t="shared" si="93"/>
        <v>262620</v>
      </c>
      <c r="AK316" s="553">
        <f t="shared" si="93"/>
        <v>0</v>
      </c>
      <c r="AL316" s="553">
        <f t="shared" si="93"/>
        <v>0</v>
      </c>
      <c r="AM316" s="553">
        <f t="shared" si="93"/>
        <v>4299294</v>
      </c>
      <c r="AN316" s="553">
        <f t="shared" si="93"/>
        <v>182189</v>
      </c>
      <c r="AO316" s="553">
        <f t="shared" si="93"/>
        <v>86131</v>
      </c>
      <c r="AP316" s="553">
        <f t="shared" si="93"/>
        <v>0</v>
      </c>
      <c r="AQ316" s="553">
        <f t="shared" si="93"/>
        <v>0</v>
      </c>
      <c r="AR316" s="553">
        <f t="shared" si="93"/>
        <v>2372036</v>
      </c>
      <c r="AS316" s="553">
        <f t="shared" si="93"/>
        <v>0</v>
      </c>
      <c r="AT316" s="553">
        <f t="shared" si="93"/>
        <v>2338759</v>
      </c>
      <c r="AU316" s="553">
        <f t="shared" si="93"/>
        <v>0</v>
      </c>
      <c r="AV316" s="553">
        <f t="shared" si="93"/>
        <v>35542544</v>
      </c>
      <c r="AW316" s="553">
        <f t="shared" si="93"/>
        <v>50000</v>
      </c>
      <c r="AX316" s="553">
        <f t="shared" si="93"/>
        <v>1186525</v>
      </c>
      <c r="AY316" s="553">
        <f t="shared" si="93"/>
        <v>19064531</v>
      </c>
      <c r="AZ316" s="553">
        <f t="shared" si="93"/>
        <v>1119892</v>
      </c>
      <c r="BA316" s="553">
        <f t="shared" si="93"/>
        <v>407556</v>
      </c>
      <c r="BB316" s="553">
        <f t="shared" si="93"/>
        <v>0</v>
      </c>
      <c r="BC316" s="553">
        <f t="shared" si="93"/>
        <v>178805</v>
      </c>
      <c r="BD316" s="553">
        <f t="shared" si="93"/>
        <v>15661187</v>
      </c>
      <c r="BE316" s="553">
        <f t="shared" si="93"/>
        <v>0</v>
      </c>
      <c r="BF316" s="553">
        <f t="shared" si="93"/>
        <v>301450</v>
      </c>
      <c r="BG316" s="553">
        <f t="shared" si="93"/>
        <v>158661</v>
      </c>
      <c r="BH316" s="553">
        <f t="shared" si="93"/>
        <v>0</v>
      </c>
      <c r="BI316" s="553">
        <f t="shared" si="93"/>
        <v>511594</v>
      </c>
      <c r="BJ316" s="553">
        <f t="shared" si="93"/>
        <v>0</v>
      </c>
      <c r="BK316" s="553">
        <f t="shared" si="93"/>
        <v>3067304</v>
      </c>
      <c r="BL316" s="553">
        <f t="shared" si="93"/>
        <v>0</v>
      </c>
      <c r="BM316" s="553">
        <f t="shared" si="93"/>
        <v>0</v>
      </c>
      <c r="BN316" s="553">
        <f t="shared" ref="BN316:BR319" si="94">BN14</f>
        <v>1439108</v>
      </c>
      <c r="BO316" s="553">
        <f t="shared" si="94"/>
        <v>821864</v>
      </c>
      <c r="BP316" s="553">
        <f t="shared" si="94"/>
        <v>1354298</v>
      </c>
      <c r="BQ316" s="553">
        <f t="shared" si="94"/>
        <v>0</v>
      </c>
      <c r="BR316" s="553">
        <f t="shared" si="94"/>
        <v>1126739</v>
      </c>
      <c r="BS316" s="553">
        <f t="shared" ref="BS316:CD316" si="95">BS14</f>
        <v>0</v>
      </c>
      <c r="BT316" s="553">
        <f t="shared" si="95"/>
        <v>643685</v>
      </c>
      <c r="BU316" s="553">
        <f t="shared" si="95"/>
        <v>8505860</v>
      </c>
      <c r="BV316" s="553">
        <f t="shared" si="95"/>
        <v>0</v>
      </c>
      <c r="BW316" s="553">
        <f t="shared" si="95"/>
        <v>1807536</v>
      </c>
      <c r="BX316" s="553">
        <f t="shared" si="95"/>
        <v>1742171</v>
      </c>
      <c r="BY316" s="553">
        <f t="shared" si="95"/>
        <v>17317</v>
      </c>
      <c r="BZ316" s="553">
        <f t="shared" si="95"/>
        <v>628074</v>
      </c>
      <c r="CA316" s="553">
        <f t="shared" si="95"/>
        <v>115266</v>
      </c>
      <c r="CB316" s="553">
        <f t="shared" si="95"/>
        <v>1702848</v>
      </c>
      <c r="CC316" s="553">
        <f t="shared" si="95"/>
        <v>0</v>
      </c>
      <c r="CD316" s="553">
        <f t="shared" si="95"/>
        <v>48367</v>
      </c>
      <c r="CE316" s="562"/>
      <c r="CF316" s="562"/>
      <c r="CG316" s="562"/>
      <c r="CH316" s="562"/>
      <c r="CI316" s="562"/>
      <c r="CJ316" s="562"/>
      <c r="CK316" s="562"/>
      <c r="CL316" s="562"/>
      <c r="CM316" s="562"/>
      <c r="CN316" s="562"/>
      <c r="CO316" s="562"/>
      <c r="CP316" s="562"/>
      <c r="CQ316" s="562"/>
      <c r="CR316" s="562"/>
      <c r="CS316" s="562"/>
      <c r="CT316" s="562"/>
      <c r="CU316" s="562"/>
      <c r="CV316" s="562"/>
      <c r="CW316" s="562"/>
      <c r="CX316" s="562"/>
      <c r="CY316" s="562"/>
      <c r="CZ316" s="562"/>
    </row>
    <row r="317" spans="1:104" s="180" customFormat="1" x14ac:dyDescent="0.3">
      <c r="A317" s="553">
        <f t="shared" ref="A317:P319" si="96">A15</f>
        <v>45</v>
      </c>
      <c r="B317" s="553" t="str">
        <f t="shared" si="96"/>
        <v>WS - Select Current Liabilities</v>
      </c>
      <c r="C317" s="553">
        <f t="shared" si="96"/>
        <v>0</v>
      </c>
      <c r="D317" s="553">
        <f t="shared" si="96"/>
        <v>0</v>
      </c>
      <c r="E317" s="553">
        <f t="shared" si="96"/>
        <v>0</v>
      </c>
      <c r="F317" s="553">
        <f t="shared" si="96"/>
        <v>0</v>
      </c>
      <c r="G317" s="553">
        <f t="shared" si="96"/>
        <v>0</v>
      </c>
      <c r="H317" s="553">
        <f t="shared" si="96"/>
        <v>0</v>
      </c>
      <c r="I317" s="553">
        <f t="shared" si="96"/>
        <v>0</v>
      </c>
      <c r="J317" s="553">
        <f t="shared" si="96"/>
        <v>9769</v>
      </c>
      <c r="K317" s="553">
        <f t="shared" si="96"/>
        <v>0</v>
      </c>
      <c r="L317" s="553">
        <f t="shared" si="96"/>
        <v>0</v>
      </c>
      <c r="M317" s="553">
        <f t="shared" si="96"/>
        <v>0</v>
      </c>
      <c r="N317" s="553">
        <f t="shared" si="96"/>
        <v>0</v>
      </c>
      <c r="O317" s="553">
        <f t="shared" si="96"/>
        <v>297639</v>
      </c>
      <c r="P317" s="553">
        <f t="shared" si="96"/>
        <v>0</v>
      </c>
      <c r="Q317" s="553">
        <f t="shared" si="93"/>
        <v>1736766</v>
      </c>
      <c r="R317" s="553">
        <f t="shared" si="93"/>
        <v>45251</v>
      </c>
      <c r="S317" s="553">
        <f t="shared" si="93"/>
        <v>0</v>
      </c>
      <c r="T317" s="553">
        <f t="shared" si="93"/>
        <v>8509457</v>
      </c>
      <c r="U317" s="553">
        <f t="shared" si="93"/>
        <v>1995556</v>
      </c>
      <c r="V317" s="553">
        <f t="shared" si="93"/>
        <v>2066248</v>
      </c>
      <c r="W317" s="553">
        <f t="shared" si="93"/>
        <v>0</v>
      </c>
      <c r="X317" s="553">
        <f t="shared" si="93"/>
        <v>0</v>
      </c>
      <c r="Y317" s="553">
        <f t="shared" si="93"/>
        <v>1060762</v>
      </c>
      <c r="Z317" s="553">
        <f t="shared" si="93"/>
        <v>446864</v>
      </c>
      <c r="AA317" s="553">
        <f t="shared" si="93"/>
        <v>1235439</v>
      </c>
      <c r="AB317" s="553">
        <f t="shared" si="93"/>
        <v>843239</v>
      </c>
      <c r="AC317" s="553">
        <f t="shared" si="93"/>
        <v>180594</v>
      </c>
      <c r="AD317" s="553">
        <f t="shared" si="93"/>
        <v>631540</v>
      </c>
      <c r="AE317" s="553">
        <f t="shared" si="93"/>
        <v>141059</v>
      </c>
      <c r="AF317" s="553">
        <f t="shared" si="93"/>
        <v>297052</v>
      </c>
      <c r="AG317" s="553">
        <f t="shared" si="93"/>
        <v>572994</v>
      </c>
      <c r="AH317" s="553">
        <f t="shared" si="93"/>
        <v>0</v>
      </c>
      <c r="AI317" s="553">
        <f t="shared" si="93"/>
        <v>3838328</v>
      </c>
      <c r="AJ317" s="553">
        <f t="shared" si="93"/>
        <v>26174</v>
      </c>
      <c r="AK317" s="553">
        <f t="shared" si="93"/>
        <v>0</v>
      </c>
      <c r="AL317" s="553">
        <f t="shared" si="93"/>
        <v>0</v>
      </c>
      <c r="AM317" s="553">
        <f t="shared" si="93"/>
        <v>1754380</v>
      </c>
      <c r="AN317" s="553">
        <f t="shared" si="93"/>
        <v>29806</v>
      </c>
      <c r="AO317" s="553">
        <f t="shared" si="93"/>
        <v>235530</v>
      </c>
      <c r="AP317" s="553">
        <f t="shared" si="93"/>
        <v>0</v>
      </c>
      <c r="AQ317" s="553">
        <f t="shared" si="93"/>
        <v>0</v>
      </c>
      <c r="AR317" s="553">
        <f t="shared" si="93"/>
        <v>266020</v>
      </c>
      <c r="AS317" s="553">
        <f t="shared" si="93"/>
        <v>0</v>
      </c>
      <c r="AT317" s="553">
        <f t="shared" si="93"/>
        <v>199452</v>
      </c>
      <c r="AU317" s="553">
        <f t="shared" si="93"/>
        <v>0</v>
      </c>
      <c r="AV317" s="553">
        <f t="shared" si="93"/>
        <v>1644610</v>
      </c>
      <c r="AW317" s="553">
        <f t="shared" si="93"/>
        <v>0</v>
      </c>
      <c r="AX317" s="553">
        <f t="shared" si="93"/>
        <v>452662</v>
      </c>
      <c r="AY317" s="553">
        <f t="shared" si="93"/>
        <v>125493</v>
      </c>
      <c r="AZ317" s="553">
        <f t="shared" si="93"/>
        <v>128460</v>
      </c>
      <c r="BA317" s="553">
        <f t="shared" si="93"/>
        <v>54140</v>
      </c>
      <c r="BB317" s="553">
        <f t="shared" si="93"/>
        <v>0</v>
      </c>
      <c r="BC317" s="553">
        <f t="shared" si="93"/>
        <v>12026</v>
      </c>
      <c r="BD317" s="553">
        <f t="shared" si="93"/>
        <v>4094085</v>
      </c>
      <c r="BE317" s="553">
        <f t="shared" si="93"/>
        <v>0</v>
      </c>
      <c r="BF317" s="553">
        <f t="shared" si="93"/>
        <v>252276</v>
      </c>
      <c r="BG317" s="553">
        <f t="shared" si="93"/>
        <v>0</v>
      </c>
      <c r="BH317" s="553">
        <f t="shared" si="93"/>
        <v>0</v>
      </c>
      <c r="BI317" s="553">
        <f t="shared" si="93"/>
        <v>14341</v>
      </c>
      <c r="BJ317" s="553">
        <f t="shared" si="93"/>
        <v>0</v>
      </c>
      <c r="BK317" s="553">
        <f t="shared" si="93"/>
        <v>449094</v>
      </c>
      <c r="BL317" s="553">
        <f t="shared" si="93"/>
        <v>0</v>
      </c>
      <c r="BM317" s="553">
        <f t="shared" si="93"/>
        <v>0</v>
      </c>
      <c r="BN317" s="553">
        <f t="shared" si="94"/>
        <v>106463</v>
      </c>
      <c r="BO317" s="553">
        <f t="shared" si="94"/>
        <v>54040</v>
      </c>
      <c r="BP317" s="553">
        <f t="shared" si="94"/>
        <v>116936</v>
      </c>
      <c r="BQ317" s="553">
        <f t="shared" si="94"/>
        <v>0</v>
      </c>
      <c r="BR317" s="553">
        <f t="shared" si="94"/>
        <v>183459</v>
      </c>
      <c r="BS317" s="553">
        <f t="shared" ref="BS317:CD317" si="97">BS15</f>
        <v>0</v>
      </c>
      <c r="BT317" s="553">
        <f t="shared" si="97"/>
        <v>74212</v>
      </c>
      <c r="BU317" s="553">
        <f t="shared" si="97"/>
        <v>283624</v>
      </c>
      <c r="BV317" s="553">
        <f t="shared" si="97"/>
        <v>0</v>
      </c>
      <c r="BW317" s="553">
        <f t="shared" si="97"/>
        <v>1083151</v>
      </c>
      <c r="BX317" s="553">
        <f t="shared" si="97"/>
        <v>10028</v>
      </c>
      <c r="BY317" s="553">
        <f t="shared" si="97"/>
        <v>16385</v>
      </c>
      <c r="BZ317" s="553">
        <f t="shared" si="97"/>
        <v>91582</v>
      </c>
      <c r="CA317" s="553">
        <f t="shared" si="97"/>
        <v>17435</v>
      </c>
      <c r="CB317" s="553">
        <f t="shared" si="97"/>
        <v>804094</v>
      </c>
      <c r="CC317" s="553">
        <f t="shared" si="97"/>
        <v>0</v>
      </c>
      <c r="CD317" s="553">
        <f t="shared" si="97"/>
        <v>0</v>
      </c>
      <c r="CE317" s="562"/>
      <c r="CF317" s="562"/>
      <c r="CG317" s="562"/>
      <c r="CH317" s="562"/>
      <c r="CI317" s="562"/>
      <c r="CJ317" s="562"/>
      <c r="CK317" s="562"/>
      <c r="CL317" s="562"/>
      <c r="CM317" s="562"/>
      <c r="CN317" s="562"/>
      <c r="CO317" s="562"/>
      <c r="CP317" s="562"/>
      <c r="CQ317" s="562"/>
      <c r="CR317" s="562"/>
      <c r="CS317" s="562"/>
      <c r="CT317" s="562"/>
      <c r="CU317" s="562"/>
      <c r="CV317" s="562"/>
      <c r="CW317" s="562"/>
      <c r="CX317" s="562"/>
      <c r="CY317" s="562"/>
      <c r="CZ317" s="562"/>
    </row>
    <row r="318" spans="1:104" s="180" customFormat="1" x14ac:dyDescent="0.3">
      <c r="A318" s="553">
        <f t="shared" si="96"/>
        <v>47</v>
      </c>
      <c r="B318" s="553" t="str">
        <f t="shared" ref="B318:BM319" si="98">B16</f>
        <v>Electric - Total Current Assets</v>
      </c>
      <c r="C318" s="553">
        <f t="shared" si="98"/>
        <v>0</v>
      </c>
      <c r="D318" s="553">
        <f t="shared" si="98"/>
        <v>0</v>
      </c>
      <c r="E318" s="553">
        <f t="shared" si="98"/>
        <v>0</v>
      </c>
      <c r="F318" s="553">
        <f t="shared" si="98"/>
        <v>0</v>
      </c>
      <c r="G318" s="553">
        <f t="shared" si="98"/>
        <v>0</v>
      </c>
      <c r="H318" s="553">
        <f t="shared" si="98"/>
        <v>0</v>
      </c>
      <c r="I318" s="553">
        <f t="shared" si="98"/>
        <v>0</v>
      </c>
      <c r="J318" s="553">
        <f t="shared" si="98"/>
        <v>0</v>
      </c>
      <c r="K318" s="553">
        <f t="shared" si="98"/>
        <v>0</v>
      </c>
      <c r="L318" s="553">
        <f t="shared" si="98"/>
        <v>0</v>
      </c>
      <c r="M318" s="553">
        <f t="shared" si="98"/>
        <v>0</v>
      </c>
      <c r="N318" s="553">
        <f t="shared" si="98"/>
        <v>0</v>
      </c>
      <c r="O318" s="553">
        <f t="shared" si="98"/>
        <v>0</v>
      </c>
      <c r="P318" s="553">
        <f t="shared" si="98"/>
        <v>0</v>
      </c>
      <c r="Q318" s="553">
        <f t="shared" si="98"/>
        <v>103001676</v>
      </c>
      <c r="R318" s="553">
        <f t="shared" si="98"/>
        <v>0</v>
      </c>
      <c r="S318" s="553">
        <f t="shared" si="98"/>
        <v>0</v>
      </c>
      <c r="T318" s="553">
        <f t="shared" si="98"/>
        <v>0</v>
      </c>
      <c r="U318" s="553">
        <f t="shared" si="98"/>
        <v>0</v>
      </c>
      <c r="V318" s="553">
        <f t="shared" si="98"/>
        <v>21768831</v>
      </c>
      <c r="W318" s="553">
        <f t="shared" si="98"/>
        <v>0</v>
      </c>
      <c r="X318" s="553">
        <f t="shared" si="98"/>
        <v>0</v>
      </c>
      <c r="Y318" s="553">
        <f t="shared" si="98"/>
        <v>0</v>
      </c>
      <c r="Z318" s="553">
        <f t="shared" si="98"/>
        <v>0</v>
      </c>
      <c r="AA318" s="553">
        <f t="shared" si="98"/>
        <v>0</v>
      </c>
      <c r="AB318" s="553">
        <f t="shared" si="98"/>
        <v>0</v>
      </c>
      <c r="AC318" s="553">
        <f t="shared" si="98"/>
        <v>0</v>
      </c>
      <c r="AD318" s="553">
        <f t="shared" si="98"/>
        <v>0</v>
      </c>
      <c r="AE318" s="553">
        <f t="shared" si="98"/>
        <v>0</v>
      </c>
      <c r="AF318" s="553">
        <f t="shared" si="98"/>
        <v>0</v>
      </c>
      <c r="AG318" s="553">
        <f t="shared" si="98"/>
        <v>0</v>
      </c>
      <c r="AH318" s="553">
        <f t="shared" si="98"/>
        <v>0</v>
      </c>
      <c r="AI318" s="553">
        <f t="shared" si="98"/>
        <v>22943055</v>
      </c>
      <c r="AJ318" s="553">
        <f t="shared" si="98"/>
        <v>0</v>
      </c>
      <c r="AK318" s="553">
        <f t="shared" si="98"/>
        <v>0</v>
      </c>
      <c r="AL318" s="553">
        <f t="shared" si="98"/>
        <v>0</v>
      </c>
      <c r="AM318" s="553">
        <f t="shared" si="98"/>
        <v>15726785</v>
      </c>
      <c r="AN318" s="553">
        <f t="shared" si="98"/>
        <v>0</v>
      </c>
      <c r="AO318" s="553">
        <f t="shared" si="98"/>
        <v>0</v>
      </c>
      <c r="AP318" s="553">
        <f t="shared" si="98"/>
        <v>0</v>
      </c>
      <c r="AQ318" s="553">
        <f t="shared" si="98"/>
        <v>0</v>
      </c>
      <c r="AR318" s="553">
        <f t="shared" si="98"/>
        <v>0</v>
      </c>
      <c r="AS318" s="553">
        <f t="shared" si="98"/>
        <v>0</v>
      </c>
      <c r="AT318" s="553">
        <f t="shared" si="98"/>
        <v>0</v>
      </c>
      <c r="AU318" s="553">
        <f t="shared" si="98"/>
        <v>803740</v>
      </c>
      <c r="AV318" s="553">
        <f t="shared" si="98"/>
        <v>0</v>
      </c>
      <c r="AW318" s="553">
        <f t="shared" si="98"/>
        <v>0</v>
      </c>
      <c r="AX318" s="553">
        <f t="shared" si="98"/>
        <v>0</v>
      </c>
      <c r="AY318" s="553">
        <f t="shared" si="98"/>
        <v>0</v>
      </c>
      <c r="AZ318" s="553">
        <f t="shared" si="98"/>
        <v>0</v>
      </c>
      <c r="BA318" s="553">
        <f t="shared" si="98"/>
        <v>0</v>
      </c>
      <c r="BB318" s="553">
        <f t="shared" si="98"/>
        <v>0</v>
      </c>
      <c r="BC318" s="553">
        <f t="shared" si="98"/>
        <v>0</v>
      </c>
      <c r="BD318" s="553">
        <f t="shared" si="98"/>
        <v>0</v>
      </c>
      <c r="BE318" s="553">
        <f t="shared" si="98"/>
        <v>0</v>
      </c>
      <c r="BF318" s="553">
        <f t="shared" si="98"/>
        <v>0</v>
      </c>
      <c r="BG318" s="553">
        <f t="shared" si="98"/>
        <v>0</v>
      </c>
      <c r="BH318" s="553">
        <f t="shared" si="98"/>
        <v>0</v>
      </c>
      <c r="BI318" s="553">
        <f t="shared" si="98"/>
        <v>0</v>
      </c>
      <c r="BJ318" s="553">
        <f t="shared" si="98"/>
        <v>0</v>
      </c>
      <c r="BK318" s="553">
        <f t="shared" si="98"/>
        <v>0</v>
      </c>
      <c r="BL318" s="553">
        <f t="shared" si="98"/>
        <v>0</v>
      </c>
      <c r="BM318" s="553">
        <f t="shared" si="98"/>
        <v>0</v>
      </c>
      <c r="BN318" s="553">
        <f t="shared" si="94"/>
        <v>0</v>
      </c>
      <c r="BO318" s="553">
        <f t="shared" si="94"/>
        <v>0</v>
      </c>
      <c r="BP318" s="553">
        <f t="shared" si="94"/>
        <v>0</v>
      </c>
      <c r="BQ318" s="553">
        <f t="shared" si="94"/>
        <v>0</v>
      </c>
      <c r="BR318" s="553">
        <f t="shared" si="94"/>
        <v>2817756</v>
      </c>
      <c r="BS318" s="553">
        <f t="shared" ref="BS318:CD318" si="99">BS16</f>
        <v>5187754</v>
      </c>
      <c r="BT318" s="553">
        <f t="shared" si="99"/>
        <v>0</v>
      </c>
      <c r="BU318" s="553">
        <f t="shared" si="99"/>
        <v>0</v>
      </c>
      <c r="BV318" s="553">
        <f t="shared" si="99"/>
        <v>0</v>
      </c>
      <c r="BW318" s="553">
        <f t="shared" si="99"/>
        <v>0</v>
      </c>
      <c r="BX318" s="553">
        <f t="shared" si="99"/>
        <v>0</v>
      </c>
      <c r="BY318" s="553">
        <f t="shared" si="99"/>
        <v>0</v>
      </c>
      <c r="BZ318" s="553">
        <f t="shared" si="99"/>
        <v>0</v>
      </c>
      <c r="CA318" s="553">
        <f t="shared" si="99"/>
        <v>0</v>
      </c>
      <c r="CB318" s="553">
        <f t="shared" si="99"/>
        <v>0</v>
      </c>
      <c r="CC318" s="553">
        <f t="shared" si="99"/>
        <v>0</v>
      </c>
      <c r="CD318" s="553">
        <f t="shared" si="99"/>
        <v>0</v>
      </c>
      <c r="CE318" s="562"/>
      <c r="CF318" s="562"/>
      <c r="CG318" s="562"/>
      <c r="CH318" s="562"/>
      <c r="CI318" s="562"/>
      <c r="CJ318" s="562"/>
      <c r="CK318" s="562"/>
      <c r="CL318" s="562"/>
      <c r="CM318" s="562"/>
      <c r="CN318" s="562"/>
      <c r="CO318" s="562"/>
      <c r="CP318" s="562"/>
      <c r="CQ318" s="562"/>
      <c r="CR318" s="562"/>
      <c r="CS318" s="562"/>
      <c r="CT318" s="562"/>
      <c r="CU318" s="562"/>
      <c r="CV318" s="562"/>
      <c r="CW318" s="562"/>
      <c r="CX318" s="562"/>
      <c r="CY318" s="562"/>
      <c r="CZ318" s="562"/>
    </row>
    <row r="319" spans="1:104" s="180" customFormat="1" x14ac:dyDescent="0.3">
      <c r="A319" s="553">
        <f t="shared" si="96"/>
        <v>48</v>
      </c>
      <c r="B319" s="553" t="str">
        <f t="shared" si="98"/>
        <v>Electric - Select Current Liabilities</v>
      </c>
      <c r="C319" s="553">
        <f t="shared" si="98"/>
        <v>0</v>
      </c>
      <c r="D319" s="553">
        <f t="shared" si="98"/>
        <v>0</v>
      </c>
      <c r="E319" s="553">
        <f t="shared" si="98"/>
        <v>0</v>
      </c>
      <c r="F319" s="553">
        <f t="shared" si="98"/>
        <v>0</v>
      </c>
      <c r="G319" s="553">
        <f t="shared" si="98"/>
        <v>0</v>
      </c>
      <c r="H319" s="553">
        <f t="shared" si="98"/>
        <v>0</v>
      </c>
      <c r="I319" s="553">
        <f t="shared" si="98"/>
        <v>0</v>
      </c>
      <c r="J319" s="553">
        <f t="shared" si="98"/>
        <v>0</v>
      </c>
      <c r="K319" s="553">
        <f t="shared" si="98"/>
        <v>0</v>
      </c>
      <c r="L319" s="553">
        <f t="shared" si="98"/>
        <v>0</v>
      </c>
      <c r="M319" s="553">
        <f t="shared" si="98"/>
        <v>0</v>
      </c>
      <c r="N319" s="553">
        <f t="shared" si="98"/>
        <v>0</v>
      </c>
      <c r="O319" s="553">
        <f t="shared" si="98"/>
        <v>0</v>
      </c>
      <c r="P319" s="553">
        <f t="shared" si="98"/>
        <v>0</v>
      </c>
      <c r="Q319" s="553">
        <f t="shared" si="98"/>
        <v>5218990</v>
      </c>
      <c r="R319" s="553">
        <f t="shared" si="98"/>
        <v>0</v>
      </c>
      <c r="S319" s="553">
        <f t="shared" si="98"/>
        <v>0</v>
      </c>
      <c r="T319" s="553">
        <f t="shared" si="98"/>
        <v>0</v>
      </c>
      <c r="U319" s="553">
        <f t="shared" si="98"/>
        <v>0</v>
      </c>
      <c r="V319" s="553">
        <f t="shared" si="98"/>
        <v>2095447</v>
      </c>
      <c r="W319" s="553">
        <f t="shared" si="98"/>
        <v>0</v>
      </c>
      <c r="X319" s="553">
        <f t="shared" si="98"/>
        <v>0</v>
      </c>
      <c r="Y319" s="553">
        <f t="shared" si="98"/>
        <v>0</v>
      </c>
      <c r="Z319" s="553">
        <f t="shared" si="98"/>
        <v>0</v>
      </c>
      <c r="AA319" s="553">
        <f t="shared" si="98"/>
        <v>0</v>
      </c>
      <c r="AB319" s="553">
        <f t="shared" si="98"/>
        <v>0</v>
      </c>
      <c r="AC319" s="553">
        <f t="shared" si="98"/>
        <v>0</v>
      </c>
      <c r="AD319" s="553">
        <f t="shared" si="98"/>
        <v>0</v>
      </c>
      <c r="AE319" s="553">
        <f t="shared" si="98"/>
        <v>0</v>
      </c>
      <c r="AF319" s="553">
        <f t="shared" si="98"/>
        <v>0</v>
      </c>
      <c r="AG319" s="553">
        <f t="shared" si="98"/>
        <v>0</v>
      </c>
      <c r="AH319" s="553">
        <f t="shared" si="98"/>
        <v>0</v>
      </c>
      <c r="AI319" s="553">
        <f t="shared" si="98"/>
        <v>4941786</v>
      </c>
      <c r="AJ319" s="553">
        <f t="shared" si="98"/>
        <v>0</v>
      </c>
      <c r="AK319" s="553">
        <f t="shared" si="98"/>
        <v>0</v>
      </c>
      <c r="AL319" s="553">
        <f t="shared" si="98"/>
        <v>0</v>
      </c>
      <c r="AM319" s="553">
        <f t="shared" si="98"/>
        <v>1705329</v>
      </c>
      <c r="AN319" s="553">
        <f t="shared" si="98"/>
        <v>0</v>
      </c>
      <c r="AO319" s="553">
        <f t="shared" si="98"/>
        <v>0</v>
      </c>
      <c r="AP319" s="553">
        <f t="shared" si="98"/>
        <v>0</v>
      </c>
      <c r="AQ319" s="553">
        <f t="shared" si="98"/>
        <v>0</v>
      </c>
      <c r="AR319" s="553">
        <f t="shared" si="98"/>
        <v>0</v>
      </c>
      <c r="AS319" s="553">
        <f t="shared" si="98"/>
        <v>0</v>
      </c>
      <c r="AT319" s="553">
        <f t="shared" si="98"/>
        <v>0</v>
      </c>
      <c r="AU319" s="553">
        <f t="shared" si="98"/>
        <v>21129</v>
      </c>
      <c r="AV319" s="553">
        <f t="shared" si="98"/>
        <v>0</v>
      </c>
      <c r="AW319" s="553">
        <f t="shared" si="98"/>
        <v>0</v>
      </c>
      <c r="AX319" s="553">
        <f t="shared" si="98"/>
        <v>0</v>
      </c>
      <c r="AY319" s="553">
        <f t="shared" si="98"/>
        <v>0</v>
      </c>
      <c r="AZ319" s="553">
        <f t="shared" si="98"/>
        <v>0</v>
      </c>
      <c r="BA319" s="553">
        <f t="shared" si="98"/>
        <v>0</v>
      </c>
      <c r="BB319" s="553">
        <f t="shared" si="98"/>
        <v>0</v>
      </c>
      <c r="BC319" s="553">
        <f t="shared" si="98"/>
        <v>0</v>
      </c>
      <c r="BD319" s="553">
        <f t="shared" si="98"/>
        <v>0</v>
      </c>
      <c r="BE319" s="553">
        <f t="shared" si="98"/>
        <v>0</v>
      </c>
      <c r="BF319" s="553">
        <f t="shared" si="98"/>
        <v>0</v>
      </c>
      <c r="BG319" s="553">
        <f t="shared" si="98"/>
        <v>0</v>
      </c>
      <c r="BH319" s="553">
        <f t="shared" si="98"/>
        <v>0</v>
      </c>
      <c r="BI319" s="553">
        <f t="shared" si="98"/>
        <v>0</v>
      </c>
      <c r="BJ319" s="553">
        <f t="shared" si="98"/>
        <v>0</v>
      </c>
      <c r="BK319" s="553">
        <f t="shared" si="98"/>
        <v>0</v>
      </c>
      <c r="BL319" s="553">
        <f t="shared" si="98"/>
        <v>0</v>
      </c>
      <c r="BM319" s="553">
        <f t="shared" si="98"/>
        <v>0</v>
      </c>
      <c r="BN319" s="553">
        <f t="shared" si="94"/>
        <v>0</v>
      </c>
      <c r="BO319" s="553">
        <f t="shared" si="94"/>
        <v>0</v>
      </c>
      <c r="BP319" s="553">
        <f t="shared" si="94"/>
        <v>0</v>
      </c>
      <c r="BQ319" s="553">
        <f t="shared" si="94"/>
        <v>0</v>
      </c>
      <c r="BR319" s="553">
        <f t="shared" si="94"/>
        <v>170236</v>
      </c>
      <c r="BS319" s="553">
        <f t="shared" ref="BS319:CD319" si="100">BS17</f>
        <v>1047730</v>
      </c>
      <c r="BT319" s="553">
        <f t="shared" si="100"/>
        <v>0</v>
      </c>
      <c r="BU319" s="553">
        <f t="shared" si="100"/>
        <v>0</v>
      </c>
      <c r="BV319" s="553">
        <f t="shared" si="100"/>
        <v>0</v>
      </c>
      <c r="BW319" s="553">
        <f t="shared" si="100"/>
        <v>0</v>
      </c>
      <c r="BX319" s="553">
        <f t="shared" si="100"/>
        <v>0</v>
      </c>
      <c r="BY319" s="553">
        <f t="shared" si="100"/>
        <v>0</v>
      </c>
      <c r="BZ319" s="553">
        <f t="shared" si="100"/>
        <v>0</v>
      </c>
      <c r="CA319" s="553">
        <f t="shared" si="100"/>
        <v>0</v>
      </c>
      <c r="CB319" s="553">
        <f t="shared" si="100"/>
        <v>0</v>
      </c>
      <c r="CC319" s="553">
        <f t="shared" si="100"/>
        <v>0</v>
      </c>
      <c r="CD319" s="553">
        <f t="shared" si="100"/>
        <v>0</v>
      </c>
      <c r="CE319" s="562"/>
      <c r="CF319" s="562"/>
      <c r="CG319" s="562"/>
      <c r="CH319" s="562"/>
      <c r="CI319" s="562"/>
      <c r="CJ319" s="562"/>
      <c r="CK319" s="562"/>
      <c r="CL319" s="562"/>
      <c r="CM319" s="562"/>
      <c r="CN319" s="562"/>
      <c r="CO319" s="562"/>
      <c r="CP319" s="562"/>
      <c r="CQ319" s="562"/>
      <c r="CR319" s="562"/>
      <c r="CS319" s="562"/>
      <c r="CT319" s="562"/>
      <c r="CU319" s="562"/>
      <c r="CV319" s="562"/>
      <c r="CW319" s="562"/>
      <c r="CX319" s="562"/>
      <c r="CY319" s="562"/>
      <c r="CZ319" s="562"/>
    </row>
    <row r="320" spans="1:104" s="180" customFormat="1" x14ac:dyDescent="0.3">
      <c r="A320" s="557">
        <f>A95</f>
        <v>385</v>
      </c>
      <c r="B320" s="557" t="str">
        <f t="shared" ref="B320:BM320" si="101">B95</f>
        <v>Gov - Total Assets and deferred outflows</v>
      </c>
      <c r="C320" s="557">
        <f t="shared" si="101"/>
        <v>0</v>
      </c>
      <c r="D320" s="557">
        <f t="shared" si="101"/>
        <v>0</v>
      </c>
      <c r="E320" s="557">
        <f t="shared" si="101"/>
        <v>433917</v>
      </c>
      <c r="F320" s="557">
        <f t="shared" si="101"/>
        <v>0</v>
      </c>
      <c r="G320" s="557">
        <f t="shared" si="101"/>
        <v>14709404</v>
      </c>
      <c r="H320" s="557">
        <f t="shared" si="101"/>
        <v>13380439</v>
      </c>
      <c r="I320" s="557">
        <f t="shared" si="101"/>
        <v>16077113</v>
      </c>
      <c r="J320" s="557">
        <f t="shared" si="101"/>
        <v>254056</v>
      </c>
      <c r="K320" s="557">
        <f t="shared" si="101"/>
        <v>3116005</v>
      </c>
      <c r="L320" s="557">
        <f t="shared" si="101"/>
        <v>1580235</v>
      </c>
      <c r="M320" s="557">
        <f t="shared" si="101"/>
        <v>113612867</v>
      </c>
      <c r="N320" s="557">
        <f t="shared" si="101"/>
        <v>1709503</v>
      </c>
      <c r="O320" s="557">
        <f t="shared" si="101"/>
        <v>18925513</v>
      </c>
      <c r="P320" s="557">
        <f t="shared" si="101"/>
        <v>596504</v>
      </c>
      <c r="Q320" s="557">
        <f t="shared" si="101"/>
        <v>196324967</v>
      </c>
      <c r="R320" s="557">
        <f t="shared" si="101"/>
        <v>8303089</v>
      </c>
      <c r="S320" s="557">
        <f t="shared" si="101"/>
        <v>312429</v>
      </c>
      <c r="T320" s="557">
        <f t="shared" si="101"/>
        <v>339977169</v>
      </c>
      <c r="U320" s="557">
        <f t="shared" si="101"/>
        <v>81699933</v>
      </c>
      <c r="V320" s="557">
        <f t="shared" si="101"/>
        <v>87668673</v>
      </c>
      <c r="W320" s="557">
        <f t="shared" si="101"/>
        <v>283301634</v>
      </c>
      <c r="X320" s="557">
        <f t="shared" si="101"/>
        <v>0</v>
      </c>
      <c r="Y320" s="557">
        <f t="shared" si="101"/>
        <v>57652089</v>
      </c>
      <c r="Z320" s="557">
        <f t="shared" si="101"/>
        <v>3948215</v>
      </c>
      <c r="AA320" s="557">
        <f t="shared" si="101"/>
        <v>69907283</v>
      </c>
      <c r="AB320" s="557">
        <f t="shared" si="101"/>
        <v>8945562</v>
      </c>
      <c r="AC320" s="557">
        <f t="shared" si="101"/>
        <v>11252038</v>
      </c>
      <c r="AD320" s="557">
        <f t="shared" si="101"/>
        <v>4335120</v>
      </c>
      <c r="AE320" s="557">
        <f t="shared" si="101"/>
        <v>9199274</v>
      </c>
      <c r="AF320" s="557">
        <f t="shared" si="101"/>
        <v>95172101</v>
      </c>
      <c r="AG320" s="557">
        <f t="shared" si="101"/>
        <v>16922553</v>
      </c>
      <c r="AH320" s="557">
        <f t="shared" si="101"/>
        <v>5273693</v>
      </c>
      <c r="AI320" s="557">
        <f t="shared" si="101"/>
        <v>131912309</v>
      </c>
      <c r="AJ320" s="557">
        <f t="shared" si="101"/>
        <v>9304202</v>
      </c>
      <c r="AK320" s="557">
        <f t="shared" si="101"/>
        <v>0</v>
      </c>
      <c r="AL320" s="557">
        <f t="shared" si="101"/>
        <v>0</v>
      </c>
      <c r="AM320" s="557">
        <f t="shared" si="101"/>
        <v>47565985</v>
      </c>
      <c r="AN320" s="557">
        <f t="shared" si="101"/>
        <v>1417938</v>
      </c>
      <c r="AO320" s="557">
        <f t="shared" si="101"/>
        <v>1888955</v>
      </c>
      <c r="AP320" s="557">
        <f t="shared" si="101"/>
        <v>234393</v>
      </c>
      <c r="AQ320" s="557">
        <f t="shared" si="101"/>
        <v>52398919</v>
      </c>
      <c r="AR320" s="557">
        <f t="shared" si="101"/>
        <v>100289099</v>
      </c>
      <c r="AS320" s="557">
        <f t="shared" si="101"/>
        <v>1207407</v>
      </c>
      <c r="AT320" s="557">
        <f t="shared" si="101"/>
        <v>6481934</v>
      </c>
      <c r="AU320" s="557">
        <f t="shared" si="101"/>
        <v>603852</v>
      </c>
      <c r="AV320" s="557">
        <f t="shared" si="101"/>
        <v>88676621</v>
      </c>
      <c r="AW320" s="557">
        <f t="shared" si="101"/>
        <v>17157006</v>
      </c>
      <c r="AX320" s="557">
        <f t="shared" si="101"/>
        <v>5412211</v>
      </c>
      <c r="AY320" s="557">
        <f t="shared" si="101"/>
        <v>36454843</v>
      </c>
      <c r="AZ320" s="557">
        <f t="shared" si="101"/>
        <v>5472274</v>
      </c>
      <c r="BA320" s="557">
        <f t="shared" si="101"/>
        <v>4048534</v>
      </c>
      <c r="BB320" s="557">
        <f t="shared" si="101"/>
        <v>192244</v>
      </c>
      <c r="BC320" s="557">
        <f t="shared" si="101"/>
        <v>1169834</v>
      </c>
      <c r="BD320" s="557">
        <f t="shared" si="101"/>
        <v>22311685</v>
      </c>
      <c r="BE320" s="557">
        <f t="shared" si="101"/>
        <v>912813</v>
      </c>
      <c r="BF320" s="557">
        <f t="shared" si="101"/>
        <v>1264563</v>
      </c>
      <c r="BG320" s="557">
        <f t="shared" si="101"/>
        <v>559342</v>
      </c>
      <c r="BH320" s="557">
        <f t="shared" si="101"/>
        <v>485462</v>
      </c>
      <c r="BI320" s="557">
        <f t="shared" si="101"/>
        <v>831000</v>
      </c>
      <c r="BJ320" s="557">
        <f t="shared" si="101"/>
        <v>871998</v>
      </c>
      <c r="BK320" s="557">
        <f t="shared" si="101"/>
        <v>11669140</v>
      </c>
      <c r="BL320" s="557">
        <f t="shared" si="101"/>
        <v>0</v>
      </c>
      <c r="BM320" s="557">
        <f t="shared" si="101"/>
        <v>0</v>
      </c>
      <c r="BN320" s="557">
        <f t="shared" ref="BN320:BR320" si="102">BN95</f>
        <v>19901357</v>
      </c>
      <c r="BO320" s="557">
        <f t="shared" si="102"/>
        <v>4135163</v>
      </c>
      <c r="BP320" s="557">
        <f t="shared" si="102"/>
        <v>5424009</v>
      </c>
      <c r="BQ320" s="557">
        <f t="shared" si="102"/>
        <v>58758878</v>
      </c>
      <c r="BR320" s="557">
        <f t="shared" si="102"/>
        <v>1975041</v>
      </c>
      <c r="BS320" s="557">
        <f t="shared" ref="BS320:CD320" si="103">BS95</f>
        <v>102574749</v>
      </c>
      <c r="BT320" s="557">
        <f t="shared" si="103"/>
        <v>2259441</v>
      </c>
      <c r="BU320" s="557">
        <f t="shared" si="103"/>
        <v>17259477</v>
      </c>
      <c r="BV320" s="557">
        <f t="shared" si="103"/>
        <v>7127931</v>
      </c>
      <c r="BW320" s="557">
        <f t="shared" si="103"/>
        <v>6555304</v>
      </c>
      <c r="BX320" s="557">
        <f t="shared" si="103"/>
        <v>3605805</v>
      </c>
      <c r="BY320" s="557">
        <f t="shared" si="103"/>
        <v>751843</v>
      </c>
      <c r="BZ320" s="557">
        <f t="shared" si="103"/>
        <v>2989876</v>
      </c>
      <c r="CA320" s="557">
        <f t="shared" si="103"/>
        <v>319674</v>
      </c>
      <c r="CB320" s="557">
        <f t="shared" si="103"/>
        <v>4189043</v>
      </c>
      <c r="CC320" s="557">
        <f t="shared" si="103"/>
        <v>0</v>
      </c>
      <c r="CD320" s="557">
        <f t="shared" si="103"/>
        <v>493316</v>
      </c>
      <c r="CE320" s="562"/>
      <c r="CF320" s="562"/>
      <c r="CG320" s="562"/>
      <c r="CH320" s="562"/>
      <c r="CI320" s="562"/>
      <c r="CJ320" s="562"/>
      <c r="CK320" s="562"/>
      <c r="CL320" s="562"/>
      <c r="CM320" s="562"/>
      <c r="CN320" s="562"/>
      <c r="CO320" s="562"/>
      <c r="CP320" s="562"/>
      <c r="CQ320" s="562"/>
      <c r="CR320" s="562"/>
      <c r="CS320" s="562"/>
      <c r="CT320" s="562"/>
      <c r="CU320" s="562"/>
      <c r="CV320" s="562"/>
      <c r="CW320" s="562"/>
      <c r="CX320" s="562"/>
      <c r="CY320" s="562"/>
      <c r="CZ320" s="562"/>
    </row>
    <row r="321" spans="1:104" s="180" customFormat="1" x14ac:dyDescent="0.3">
      <c r="A321" s="557">
        <f>A170</f>
        <v>626</v>
      </c>
      <c r="B321" s="557" t="str">
        <f t="shared" ref="B321:BM321" si="104">B170</f>
        <v>GW - Total Current Liabilities including current portion of long-term debt</v>
      </c>
      <c r="C321" s="557">
        <f t="shared" si="104"/>
        <v>0</v>
      </c>
      <c r="D321" s="557">
        <f t="shared" si="104"/>
        <v>0</v>
      </c>
      <c r="E321" s="557">
        <f t="shared" si="104"/>
        <v>44372</v>
      </c>
      <c r="F321" s="557">
        <f t="shared" si="104"/>
        <v>0</v>
      </c>
      <c r="G321" s="557">
        <f t="shared" si="104"/>
        <v>471823</v>
      </c>
      <c r="H321" s="557">
        <f t="shared" si="104"/>
        <v>130761</v>
      </c>
      <c r="I321" s="557">
        <f t="shared" si="104"/>
        <v>729507</v>
      </c>
      <c r="J321" s="557">
        <f t="shared" si="104"/>
        <v>413</v>
      </c>
      <c r="K321" s="557">
        <f t="shared" si="104"/>
        <v>41769</v>
      </c>
      <c r="L321" s="557">
        <f t="shared" si="104"/>
        <v>79704</v>
      </c>
      <c r="M321" s="557">
        <f t="shared" si="104"/>
        <v>6233712</v>
      </c>
      <c r="N321" s="557">
        <f t="shared" si="104"/>
        <v>36680</v>
      </c>
      <c r="O321" s="557">
        <f t="shared" si="104"/>
        <v>171171</v>
      </c>
      <c r="P321" s="557">
        <f t="shared" si="104"/>
        <v>2448</v>
      </c>
      <c r="Q321" s="557">
        <f t="shared" si="104"/>
        <v>11941440</v>
      </c>
      <c r="R321" s="557">
        <f t="shared" si="104"/>
        <v>96081</v>
      </c>
      <c r="S321" s="557">
        <f t="shared" si="104"/>
        <v>30909</v>
      </c>
      <c r="T321" s="557">
        <f t="shared" si="104"/>
        <v>16630229</v>
      </c>
      <c r="U321" s="557">
        <f t="shared" si="104"/>
        <v>2678857</v>
      </c>
      <c r="V321" s="557">
        <f t="shared" si="104"/>
        <v>3631326</v>
      </c>
      <c r="W321" s="557">
        <f t="shared" si="104"/>
        <v>15409685</v>
      </c>
      <c r="X321" s="557">
        <f t="shared" si="104"/>
        <v>0</v>
      </c>
      <c r="Y321" s="557">
        <f t="shared" si="104"/>
        <v>3744318</v>
      </c>
      <c r="Z321" s="557">
        <f t="shared" si="104"/>
        <v>310776</v>
      </c>
      <c r="AA321" s="557">
        <f t="shared" si="104"/>
        <v>2351500</v>
      </c>
      <c r="AB321" s="557">
        <f t="shared" si="104"/>
        <v>514608</v>
      </c>
      <c r="AC321" s="557">
        <f t="shared" si="104"/>
        <v>412576</v>
      </c>
      <c r="AD321" s="557">
        <f t="shared" si="104"/>
        <v>127933</v>
      </c>
      <c r="AE321" s="557">
        <f t="shared" si="104"/>
        <v>257980</v>
      </c>
      <c r="AF321" s="557">
        <f t="shared" si="104"/>
        <v>6292529</v>
      </c>
      <c r="AG321" s="557">
        <f t="shared" si="104"/>
        <v>438619</v>
      </c>
      <c r="AH321" s="557">
        <f t="shared" si="104"/>
        <v>31571</v>
      </c>
      <c r="AI321" s="557">
        <f t="shared" si="104"/>
        <v>6662588</v>
      </c>
      <c r="AJ321" s="557">
        <f t="shared" si="104"/>
        <v>224916</v>
      </c>
      <c r="AK321" s="557">
        <f t="shared" si="104"/>
        <v>0</v>
      </c>
      <c r="AL321" s="557">
        <f t="shared" si="104"/>
        <v>0</v>
      </c>
      <c r="AM321" s="557">
        <f t="shared" si="104"/>
        <v>8556533</v>
      </c>
      <c r="AN321" s="557">
        <f t="shared" si="104"/>
        <v>42616</v>
      </c>
      <c r="AO321" s="557">
        <f t="shared" si="104"/>
        <v>74808</v>
      </c>
      <c r="AP321" s="557">
        <f t="shared" si="104"/>
        <v>42355</v>
      </c>
      <c r="AQ321" s="557">
        <f t="shared" si="104"/>
        <v>2610386</v>
      </c>
      <c r="AR321" s="557">
        <f t="shared" si="104"/>
        <v>248844</v>
      </c>
      <c r="AS321" s="557">
        <f t="shared" si="104"/>
        <v>18669</v>
      </c>
      <c r="AT321" s="557">
        <f t="shared" si="104"/>
        <v>480987</v>
      </c>
      <c r="AU321" s="557">
        <f t="shared" si="104"/>
        <v>32762</v>
      </c>
      <c r="AV321" s="557">
        <f t="shared" si="104"/>
        <v>10518521</v>
      </c>
      <c r="AW321" s="557">
        <f t="shared" si="104"/>
        <v>2526930</v>
      </c>
      <c r="AX321" s="557">
        <f t="shared" si="104"/>
        <v>101056</v>
      </c>
      <c r="AY321" s="557">
        <f t="shared" si="104"/>
        <v>1365936</v>
      </c>
      <c r="AZ321" s="557">
        <f t="shared" si="104"/>
        <v>287478</v>
      </c>
      <c r="BA321" s="557">
        <f t="shared" si="104"/>
        <v>72995</v>
      </c>
      <c r="BB321" s="557">
        <f t="shared" si="104"/>
        <v>0</v>
      </c>
      <c r="BC321" s="557">
        <f t="shared" si="104"/>
        <v>15506</v>
      </c>
      <c r="BD321" s="557">
        <f t="shared" si="104"/>
        <v>726725</v>
      </c>
      <c r="BE321" s="557">
        <f t="shared" si="104"/>
        <v>57368</v>
      </c>
      <c r="BF321" s="557">
        <f t="shared" si="104"/>
        <v>15322</v>
      </c>
      <c r="BG321" s="557">
        <f t="shared" si="104"/>
        <v>30925</v>
      </c>
      <c r="BH321" s="557">
        <f t="shared" si="104"/>
        <v>1461</v>
      </c>
      <c r="BI321" s="557">
        <f t="shared" si="104"/>
        <v>3548</v>
      </c>
      <c r="BJ321" s="557">
        <f t="shared" si="104"/>
        <v>6125</v>
      </c>
      <c r="BK321" s="557">
        <f t="shared" si="104"/>
        <v>326729</v>
      </c>
      <c r="BL321" s="557">
        <f t="shared" si="104"/>
        <v>0</v>
      </c>
      <c r="BM321" s="557">
        <f t="shared" si="104"/>
        <v>0</v>
      </c>
      <c r="BN321" s="557">
        <f t="shared" ref="BN321:BR321" si="105">BN170</f>
        <v>687305</v>
      </c>
      <c r="BO321" s="557">
        <f t="shared" si="105"/>
        <v>92474</v>
      </c>
      <c r="BP321" s="557">
        <f t="shared" si="105"/>
        <v>21215</v>
      </c>
      <c r="BQ321" s="557">
        <f t="shared" si="105"/>
        <v>2130797</v>
      </c>
      <c r="BR321" s="557">
        <f t="shared" si="105"/>
        <v>118986</v>
      </c>
      <c r="BS321" s="557">
        <f t="shared" ref="BS321:CD321" si="106">BS170</f>
        <v>7068800</v>
      </c>
      <c r="BT321" s="557">
        <f t="shared" si="106"/>
        <v>70927</v>
      </c>
      <c r="BU321" s="557">
        <f t="shared" si="106"/>
        <v>378515</v>
      </c>
      <c r="BV321" s="557">
        <f t="shared" si="106"/>
        <v>1258498</v>
      </c>
      <c r="BW321" s="557">
        <f t="shared" si="106"/>
        <v>291041</v>
      </c>
      <c r="BX321" s="557">
        <f t="shared" si="106"/>
        <v>392320</v>
      </c>
      <c r="BY321" s="557">
        <f t="shared" si="106"/>
        <v>61154</v>
      </c>
      <c r="BZ321" s="557">
        <f t="shared" si="106"/>
        <v>1230094</v>
      </c>
      <c r="CA321" s="557">
        <f t="shared" si="106"/>
        <v>8653</v>
      </c>
      <c r="CB321" s="557">
        <f t="shared" si="106"/>
        <v>222816</v>
      </c>
      <c r="CC321" s="557">
        <f t="shared" si="106"/>
        <v>0</v>
      </c>
      <c r="CD321" s="557">
        <f t="shared" si="106"/>
        <v>26463</v>
      </c>
      <c r="CE321" s="562"/>
      <c r="CF321" s="562"/>
      <c r="CG321" s="562"/>
      <c r="CH321" s="562"/>
      <c r="CI321" s="562"/>
      <c r="CJ321" s="562"/>
      <c r="CK321" s="562"/>
      <c r="CL321" s="562"/>
      <c r="CM321" s="562"/>
      <c r="CN321" s="562"/>
      <c r="CO321" s="562"/>
      <c r="CP321" s="562"/>
      <c r="CQ321" s="562"/>
      <c r="CR321" s="562"/>
      <c r="CS321" s="562"/>
      <c r="CT321" s="562"/>
      <c r="CU321" s="562"/>
      <c r="CV321" s="562"/>
      <c r="CW321" s="562"/>
      <c r="CX321" s="562"/>
      <c r="CY321" s="562"/>
      <c r="CZ321" s="562"/>
    </row>
    <row r="322" spans="1:104" s="556" customFormat="1" x14ac:dyDescent="0.3">
      <c r="A322" s="557">
        <f>A60</f>
        <v>338</v>
      </c>
      <c r="B322" s="557" t="str">
        <f t="shared" ref="B322:BM322" si="107">B60</f>
        <v>Gov - Total Liabilities and total deferred inflows</v>
      </c>
      <c r="C322" s="557">
        <f t="shared" si="107"/>
        <v>0</v>
      </c>
      <c r="D322" s="557">
        <f t="shared" si="107"/>
        <v>0</v>
      </c>
      <c r="E322" s="557">
        <f t="shared" si="107"/>
        <v>66779</v>
      </c>
      <c r="F322" s="557">
        <f t="shared" si="107"/>
        <v>0</v>
      </c>
      <c r="G322" s="557">
        <f t="shared" si="107"/>
        <v>1127895</v>
      </c>
      <c r="H322" s="557">
        <f t="shared" si="107"/>
        <v>155121</v>
      </c>
      <c r="I322" s="557">
        <f t="shared" si="107"/>
        <v>1122928</v>
      </c>
      <c r="J322" s="557">
        <f t="shared" si="107"/>
        <v>413</v>
      </c>
      <c r="K322" s="557">
        <f t="shared" si="107"/>
        <v>82567</v>
      </c>
      <c r="L322" s="557">
        <f t="shared" si="107"/>
        <v>79704</v>
      </c>
      <c r="M322" s="557">
        <f t="shared" si="107"/>
        <v>20281745</v>
      </c>
      <c r="N322" s="557">
        <f t="shared" si="107"/>
        <v>366655</v>
      </c>
      <c r="O322" s="557">
        <f t="shared" si="107"/>
        <v>2592626</v>
      </c>
      <c r="P322" s="557">
        <f t="shared" si="107"/>
        <v>2448</v>
      </c>
      <c r="Q322" s="557">
        <f t="shared" si="107"/>
        <v>98560032</v>
      </c>
      <c r="R322" s="557">
        <f t="shared" si="107"/>
        <v>1586313</v>
      </c>
      <c r="S322" s="557">
        <f t="shared" si="107"/>
        <v>30909</v>
      </c>
      <c r="T322" s="557">
        <f t="shared" si="107"/>
        <v>174656069</v>
      </c>
      <c r="U322" s="557">
        <f t="shared" si="107"/>
        <v>27878572</v>
      </c>
      <c r="V322" s="557">
        <f t="shared" si="107"/>
        <v>35478079</v>
      </c>
      <c r="W322" s="557">
        <f t="shared" si="107"/>
        <v>77344858</v>
      </c>
      <c r="X322" s="557">
        <f t="shared" si="107"/>
        <v>0</v>
      </c>
      <c r="Y322" s="557">
        <f t="shared" si="107"/>
        <v>11211220</v>
      </c>
      <c r="Z322" s="557">
        <f t="shared" si="107"/>
        <v>854193</v>
      </c>
      <c r="AA322" s="557">
        <f t="shared" si="107"/>
        <v>24360808</v>
      </c>
      <c r="AB322" s="557">
        <f t="shared" si="107"/>
        <v>3191553</v>
      </c>
      <c r="AC322" s="557">
        <f t="shared" si="107"/>
        <v>4409982</v>
      </c>
      <c r="AD322" s="557">
        <f t="shared" si="107"/>
        <v>1007928</v>
      </c>
      <c r="AE322" s="557">
        <f t="shared" si="107"/>
        <v>3148593</v>
      </c>
      <c r="AF322" s="557">
        <f t="shared" si="107"/>
        <v>37602306</v>
      </c>
      <c r="AG322" s="557">
        <f t="shared" si="107"/>
        <v>4192944</v>
      </c>
      <c r="AH322" s="557">
        <f t="shared" si="107"/>
        <v>296206</v>
      </c>
      <c r="AI322" s="557">
        <f t="shared" si="107"/>
        <v>85282307</v>
      </c>
      <c r="AJ322" s="557">
        <f t="shared" si="107"/>
        <v>278781</v>
      </c>
      <c r="AK322" s="557">
        <f t="shared" si="107"/>
        <v>0</v>
      </c>
      <c r="AL322" s="557">
        <f t="shared" si="107"/>
        <v>0</v>
      </c>
      <c r="AM322" s="557">
        <f t="shared" si="107"/>
        <v>23955785</v>
      </c>
      <c r="AN322" s="557">
        <f t="shared" si="107"/>
        <v>303843</v>
      </c>
      <c r="AO322" s="557">
        <f t="shared" si="107"/>
        <v>497318</v>
      </c>
      <c r="AP322" s="557">
        <f t="shared" si="107"/>
        <v>42355</v>
      </c>
      <c r="AQ322" s="557">
        <f t="shared" si="107"/>
        <v>17470683</v>
      </c>
      <c r="AR322" s="557">
        <f t="shared" si="107"/>
        <v>48968277</v>
      </c>
      <c r="AS322" s="557">
        <f t="shared" si="107"/>
        <v>416649</v>
      </c>
      <c r="AT322" s="557">
        <f t="shared" si="107"/>
        <v>2092390</v>
      </c>
      <c r="AU322" s="557">
        <f t="shared" si="107"/>
        <v>53995</v>
      </c>
      <c r="AV322" s="557">
        <f t="shared" si="107"/>
        <v>22156388</v>
      </c>
      <c r="AW322" s="557">
        <f t="shared" si="107"/>
        <v>5613354</v>
      </c>
      <c r="AX322" s="557">
        <f t="shared" si="107"/>
        <v>820366</v>
      </c>
      <c r="AY322" s="557">
        <f t="shared" si="107"/>
        <v>10180945</v>
      </c>
      <c r="AZ322" s="557">
        <f t="shared" si="107"/>
        <v>639866</v>
      </c>
      <c r="BA322" s="557">
        <f t="shared" si="107"/>
        <v>306801</v>
      </c>
      <c r="BB322" s="557">
        <f t="shared" si="107"/>
        <v>0</v>
      </c>
      <c r="BC322" s="557">
        <f t="shared" si="107"/>
        <v>65506</v>
      </c>
      <c r="BD322" s="557">
        <f t="shared" si="107"/>
        <v>16267593</v>
      </c>
      <c r="BE322" s="557">
        <f t="shared" si="107"/>
        <v>57368</v>
      </c>
      <c r="BF322" s="557">
        <f t="shared" si="107"/>
        <v>155377</v>
      </c>
      <c r="BG322" s="557">
        <f t="shared" si="107"/>
        <v>156655</v>
      </c>
      <c r="BH322" s="557">
        <f t="shared" si="107"/>
        <v>1461</v>
      </c>
      <c r="BI322" s="557">
        <f t="shared" si="107"/>
        <v>67841</v>
      </c>
      <c r="BJ322" s="557">
        <f t="shared" si="107"/>
        <v>6125</v>
      </c>
      <c r="BK322" s="557">
        <f t="shared" si="107"/>
        <v>4915708</v>
      </c>
      <c r="BL322" s="557">
        <f t="shared" si="107"/>
        <v>0</v>
      </c>
      <c r="BM322" s="557">
        <f t="shared" si="107"/>
        <v>0</v>
      </c>
      <c r="BN322" s="557">
        <f t="shared" ref="BN322:BR322" si="108">BN60</f>
        <v>3960156</v>
      </c>
      <c r="BO322" s="557">
        <f t="shared" si="108"/>
        <v>1398774</v>
      </c>
      <c r="BP322" s="557">
        <f t="shared" si="108"/>
        <v>1867206</v>
      </c>
      <c r="BQ322" s="557">
        <f t="shared" si="108"/>
        <v>10529906</v>
      </c>
      <c r="BR322" s="557">
        <f t="shared" si="108"/>
        <v>975725</v>
      </c>
      <c r="BS322" s="557">
        <f t="shared" ref="BS322:CD322" si="109">BS60</f>
        <v>43393681</v>
      </c>
      <c r="BT322" s="557">
        <f t="shared" si="109"/>
        <v>467919</v>
      </c>
      <c r="BU322" s="557">
        <f t="shared" si="109"/>
        <v>4440501</v>
      </c>
      <c r="BV322" s="557">
        <f t="shared" si="109"/>
        <v>1258498</v>
      </c>
      <c r="BW322" s="557">
        <f t="shared" si="109"/>
        <v>1743567</v>
      </c>
      <c r="BX322" s="557">
        <f t="shared" si="109"/>
        <v>1285812</v>
      </c>
      <c r="BY322" s="557">
        <f t="shared" si="109"/>
        <v>61154</v>
      </c>
      <c r="BZ322" s="557">
        <f t="shared" si="109"/>
        <v>1300287</v>
      </c>
      <c r="CA322" s="557">
        <f t="shared" si="109"/>
        <v>9043</v>
      </c>
      <c r="CB322" s="557">
        <f t="shared" si="109"/>
        <v>991822</v>
      </c>
      <c r="CC322" s="557">
        <f t="shared" si="109"/>
        <v>0</v>
      </c>
      <c r="CD322" s="557">
        <f t="shared" si="109"/>
        <v>26463</v>
      </c>
    </row>
    <row r="323" spans="1:104" s="556" customFormat="1" x14ac:dyDescent="0.3">
      <c r="A323" s="561">
        <f>A166</f>
        <v>620</v>
      </c>
      <c r="B323" s="561" t="str">
        <f t="shared" ref="B323:BM323" si="110">B166</f>
        <v>Do you expect to issue debt requiring LGC approval within 12 months from the date that the audit is submitted - select "1" for year and "2" for no</v>
      </c>
      <c r="C323" s="561">
        <f t="shared" si="110"/>
        <v>0</v>
      </c>
      <c r="D323" s="561">
        <f t="shared" si="110"/>
        <v>0</v>
      </c>
      <c r="E323" s="561">
        <f t="shared" si="110"/>
        <v>2</v>
      </c>
      <c r="F323" s="561">
        <f t="shared" si="110"/>
        <v>0</v>
      </c>
      <c r="G323" s="561">
        <f t="shared" si="110"/>
        <v>2</v>
      </c>
      <c r="H323" s="561">
        <f t="shared" si="110"/>
        <v>1</v>
      </c>
      <c r="I323" s="561">
        <f t="shared" si="110"/>
        <v>2</v>
      </c>
      <c r="J323" s="561">
        <f t="shared" si="110"/>
        <v>1</v>
      </c>
      <c r="K323" s="561">
        <f t="shared" si="110"/>
        <v>2</v>
      </c>
      <c r="L323" s="561">
        <f t="shared" si="110"/>
        <v>2</v>
      </c>
      <c r="M323" s="561">
        <f t="shared" si="110"/>
        <v>2</v>
      </c>
      <c r="N323" s="561">
        <f t="shared" si="110"/>
        <v>2</v>
      </c>
      <c r="O323" s="561">
        <f t="shared" si="110"/>
        <v>1</v>
      </c>
      <c r="P323" s="561">
        <f t="shared" si="110"/>
        <v>2</v>
      </c>
      <c r="Q323" s="561">
        <f t="shared" si="110"/>
        <v>1</v>
      </c>
      <c r="R323" s="561">
        <f t="shared" si="110"/>
        <v>2</v>
      </c>
      <c r="S323" s="561">
        <f t="shared" si="110"/>
        <v>2</v>
      </c>
      <c r="T323" s="561">
        <f t="shared" si="110"/>
        <v>1</v>
      </c>
      <c r="U323" s="561">
        <f t="shared" si="110"/>
        <v>2</v>
      </c>
      <c r="V323" s="561">
        <f t="shared" si="110"/>
        <v>1</v>
      </c>
      <c r="W323" s="561">
        <f t="shared" si="110"/>
        <v>1</v>
      </c>
      <c r="X323" s="561">
        <f t="shared" si="110"/>
        <v>0</v>
      </c>
      <c r="Y323" s="561">
        <f t="shared" si="110"/>
        <v>2</v>
      </c>
      <c r="Z323" s="561">
        <f t="shared" si="110"/>
        <v>2</v>
      </c>
      <c r="AA323" s="561">
        <f t="shared" si="110"/>
        <v>2</v>
      </c>
      <c r="AB323" s="561">
        <f t="shared" si="110"/>
        <v>2</v>
      </c>
      <c r="AC323" s="561">
        <f t="shared" si="110"/>
        <v>1</v>
      </c>
      <c r="AD323" s="561">
        <f t="shared" si="110"/>
        <v>2</v>
      </c>
      <c r="AE323" s="561">
        <f t="shared" si="110"/>
        <v>2</v>
      </c>
      <c r="AF323" s="561">
        <f t="shared" si="110"/>
        <v>1</v>
      </c>
      <c r="AG323" s="561">
        <f t="shared" si="110"/>
        <v>2</v>
      </c>
      <c r="AH323" s="561">
        <f t="shared" si="110"/>
        <v>2</v>
      </c>
      <c r="AI323" s="561">
        <f t="shared" si="110"/>
        <v>1</v>
      </c>
      <c r="AJ323" s="561">
        <f t="shared" si="110"/>
        <v>2</v>
      </c>
      <c r="AK323" s="561">
        <f t="shared" si="110"/>
        <v>0</v>
      </c>
      <c r="AL323" s="561">
        <f t="shared" si="110"/>
        <v>0</v>
      </c>
      <c r="AM323" s="561">
        <f t="shared" si="110"/>
        <v>1</v>
      </c>
      <c r="AN323" s="561">
        <f t="shared" si="110"/>
        <v>2</v>
      </c>
      <c r="AO323" s="561">
        <f t="shared" si="110"/>
        <v>1</v>
      </c>
      <c r="AP323" s="561">
        <f t="shared" si="110"/>
        <v>2</v>
      </c>
      <c r="AQ323" s="561">
        <f t="shared" si="110"/>
        <v>2</v>
      </c>
      <c r="AR323" s="561">
        <f t="shared" si="110"/>
        <v>2</v>
      </c>
      <c r="AS323" s="561">
        <f t="shared" si="110"/>
        <v>2</v>
      </c>
      <c r="AT323" s="561">
        <f t="shared" si="110"/>
        <v>2</v>
      </c>
      <c r="AU323" s="561">
        <f t="shared" si="110"/>
        <v>2</v>
      </c>
      <c r="AV323" s="561">
        <f t="shared" si="110"/>
        <v>2</v>
      </c>
      <c r="AW323" s="561">
        <f t="shared" si="110"/>
        <v>2</v>
      </c>
      <c r="AX323" s="561">
        <f t="shared" si="110"/>
        <v>2</v>
      </c>
      <c r="AY323" s="561">
        <f t="shared" si="110"/>
        <v>2</v>
      </c>
      <c r="AZ323" s="561">
        <f t="shared" si="110"/>
        <v>2</v>
      </c>
      <c r="BA323" s="561">
        <f t="shared" si="110"/>
        <v>2</v>
      </c>
      <c r="BB323" s="561">
        <f t="shared" si="110"/>
        <v>2</v>
      </c>
      <c r="BC323" s="561">
        <f t="shared" si="110"/>
        <v>2</v>
      </c>
      <c r="BD323" s="561">
        <f t="shared" si="110"/>
        <v>2</v>
      </c>
      <c r="BE323" s="561">
        <f t="shared" si="110"/>
        <v>2</v>
      </c>
      <c r="BF323" s="561">
        <f t="shared" si="110"/>
        <v>2</v>
      </c>
      <c r="BG323" s="561">
        <f t="shared" si="110"/>
        <v>2</v>
      </c>
      <c r="BH323" s="561">
        <f t="shared" si="110"/>
        <v>2</v>
      </c>
      <c r="BI323" s="561">
        <f t="shared" si="110"/>
        <v>2</v>
      </c>
      <c r="BJ323" s="561">
        <f t="shared" si="110"/>
        <v>2</v>
      </c>
      <c r="BK323" s="561">
        <f t="shared" si="110"/>
        <v>2</v>
      </c>
      <c r="BL323" s="561">
        <f t="shared" si="110"/>
        <v>0</v>
      </c>
      <c r="BM323" s="561">
        <f t="shared" si="110"/>
        <v>0</v>
      </c>
      <c r="BN323" s="561">
        <f t="shared" ref="BN323:BR323" si="111">BN166</f>
        <v>2</v>
      </c>
      <c r="BO323" s="561">
        <f t="shared" si="111"/>
        <v>2</v>
      </c>
      <c r="BP323" s="561">
        <f t="shared" si="111"/>
        <v>2</v>
      </c>
      <c r="BQ323" s="561">
        <f t="shared" si="111"/>
        <v>2</v>
      </c>
      <c r="BR323" s="561">
        <f t="shared" si="111"/>
        <v>2</v>
      </c>
      <c r="BS323" s="561">
        <f t="shared" ref="BS323:CD323" si="112">BS166</f>
        <v>2</v>
      </c>
      <c r="BT323" s="561">
        <f t="shared" si="112"/>
        <v>2</v>
      </c>
      <c r="BU323" s="561">
        <f t="shared" si="112"/>
        <v>2</v>
      </c>
      <c r="BV323" s="561">
        <f t="shared" si="112"/>
        <v>2</v>
      </c>
      <c r="BW323" s="561">
        <f t="shared" si="112"/>
        <v>2</v>
      </c>
      <c r="BX323" s="561">
        <f t="shared" si="112"/>
        <v>2</v>
      </c>
      <c r="BY323" s="561">
        <f t="shared" si="112"/>
        <v>2</v>
      </c>
      <c r="BZ323" s="561">
        <f t="shared" si="112"/>
        <v>2</v>
      </c>
      <c r="CA323" s="561">
        <f t="shared" si="112"/>
        <v>2</v>
      </c>
      <c r="CB323" s="561">
        <f t="shared" si="112"/>
        <v>2</v>
      </c>
      <c r="CC323" s="561">
        <f t="shared" si="112"/>
        <v>0</v>
      </c>
      <c r="CD323" s="561">
        <f t="shared" si="112"/>
        <v>2</v>
      </c>
    </row>
    <row r="324" spans="1:104" s="556" customFormat="1" x14ac:dyDescent="0.3">
      <c r="A324" s="155">
        <f>A142</f>
        <v>545</v>
      </c>
      <c r="B324" s="155" t="str">
        <f t="shared" ref="B324:BM324" si="113">B142</f>
        <v>Property Tax Increase for budget year after fiscal year being reported</v>
      </c>
      <c r="C324" s="155">
        <f t="shared" si="113"/>
        <v>0</v>
      </c>
      <c r="D324" s="155">
        <f t="shared" si="113"/>
        <v>0</v>
      </c>
      <c r="E324" s="155">
        <f t="shared" si="113"/>
        <v>0</v>
      </c>
      <c r="F324" s="155">
        <f t="shared" si="113"/>
        <v>0</v>
      </c>
      <c r="G324" s="155">
        <f t="shared" si="113"/>
        <v>0</v>
      </c>
      <c r="H324" s="155">
        <f t="shared" si="113"/>
        <v>0</v>
      </c>
      <c r="I324" s="155">
        <f t="shared" si="113"/>
        <v>0</v>
      </c>
      <c r="J324" s="155">
        <f t="shared" si="113"/>
        <v>0</v>
      </c>
      <c r="K324" s="155">
        <f t="shared" si="113"/>
        <v>0</v>
      </c>
      <c r="L324" s="155">
        <f t="shared" si="113"/>
        <v>0</v>
      </c>
      <c r="M324" s="155">
        <f t="shared" si="113"/>
        <v>0</v>
      </c>
      <c r="N324" s="155">
        <f t="shared" si="113"/>
        <v>0</v>
      </c>
      <c r="O324" s="155">
        <f t="shared" si="113"/>
        <v>0</v>
      </c>
      <c r="P324" s="155">
        <f t="shared" si="113"/>
        <v>0</v>
      </c>
      <c r="Q324" s="155">
        <f t="shared" si="113"/>
        <v>0</v>
      </c>
      <c r="R324" s="155">
        <f t="shared" si="113"/>
        <v>0</v>
      </c>
      <c r="S324" s="155">
        <f t="shared" si="113"/>
        <v>0</v>
      </c>
      <c r="T324" s="155">
        <f t="shared" si="113"/>
        <v>0</v>
      </c>
      <c r="U324" s="155">
        <f t="shared" si="113"/>
        <v>0</v>
      </c>
      <c r="V324" s="155">
        <f t="shared" si="113"/>
        <v>0</v>
      </c>
      <c r="W324" s="155">
        <f t="shared" si="113"/>
        <v>0</v>
      </c>
      <c r="X324" s="155">
        <f t="shared" si="113"/>
        <v>0</v>
      </c>
      <c r="Y324" s="155">
        <f t="shared" si="113"/>
        <v>0</v>
      </c>
      <c r="Z324" s="155">
        <f t="shared" si="113"/>
        <v>0</v>
      </c>
      <c r="AA324" s="155">
        <f t="shared" si="113"/>
        <v>0.08</v>
      </c>
      <c r="AB324" s="155">
        <f t="shared" si="113"/>
        <v>0</v>
      </c>
      <c r="AC324" s="155">
        <f t="shared" si="113"/>
        <v>0</v>
      </c>
      <c r="AD324" s="155">
        <f t="shared" si="113"/>
        <v>0</v>
      </c>
      <c r="AE324" s="155">
        <f t="shared" si="113"/>
        <v>0</v>
      </c>
      <c r="AF324" s="155">
        <f t="shared" si="113"/>
        <v>0</v>
      </c>
      <c r="AG324" s="155">
        <f t="shared" si="113"/>
        <v>0.03</v>
      </c>
      <c r="AH324" s="155">
        <f t="shared" si="113"/>
        <v>0</v>
      </c>
      <c r="AI324" s="155">
        <f t="shared" si="113"/>
        <v>6.6E-3</v>
      </c>
      <c r="AJ324" s="155">
        <f t="shared" si="113"/>
        <v>0</v>
      </c>
      <c r="AK324" s="155">
        <f t="shared" si="113"/>
        <v>0</v>
      </c>
      <c r="AL324" s="155">
        <f t="shared" si="113"/>
        <v>0</v>
      </c>
      <c r="AM324" s="155">
        <f t="shared" si="113"/>
        <v>0</v>
      </c>
      <c r="AN324" s="155">
        <f t="shared" si="113"/>
        <v>0</v>
      </c>
      <c r="AO324" s="155">
        <f t="shared" si="113"/>
        <v>0</v>
      </c>
      <c r="AP324" s="155">
        <f t="shared" si="113"/>
        <v>0</v>
      </c>
      <c r="AQ324" s="155">
        <f t="shared" si="113"/>
        <v>0</v>
      </c>
      <c r="AR324" s="155">
        <f t="shared" si="113"/>
        <v>0</v>
      </c>
      <c r="AS324" s="155">
        <f t="shared" si="113"/>
        <v>0</v>
      </c>
      <c r="AT324" s="155">
        <f t="shared" si="113"/>
        <v>0</v>
      </c>
      <c r="AU324" s="155">
        <f t="shared" si="113"/>
        <v>0</v>
      </c>
      <c r="AV324" s="155">
        <f t="shared" si="113"/>
        <v>0</v>
      </c>
      <c r="AW324" s="155">
        <f t="shared" si="113"/>
        <v>0</v>
      </c>
      <c r="AX324" s="155">
        <f t="shared" si="113"/>
        <v>0</v>
      </c>
      <c r="AY324" s="155">
        <f t="shared" si="113"/>
        <v>0</v>
      </c>
      <c r="AZ324" s="155">
        <f t="shared" si="113"/>
        <v>0</v>
      </c>
      <c r="BA324" s="155">
        <f t="shared" si="113"/>
        <v>0</v>
      </c>
      <c r="BB324" s="155">
        <f t="shared" si="113"/>
        <v>0</v>
      </c>
      <c r="BC324" s="155">
        <f t="shared" si="113"/>
        <v>0</v>
      </c>
      <c r="BD324" s="155">
        <f t="shared" si="113"/>
        <v>0</v>
      </c>
      <c r="BE324" s="155">
        <f t="shared" si="113"/>
        <v>0</v>
      </c>
      <c r="BF324" s="155">
        <f t="shared" si="113"/>
        <v>0</v>
      </c>
      <c r="BG324" s="155">
        <f t="shared" si="113"/>
        <v>0</v>
      </c>
      <c r="BH324" s="155">
        <f t="shared" si="113"/>
        <v>0</v>
      </c>
      <c r="BI324" s="155">
        <f t="shared" si="113"/>
        <v>0</v>
      </c>
      <c r="BJ324" s="155">
        <f t="shared" si="113"/>
        <v>0</v>
      </c>
      <c r="BK324" s="155">
        <f t="shared" si="113"/>
        <v>0</v>
      </c>
      <c r="BL324" s="155">
        <f t="shared" si="113"/>
        <v>0</v>
      </c>
      <c r="BM324" s="155">
        <f t="shared" si="113"/>
        <v>0</v>
      </c>
      <c r="BN324" s="155">
        <f t="shared" ref="BN324:BR324" si="114">BN142</f>
        <v>0</v>
      </c>
      <c r="BO324" s="155">
        <f t="shared" si="114"/>
        <v>0</v>
      </c>
      <c r="BP324" s="155">
        <f t="shared" si="114"/>
        <v>0</v>
      </c>
      <c r="BQ324" s="155">
        <f t="shared" si="114"/>
        <v>-0.08</v>
      </c>
      <c r="BR324" s="155">
        <f t="shared" si="114"/>
        <v>0</v>
      </c>
      <c r="BS324" s="155">
        <f t="shared" ref="BS324:CD324" si="115">BS142</f>
        <v>0</v>
      </c>
      <c r="BT324" s="155">
        <f t="shared" si="115"/>
        <v>0</v>
      </c>
      <c r="BU324" s="155">
        <f t="shared" si="115"/>
        <v>0</v>
      </c>
      <c r="BV324" s="155">
        <f t="shared" si="115"/>
        <v>0</v>
      </c>
      <c r="BW324" s="155">
        <f t="shared" si="115"/>
        <v>0</v>
      </c>
      <c r="BX324" s="155">
        <f t="shared" si="115"/>
        <v>0</v>
      </c>
      <c r="BY324" s="155">
        <f t="shared" si="115"/>
        <v>0</v>
      </c>
      <c r="BZ324" s="155">
        <f t="shared" si="115"/>
        <v>0</v>
      </c>
      <c r="CA324" s="155">
        <f t="shared" si="115"/>
        <v>0</v>
      </c>
      <c r="CB324" s="155">
        <f t="shared" si="115"/>
        <v>0</v>
      </c>
      <c r="CC324" s="155">
        <f t="shared" si="115"/>
        <v>0</v>
      </c>
      <c r="CD324" s="155">
        <f t="shared" si="115"/>
        <v>0</v>
      </c>
      <c r="CE324" s="781"/>
      <c r="CF324" s="781"/>
      <c r="CG324" s="781"/>
      <c r="CH324" s="781"/>
      <c r="CI324" s="781"/>
      <c r="CJ324" s="781"/>
      <c r="CK324" s="781"/>
      <c r="CL324" s="781"/>
      <c r="CM324" s="781"/>
      <c r="CN324" s="781"/>
      <c r="CO324" s="781"/>
      <c r="CP324" s="781"/>
      <c r="CQ324" s="781"/>
      <c r="CR324" s="781"/>
      <c r="CS324" s="781"/>
      <c r="CT324" s="781"/>
      <c r="CU324" s="781"/>
      <c r="CV324" s="781"/>
      <c r="CW324" s="781"/>
      <c r="CX324" s="781"/>
      <c r="CY324" s="781"/>
      <c r="CZ324" s="781"/>
    </row>
    <row r="325" spans="1:104" s="556" customFormat="1" x14ac:dyDescent="0.3">
      <c r="A325" s="561">
        <f>A169</f>
        <v>624</v>
      </c>
      <c r="B325" s="561" t="str">
        <f t="shared" ref="B325:BM325" si="116">B169</f>
        <v>Does the County collect real estate property taxes on your behalf? Select "1" for "yes and "2" for "No"</v>
      </c>
      <c r="C325" s="561">
        <f t="shared" si="116"/>
        <v>0</v>
      </c>
      <c r="D325" s="561">
        <f t="shared" si="116"/>
        <v>0</v>
      </c>
      <c r="E325" s="561">
        <f t="shared" si="116"/>
        <v>1</v>
      </c>
      <c r="F325" s="561">
        <f t="shared" si="116"/>
        <v>0</v>
      </c>
      <c r="G325" s="561">
        <f t="shared" si="116"/>
        <v>1</v>
      </c>
      <c r="H325" s="561">
        <f t="shared" si="116"/>
        <v>2</v>
      </c>
      <c r="I325" s="561">
        <f t="shared" si="116"/>
        <v>2</v>
      </c>
      <c r="J325" s="561">
        <f t="shared" si="116"/>
        <v>2</v>
      </c>
      <c r="K325" s="561">
        <f t="shared" si="116"/>
        <v>1</v>
      </c>
      <c r="L325" s="561">
        <f t="shared" si="116"/>
        <v>1</v>
      </c>
      <c r="M325" s="561">
        <f t="shared" si="116"/>
        <v>1</v>
      </c>
      <c r="N325" s="561">
        <f t="shared" si="116"/>
        <v>1</v>
      </c>
      <c r="O325" s="561">
        <f t="shared" si="116"/>
        <v>2</v>
      </c>
      <c r="P325" s="561">
        <f t="shared" si="116"/>
        <v>1</v>
      </c>
      <c r="Q325" s="561">
        <f t="shared" si="116"/>
        <v>2</v>
      </c>
      <c r="R325" s="561">
        <f t="shared" si="116"/>
        <v>1</v>
      </c>
      <c r="S325" s="561">
        <f t="shared" si="116"/>
        <v>2</v>
      </c>
      <c r="T325" s="561">
        <f t="shared" si="116"/>
        <v>1</v>
      </c>
      <c r="U325" s="561">
        <f t="shared" si="116"/>
        <v>2</v>
      </c>
      <c r="V325" s="561">
        <f t="shared" si="116"/>
        <v>2</v>
      </c>
      <c r="W325" s="561">
        <f t="shared" si="116"/>
        <v>1</v>
      </c>
      <c r="X325" s="561">
        <f t="shared" si="116"/>
        <v>0</v>
      </c>
      <c r="Y325" s="561">
        <f t="shared" si="116"/>
        <v>2</v>
      </c>
      <c r="Z325" s="561">
        <f t="shared" si="116"/>
        <v>1</v>
      </c>
      <c r="AA325" s="561">
        <f t="shared" si="116"/>
        <v>1</v>
      </c>
      <c r="AB325" s="561">
        <f t="shared" si="116"/>
        <v>2</v>
      </c>
      <c r="AC325" s="561">
        <f t="shared" si="116"/>
        <v>1</v>
      </c>
      <c r="AD325" s="561">
        <f t="shared" si="116"/>
        <v>1</v>
      </c>
      <c r="AE325" s="561">
        <f t="shared" si="116"/>
        <v>1</v>
      </c>
      <c r="AF325" s="561">
        <f t="shared" si="116"/>
        <v>2</v>
      </c>
      <c r="AG325" s="561">
        <f t="shared" si="116"/>
        <v>2</v>
      </c>
      <c r="AH325" s="561">
        <f t="shared" si="116"/>
        <v>1</v>
      </c>
      <c r="AI325" s="561">
        <f t="shared" si="116"/>
        <v>1</v>
      </c>
      <c r="AJ325" s="561">
        <f t="shared" si="116"/>
        <v>1</v>
      </c>
      <c r="AK325" s="561">
        <f t="shared" si="116"/>
        <v>0</v>
      </c>
      <c r="AL325" s="561">
        <f t="shared" si="116"/>
        <v>0</v>
      </c>
      <c r="AM325" s="561">
        <f t="shared" si="116"/>
        <v>1</v>
      </c>
      <c r="AN325" s="561">
        <f t="shared" si="116"/>
        <v>1</v>
      </c>
      <c r="AO325" s="561">
        <f t="shared" si="116"/>
        <v>1</v>
      </c>
      <c r="AP325" s="561">
        <f t="shared" si="116"/>
        <v>2</v>
      </c>
      <c r="AQ325" s="561">
        <f t="shared" si="116"/>
        <v>2</v>
      </c>
      <c r="AR325" s="561">
        <f t="shared" si="116"/>
        <v>2</v>
      </c>
      <c r="AS325" s="561">
        <f t="shared" si="116"/>
        <v>1</v>
      </c>
      <c r="AT325" s="561">
        <f t="shared" si="116"/>
        <v>1</v>
      </c>
      <c r="AU325" s="561">
        <f t="shared" si="116"/>
        <v>1</v>
      </c>
      <c r="AV325" s="561">
        <f t="shared" si="116"/>
        <v>2</v>
      </c>
      <c r="AW325" s="561">
        <f t="shared" si="116"/>
        <v>1</v>
      </c>
      <c r="AX325" s="561">
        <f t="shared" si="116"/>
        <v>1</v>
      </c>
      <c r="AY325" s="561">
        <f t="shared" si="116"/>
        <v>2</v>
      </c>
      <c r="AZ325" s="561">
        <f t="shared" si="116"/>
        <v>2</v>
      </c>
      <c r="BA325" s="561">
        <f t="shared" si="116"/>
        <v>1</v>
      </c>
      <c r="BB325" s="561">
        <f t="shared" si="116"/>
        <v>1</v>
      </c>
      <c r="BC325" s="561">
        <f t="shared" si="116"/>
        <v>1</v>
      </c>
      <c r="BD325" s="561">
        <f t="shared" si="116"/>
        <v>2</v>
      </c>
      <c r="BE325" s="561">
        <f t="shared" si="116"/>
        <v>2</v>
      </c>
      <c r="BF325" s="561">
        <f t="shared" si="116"/>
        <v>0</v>
      </c>
      <c r="BG325" s="561">
        <f t="shared" si="116"/>
        <v>1</v>
      </c>
      <c r="BH325" s="561">
        <f t="shared" si="116"/>
        <v>1</v>
      </c>
      <c r="BI325" s="561">
        <f t="shared" si="116"/>
        <v>1</v>
      </c>
      <c r="BJ325" s="561">
        <f t="shared" si="116"/>
        <v>1</v>
      </c>
      <c r="BK325" s="561">
        <f t="shared" si="116"/>
        <v>0</v>
      </c>
      <c r="BL325" s="561">
        <f t="shared" si="116"/>
        <v>0</v>
      </c>
      <c r="BM325" s="561">
        <f t="shared" si="116"/>
        <v>0</v>
      </c>
      <c r="BN325" s="561">
        <f t="shared" ref="BN325:BR325" si="117">BN169</f>
        <v>2</v>
      </c>
      <c r="BO325" s="561">
        <f t="shared" si="117"/>
        <v>2</v>
      </c>
      <c r="BP325" s="561">
        <f t="shared" si="117"/>
        <v>2</v>
      </c>
      <c r="BQ325" s="561">
        <f t="shared" si="117"/>
        <v>1</v>
      </c>
      <c r="BR325" s="561">
        <f t="shared" si="117"/>
        <v>1</v>
      </c>
      <c r="BS325" s="561">
        <f t="shared" ref="BS325:CD325" si="118">BS169</f>
        <v>1</v>
      </c>
      <c r="BT325" s="561">
        <f t="shared" si="118"/>
        <v>2</v>
      </c>
      <c r="BU325" s="561">
        <f t="shared" si="118"/>
        <v>1</v>
      </c>
      <c r="BV325" s="561">
        <f t="shared" si="118"/>
        <v>1</v>
      </c>
      <c r="BW325" s="561">
        <f t="shared" si="118"/>
        <v>1</v>
      </c>
      <c r="BX325" s="561">
        <f t="shared" si="118"/>
        <v>1</v>
      </c>
      <c r="BY325" s="561">
        <f t="shared" si="118"/>
        <v>1</v>
      </c>
      <c r="BZ325" s="561">
        <f t="shared" si="118"/>
        <v>1</v>
      </c>
      <c r="CA325" s="561">
        <f t="shared" si="118"/>
        <v>1</v>
      </c>
      <c r="CB325" s="561">
        <f t="shared" si="118"/>
        <v>2</v>
      </c>
      <c r="CC325" s="561">
        <f t="shared" si="118"/>
        <v>0</v>
      </c>
      <c r="CD325" s="561">
        <f t="shared" si="118"/>
        <v>1</v>
      </c>
    </row>
    <row r="326" spans="1:104" x14ac:dyDescent="0.3">
      <c r="A326" s="561">
        <f>A150</f>
        <v>577</v>
      </c>
      <c r="B326" s="561" t="str">
        <f t="shared" ref="B326:BM326" si="119">B150</f>
        <v>Yes  or "1" indicates unit has defined benefit other than the ones adm. By the state</v>
      </c>
      <c r="C326" s="561">
        <f t="shared" si="119"/>
        <v>0</v>
      </c>
      <c r="D326" s="561">
        <f t="shared" si="119"/>
        <v>0</v>
      </c>
      <c r="E326" s="561">
        <f t="shared" si="119"/>
        <v>0</v>
      </c>
      <c r="F326" s="561">
        <f t="shared" si="119"/>
        <v>0</v>
      </c>
      <c r="G326" s="561">
        <f t="shared" si="119"/>
        <v>2</v>
      </c>
      <c r="H326" s="561">
        <f t="shared" si="119"/>
        <v>2</v>
      </c>
      <c r="I326" s="561">
        <f t="shared" si="119"/>
        <v>2</v>
      </c>
      <c r="J326" s="561">
        <f t="shared" si="119"/>
        <v>0</v>
      </c>
      <c r="K326" s="561">
        <f t="shared" si="119"/>
        <v>0</v>
      </c>
      <c r="L326" s="561">
        <f t="shared" si="119"/>
        <v>2</v>
      </c>
      <c r="M326" s="561">
        <f t="shared" si="119"/>
        <v>2</v>
      </c>
      <c r="N326" s="561">
        <f t="shared" si="119"/>
        <v>2</v>
      </c>
      <c r="O326" s="561">
        <f t="shared" si="119"/>
        <v>2</v>
      </c>
      <c r="P326" s="561">
        <f t="shared" si="119"/>
        <v>2</v>
      </c>
      <c r="Q326" s="561">
        <f t="shared" si="119"/>
        <v>2</v>
      </c>
      <c r="R326" s="561">
        <f t="shared" si="119"/>
        <v>2</v>
      </c>
      <c r="S326" s="561">
        <f t="shared" si="119"/>
        <v>0</v>
      </c>
      <c r="T326" s="561">
        <f t="shared" si="119"/>
        <v>2</v>
      </c>
      <c r="U326" s="561">
        <f t="shared" si="119"/>
        <v>2</v>
      </c>
      <c r="V326" s="561">
        <f t="shared" si="119"/>
        <v>2</v>
      </c>
      <c r="W326" s="561">
        <f t="shared" si="119"/>
        <v>2</v>
      </c>
      <c r="X326" s="561">
        <f t="shared" si="119"/>
        <v>0</v>
      </c>
      <c r="Y326" s="561">
        <f t="shared" si="119"/>
        <v>2</v>
      </c>
      <c r="Z326" s="561">
        <f t="shared" si="119"/>
        <v>2</v>
      </c>
      <c r="AA326" s="561">
        <f t="shared" si="119"/>
        <v>2</v>
      </c>
      <c r="AB326" s="561">
        <f t="shared" si="119"/>
        <v>2</v>
      </c>
      <c r="AC326" s="561">
        <f t="shared" si="119"/>
        <v>2</v>
      </c>
      <c r="AD326" s="561">
        <f t="shared" si="119"/>
        <v>2</v>
      </c>
      <c r="AE326" s="561">
        <f t="shared" si="119"/>
        <v>2</v>
      </c>
      <c r="AF326" s="561">
        <f t="shared" si="119"/>
        <v>2</v>
      </c>
      <c r="AG326" s="561">
        <f t="shared" si="119"/>
        <v>2</v>
      </c>
      <c r="AH326" s="561">
        <f t="shared" si="119"/>
        <v>2</v>
      </c>
      <c r="AI326" s="561">
        <f t="shared" si="119"/>
        <v>2</v>
      </c>
      <c r="AJ326" s="561">
        <f t="shared" si="119"/>
        <v>2</v>
      </c>
      <c r="AK326" s="561">
        <f t="shared" si="119"/>
        <v>0</v>
      </c>
      <c r="AL326" s="561">
        <f t="shared" si="119"/>
        <v>0</v>
      </c>
      <c r="AM326" s="561">
        <f t="shared" si="119"/>
        <v>2</v>
      </c>
      <c r="AN326" s="561">
        <f t="shared" si="119"/>
        <v>2</v>
      </c>
      <c r="AO326" s="561">
        <f t="shared" si="119"/>
        <v>2</v>
      </c>
      <c r="AP326" s="561">
        <f t="shared" si="119"/>
        <v>2</v>
      </c>
      <c r="AQ326" s="561">
        <f t="shared" si="119"/>
        <v>2</v>
      </c>
      <c r="AR326" s="561">
        <f t="shared" si="119"/>
        <v>1</v>
      </c>
      <c r="AS326" s="561">
        <f t="shared" si="119"/>
        <v>0</v>
      </c>
      <c r="AT326" s="561">
        <f t="shared" si="119"/>
        <v>2</v>
      </c>
      <c r="AU326" s="561">
        <f t="shared" si="119"/>
        <v>2</v>
      </c>
      <c r="AV326" s="561">
        <f t="shared" si="119"/>
        <v>2</v>
      </c>
      <c r="AW326" s="561">
        <f t="shared" si="119"/>
        <v>2</v>
      </c>
      <c r="AX326" s="561">
        <f t="shared" si="119"/>
        <v>2</v>
      </c>
      <c r="AY326" s="561">
        <f t="shared" si="119"/>
        <v>2</v>
      </c>
      <c r="AZ326" s="561">
        <f t="shared" si="119"/>
        <v>2</v>
      </c>
      <c r="BA326" s="561">
        <f t="shared" si="119"/>
        <v>2</v>
      </c>
      <c r="BB326" s="561">
        <f t="shared" si="119"/>
        <v>0</v>
      </c>
      <c r="BC326" s="561">
        <f t="shared" si="119"/>
        <v>2</v>
      </c>
      <c r="BD326" s="561">
        <f t="shared" si="119"/>
        <v>2</v>
      </c>
      <c r="BE326" s="561">
        <f t="shared" si="119"/>
        <v>2</v>
      </c>
      <c r="BF326" s="561">
        <f t="shared" si="119"/>
        <v>2</v>
      </c>
      <c r="BG326" s="561">
        <f t="shared" si="119"/>
        <v>2</v>
      </c>
      <c r="BH326" s="561">
        <f t="shared" si="119"/>
        <v>0</v>
      </c>
      <c r="BI326" s="561">
        <f t="shared" si="119"/>
        <v>2</v>
      </c>
      <c r="BJ326" s="561">
        <f t="shared" si="119"/>
        <v>2</v>
      </c>
      <c r="BK326" s="561">
        <f t="shared" si="119"/>
        <v>2</v>
      </c>
      <c r="BL326" s="561">
        <f t="shared" si="119"/>
        <v>0</v>
      </c>
      <c r="BM326" s="561">
        <f t="shared" si="119"/>
        <v>0</v>
      </c>
      <c r="BN326" s="561">
        <f t="shared" ref="BN326:BR326" si="120">BN150</f>
        <v>2</v>
      </c>
      <c r="BO326" s="561">
        <f t="shared" si="120"/>
        <v>2</v>
      </c>
      <c r="BP326" s="561">
        <f t="shared" si="120"/>
        <v>2</v>
      </c>
      <c r="BQ326" s="561">
        <f t="shared" si="120"/>
        <v>2</v>
      </c>
      <c r="BR326" s="561">
        <f t="shared" si="120"/>
        <v>2</v>
      </c>
      <c r="BS326" s="561">
        <f t="shared" ref="BS326:CD326" si="121">BS150</f>
        <v>2</v>
      </c>
      <c r="BT326" s="561">
        <f t="shared" si="121"/>
        <v>2</v>
      </c>
      <c r="BU326" s="561">
        <f t="shared" si="121"/>
        <v>2</v>
      </c>
      <c r="BV326" s="561">
        <f t="shared" si="121"/>
        <v>0</v>
      </c>
      <c r="BW326" s="561">
        <f t="shared" si="121"/>
        <v>2</v>
      </c>
      <c r="BX326" s="561">
        <f t="shared" si="121"/>
        <v>2</v>
      </c>
      <c r="BY326" s="561">
        <f t="shared" si="121"/>
        <v>0</v>
      </c>
      <c r="BZ326" s="561">
        <f t="shared" si="121"/>
        <v>2</v>
      </c>
      <c r="CA326" s="561">
        <f t="shared" si="121"/>
        <v>2</v>
      </c>
      <c r="CB326" s="561">
        <f t="shared" si="121"/>
        <v>2</v>
      </c>
      <c r="CC326" s="561">
        <f t="shared" si="121"/>
        <v>0</v>
      </c>
      <c r="CD326" s="561">
        <f t="shared" si="121"/>
        <v>2</v>
      </c>
      <c r="CE326" s="558"/>
      <c r="CF326" s="558"/>
      <c r="CG326" s="558"/>
      <c r="CH326" s="558"/>
      <c r="CI326" s="558"/>
      <c r="CJ326" s="558"/>
      <c r="CK326" s="558"/>
      <c r="CL326" s="558"/>
      <c r="CM326" s="558"/>
      <c r="CN326" s="558"/>
      <c r="CO326" s="558"/>
      <c r="CP326" s="558"/>
      <c r="CQ326" s="558"/>
      <c r="CR326" s="558"/>
      <c r="CS326" s="558"/>
      <c r="CT326" s="558"/>
      <c r="CU326" s="558"/>
      <c r="CV326" s="558"/>
      <c r="CW326" s="558"/>
      <c r="CX326" s="558"/>
      <c r="CY326" s="558"/>
      <c r="CZ326" s="558"/>
    </row>
    <row r="327" spans="1:104" x14ac:dyDescent="0.3">
      <c r="A327" s="561">
        <f>A229</f>
        <v>991</v>
      </c>
      <c r="B327" s="561" t="str">
        <f t="shared" ref="B327:BM327" si="122">B229</f>
        <v>The Counties listed in cell H260 are scheduled to revalue property listing by 1/1/2022 according to the Dept. of Revenue records.  Please indicate if you expect your revaluation to increase, decrease, or no change.  If you are not listed please select N/A</v>
      </c>
      <c r="C327" s="561">
        <f t="shared" si="122"/>
        <v>0</v>
      </c>
      <c r="D327" s="561">
        <f t="shared" si="122"/>
        <v>0</v>
      </c>
      <c r="E327" s="561">
        <f t="shared" si="122"/>
        <v>20</v>
      </c>
      <c r="F327" s="561">
        <f t="shared" si="122"/>
        <v>0</v>
      </c>
      <c r="G327" s="561">
        <f t="shared" si="122"/>
        <v>22</v>
      </c>
      <c r="H327" s="561">
        <f t="shared" si="122"/>
        <v>23</v>
      </c>
      <c r="I327" s="561">
        <f t="shared" si="122"/>
        <v>23</v>
      </c>
      <c r="J327" s="561">
        <f t="shared" si="122"/>
        <v>23</v>
      </c>
      <c r="K327" s="561">
        <f t="shared" si="122"/>
        <v>23</v>
      </c>
      <c r="L327" s="561">
        <f t="shared" si="122"/>
        <v>23</v>
      </c>
      <c r="M327" s="561">
        <f t="shared" si="122"/>
        <v>23</v>
      </c>
      <c r="N327" s="561">
        <f t="shared" si="122"/>
        <v>23</v>
      </c>
      <c r="O327" s="561">
        <f t="shared" si="122"/>
        <v>23</v>
      </c>
      <c r="P327" s="561">
        <f t="shared" si="122"/>
        <v>22</v>
      </c>
      <c r="Q327" s="561">
        <f t="shared" si="122"/>
        <v>23</v>
      </c>
      <c r="R327" s="561">
        <f t="shared" si="122"/>
        <v>23</v>
      </c>
      <c r="S327" s="561">
        <f t="shared" si="122"/>
        <v>23</v>
      </c>
      <c r="T327" s="561">
        <f t="shared" si="122"/>
        <v>23</v>
      </c>
      <c r="U327" s="561">
        <f t="shared" si="122"/>
        <v>23</v>
      </c>
      <c r="V327" s="561">
        <f t="shared" si="122"/>
        <v>23</v>
      </c>
      <c r="W327" s="561">
        <f t="shared" si="122"/>
        <v>20</v>
      </c>
      <c r="X327" s="561">
        <f t="shared" si="122"/>
        <v>0</v>
      </c>
      <c r="Y327" s="561">
        <f t="shared" si="122"/>
        <v>23</v>
      </c>
      <c r="Z327" s="561">
        <f t="shared" si="122"/>
        <v>0</v>
      </c>
      <c r="AA327" s="561">
        <f t="shared" si="122"/>
        <v>23</v>
      </c>
      <c r="AB327" s="561">
        <f t="shared" si="122"/>
        <v>23</v>
      </c>
      <c r="AC327" s="561">
        <f t="shared" si="122"/>
        <v>23</v>
      </c>
      <c r="AD327" s="561">
        <f t="shared" si="122"/>
        <v>22</v>
      </c>
      <c r="AE327" s="561">
        <f t="shared" si="122"/>
        <v>23</v>
      </c>
      <c r="AF327" s="561">
        <f t="shared" si="122"/>
        <v>23</v>
      </c>
      <c r="AG327" s="561">
        <f t="shared" si="122"/>
        <v>20</v>
      </c>
      <c r="AH327" s="561">
        <f t="shared" si="122"/>
        <v>22</v>
      </c>
      <c r="AI327" s="561">
        <f t="shared" si="122"/>
        <v>23</v>
      </c>
      <c r="AJ327" s="561">
        <f t="shared" si="122"/>
        <v>22</v>
      </c>
      <c r="AK327" s="561">
        <f t="shared" si="122"/>
        <v>0</v>
      </c>
      <c r="AL327" s="561">
        <f t="shared" si="122"/>
        <v>0</v>
      </c>
      <c r="AM327" s="561">
        <f t="shared" si="122"/>
        <v>23</v>
      </c>
      <c r="AN327" s="561">
        <f t="shared" si="122"/>
        <v>23</v>
      </c>
      <c r="AO327" s="561">
        <f t="shared" si="122"/>
        <v>23</v>
      </c>
      <c r="AP327" s="561">
        <f t="shared" si="122"/>
        <v>23</v>
      </c>
      <c r="AQ327" s="561">
        <f t="shared" si="122"/>
        <v>23</v>
      </c>
      <c r="AR327" s="561">
        <f t="shared" si="122"/>
        <v>23</v>
      </c>
      <c r="AS327" s="561">
        <f t="shared" si="122"/>
        <v>22</v>
      </c>
      <c r="AT327" s="561">
        <f t="shared" si="122"/>
        <v>23</v>
      </c>
      <c r="AU327" s="561">
        <f t="shared" si="122"/>
        <v>23</v>
      </c>
      <c r="AV327" s="561">
        <f t="shared" si="122"/>
        <v>22</v>
      </c>
      <c r="AW327" s="561">
        <f t="shared" si="122"/>
        <v>23</v>
      </c>
      <c r="AX327" s="561">
        <f t="shared" si="122"/>
        <v>23</v>
      </c>
      <c r="AY327" s="561">
        <f t="shared" si="122"/>
        <v>23</v>
      </c>
      <c r="AZ327" s="561">
        <f t="shared" si="122"/>
        <v>22</v>
      </c>
      <c r="BA327" s="561">
        <f t="shared" si="122"/>
        <v>23</v>
      </c>
      <c r="BB327" s="561">
        <f t="shared" si="122"/>
        <v>0</v>
      </c>
      <c r="BC327" s="561">
        <f t="shared" si="122"/>
        <v>23</v>
      </c>
      <c r="BD327" s="561">
        <f t="shared" si="122"/>
        <v>22</v>
      </c>
      <c r="BE327" s="561">
        <f t="shared" si="122"/>
        <v>23</v>
      </c>
      <c r="BF327" s="561">
        <f t="shared" si="122"/>
        <v>0</v>
      </c>
      <c r="BG327" s="561">
        <f t="shared" si="122"/>
        <v>23</v>
      </c>
      <c r="BH327" s="561">
        <f t="shared" si="122"/>
        <v>23</v>
      </c>
      <c r="BI327" s="561">
        <f t="shared" si="122"/>
        <v>23</v>
      </c>
      <c r="BJ327" s="561">
        <f t="shared" si="122"/>
        <v>23</v>
      </c>
      <c r="BK327" s="561">
        <f t="shared" si="122"/>
        <v>23</v>
      </c>
      <c r="BL327" s="561">
        <f t="shared" si="122"/>
        <v>0</v>
      </c>
      <c r="BM327" s="561">
        <f t="shared" si="122"/>
        <v>0</v>
      </c>
      <c r="BN327" s="561">
        <f t="shared" ref="BN327:BR327" si="123">BN229</f>
        <v>23</v>
      </c>
      <c r="BO327" s="561">
        <f t="shared" si="123"/>
        <v>23</v>
      </c>
      <c r="BP327" s="561">
        <f t="shared" si="123"/>
        <v>23</v>
      </c>
      <c r="BQ327" s="561">
        <f t="shared" si="123"/>
        <v>0</v>
      </c>
      <c r="BR327" s="561">
        <f t="shared" si="123"/>
        <v>20</v>
      </c>
      <c r="BS327" s="561">
        <f t="shared" ref="BS327:CD327" si="124">BS229</f>
        <v>23</v>
      </c>
      <c r="BT327" s="561">
        <f t="shared" si="124"/>
        <v>23</v>
      </c>
      <c r="BU327" s="561">
        <f t="shared" si="124"/>
        <v>23</v>
      </c>
      <c r="BV327" s="561">
        <f t="shared" si="124"/>
        <v>23</v>
      </c>
      <c r="BW327" s="561">
        <f t="shared" si="124"/>
        <v>23</v>
      </c>
      <c r="BX327" s="561">
        <f t="shared" si="124"/>
        <v>23</v>
      </c>
      <c r="BY327" s="561">
        <f t="shared" si="124"/>
        <v>23</v>
      </c>
      <c r="BZ327" s="561">
        <f t="shared" si="124"/>
        <v>23</v>
      </c>
      <c r="CA327" s="561">
        <f t="shared" si="124"/>
        <v>23</v>
      </c>
      <c r="CB327" s="561">
        <f t="shared" si="124"/>
        <v>23</v>
      </c>
      <c r="CC327" s="561">
        <f t="shared" si="124"/>
        <v>0</v>
      </c>
      <c r="CD327" s="561">
        <f t="shared" si="124"/>
        <v>21</v>
      </c>
      <c r="CE327" s="558"/>
      <c r="CF327" s="558"/>
      <c r="CG327" s="558"/>
      <c r="CH327" s="558"/>
      <c r="CI327" s="558"/>
      <c r="CJ327" s="558"/>
      <c r="CK327" s="558"/>
      <c r="CL327" s="558"/>
      <c r="CM327" s="558"/>
      <c r="CN327" s="558"/>
      <c r="CO327" s="558"/>
      <c r="CP327" s="558"/>
      <c r="CQ327" s="558"/>
      <c r="CR327" s="558"/>
      <c r="CS327" s="558"/>
      <c r="CT327" s="558"/>
      <c r="CU327" s="558"/>
      <c r="CV327" s="558"/>
      <c r="CW327" s="558"/>
      <c r="CX327" s="558"/>
      <c r="CY327" s="558"/>
      <c r="CZ327" s="558"/>
    </row>
    <row r="328" spans="1:104" x14ac:dyDescent="0.3">
      <c r="A328" s="555" t="s">
        <v>980</v>
      </c>
      <c r="B328" s="180"/>
      <c r="C328" s="180"/>
      <c r="D328" s="566">
        <f>SUM(D285:D327)</f>
        <v>50304.01</v>
      </c>
      <c r="E328" s="566">
        <f>SUM(E285:E327)</f>
        <v>639801</v>
      </c>
      <c r="F328" s="566">
        <f t="shared" ref="F328:BQ328" si="125">SUM(F285:F327)</f>
        <v>50306.01</v>
      </c>
      <c r="G328" s="566">
        <f t="shared" si="125"/>
        <v>17180178</v>
      </c>
      <c r="H328" s="566">
        <f t="shared" si="125"/>
        <v>15424953</v>
      </c>
      <c r="I328" s="566">
        <f t="shared" si="125"/>
        <v>19055067</v>
      </c>
      <c r="J328" s="566">
        <f t="shared" si="125"/>
        <v>450108.01</v>
      </c>
      <c r="K328" s="566">
        <f t="shared" si="125"/>
        <v>3563445</v>
      </c>
      <c r="L328" s="566">
        <f t="shared" si="125"/>
        <v>1829612</v>
      </c>
      <c r="M328" s="566">
        <f t="shared" si="125"/>
        <v>155013699</v>
      </c>
      <c r="N328" s="566">
        <f t="shared" si="125"/>
        <v>2320660</v>
      </c>
      <c r="O328" s="566">
        <f t="shared" si="125"/>
        <v>33673065.009999998</v>
      </c>
      <c r="P328" s="566">
        <f t="shared" si="125"/>
        <v>700995</v>
      </c>
      <c r="Q328" s="566">
        <f t="shared" si="125"/>
        <v>501766487.07999998</v>
      </c>
      <c r="R328" s="566">
        <f t="shared" si="125"/>
        <v>11253990.01</v>
      </c>
      <c r="S328" s="566">
        <f t="shared" si="125"/>
        <v>455752</v>
      </c>
      <c r="T328" s="566">
        <f t="shared" si="125"/>
        <v>640406528.00999999</v>
      </c>
      <c r="U328" s="566">
        <f t="shared" si="125"/>
        <v>135855389.00999999</v>
      </c>
      <c r="V328" s="566">
        <f t="shared" si="125"/>
        <v>183262057.07999998</v>
      </c>
      <c r="W328" s="566">
        <f t="shared" si="125"/>
        <v>397832369</v>
      </c>
      <c r="X328" s="566">
        <f t="shared" si="125"/>
        <v>50315.01</v>
      </c>
      <c r="Y328" s="566">
        <f t="shared" si="125"/>
        <v>100744992.00999999</v>
      </c>
      <c r="Z328" s="566">
        <f t="shared" si="125"/>
        <v>8284748.0099999998</v>
      </c>
      <c r="AA328" s="566">
        <f t="shared" si="125"/>
        <v>132585370.08999999</v>
      </c>
      <c r="AB328" s="566">
        <f t="shared" si="125"/>
        <v>23153866.009999998</v>
      </c>
      <c r="AC328" s="566">
        <f t="shared" si="125"/>
        <v>19776113.009999998</v>
      </c>
      <c r="AD328" s="566">
        <f t="shared" si="125"/>
        <v>7716964.0099999998</v>
      </c>
      <c r="AE328" s="566">
        <f t="shared" si="125"/>
        <v>25236624.009999998</v>
      </c>
      <c r="AF328" s="566">
        <f t="shared" si="125"/>
        <v>176925222.00999999</v>
      </c>
      <c r="AG328" s="566">
        <f t="shared" si="125"/>
        <v>32229301.039999999</v>
      </c>
      <c r="AH328" s="566">
        <f t="shared" si="125"/>
        <v>6051086</v>
      </c>
      <c r="AI328" s="566">
        <f t="shared" si="125"/>
        <v>308968273.09660006</v>
      </c>
      <c r="AJ328" s="566">
        <f t="shared" si="125"/>
        <v>10487364.01</v>
      </c>
      <c r="AK328" s="566">
        <f t="shared" si="125"/>
        <v>50326.01</v>
      </c>
      <c r="AL328" s="566">
        <f t="shared" si="125"/>
        <v>50328.01</v>
      </c>
      <c r="AM328" s="566">
        <f t="shared" si="125"/>
        <v>115642107.08</v>
      </c>
      <c r="AN328" s="566">
        <f t="shared" si="125"/>
        <v>2146330.0099999998</v>
      </c>
      <c r="AO328" s="566">
        <f t="shared" si="125"/>
        <v>3073079.01</v>
      </c>
      <c r="AP328" s="566">
        <f t="shared" si="125"/>
        <v>412049</v>
      </c>
      <c r="AQ328" s="566">
        <f t="shared" si="125"/>
        <v>74890625</v>
      </c>
      <c r="AR328" s="566">
        <f t="shared" si="125"/>
        <v>157009288.00999999</v>
      </c>
      <c r="AS328" s="566">
        <f t="shared" si="125"/>
        <v>1814495</v>
      </c>
      <c r="AT328" s="566">
        <f t="shared" si="125"/>
        <v>11940224.01</v>
      </c>
      <c r="AU328" s="566">
        <f t="shared" si="125"/>
        <v>1647632.0899999999</v>
      </c>
      <c r="AV328" s="566">
        <f t="shared" si="125"/>
        <v>174124726.00999999</v>
      </c>
      <c r="AW328" s="566">
        <f t="shared" si="125"/>
        <v>27890484</v>
      </c>
      <c r="AX328" s="566">
        <f t="shared" si="125"/>
        <v>8389944.0099999998</v>
      </c>
      <c r="AY328" s="566">
        <f t="shared" si="125"/>
        <v>73271953.00999999</v>
      </c>
      <c r="AZ328" s="566">
        <f t="shared" si="125"/>
        <v>8133082.0099999998</v>
      </c>
      <c r="BA328" s="566">
        <f t="shared" si="125"/>
        <v>5125527.01</v>
      </c>
      <c r="BB328" s="566">
        <f t="shared" si="125"/>
        <v>249782</v>
      </c>
      <c r="BC328" s="566">
        <f t="shared" si="125"/>
        <v>1676463.01</v>
      </c>
      <c r="BD328" s="566">
        <f t="shared" si="125"/>
        <v>80621417.00999999</v>
      </c>
      <c r="BE328" s="566">
        <f t="shared" si="125"/>
        <v>1079177</v>
      </c>
      <c r="BF328" s="566">
        <f t="shared" si="125"/>
        <v>2090437.01</v>
      </c>
      <c r="BG328" s="566">
        <f t="shared" si="125"/>
        <v>986911.01</v>
      </c>
      <c r="BH328" s="566">
        <f t="shared" si="125"/>
        <v>540417</v>
      </c>
      <c r="BI328" s="566">
        <f t="shared" si="125"/>
        <v>1604405.01</v>
      </c>
      <c r="BJ328" s="566">
        <f t="shared" si="125"/>
        <v>966659</v>
      </c>
      <c r="BK328" s="566">
        <f t="shared" si="125"/>
        <v>25389477.009999998</v>
      </c>
      <c r="BL328" s="566">
        <f t="shared" si="125"/>
        <v>50346.09</v>
      </c>
      <c r="BM328" s="566">
        <f t="shared" si="125"/>
        <v>50347.01</v>
      </c>
      <c r="BN328" s="566">
        <f t="shared" si="125"/>
        <v>30972363.009999998</v>
      </c>
      <c r="BO328" s="566">
        <f t="shared" si="125"/>
        <v>6645201.0099999998</v>
      </c>
      <c r="BP328" s="566">
        <f t="shared" si="125"/>
        <v>9045591.0099999998</v>
      </c>
      <c r="BQ328" s="566">
        <f t="shared" si="125"/>
        <v>84940483.920000002</v>
      </c>
      <c r="BR328" s="566">
        <f t="shared" ref="BR328:CD328" si="126">SUM(BR285:BR327)</f>
        <v>7930928.0999999996</v>
      </c>
      <c r="BS328" s="566">
        <f t="shared" si="126"/>
        <v>167011676.06999999</v>
      </c>
      <c r="BT328" s="566">
        <f t="shared" si="126"/>
        <v>3714316.01</v>
      </c>
      <c r="BU328" s="566">
        <f t="shared" si="126"/>
        <v>31296905.009999998</v>
      </c>
      <c r="BV328" s="566">
        <f t="shared" si="126"/>
        <v>9725334</v>
      </c>
      <c r="BW328" s="566">
        <f t="shared" si="126"/>
        <v>11807044.01</v>
      </c>
      <c r="BX328" s="566">
        <f t="shared" si="126"/>
        <v>7619043.0099999998</v>
      </c>
      <c r="BY328" s="566">
        <f t="shared" si="126"/>
        <v>1026991.01</v>
      </c>
      <c r="BZ328" s="566">
        <f t="shared" si="126"/>
        <v>7609979.0099999998</v>
      </c>
      <c r="CA328" s="566">
        <f t="shared" si="126"/>
        <v>575872.01</v>
      </c>
      <c r="CB328" s="566">
        <f t="shared" si="126"/>
        <v>11612427.01</v>
      </c>
      <c r="CC328" s="566">
        <f t="shared" si="126"/>
        <v>50360</v>
      </c>
      <c r="CD328" s="566">
        <f t="shared" si="126"/>
        <v>671491.01</v>
      </c>
      <c r="CE328" s="566"/>
      <c r="CF328" s="566"/>
      <c r="CG328" s="566"/>
      <c r="CH328" s="566"/>
      <c r="CI328" s="566"/>
      <c r="CJ328" s="566"/>
      <c r="CK328" s="566"/>
      <c r="CL328" s="566"/>
      <c r="CM328" s="566"/>
      <c r="CN328" s="566"/>
      <c r="CO328" s="566"/>
      <c r="CP328" s="566"/>
      <c r="CQ328" s="566"/>
      <c r="CR328" s="566"/>
      <c r="CS328" s="566"/>
      <c r="CT328" s="566"/>
      <c r="CU328" s="566"/>
      <c r="CV328" s="566"/>
      <c r="CW328" s="566"/>
      <c r="CX328" s="566"/>
      <c r="CY328" s="566"/>
      <c r="CZ328" s="566"/>
    </row>
    <row r="329" spans="1:104" x14ac:dyDescent="0.3">
      <c r="A329" s="555"/>
      <c r="B329" s="180"/>
      <c r="C329" s="180"/>
      <c r="D329" s="566"/>
      <c r="E329" s="566">
        <f>E259-E328</f>
        <v>2340020.2000000002</v>
      </c>
      <c r="F329" s="566">
        <f t="shared" ref="F329:BQ329" si="127">F259-F328</f>
        <v>0</v>
      </c>
      <c r="G329" s="566">
        <f t="shared" si="127"/>
        <v>78093495.129999995</v>
      </c>
      <c r="H329" s="566">
        <f t="shared" si="127"/>
        <v>76545006.540000007</v>
      </c>
      <c r="I329" s="566">
        <f t="shared" si="127"/>
        <v>102001029.87</v>
      </c>
      <c r="J329" s="566">
        <f t="shared" si="127"/>
        <v>12773666.02</v>
      </c>
      <c r="K329" s="566">
        <f t="shared" si="127"/>
        <v>14599204.320999999</v>
      </c>
      <c r="L329" s="566">
        <f t="shared" si="127"/>
        <v>10155199.17</v>
      </c>
      <c r="M329" s="566">
        <f t="shared" si="127"/>
        <v>485233796.16499996</v>
      </c>
      <c r="N329" s="566">
        <f t="shared" si="127"/>
        <v>11758332.380000001</v>
      </c>
      <c r="O329" s="566">
        <f t="shared" si="127"/>
        <v>292585553.91000003</v>
      </c>
      <c r="P329" s="566">
        <f t="shared" si="127"/>
        <v>3510571.45</v>
      </c>
      <c r="Q329" s="566">
        <f>Q259-Q328</f>
        <v>3502707320.7925</v>
      </c>
      <c r="R329" s="566">
        <f t="shared" si="127"/>
        <v>53207343.130000003</v>
      </c>
      <c r="S329" s="566">
        <f t="shared" si="127"/>
        <v>1764486</v>
      </c>
      <c r="T329" s="566">
        <f t="shared" si="127"/>
        <v>3055443471.2799997</v>
      </c>
      <c r="U329" s="566">
        <f t="shared" si="127"/>
        <v>697252754.94000006</v>
      </c>
      <c r="V329" s="566">
        <f t="shared" si="127"/>
        <v>1517825914.6500001</v>
      </c>
      <c r="W329" s="566">
        <f t="shared" si="127"/>
        <v>1069801920.0599999</v>
      </c>
      <c r="X329" s="566">
        <f t="shared" si="127"/>
        <v>0</v>
      </c>
      <c r="Y329" s="566">
        <f t="shared" si="127"/>
        <v>692633453.58000004</v>
      </c>
      <c r="Z329" s="566">
        <f t="shared" si="127"/>
        <v>103109971.42999999</v>
      </c>
      <c r="AA329" s="566">
        <f t="shared" si="127"/>
        <v>830183211.57499993</v>
      </c>
      <c r="AB329" s="566">
        <f t="shared" si="127"/>
        <v>237109726.80000001</v>
      </c>
      <c r="AC329" s="566">
        <f t="shared" si="127"/>
        <v>89242372.495000005</v>
      </c>
      <c r="AD329" s="566">
        <f t="shared" si="127"/>
        <v>92920782.5</v>
      </c>
      <c r="AE329" s="566">
        <f t="shared" si="127"/>
        <v>185143259.91</v>
      </c>
      <c r="AF329" s="566">
        <f t="shared" si="127"/>
        <v>748484984.26750004</v>
      </c>
      <c r="AG329" s="566">
        <f t="shared" si="127"/>
        <v>201778924.84999999</v>
      </c>
      <c r="AH329" s="566">
        <f t="shared" si="127"/>
        <v>31095791.289999999</v>
      </c>
      <c r="AI329" s="566">
        <f t="shared" si="127"/>
        <v>2096633417.9822001</v>
      </c>
      <c r="AJ329" s="566">
        <f t="shared" si="127"/>
        <v>55992508.240000002</v>
      </c>
      <c r="AK329" s="566">
        <f t="shared" si="127"/>
        <v>0</v>
      </c>
      <c r="AL329" s="566">
        <f t="shared" si="127"/>
        <v>0</v>
      </c>
      <c r="AM329" s="566">
        <f t="shared" si="127"/>
        <v>866734420.08999991</v>
      </c>
      <c r="AN329" s="566">
        <f t="shared" si="127"/>
        <v>23391334.770000003</v>
      </c>
      <c r="AO329" s="566">
        <f t="shared" si="127"/>
        <v>32335216.25</v>
      </c>
      <c r="AP329" s="566">
        <f t="shared" si="127"/>
        <v>1440646</v>
      </c>
      <c r="AQ329" s="566">
        <f t="shared" si="127"/>
        <v>254707772.41000003</v>
      </c>
      <c r="AR329" s="566">
        <f t="shared" si="127"/>
        <v>487935042.73000002</v>
      </c>
      <c r="AS329" s="566">
        <f t="shared" si="127"/>
        <v>9991663.8200000003</v>
      </c>
      <c r="AT329" s="566">
        <f t="shared" si="127"/>
        <v>148674000.20000002</v>
      </c>
      <c r="AU329" s="566">
        <f t="shared" si="127"/>
        <v>11925573.810000001</v>
      </c>
      <c r="AV329" s="566">
        <f t="shared" si="127"/>
        <v>1284685272.75</v>
      </c>
      <c r="AW329" s="566">
        <f t="shared" si="127"/>
        <v>65514731.530000001</v>
      </c>
      <c r="AX329" s="566">
        <f t="shared" si="127"/>
        <v>118527564.73999999</v>
      </c>
      <c r="AY329" s="566">
        <f t="shared" si="127"/>
        <v>321749708.10390002</v>
      </c>
      <c r="AZ329" s="566">
        <f t="shared" si="127"/>
        <v>70028025.579999998</v>
      </c>
      <c r="BA329" s="566">
        <f t="shared" si="127"/>
        <v>31695872.510000005</v>
      </c>
      <c r="BB329" s="566">
        <f t="shared" si="127"/>
        <v>1106363</v>
      </c>
      <c r="BC329" s="566">
        <f t="shared" si="127"/>
        <v>12704416.59</v>
      </c>
      <c r="BD329" s="566">
        <f t="shared" si="127"/>
        <v>560467047.65999997</v>
      </c>
      <c r="BE329" s="566">
        <f t="shared" si="127"/>
        <v>5659631.1600000001</v>
      </c>
      <c r="BF329" s="566">
        <f t="shared" si="127"/>
        <v>26309553.509999998</v>
      </c>
      <c r="BG329" s="566">
        <f t="shared" si="127"/>
        <v>20513077.239999998</v>
      </c>
      <c r="BH329" s="566">
        <f t="shared" si="127"/>
        <v>3629033.11</v>
      </c>
      <c r="BI329" s="566">
        <f t="shared" si="127"/>
        <v>23604882.449999999</v>
      </c>
      <c r="BJ329" s="566">
        <f t="shared" si="127"/>
        <v>4768692.085</v>
      </c>
      <c r="BK329" s="566">
        <f t="shared" si="127"/>
        <v>179251747.31</v>
      </c>
      <c r="BL329" s="566">
        <f t="shared" si="127"/>
        <v>0</v>
      </c>
      <c r="BM329" s="566">
        <f t="shared" si="127"/>
        <v>0</v>
      </c>
      <c r="BN329" s="566">
        <f t="shared" si="127"/>
        <v>132267129.89300001</v>
      </c>
      <c r="BO329" s="566">
        <f t="shared" si="127"/>
        <v>71239922.399999991</v>
      </c>
      <c r="BP329" s="566">
        <f t="shared" si="127"/>
        <v>49052405.880000003</v>
      </c>
      <c r="BQ329" s="566">
        <f t="shared" si="127"/>
        <v>408953632.15499997</v>
      </c>
      <c r="BR329" s="566">
        <f t="shared" ref="BR329:CD329" si="128">BR259-BR328</f>
        <v>94008052.830000013</v>
      </c>
      <c r="BS329" s="566">
        <f t="shared" si="128"/>
        <v>609729136.20000005</v>
      </c>
      <c r="BT329" s="566">
        <f t="shared" si="128"/>
        <v>53448049.039999999</v>
      </c>
      <c r="BU329" s="566">
        <f t="shared" si="128"/>
        <v>275265166.99330002</v>
      </c>
      <c r="BV329" s="566">
        <f t="shared" si="128"/>
        <v>37426373.329999998</v>
      </c>
      <c r="BW329" s="566">
        <f t="shared" si="128"/>
        <v>126537300.01000001</v>
      </c>
      <c r="BX329" s="566">
        <f t="shared" si="128"/>
        <v>49879789.039999999</v>
      </c>
      <c r="BY329" s="566">
        <f t="shared" si="128"/>
        <v>6201336.1800000006</v>
      </c>
      <c r="BZ329" s="566">
        <f t="shared" si="128"/>
        <v>38833538.550000004</v>
      </c>
      <c r="CA329" s="566">
        <f t="shared" si="128"/>
        <v>22061294.939999998</v>
      </c>
      <c r="CB329" s="566">
        <f t="shared" si="128"/>
        <v>66222458.449999996</v>
      </c>
      <c r="CC329" s="566">
        <f t="shared" si="128"/>
        <v>0</v>
      </c>
      <c r="CD329" s="566">
        <f t="shared" si="128"/>
        <v>6963229.3900000006</v>
      </c>
      <c r="CE329" s="566"/>
      <c r="CF329" s="566"/>
      <c r="CG329" s="566"/>
      <c r="CH329" s="566"/>
      <c r="CI329" s="566"/>
      <c r="CJ329" s="566"/>
      <c r="CK329" s="566"/>
      <c r="CL329" s="566"/>
      <c r="CM329" s="566"/>
      <c r="CN329" s="566"/>
      <c r="CO329" s="566"/>
      <c r="CP329" s="566"/>
      <c r="CQ329" s="566"/>
      <c r="CR329" s="566"/>
      <c r="CS329" s="566"/>
      <c r="CT329" s="566"/>
      <c r="CU329" s="566"/>
      <c r="CV329" s="566"/>
      <c r="CW329" s="566"/>
      <c r="CX329" s="566"/>
      <c r="CY329" s="566"/>
      <c r="CZ329" s="566"/>
    </row>
    <row r="330" spans="1:104" x14ac:dyDescent="0.3">
      <c r="A330" s="555" t="s">
        <v>1678</v>
      </c>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row>
    <row r="331" spans="1:104" x14ac:dyDescent="0.3">
      <c r="A331" s="555"/>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row>
    <row r="332" spans="1:104" x14ac:dyDescent="0.3">
      <c r="A332" s="557">
        <f>A260</f>
        <v>9001</v>
      </c>
      <c r="B332" s="557">
        <v>385</v>
      </c>
      <c r="D332">
        <f>D260</f>
        <v>0</v>
      </c>
      <c r="E332" s="180">
        <f t="shared" ref="E332:BP333" si="129">E260</f>
        <v>433917</v>
      </c>
      <c r="F332" s="180">
        <f t="shared" si="129"/>
        <v>0</v>
      </c>
      <c r="G332" s="180">
        <f t="shared" si="129"/>
        <v>14709404</v>
      </c>
      <c r="H332" s="180">
        <f t="shared" si="129"/>
        <v>13380439</v>
      </c>
      <c r="I332" s="180">
        <f t="shared" si="129"/>
        <v>16077113</v>
      </c>
      <c r="J332" s="180">
        <f t="shared" si="129"/>
        <v>254056</v>
      </c>
      <c r="K332" s="180">
        <f t="shared" si="129"/>
        <v>3116005</v>
      </c>
      <c r="L332" s="180">
        <f t="shared" si="129"/>
        <v>1580235</v>
      </c>
      <c r="M332" s="180">
        <f t="shared" si="129"/>
        <v>113612867</v>
      </c>
      <c r="N332" s="180">
        <f t="shared" si="129"/>
        <v>1709503</v>
      </c>
      <c r="O332" s="180">
        <f t="shared" si="129"/>
        <v>18925513</v>
      </c>
      <c r="P332" s="180">
        <f t="shared" si="129"/>
        <v>596504</v>
      </c>
      <c r="Q332" s="180">
        <f t="shared" si="129"/>
        <v>195565577</v>
      </c>
      <c r="R332" s="180">
        <f t="shared" si="129"/>
        <v>8303089</v>
      </c>
      <c r="S332" s="180">
        <f t="shared" si="129"/>
        <v>312429</v>
      </c>
      <c r="T332" s="180">
        <f t="shared" si="129"/>
        <v>339977169</v>
      </c>
      <c r="U332" s="180">
        <f t="shared" si="129"/>
        <v>81699933</v>
      </c>
      <c r="V332" s="180">
        <f t="shared" si="129"/>
        <v>87668673</v>
      </c>
      <c r="W332" s="180">
        <f t="shared" si="129"/>
        <v>283301634</v>
      </c>
      <c r="X332" s="180">
        <f t="shared" si="129"/>
        <v>0</v>
      </c>
      <c r="Y332" s="180">
        <f t="shared" si="129"/>
        <v>57538314</v>
      </c>
      <c r="Z332" s="180">
        <f t="shared" si="129"/>
        <v>3948215</v>
      </c>
      <c r="AA332" s="180">
        <f t="shared" si="129"/>
        <v>69907283</v>
      </c>
      <c r="AB332" s="180">
        <f t="shared" si="129"/>
        <v>8945562</v>
      </c>
      <c r="AC332" s="180">
        <f t="shared" si="129"/>
        <v>11249063</v>
      </c>
      <c r="AD332" s="180">
        <f t="shared" si="129"/>
        <v>4335120</v>
      </c>
      <c r="AE332" s="180">
        <f t="shared" si="129"/>
        <v>9199274</v>
      </c>
      <c r="AF332" s="180">
        <f t="shared" si="129"/>
        <v>95172101</v>
      </c>
      <c r="AG332" s="180">
        <f t="shared" si="129"/>
        <v>16922553</v>
      </c>
      <c r="AH332" s="180">
        <f t="shared" si="129"/>
        <v>5273693</v>
      </c>
      <c r="AI332" s="180">
        <f t="shared" si="129"/>
        <v>130900582</v>
      </c>
      <c r="AJ332" s="180">
        <f t="shared" si="129"/>
        <v>9088573</v>
      </c>
      <c r="AK332" s="180">
        <f t="shared" si="129"/>
        <v>0</v>
      </c>
      <c r="AL332" s="180">
        <f t="shared" si="129"/>
        <v>0</v>
      </c>
      <c r="AM332" s="180">
        <f t="shared" si="129"/>
        <v>45311059</v>
      </c>
      <c r="AN332" s="180">
        <f t="shared" si="129"/>
        <v>1417938</v>
      </c>
      <c r="AO332" s="180">
        <f t="shared" si="129"/>
        <v>1888955</v>
      </c>
      <c r="AP332" s="180">
        <f t="shared" si="129"/>
        <v>234393</v>
      </c>
      <c r="AQ332" s="180">
        <f t="shared" si="129"/>
        <v>52398919</v>
      </c>
      <c r="AR332" s="180">
        <f t="shared" si="129"/>
        <v>100289099</v>
      </c>
      <c r="AS332" s="180">
        <f t="shared" si="129"/>
        <v>1207407</v>
      </c>
      <c r="AT332" s="180">
        <f t="shared" si="129"/>
        <v>6481934</v>
      </c>
      <c r="AU332" s="180">
        <f t="shared" si="129"/>
        <v>599032</v>
      </c>
      <c r="AV332" s="180">
        <f t="shared" si="129"/>
        <v>88676621</v>
      </c>
      <c r="AW332" s="180">
        <f t="shared" si="129"/>
        <v>17157006</v>
      </c>
      <c r="AX332" s="180">
        <f t="shared" si="129"/>
        <v>5412211</v>
      </c>
      <c r="AY332" s="180">
        <f t="shared" si="129"/>
        <v>36454843</v>
      </c>
      <c r="AZ332" s="180">
        <f t="shared" si="129"/>
        <v>5472274</v>
      </c>
      <c r="BA332" s="180">
        <f t="shared" si="129"/>
        <v>4048534</v>
      </c>
      <c r="BB332" s="180">
        <f t="shared" si="129"/>
        <v>192244</v>
      </c>
      <c r="BC332" s="180">
        <f t="shared" si="129"/>
        <v>1169834</v>
      </c>
      <c r="BD332" s="180">
        <f t="shared" si="129"/>
        <v>22311685</v>
      </c>
      <c r="BE332" s="180">
        <f t="shared" si="129"/>
        <v>912813</v>
      </c>
      <c r="BF332" s="180">
        <f t="shared" si="129"/>
        <v>1264563</v>
      </c>
      <c r="BG332" s="180">
        <f t="shared" si="129"/>
        <v>539779</v>
      </c>
      <c r="BH332" s="180">
        <f t="shared" si="129"/>
        <v>485462</v>
      </c>
      <c r="BI332" s="180">
        <f t="shared" si="129"/>
        <v>831000</v>
      </c>
      <c r="BJ332" s="180">
        <f t="shared" si="129"/>
        <v>871998</v>
      </c>
      <c r="BK332" s="180">
        <f t="shared" si="129"/>
        <v>11669140</v>
      </c>
      <c r="BL332" s="180">
        <f t="shared" si="129"/>
        <v>0</v>
      </c>
      <c r="BM332" s="180">
        <f t="shared" si="129"/>
        <v>0</v>
      </c>
      <c r="BN332" s="180">
        <f t="shared" si="129"/>
        <v>19901357</v>
      </c>
      <c r="BO332" s="180">
        <f t="shared" si="129"/>
        <v>4112814</v>
      </c>
      <c r="BP332" s="180">
        <f t="shared" si="129"/>
        <v>5424009</v>
      </c>
      <c r="BQ332" s="180">
        <f t="shared" ref="BQ332:BR334" si="130">BQ260</f>
        <v>58758878</v>
      </c>
      <c r="BR332" s="180">
        <f t="shared" si="130"/>
        <v>1933961</v>
      </c>
      <c r="BS332" s="180">
        <f t="shared" ref="BS332:CD332" si="131">BS260</f>
        <v>102574749</v>
      </c>
      <c r="BT332" s="180">
        <f t="shared" si="131"/>
        <v>2259441</v>
      </c>
      <c r="BU332" s="180">
        <f t="shared" si="131"/>
        <v>17259477</v>
      </c>
      <c r="BV332" s="180">
        <f t="shared" si="131"/>
        <v>7127931</v>
      </c>
      <c r="BW332" s="180">
        <f t="shared" si="131"/>
        <v>6555304</v>
      </c>
      <c r="BX332" s="180">
        <f t="shared" si="131"/>
        <v>3605805</v>
      </c>
      <c r="BY332" s="180">
        <f t="shared" si="131"/>
        <v>751843</v>
      </c>
      <c r="BZ332" s="180">
        <f t="shared" si="131"/>
        <v>2989876</v>
      </c>
      <c r="CA332" s="180">
        <f t="shared" si="131"/>
        <v>319674</v>
      </c>
      <c r="CB332" s="180">
        <f t="shared" si="131"/>
        <v>4189043</v>
      </c>
      <c r="CC332" s="180">
        <f t="shared" si="131"/>
        <v>0</v>
      </c>
      <c r="CD332" s="180">
        <f t="shared" si="131"/>
        <v>469148</v>
      </c>
    </row>
    <row r="333" spans="1:104" x14ac:dyDescent="0.3">
      <c r="A333" s="557">
        <f>A261</f>
        <v>9002</v>
      </c>
      <c r="B333" s="557">
        <v>626</v>
      </c>
      <c r="D333" s="180">
        <f t="shared" ref="D333:S334" si="132">D261</f>
        <v>0</v>
      </c>
      <c r="E333" s="180">
        <f t="shared" si="132"/>
        <v>44372</v>
      </c>
      <c r="F333" s="180">
        <f t="shared" si="132"/>
        <v>0</v>
      </c>
      <c r="G333" s="180">
        <f t="shared" si="132"/>
        <v>471823</v>
      </c>
      <c r="H333" s="180">
        <f t="shared" si="132"/>
        <v>130761</v>
      </c>
      <c r="I333" s="180">
        <f t="shared" si="132"/>
        <v>729507</v>
      </c>
      <c r="J333" s="180">
        <f t="shared" si="132"/>
        <v>413</v>
      </c>
      <c r="K333" s="180">
        <f t="shared" si="132"/>
        <v>41769</v>
      </c>
      <c r="L333" s="180">
        <f t="shared" si="132"/>
        <v>79704</v>
      </c>
      <c r="M333" s="180">
        <f t="shared" si="132"/>
        <v>6233712</v>
      </c>
      <c r="N333" s="180">
        <f t="shared" si="132"/>
        <v>36680</v>
      </c>
      <c r="O333" s="180">
        <f t="shared" si="132"/>
        <v>171171</v>
      </c>
      <c r="P333" s="180">
        <f t="shared" si="132"/>
        <v>2448</v>
      </c>
      <c r="Q333" s="180">
        <f t="shared" si="132"/>
        <v>11182050</v>
      </c>
      <c r="R333" s="180">
        <f t="shared" si="132"/>
        <v>96081</v>
      </c>
      <c r="S333" s="180">
        <f t="shared" si="132"/>
        <v>30909</v>
      </c>
      <c r="T333" s="180">
        <f t="shared" si="129"/>
        <v>16630229</v>
      </c>
      <c r="U333" s="180">
        <f t="shared" si="129"/>
        <v>2678857</v>
      </c>
      <c r="V333" s="180">
        <f t="shared" si="129"/>
        <v>3631326</v>
      </c>
      <c r="W333" s="180">
        <f t="shared" si="129"/>
        <v>15409685</v>
      </c>
      <c r="X333" s="180">
        <f t="shared" si="129"/>
        <v>0</v>
      </c>
      <c r="Y333" s="180">
        <f t="shared" si="129"/>
        <v>3630543</v>
      </c>
      <c r="Z333" s="180">
        <f t="shared" si="129"/>
        <v>310776</v>
      </c>
      <c r="AA333" s="180">
        <f t="shared" si="129"/>
        <v>2351500</v>
      </c>
      <c r="AB333" s="180">
        <f t="shared" si="129"/>
        <v>514608</v>
      </c>
      <c r="AC333" s="180">
        <f t="shared" si="129"/>
        <v>409601</v>
      </c>
      <c r="AD333" s="180">
        <f t="shared" si="129"/>
        <v>127933</v>
      </c>
      <c r="AE333" s="180">
        <f t="shared" si="129"/>
        <v>257980</v>
      </c>
      <c r="AF333" s="180">
        <f t="shared" si="129"/>
        <v>6292529</v>
      </c>
      <c r="AG333" s="180">
        <f t="shared" si="129"/>
        <v>438619</v>
      </c>
      <c r="AH333" s="180">
        <f t="shared" si="129"/>
        <v>31571</v>
      </c>
      <c r="AI333" s="180">
        <f t="shared" si="129"/>
        <v>5650861</v>
      </c>
      <c r="AJ333" s="180">
        <f t="shared" si="129"/>
        <v>9287</v>
      </c>
      <c r="AK333" s="180">
        <f t="shared" si="129"/>
        <v>0</v>
      </c>
      <c r="AL333" s="180">
        <f t="shared" si="129"/>
        <v>0</v>
      </c>
      <c r="AM333" s="180">
        <f t="shared" si="129"/>
        <v>6301607</v>
      </c>
      <c r="AN333" s="180">
        <f t="shared" si="129"/>
        <v>42616</v>
      </c>
      <c r="AO333" s="180">
        <f t="shared" si="129"/>
        <v>74808</v>
      </c>
      <c r="AP333" s="180">
        <f t="shared" si="129"/>
        <v>42355</v>
      </c>
      <c r="AQ333" s="180">
        <f t="shared" si="129"/>
        <v>2610386</v>
      </c>
      <c r="AR333" s="180">
        <f t="shared" si="129"/>
        <v>248844</v>
      </c>
      <c r="AS333" s="180">
        <f t="shared" si="129"/>
        <v>18669</v>
      </c>
      <c r="AT333" s="180">
        <f t="shared" si="129"/>
        <v>480987</v>
      </c>
      <c r="AU333" s="180">
        <f t="shared" si="129"/>
        <v>27942</v>
      </c>
      <c r="AV333" s="180">
        <f t="shared" si="129"/>
        <v>10518521</v>
      </c>
      <c r="AW333" s="180">
        <f t="shared" si="129"/>
        <v>2526930</v>
      </c>
      <c r="AX333" s="180">
        <f t="shared" si="129"/>
        <v>101056</v>
      </c>
      <c r="AY333" s="180">
        <f t="shared" si="129"/>
        <v>1365936</v>
      </c>
      <c r="AZ333" s="180">
        <f t="shared" si="129"/>
        <v>287478</v>
      </c>
      <c r="BA333" s="180">
        <f t="shared" si="129"/>
        <v>72995</v>
      </c>
      <c r="BB333" s="180">
        <f t="shared" si="129"/>
        <v>0</v>
      </c>
      <c r="BC333" s="180">
        <f t="shared" si="129"/>
        <v>15506</v>
      </c>
      <c r="BD333" s="180">
        <f t="shared" si="129"/>
        <v>726725</v>
      </c>
      <c r="BE333" s="180">
        <f t="shared" si="129"/>
        <v>57368</v>
      </c>
      <c r="BF333" s="180">
        <f t="shared" si="129"/>
        <v>15322</v>
      </c>
      <c r="BG333" s="180">
        <f t="shared" si="129"/>
        <v>11362</v>
      </c>
      <c r="BH333" s="180">
        <f t="shared" si="129"/>
        <v>1461</v>
      </c>
      <c r="BI333" s="180">
        <f t="shared" si="129"/>
        <v>3548</v>
      </c>
      <c r="BJ333" s="180">
        <f t="shared" si="129"/>
        <v>6125</v>
      </c>
      <c r="BK333" s="180">
        <f t="shared" si="129"/>
        <v>326729</v>
      </c>
      <c r="BL333" s="180">
        <f t="shared" si="129"/>
        <v>0</v>
      </c>
      <c r="BM333" s="180">
        <f t="shared" si="129"/>
        <v>0</v>
      </c>
      <c r="BN333" s="180">
        <f t="shared" si="129"/>
        <v>687305</v>
      </c>
      <c r="BO333" s="180">
        <f t="shared" si="129"/>
        <v>70125</v>
      </c>
      <c r="BP333" s="180">
        <f t="shared" si="129"/>
        <v>21215</v>
      </c>
      <c r="BQ333" s="180">
        <f t="shared" si="130"/>
        <v>2130797</v>
      </c>
      <c r="BR333" s="180">
        <f t="shared" si="130"/>
        <v>77906</v>
      </c>
      <c r="BS333" s="180">
        <f t="shared" ref="BS333:CD333" si="133">BS261</f>
        <v>7068800</v>
      </c>
      <c r="BT333" s="180">
        <f t="shared" si="133"/>
        <v>70927</v>
      </c>
      <c r="BU333" s="180">
        <f t="shared" si="133"/>
        <v>378515</v>
      </c>
      <c r="BV333" s="180">
        <f t="shared" si="133"/>
        <v>1258498</v>
      </c>
      <c r="BW333" s="180">
        <f t="shared" si="133"/>
        <v>291041</v>
      </c>
      <c r="BX333" s="180">
        <f t="shared" si="133"/>
        <v>392320</v>
      </c>
      <c r="BY333" s="180">
        <f t="shared" si="133"/>
        <v>61154</v>
      </c>
      <c r="BZ333" s="180">
        <f t="shared" si="133"/>
        <v>1230094</v>
      </c>
      <c r="CA333" s="180">
        <f t="shared" si="133"/>
        <v>8653</v>
      </c>
      <c r="CB333" s="180">
        <f t="shared" si="133"/>
        <v>222816</v>
      </c>
      <c r="CC333" s="180">
        <f t="shared" si="133"/>
        <v>0</v>
      </c>
      <c r="CD333" s="180">
        <f t="shared" si="133"/>
        <v>2295</v>
      </c>
    </row>
    <row r="334" spans="1:104" x14ac:dyDescent="0.3">
      <c r="A334" s="557">
        <f>A262</f>
        <v>9003</v>
      </c>
      <c r="B334" s="557">
        <v>338</v>
      </c>
      <c r="D334" s="180">
        <f t="shared" si="132"/>
        <v>0</v>
      </c>
      <c r="E334" s="180">
        <f t="shared" ref="E334:BP334" si="134">E262</f>
        <v>66779</v>
      </c>
      <c r="F334" s="180">
        <f t="shared" si="134"/>
        <v>0</v>
      </c>
      <c r="G334" s="180">
        <f t="shared" si="134"/>
        <v>1127895</v>
      </c>
      <c r="H334" s="180">
        <f t="shared" si="134"/>
        <v>155121</v>
      </c>
      <c r="I334" s="180">
        <f t="shared" si="134"/>
        <v>1122928</v>
      </c>
      <c r="J334" s="180">
        <f t="shared" si="134"/>
        <v>413</v>
      </c>
      <c r="K334" s="180">
        <f t="shared" si="134"/>
        <v>82567</v>
      </c>
      <c r="L334" s="180">
        <f t="shared" si="134"/>
        <v>79704</v>
      </c>
      <c r="M334" s="180">
        <f t="shared" si="134"/>
        <v>20281745</v>
      </c>
      <c r="N334" s="180">
        <f t="shared" si="134"/>
        <v>366655</v>
      </c>
      <c r="O334" s="180">
        <f t="shared" si="134"/>
        <v>2592626</v>
      </c>
      <c r="P334" s="180">
        <f t="shared" si="134"/>
        <v>2448</v>
      </c>
      <c r="Q334" s="180">
        <f t="shared" si="134"/>
        <v>97800642</v>
      </c>
      <c r="R334" s="180">
        <f t="shared" si="134"/>
        <v>1586313</v>
      </c>
      <c r="S334" s="180">
        <f t="shared" si="134"/>
        <v>30909</v>
      </c>
      <c r="T334" s="180">
        <f t="shared" si="134"/>
        <v>174656069</v>
      </c>
      <c r="U334" s="180">
        <f t="shared" si="134"/>
        <v>27878572</v>
      </c>
      <c r="V334" s="180">
        <f t="shared" si="134"/>
        <v>35478079</v>
      </c>
      <c r="W334" s="180">
        <f t="shared" si="134"/>
        <v>77344858</v>
      </c>
      <c r="X334" s="180">
        <f t="shared" si="134"/>
        <v>0</v>
      </c>
      <c r="Y334" s="180">
        <f t="shared" si="134"/>
        <v>11097445</v>
      </c>
      <c r="Z334" s="180">
        <f t="shared" si="134"/>
        <v>854193</v>
      </c>
      <c r="AA334" s="180">
        <f t="shared" si="134"/>
        <v>24360808</v>
      </c>
      <c r="AB334" s="180">
        <f t="shared" si="134"/>
        <v>3191553</v>
      </c>
      <c r="AC334" s="180">
        <f t="shared" si="134"/>
        <v>4407007</v>
      </c>
      <c r="AD334" s="180">
        <f t="shared" si="134"/>
        <v>1007928</v>
      </c>
      <c r="AE334" s="180">
        <f t="shared" si="134"/>
        <v>3148593</v>
      </c>
      <c r="AF334" s="180">
        <f t="shared" si="134"/>
        <v>37602306</v>
      </c>
      <c r="AG334" s="180">
        <f t="shared" si="134"/>
        <v>4192944</v>
      </c>
      <c r="AH334" s="180">
        <f t="shared" si="134"/>
        <v>296206</v>
      </c>
      <c r="AI334" s="180">
        <f t="shared" si="134"/>
        <v>84270580</v>
      </c>
      <c r="AJ334" s="180">
        <f t="shared" si="134"/>
        <v>63152</v>
      </c>
      <c r="AK334" s="180">
        <f t="shared" si="134"/>
        <v>0</v>
      </c>
      <c r="AL334" s="180">
        <f t="shared" si="134"/>
        <v>0</v>
      </c>
      <c r="AM334" s="180">
        <f t="shared" si="134"/>
        <v>21700859</v>
      </c>
      <c r="AN334" s="180">
        <f t="shared" si="134"/>
        <v>303843</v>
      </c>
      <c r="AO334" s="180">
        <f t="shared" si="134"/>
        <v>497318</v>
      </c>
      <c r="AP334" s="180">
        <f t="shared" si="134"/>
        <v>42355</v>
      </c>
      <c r="AQ334" s="180">
        <f t="shared" si="134"/>
        <v>17470683</v>
      </c>
      <c r="AR334" s="180">
        <f t="shared" si="134"/>
        <v>48968277</v>
      </c>
      <c r="AS334" s="180">
        <f t="shared" si="134"/>
        <v>416649</v>
      </c>
      <c r="AT334" s="180">
        <f t="shared" si="134"/>
        <v>2092390</v>
      </c>
      <c r="AU334" s="180">
        <f t="shared" si="134"/>
        <v>49175</v>
      </c>
      <c r="AV334" s="180">
        <f t="shared" si="134"/>
        <v>22156388</v>
      </c>
      <c r="AW334" s="180">
        <f t="shared" si="134"/>
        <v>5613354</v>
      </c>
      <c r="AX334" s="180">
        <f t="shared" si="134"/>
        <v>820366</v>
      </c>
      <c r="AY334" s="180">
        <f t="shared" si="134"/>
        <v>10180945</v>
      </c>
      <c r="AZ334" s="180">
        <f t="shared" si="134"/>
        <v>639866</v>
      </c>
      <c r="BA334" s="180">
        <f t="shared" si="134"/>
        <v>306801</v>
      </c>
      <c r="BB334" s="180">
        <f t="shared" si="134"/>
        <v>0</v>
      </c>
      <c r="BC334" s="180">
        <f t="shared" si="134"/>
        <v>65506</v>
      </c>
      <c r="BD334" s="180">
        <f t="shared" si="134"/>
        <v>16267593</v>
      </c>
      <c r="BE334" s="180">
        <f t="shared" si="134"/>
        <v>57368</v>
      </c>
      <c r="BF334" s="180">
        <f t="shared" si="134"/>
        <v>155377</v>
      </c>
      <c r="BG334" s="180">
        <f t="shared" si="134"/>
        <v>137092</v>
      </c>
      <c r="BH334" s="180">
        <f t="shared" si="134"/>
        <v>1461</v>
      </c>
      <c r="BI334" s="180">
        <f t="shared" si="134"/>
        <v>67841</v>
      </c>
      <c r="BJ334" s="180">
        <f t="shared" si="134"/>
        <v>6125</v>
      </c>
      <c r="BK334" s="180">
        <f t="shared" si="134"/>
        <v>4915708</v>
      </c>
      <c r="BL334" s="180">
        <f t="shared" si="134"/>
        <v>0</v>
      </c>
      <c r="BM334" s="180">
        <f t="shared" si="134"/>
        <v>0</v>
      </c>
      <c r="BN334" s="180">
        <f t="shared" si="134"/>
        <v>3960156</v>
      </c>
      <c r="BO334" s="180">
        <f t="shared" si="134"/>
        <v>1376425</v>
      </c>
      <c r="BP334" s="180">
        <f t="shared" si="134"/>
        <v>1867206</v>
      </c>
      <c r="BQ334" s="180">
        <f t="shared" si="130"/>
        <v>10529906</v>
      </c>
      <c r="BR334" s="180">
        <f t="shared" si="130"/>
        <v>934645</v>
      </c>
      <c r="BS334" s="180">
        <f t="shared" ref="BS334:CD334" si="135">BS262</f>
        <v>43393681</v>
      </c>
      <c r="BT334" s="180">
        <f t="shared" si="135"/>
        <v>467919</v>
      </c>
      <c r="BU334" s="180">
        <f t="shared" si="135"/>
        <v>4440501</v>
      </c>
      <c r="BV334" s="180">
        <f t="shared" si="135"/>
        <v>1258498</v>
      </c>
      <c r="BW334" s="180">
        <f t="shared" si="135"/>
        <v>1743567</v>
      </c>
      <c r="BX334" s="180">
        <f t="shared" si="135"/>
        <v>1285812</v>
      </c>
      <c r="BY334" s="180">
        <f t="shared" si="135"/>
        <v>61154</v>
      </c>
      <c r="BZ334" s="180">
        <f t="shared" si="135"/>
        <v>1300287</v>
      </c>
      <c r="CA334" s="180">
        <f t="shared" si="135"/>
        <v>9043</v>
      </c>
      <c r="CB334" s="180">
        <f t="shared" si="135"/>
        <v>991822</v>
      </c>
      <c r="CC334" s="180">
        <f t="shared" si="135"/>
        <v>0</v>
      </c>
      <c r="CD334" s="180">
        <f t="shared" si="135"/>
        <v>2295</v>
      </c>
    </row>
    <row r="335" spans="1:104" x14ac:dyDescent="0.3">
      <c r="BS335" s="180"/>
      <c r="BT335" s="180"/>
      <c r="BU335" s="180"/>
      <c r="BV335" s="180"/>
      <c r="BW335" s="180"/>
      <c r="BX335" s="180"/>
      <c r="BY335" s="180"/>
      <c r="BZ335" s="180"/>
      <c r="CA335" s="180"/>
      <c r="CB335" s="180"/>
      <c r="CC335" s="180"/>
      <c r="CD335" s="180"/>
    </row>
    <row r="336" spans="1:104" x14ac:dyDescent="0.3">
      <c r="E336" s="566">
        <f>E329+E332+E333+E334</f>
        <v>2885088.2</v>
      </c>
      <c r="F336" s="566">
        <f t="shared" ref="F336:BQ336" si="136">F329+F332+F333+F334</f>
        <v>0</v>
      </c>
      <c r="G336" s="566">
        <f t="shared" si="136"/>
        <v>94402617.129999995</v>
      </c>
      <c r="H336" s="566">
        <f t="shared" si="136"/>
        <v>90211327.540000007</v>
      </c>
      <c r="I336" s="566">
        <f t="shared" si="136"/>
        <v>119930577.87</v>
      </c>
      <c r="J336" s="566">
        <f t="shared" si="136"/>
        <v>13028548.02</v>
      </c>
      <c r="K336" s="566">
        <f t="shared" si="136"/>
        <v>17839545.320999999</v>
      </c>
      <c r="L336" s="566">
        <f t="shared" si="136"/>
        <v>11894842.17</v>
      </c>
      <c r="M336" s="566">
        <f t="shared" si="136"/>
        <v>625362120.16499996</v>
      </c>
      <c r="N336" s="566">
        <f t="shared" si="136"/>
        <v>13871170.380000001</v>
      </c>
      <c r="O336" s="566">
        <f t="shared" si="136"/>
        <v>314274863.91000003</v>
      </c>
      <c r="P336" s="566">
        <f t="shared" si="136"/>
        <v>4111971.45</v>
      </c>
      <c r="Q336" s="566">
        <f>Q329+Q332+Q333+Q334</f>
        <v>3807255589.7925</v>
      </c>
      <c r="R336" s="566">
        <f t="shared" si="136"/>
        <v>63192826.130000003</v>
      </c>
      <c r="S336" s="566">
        <f t="shared" si="136"/>
        <v>2138733</v>
      </c>
      <c r="T336" s="566">
        <f t="shared" si="136"/>
        <v>3586706938.2799997</v>
      </c>
      <c r="U336" s="566">
        <f t="shared" si="136"/>
        <v>809510116.94000006</v>
      </c>
      <c r="V336" s="566">
        <f t="shared" si="136"/>
        <v>1644603992.6500001</v>
      </c>
      <c r="W336" s="566">
        <f t="shared" si="136"/>
        <v>1445858097.0599999</v>
      </c>
      <c r="X336" s="566">
        <f t="shared" si="136"/>
        <v>0</v>
      </c>
      <c r="Y336" s="566">
        <f t="shared" si="136"/>
        <v>764899755.58000004</v>
      </c>
      <c r="Z336" s="566">
        <f t="shared" si="136"/>
        <v>108223155.42999999</v>
      </c>
      <c r="AA336" s="566">
        <f t="shared" si="136"/>
        <v>926802802.57499993</v>
      </c>
      <c r="AB336" s="566">
        <f t="shared" si="136"/>
        <v>249761449.80000001</v>
      </c>
      <c r="AC336" s="566">
        <f t="shared" si="136"/>
        <v>105308043.495</v>
      </c>
      <c r="AD336" s="566">
        <f t="shared" si="136"/>
        <v>98391763.5</v>
      </c>
      <c r="AE336" s="566">
        <f t="shared" si="136"/>
        <v>197749106.91</v>
      </c>
      <c r="AF336" s="566">
        <f t="shared" si="136"/>
        <v>887551920.26750004</v>
      </c>
      <c r="AG336" s="566">
        <f t="shared" si="136"/>
        <v>223333040.84999999</v>
      </c>
      <c r="AH336" s="566">
        <f t="shared" si="136"/>
        <v>36697261.289999999</v>
      </c>
      <c r="AI336" s="566">
        <f t="shared" si="136"/>
        <v>2317455440.9822001</v>
      </c>
      <c r="AJ336" s="566">
        <f t="shared" si="136"/>
        <v>65153520.240000002</v>
      </c>
      <c r="AK336" s="566">
        <f t="shared" si="136"/>
        <v>0</v>
      </c>
      <c r="AL336" s="566">
        <f t="shared" si="136"/>
        <v>0</v>
      </c>
      <c r="AM336" s="566">
        <f t="shared" si="136"/>
        <v>940047945.08999991</v>
      </c>
      <c r="AN336" s="566">
        <f t="shared" si="136"/>
        <v>25155731.770000003</v>
      </c>
      <c r="AO336" s="566">
        <f t="shared" si="136"/>
        <v>34796297.25</v>
      </c>
      <c r="AP336" s="566">
        <f t="shared" si="136"/>
        <v>1759749</v>
      </c>
      <c r="AQ336" s="566">
        <f t="shared" si="136"/>
        <v>327187760.41000003</v>
      </c>
      <c r="AR336" s="566">
        <f t="shared" si="136"/>
        <v>637441262.73000002</v>
      </c>
      <c r="AS336" s="566">
        <f t="shared" si="136"/>
        <v>11634388.82</v>
      </c>
      <c r="AT336" s="566">
        <f t="shared" si="136"/>
        <v>157729311.20000002</v>
      </c>
      <c r="AU336" s="566">
        <f t="shared" si="136"/>
        <v>12601722.810000001</v>
      </c>
      <c r="AV336" s="566">
        <f t="shared" si="136"/>
        <v>1406036802.75</v>
      </c>
      <c r="AW336" s="566">
        <f t="shared" si="136"/>
        <v>90812021.530000001</v>
      </c>
      <c r="AX336" s="566">
        <f t="shared" si="136"/>
        <v>124861197.73999999</v>
      </c>
      <c r="AY336" s="566">
        <f t="shared" si="136"/>
        <v>369751432.10390002</v>
      </c>
      <c r="AZ336" s="566">
        <f t="shared" si="136"/>
        <v>76427643.579999998</v>
      </c>
      <c r="BA336" s="566">
        <f t="shared" si="136"/>
        <v>36124202.510000005</v>
      </c>
      <c r="BB336" s="566">
        <f t="shared" si="136"/>
        <v>1298607</v>
      </c>
      <c r="BC336" s="566">
        <f t="shared" si="136"/>
        <v>13955262.59</v>
      </c>
      <c r="BD336" s="566">
        <f t="shared" si="136"/>
        <v>599773050.65999997</v>
      </c>
      <c r="BE336" s="566">
        <f t="shared" si="136"/>
        <v>6687180.1600000001</v>
      </c>
      <c r="BF336" s="566">
        <f t="shared" si="136"/>
        <v>27744815.509999998</v>
      </c>
      <c r="BG336" s="566">
        <f t="shared" si="136"/>
        <v>21201310.239999998</v>
      </c>
      <c r="BH336" s="566">
        <f t="shared" si="136"/>
        <v>4117417.11</v>
      </c>
      <c r="BI336" s="566">
        <f t="shared" si="136"/>
        <v>24507271.449999999</v>
      </c>
      <c r="BJ336" s="566">
        <f t="shared" si="136"/>
        <v>5652940.085</v>
      </c>
      <c r="BK336" s="566">
        <f t="shared" si="136"/>
        <v>196163324.31</v>
      </c>
      <c r="BL336" s="566">
        <f t="shared" si="136"/>
        <v>0</v>
      </c>
      <c r="BM336" s="566">
        <f t="shared" si="136"/>
        <v>0</v>
      </c>
      <c r="BN336" s="566">
        <f t="shared" si="136"/>
        <v>156815947.89300001</v>
      </c>
      <c r="BO336" s="566">
        <f t="shared" si="136"/>
        <v>76799286.399999991</v>
      </c>
      <c r="BP336" s="566">
        <f t="shared" si="136"/>
        <v>56364835.880000003</v>
      </c>
      <c r="BQ336" s="566">
        <f t="shared" si="136"/>
        <v>480373213.15499997</v>
      </c>
      <c r="BR336" s="566">
        <f t="shared" ref="BR336:CD336" si="137">BR329+BR332+BR333+BR334</f>
        <v>96954564.830000013</v>
      </c>
      <c r="BS336" s="566">
        <f t="shared" si="137"/>
        <v>762766366.20000005</v>
      </c>
      <c r="BT336" s="566">
        <f t="shared" si="137"/>
        <v>56246336.039999999</v>
      </c>
      <c r="BU336" s="566">
        <f t="shared" si="137"/>
        <v>297343659.99330002</v>
      </c>
      <c r="BV336" s="566">
        <f t="shared" si="137"/>
        <v>47071300.329999998</v>
      </c>
      <c r="BW336" s="566">
        <f t="shared" si="137"/>
        <v>135127212.00999999</v>
      </c>
      <c r="BX336" s="566">
        <f t="shared" si="137"/>
        <v>55163726.039999999</v>
      </c>
      <c r="BY336" s="566">
        <f t="shared" si="137"/>
        <v>7075487.1800000006</v>
      </c>
      <c r="BZ336" s="566">
        <f t="shared" si="137"/>
        <v>44353795.550000004</v>
      </c>
      <c r="CA336" s="566">
        <f t="shared" si="137"/>
        <v>22398664.939999998</v>
      </c>
      <c r="CB336" s="566">
        <f t="shared" si="137"/>
        <v>71626139.449999988</v>
      </c>
      <c r="CC336" s="566">
        <f t="shared" si="137"/>
        <v>0</v>
      </c>
      <c r="CD336" s="566">
        <f t="shared" si="137"/>
        <v>7436967.3900000006</v>
      </c>
    </row>
    <row r="338" spans="1:82" s="180" customFormat="1" x14ac:dyDescent="0.3">
      <c r="A338" s="155"/>
      <c r="E338" s="566">
        <v>2885088.1999999997</v>
      </c>
      <c r="Q338" s="566">
        <v>3807255589.7925</v>
      </c>
      <c r="BE338" s="566"/>
      <c r="CD338" s="566">
        <v>7436967.3899999987</v>
      </c>
    </row>
    <row r="339" spans="1:82" s="180" customFormat="1" x14ac:dyDescent="0.3">
      <c r="A339" s="155"/>
      <c r="E339" s="1040">
        <f>E336-E338</f>
        <v>0</v>
      </c>
      <c r="Q339" s="1042">
        <f>Q336-Q338</f>
        <v>0</v>
      </c>
      <c r="BR339" s="566"/>
      <c r="CD339" s="566">
        <f>CD336-CD338</f>
        <v>0</v>
      </c>
    </row>
    <row r="340" spans="1:82" s="180" customFormat="1" x14ac:dyDescent="0.3">
      <c r="A340" s="155"/>
      <c r="L340" s="566"/>
      <c r="Q340" s="1040"/>
      <c r="BE340" s="566"/>
    </row>
    <row r="341" spans="1:82" s="180" customFormat="1" x14ac:dyDescent="0.3">
      <c r="A341" s="155"/>
      <c r="D341" s="180">
        <v>0.01</v>
      </c>
      <c r="E341" s="566">
        <v>2979821.2</v>
      </c>
      <c r="F341" s="180">
        <v>0.01</v>
      </c>
      <c r="G341" s="566">
        <v>95273673.129999995</v>
      </c>
      <c r="H341" s="566">
        <v>91969959.540000007</v>
      </c>
      <c r="I341" s="566">
        <v>121056096.87</v>
      </c>
      <c r="J341" s="566">
        <v>13223774.029999999</v>
      </c>
      <c r="K341" s="566">
        <v>18162649.32</v>
      </c>
      <c r="L341" s="566">
        <v>11984811.17</v>
      </c>
      <c r="M341" s="566">
        <v>640247495.16999996</v>
      </c>
      <c r="N341" s="566">
        <v>14078992.380000001</v>
      </c>
      <c r="O341" s="566">
        <v>326258618.92000002</v>
      </c>
      <c r="P341" s="566">
        <v>4211566.45</v>
      </c>
      <c r="Q341" s="525">
        <v>4004473807.8699999</v>
      </c>
      <c r="R341" s="566">
        <v>64461333.140000001</v>
      </c>
      <c r="S341" s="566">
        <v>2220238</v>
      </c>
      <c r="T341" s="566">
        <v>3695849999.29</v>
      </c>
      <c r="U341" s="566">
        <v>833108143.95000005</v>
      </c>
      <c r="V341" s="566">
        <v>1701087971.73</v>
      </c>
      <c r="W341" s="566">
        <v>1467634289.0599999</v>
      </c>
      <c r="X341" s="180">
        <v>0.01</v>
      </c>
      <c r="Y341" s="566">
        <v>793378445.59000003</v>
      </c>
      <c r="Z341" s="566">
        <v>111394719.44</v>
      </c>
      <c r="AA341" s="566">
        <v>962768581.66999996</v>
      </c>
      <c r="AB341" s="566">
        <v>260263591.81</v>
      </c>
      <c r="AC341" s="566">
        <v>109018485.51000001</v>
      </c>
      <c r="AD341" s="566">
        <v>100637746.51000001</v>
      </c>
      <c r="AE341" s="566">
        <v>210379883.91999999</v>
      </c>
      <c r="AF341" s="566">
        <v>925410206.27999997</v>
      </c>
      <c r="AG341" s="566">
        <v>234008225.88999999</v>
      </c>
      <c r="AH341" s="566">
        <v>37146877.289999999</v>
      </c>
      <c r="AI341" s="566">
        <v>2405601691.0799999</v>
      </c>
      <c r="AJ341" s="566">
        <v>66479872.25</v>
      </c>
      <c r="AK341" s="180">
        <v>0.01</v>
      </c>
      <c r="AL341" s="180">
        <v>0.01</v>
      </c>
      <c r="AM341" s="566">
        <v>982376527.16999996</v>
      </c>
      <c r="AN341" s="566">
        <v>25537664.780000001</v>
      </c>
      <c r="AO341" s="566">
        <v>35408295.259999998</v>
      </c>
      <c r="AP341" s="566">
        <v>1852695</v>
      </c>
      <c r="AQ341" s="566">
        <v>329598397.41000003</v>
      </c>
      <c r="AR341" s="566">
        <v>644944330.74000001</v>
      </c>
      <c r="AS341" s="566">
        <v>11806158.82</v>
      </c>
      <c r="AT341" s="566">
        <v>160614224.21000001</v>
      </c>
      <c r="AU341" s="566">
        <v>13573205.9</v>
      </c>
      <c r="AV341" s="566">
        <v>1458809998.76</v>
      </c>
      <c r="AW341" s="566">
        <v>93405215.530000001</v>
      </c>
      <c r="AX341" s="566">
        <v>126917508.75</v>
      </c>
      <c r="AY341" s="566">
        <v>395021661.11000001</v>
      </c>
      <c r="AZ341" s="566">
        <v>78161107.590000004</v>
      </c>
      <c r="BA341" s="566">
        <v>36821399.520000003</v>
      </c>
      <c r="BB341" s="566">
        <v>1356145</v>
      </c>
      <c r="BC341" s="566">
        <v>14380879.6</v>
      </c>
      <c r="BD341" s="566">
        <v>641088464.66999996</v>
      </c>
      <c r="BE341" s="566">
        <v>6738808.1600000001</v>
      </c>
      <c r="BF341" s="566">
        <v>28399990.52</v>
      </c>
      <c r="BG341" s="566">
        <v>21499988.25</v>
      </c>
      <c r="BH341" s="566">
        <v>4169450.11</v>
      </c>
      <c r="BI341" s="566">
        <v>25209287.460000001</v>
      </c>
      <c r="BJ341" s="566">
        <v>5735351.0899999999</v>
      </c>
      <c r="BK341" s="566">
        <v>204641224.31999999</v>
      </c>
      <c r="BL341" s="180">
        <v>0.09</v>
      </c>
      <c r="BM341" s="180">
        <v>0.01</v>
      </c>
      <c r="BN341" s="566">
        <v>163239492.90000001</v>
      </c>
      <c r="BO341" s="566">
        <v>77885123.409999996</v>
      </c>
      <c r="BP341" s="566">
        <v>58097996.890000001</v>
      </c>
      <c r="BQ341" s="566">
        <v>493894116.06999999</v>
      </c>
      <c r="BR341" s="566">
        <v>101938980.93000001</v>
      </c>
      <c r="BS341" s="566">
        <v>776740812.26999998</v>
      </c>
      <c r="BT341" s="566">
        <v>57162365.049999997</v>
      </c>
      <c r="BU341" s="566">
        <v>306562072</v>
      </c>
      <c r="BV341" s="566">
        <v>47151707.329999998</v>
      </c>
      <c r="BW341" s="566">
        <v>138344344.02000001</v>
      </c>
      <c r="BX341" s="566">
        <v>57498832.049999997</v>
      </c>
      <c r="BY341" s="566">
        <v>7228327.1900000004</v>
      </c>
      <c r="BZ341" s="566">
        <v>46443517.560000002</v>
      </c>
      <c r="CA341" s="566">
        <v>22637166.949999999</v>
      </c>
      <c r="CB341" s="566">
        <v>77834885.459999993</v>
      </c>
      <c r="CC341" s="180" t="s">
        <v>2557</v>
      </c>
      <c r="CD341" s="566">
        <v>7634720.4000000004</v>
      </c>
    </row>
    <row r="342" spans="1:82" s="180" customFormat="1" x14ac:dyDescent="0.3">
      <c r="A342" s="155"/>
      <c r="D342" s="1050">
        <f>D259-D341</f>
        <v>50304</v>
      </c>
      <c r="E342" s="566">
        <f t="shared" ref="E342:H342" si="138">E259-E341</f>
        <v>0</v>
      </c>
      <c r="F342" s="1050">
        <f t="shared" si="138"/>
        <v>50306</v>
      </c>
      <c r="G342" s="566">
        <f t="shared" si="138"/>
        <v>0</v>
      </c>
      <c r="H342" s="566">
        <f t="shared" si="138"/>
        <v>0</v>
      </c>
      <c r="I342" s="566">
        <f t="shared" ref="I342" si="139">I259-I341</f>
        <v>0</v>
      </c>
      <c r="J342" s="566">
        <f t="shared" ref="J342" si="140">J259-J341</f>
        <v>0</v>
      </c>
      <c r="K342" s="566">
        <f t="shared" ref="K342" si="141">K259-K341</f>
        <v>9.999983012676239E-4</v>
      </c>
      <c r="L342" s="566">
        <f t="shared" ref="L342" si="142">L259-L341</f>
        <v>0</v>
      </c>
      <c r="M342" s="566">
        <f t="shared" ref="M342" si="143">M259-M341</f>
        <v>-4.999995231628418E-3</v>
      </c>
      <c r="N342" s="566">
        <f t="shared" ref="N342" si="144">N259-N341</f>
        <v>0</v>
      </c>
      <c r="O342" s="566">
        <f t="shared" ref="O342" si="145">O259-O341</f>
        <v>0</v>
      </c>
      <c r="P342" s="566">
        <f t="shared" ref="P342" si="146">P259-P341</f>
        <v>0</v>
      </c>
      <c r="Q342" s="566">
        <f t="shared" ref="Q342" si="147">Q259-Q341</f>
        <v>2.5000572204589844E-3</v>
      </c>
      <c r="R342" s="566">
        <f t="shared" ref="R342" si="148">R259-R341</f>
        <v>0</v>
      </c>
      <c r="S342" s="566">
        <f t="shared" ref="S342" si="149">S259-S341</f>
        <v>0</v>
      </c>
      <c r="T342" s="566">
        <f t="shared" ref="T342" si="150">T259-T341</f>
        <v>0</v>
      </c>
      <c r="U342" s="566">
        <f t="shared" ref="U342" si="151">U259-U341</f>
        <v>0</v>
      </c>
      <c r="V342" s="566">
        <f t="shared" ref="V342" si="152">V259-V341</f>
        <v>0</v>
      </c>
      <c r="W342" s="566">
        <f t="shared" ref="W342" si="153">W259-W341</f>
        <v>0</v>
      </c>
      <c r="X342" s="1050">
        <f t="shared" ref="X342" si="154">X259-X341</f>
        <v>50315</v>
      </c>
      <c r="Y342" s="566">
        <f t="shared" ref="Y342" si="155">Y259-Y341</f>
        <v>0</v>
      </c>
      <c r="Z342" s="566">
        <f t="shared" ref="Z342" si="156">Z259-Z341</f>
        <v>0</v>
      </c>
      <c r="AA342" s="566">
        <f t="shared" ref="AA342" si="157">AA259-AA341</f>
        <v>-4.999995231628418E-3</v>
      </c>
      <c r="AB342" s="1050">
        <f t="shared" ref="AB342" si="158">AB259-AB341</f>
        <v>1</v>
      </c>
      <c r="AC342" s="566">
        <f t="shared" ref="AC342" si="159">AC259-AC341</f>
        <v>-5.0000101327896118E-3</v>
      </c>
      <c r="AD342" s="566">
        <f t="shared" ref="AD342" si="160">AD259-AD341</f>
        <v>0</v>
      </c>
      <c r="AE342" s="566">
        <f t="shared" ref="AE342" si="161">AE259-AE341</f>
        <v>0</v>
      </c>
      <c r="AF342" s="566">
        <f t="shared" ref="AF342" si="162">AF259-AF341</f>
        <v>-2.4999380111694336E-3</v>
      </c>
      <c r="AG342" s="566">
        <f t="shared" ref="AG342" si="163">AG259-AG341</f>
        <v>0</v>
      </c>
      <c r="AH342" s="566">
        <f t="shared" ref="AH342" si="164">AH259-AH341</f>
        <v>0</v>
      </c>
      <c r="AI342" s="566">
        <f t="shared" ref="AI342" si="165">AI259-AI341</f>
        <v>-1.1997222900390625E-3</v>
      </c>
      <c r="AJ342" s="566">
        <f t="shared" ref="AJ342" si="166">AJ259-AJ341</f>
        <v>0</v>
      </c>
      <c r="AK342" s="1050">
        <f t="shared" ref="AK342" si="167">AK259-AK341</f>
        <v>50326</v>
      </c>
      <c r="AL342" s="1050">
        <f t="shared" ref="AL342" si="168">AL259-AL341</f>
        <v>50328</v>
      </c>
      <c r="AM342" s="566">
        <f t="shared" ref="AM342" si="169">AM259-AM341</f>
        <v>0</v>
      </c>
      <c r="AN342" s="566">
        <f t="shared" ref="AN342" si="170">AN259-AN341</f>
        <v>0</v>
      </c>
      <c r="AO342" s="566">
        <f t="shared" ref="AO342" si="171">AO259-AO341</f>
        <v>0</v>
      </c>
      <c r="AP342" s="566">
        <f t="shared" ref="AP342" si="172">AP259-AP341</f>
        <v>0</v>
      </c>
      <c r="AQ342" s="566">
        <f t="shared" ref="AQ342" si="173">AQ259-AQ341</f>
        <v>0</v>
      </c>
      <c r="AR342" s="566">
        <f t="shared" ref="AR342" si="174">AR259-AR341</f>
        <v>0</v>
      </c>
      <c r="AS342" s="566">
        <f t="shared" ref="AS342" si="175">AS259-AS341</f>
        <v>0</v>
      </c>
      <c r="AT342" s="566">
        <f t="shared" ref="AT342" si="176">AT259-AT341</f>
        <v>0</v>
      </c>
      <c r="AU342" s="566">
        <f t="shared" ref="AU342" si="177">AU259-AU341</f>
        <v>0</v>
      </c>
      <c r="AV342" s="566">
        <f t="shared" ref="AV342" si="178">AV259-AV341</f>
        <v>0</v>
      </c>
      <c r="AW342" s="566">
        <f t="shared" ref="AW342" si="179">AW259-AW341</f>
        <v>0</v>
      </c>
      <c r="AX342" s="566">
        <f t="shared" ref="AX342" si="180">AX259-AX341</f>
        <v>0</v>
      </c>
      <c r="AY342" s="566">
        <f t="shared" ref="AY342" si="181">AY259-AY341</f>
        <v>3.899991512298584E-3</v>
      </c>
      <c r="AZ342" s="566">
        <f t="shared" ref="AZ342" si="182">AZ259-AZ341</f>
        <v>0</v>
      </c>
      <c r="BA342" s="566">
        <f t="shared" ref="BA342" si="183">BA259-BA341</f>
        <v>0</v>
      </c>
      <c r="BB342" s="566">
        <f t="shared" ref="BB342" si="184">BB259-BB341</f>
        <v>0</v>
      </c>
      <c r="BC342" s="566">
        <f t="shared" ref="BC342" si="185">BC259-BC341</f>
        <v>0</v>
      </c>
      <c r="BD342" s="566">
        <f t="shared" ref="BD342" si="186">BD259-BD341</f>
        <v>0</v>
      </c>
      <c r="BE342" s="566">
        <f t="shared" ref="BE342" si="187">BE259-BE341</f>
        <v>0</v>
      </c>
      <c r="BF342" s="566">
        <f t="shared" ref="BF342" si="188">BF259-BF341</f>
        <v>0</v>
      </c>
      <c r="BG342" s="566">
        <f t="shared" ref="BG342" si="189">BG259-BG341</f>
        <v>0</v>
      </c>
      <c r="BH342" s="566">
        <f t="shared" ref="BH342" si="190">BH259-BH341</f>
        <v>0</v>
      </c>
      <c r="BI342" s="566">
        <f t="shared" ref="BI342" si="191">BI259-BI341</f>
        <v>0</v>
      </c>
      <c r="BJ342" s="566">
        <f t="shared" ref="BJ342" si="192">BJ259-BJ341</f>
        <v>-4.999999888241291E-3</v>
      </c>
      <c r="BK342" s="566">
        <f t="shared" ref="BK342" si="193">BK259-BK341</f>
        <v>0</v>
      </c>
      <c r="BL342" s="1050">
        <f t="shared" ref="BL342" si="194">BL259-BL341</f>
        <v>50346</v>
      </c>
      <c r="BM342" s="1050">
        <f t="shared" ref="BM342" si="195">BM259-BM341</f>
        <v>50347</v>
      </c>
      <c r="BN342" s="566">
        <f t="shared" ref="BN342" si="196">BN259-BN341</f>
        <v>2.9999911785125732E-3</v>
      </c>
      <c r="BO342" s="566">
        <f t="shared" ref="BO342" si="197">BO259-BO341</f>
        <v>0</v>
      </c>
      <c r="BP342" s="566">
        <f t="shared" ref="BP342" si="198">BP259-BP341</f>
        <v>0</v>
      </c>
      <c r="BQ342" s="566">
        <f t="shared" ref="BQ342" si="199">BQ259-BQ341</f>
        <v>4.999995231628418E-3</v>
      </c>
      <c r="BR342" s="566">
        <f t="shared" ref="BR342" si="200">BR259-BR341</f>
        <v>0</v>
      </c>
      <c r="BS342" s="566">
        <f t="shared" ref="BS342" si="201">BS259-BS341</f>
        <v>0</v>
      </c>
      <c r="BT342" s="566">
        <f t="shared" ref="BT342" si="202">BT259-BT341</f>
        <v>0</v>
      </c>
      <c r="BU342" s="566">
        <f t="shared" ref="BU342" si="203">BU259-BU341</f>
        <v>3.300011157989502E-3</v>
      </c>
      <c r="BV342" s="566">
        <f t="shared" ref="BV342" si="204">BV259-BV341</f>
        <v>0</v>
      </c>
      <c r="BW342" s="566">
        <f t="shared" ref="BW342" si="205">BW259-BW341</f>
        <v>0</v>
      </c>
      <c r="BX342" s="566">
        <f t="shared" ref="BX342" si="206">BX259-BX341</f>
        <v>0</v>
      </c>
      <c r="BY342" s="566">
        <f t="shared" ref="BY342" si="207">BY259-BY341</f>
        <v>0</v>
      </c>
      <c r="BZ342" s="566">
        <f t="shared" ref="BZ342" si="208">BZ259-BZ341</f>
        <v>0</v>
      </c>
      <c r="CA342" s="566">
        <f t="shared" ref="CA342" si="209">CA259-CA341</f>
        <v>0</v>
      </c>
      <c r="CB342" s="566">
        <f t="shared" ref="CB342" si="210">CB259-CB341</f>
        <v>0</v>
      </c>
      <c r="CC342" s="566" t="e">
        <f t="shared" ref="CC342" si="211">CC259-CC341</f>
        <v>#VALUE!</v>
      </c>
      <c r="CD342" s="566">
        <f t="shared" ref="CD342" si="212">CD259-CD341</f>
        <v>0</v>
      </c>
    </row>
    <row r="343" spans="1:82" s="180" customFormat="1" x14ac:dyDescent="0.3">
      <c r="A343" s="155"/>
      <c r="Q343" s="1040"/>
    </row>
    <row r="344" spans="1:82" ht="13.8" customHeight="1" x14ac:dyDescent="0.3">
      <c r="A344"/>
      <c r="AB344" t="s">
        <v>2558</v>
      </c>
    </row>
    <row r="345" spans="1:82" x14ac:dyDescent="0.3">
      <c r="A345"/>
    </row>
    <row r="346" spans="1:82" x14ac:dyDescent="0.3">
      <c r="A346"/>
    </row>
    <row r="347" spans="1:82" x14ac:dyDescent="0.3">
      <c r="A347"/>
    </row>
    <row r="348" spans="1:82" x14ac:dyDescent="0.3">
      <c r="A348"/>
    </row>
  </sheetData>
  <sheetProtection algorithmName="SHA-512" hashValue="U8FdZZxddehoWiNFM8+pDP+xhEAGvvbhVgFcARrF7Yw3DIfN7Jjj/yKDI1oCmN0b3QHjHouy9PrcXGlzcNPWIA==" saltValue="p8VWE483QN9yzGb/jQrRfw=="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D284"/>
  <sheetViews>
    <sheetView workbookViewId="0">
      <pane xSplit="3" ySplit="2" topLeftCell="AO15" activePane="bottomRight" state="frozen"/>
      <selection pane="topRight" activeCell="D1" sqref="D1"/>
      <selection pane="bottomLeft" activeCell="A3" sqref="A3"/>
      <selection pane="bottomRight" activeCell="AO26" sqref="AO26"/>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82" x14ac:dyDescent="0.3">
      <c r="A1" t="s">
        <v>1991</v>
      </c>
      <c r="B1" t="s">
        <v>2741</v>
      </c>
      <c r="C1" t="s">
        <v>349</v>
      </c>
      <c r="D1" t="s">
        <v>820</v>
      </c>
      <c r="E1" t="s">
        <v>821</v>
      </c>
      <c r="F1" t="s">
        <v>1310</v>
      </c>
      <c r="G1" t="s">
        <v>1311</v>
      </c>
      <c r="H1" t="s">
        <v>1312</v>
      </c>
      <c r="I1" t="s">
        <v>1313</v>
      </c>
      <c r="J1" t="s">
        <v>516</v>
      </c>
      <c r="K1" t="s">
        <v>1314</v>
      </c>
      <c r="L1" t="s">
        <v>1315</v>
      </c>
      <c r="M1" t="s">
        <v>822</v>
      </c>
      <c r="N1" t="s">
        <v>1316</v>
      </c>
      <c r="O1" t="s">
        <v>1317</v>
      </c>
      <c r="P1" t="s">
        <v>1318</v>
      </c>
      <c r="Q1" t="s">
        <v>1319</v>
      </c>
      <c r="R1" t="s">
        <v>517</v>
      </c>
      <c r="S1" t="s">
        <v>1320</v>
      </c>
      <c r="T1" t="s">
        <v>1321</v>
      </c>
      <c r="U1" t="s">
        <v>1322</v>
      </c>
      <c r="V1" t="s">
        <v>1323</v>
      </c>
      <c r="W1" t="s">
        <v>1324</v>
      </c>
      <c r="X1" t="s">
        <v>1325</v>
      </c>
      <c r="Y1" t="s">
        <v>1326</v>
      </c>
      <c r="Z1" t="s">
        <v>1327</v>
      </c>
      <c r="AA1" t="s">
        <v>823</v>
      </c>
      <c r="AB1" t="s">
        <v>518</v>
      </c>
      <c r="AC1" t="s">
        <v>1328</v>
      </c>
      <c r="AD1" t="s">
        <v>1329</v>
      </c>
      <c r="AE1" t="s">
        <v>1330</v>
      </c>
      <c r="AF1" t="s">
        <v>1331</v>
      </c>
      <c r="AG1" t="s">
        <v>1332</v>
      </c>
      <c r="AH1" t="s">
        <v>519</v>
      </c>
      <c r="AI1" t="s">
        <v>1333</v>
      </c>
      <c r="AJ1" t="s">
        <v>1334</v>
      </c>
      <c r="AK1" t="s">
        <v>1335</v>
      </c>
      <c r="AL1" t="s">
        <v>520</v>
      </c>
      <c r="AM1" t="s">
        <v>1336</v>
      </c>
      <c r="AN1" t="s">
        <v>521</v>
      </c>
      <c r="AO1" t="s">
        <v>522</v>
      </c>
      <c r="AP1" t="s">
        <v>523</v>
      </c>
      <c r="AQ1" t="s">
        <v>1337</v>
      </c>
      <c r="AR1" t="s">
        <v>1338</v>
      </c>
      <c r="AS1" t="s">
        <v>1339</v>
      </c>
      <c r="AT1" t="s">
        <v>525</v>
      </c>
      <c r="AU1" t="s">
        <v>526</v>
      </c>
      <c r="AV1" t="s">
        <v>1340</v>
      </c>
      <c r="AW1" t="s">
        <v>1341</v>
      </c>
      <c r="AX1" t="s">
        <v>1342</v>
      </c>
      <c r="AY1" t="s">
        <v>1343</v>
      </c>
      <c r="AZ1" t="s">
        <v>1344</v>
      </c>
      <c r="BA1" t="s">
        <v>1345</v>
      </c>
      <c r="BB1" t="s">
        <v>1346</v>
      </c>
      <c r="BC1" t="s">
        <v>1347</v>
      </c>
      <c r="BD1" t="s">
        <v>1348</v>
      </c>
      <c r="BE1" t="s">
        <v>1349</v>
      </c>
      <c r="BF1" t="s">
        <v>1350</v>
      </c>
      <c r="BG1" t="s">
        <v>1351</v>
      </c>
      <c r="BH1" t="s">
        <v>1352</v>
      </c>
      <c r="BI1" t="s">
        <v>1353</v>
      </c>
      <c r="BJ1" t="s">
        <v>1354</v>
      </c>
      <c r="BK1" t="s">
        <v>1355</v>
      </c>
      <c r="BL1" t="s">
        <v>528</v>
      </c>
      <c r="BM1" t="s">
        <v>529</v>
      </c>
      <c r="BN1" t="s">
        <v>1356</v>
      </c>
      <c r="BO1" t="s">
        <v>1357</v>
      </c>
      <c r="BP1" t="s">
        <v>1358</v>
      </c>
      <c r="BQ1" t="s">
        <v>1359</v>
      </c>
      <c r="BR1" t="s">
        <v>1360</v>
      </c>
      <c r="BS1" t="s">
        <v>1361</v>
      </c>
      <c r="BT1" t="s">
        <v>1362</v>
      </c>
      <c r="BU1" t="s">
        <v>1363</v>
      </c>
      <c r="BV1" t="s">
        <v>1364</v>
      </c>
      <c r="BW1" t="s">
        <v>824</v>
      </c>
      <c r="BX1" t="s">
        <v>1365</v>
      </c>
      <c r="BY1" t="s">
        <v>530</v>
      </c>
      <c r="BZ1" t="s">
        <v>531</v>
      </c>
      <c r="CA1" t="s">
        <v>1366</v>
      </c>
      <c r="CB1" t="s">
        <v>1367</v>
      </c>
      <c r="CC1" t="s">
        <v>532</v>
      </c>
      <c r="CD1" t="s">
        <v>533</v>
      </c>
    </row>
    <row r="2" spans="1:82" x14ac:dyDescent="0.3">
      <c r="A2" t="s">
        <v>877</v>
      </c>
      <c r="B2" t="s">
        <v>41</v>
      </c>
      <c r="C2" t="s">
        <v>13</v>
      </c>
      <c r="D2" s="784">
        <v>50254</v>
      </c>
      <c r="E2" s="784">
        <v>50255</v>
      </c>
      <c r="F2" s="784">
        <v>50256</v>
      </c>
      <c r="G2" s="784">
        <v>50558</v>
      </c>
      <c r="H2" s="784">
        <v>50566</v>
      </c>
      <c r="I2" s="784">
        <v>50562</v>
      </c>
      <c r="J2" s="784">
        <v>50257</v>
      </c>
      <c r="K2" s="784">
        <v>50555</v>
      </c>
      <c r="L2" s="784">
        <v>50445</v>
      </c>
      <c r="M2" s="784">
        <v>50452</v>
      </c>
      <c r="N2" s="784">
        <v>50563</v>
      </c>
      <c r="O2" s="784">
        <v>50258</v>
      </c>
      <c r="P2" s="784">
        <v>50523</v>
      </c>
      <c r="Q2" s="784">
        <v>50259</v>
      </c>
      <c r="R2" s="784">
        <v>50260</v>
      </c>
      <c r="S2" s="784">
        <v>50487</v>
      </c>
      <c r="T2" s="784">
        <v>50261</v>
      </c>
      <c r="U2" s="784">
        <v>50262</v>
      </c>
      <c r="V2" s="784">
        <v>50263</v>
      </c>
      <c r="W2" s="784">
        <v>50264</v>
      </c>
      <c r="X2" s="784">
        <v>50265</v>
      </c>
      <c r="Y2" s="784">
        <v>50266</v>
      </c>
      <c r="Z2" s="784">
        <v>50267</v>
      </c>
      <c r="AA2" s="784">
        <v>50268</v>
      </c>
      <c r="AB2" s="784">
        <v>50269</v>
      </c>
      <c r="AC2" s="784">
        <v>50270</v>
      </c>
      <c r="AD2" s="784">
        <v>50271</v>
      </c>
      <c r="AE2" s="784">
        <v>50272</v>
      </c>
      <c r="AF2" s="784">
        <v>50273</v>
      </c>
      <c r="AG2" s="784">
        <v>50274</v>
      </c>
      <c r="AH2" s="784">
        <v>50480</v>
      </c>
      <c r="AI2" s="784">
        <v>50275</v>
      </c>
      <c r="AJ2" s="784">
        <v>50277</v>
      </c>
      <c r="AK2" s="784">
        <v>50276</v>
      </c>
      <c r="AL2" s="784">
        <v>50278</v>
      </c>
      <c r="AM2" s="784">
        <v>50279</v>
      </c>
      <c r="AN2" s="784">
        <v>50280</v>
      </c>
      <c r="AO2" s="784">
        <v>50281</v>
      </c>
      <c r="AP2" s="784">
        <v>50478</v>
      </c>
      <c r="AQ2" s="784">
        <v>50524</v>
      </c>
      <c r="AR2" s="784">
        <v>50282</v>
      </c>
      <c r="AS2" s="784">
        <v>50525</v>
      </c>
      <c r="AT2" s="784">
        <v>50283</v>
      </c>
      <c r="AU2" s="784">
        <v>50285</v>
      </c>
      <c r="AV2" s="784">
        <v>50553</v>
      </c>
      <c r="AW2" s="784">
        <v>50548</v>
      </c>
      <c r="AX2" s="784">
        <v>50284</v>
      </c>
      <c r="AY2" s="784">
        <v>50286</v>
      </c>
      <c r="AZ2" s="784">
        <v>50287</v>
      </c>
      <c r="BA2" s="784">
        <v>50288</v>
      </c>
      <c r="BB2" s="784">
        <v>50290</v>
      </c>
      <c r="BC2" s="784">
        <v>50564</v>
      </c>
      <c r="BD2" s="784">
        <v>50289</v>
      </c>
      <c r="BE2" s="784">
        <v>50291</v>
      </c>
      <c r="BF2" s="784">
        <v>50292</v>
      </c>
      <c r="BG2" s="784">
        <v>50293</v>
      </c>
      <c r="BH2" s="784">
        <v>50463</v>
      </c>
      <c r="BI2" s="784">
        <v>50294</v>
      </c>
      <c r="BJ2" s="784">
        <v>50538</v>
      </c>
      <c r="BK2" s="784">
        <v>50295</v>
      </c>
      <c r="BL2" s="784">
        <v>50296</v>
      </c>
      <c r="BM2" s="784">
        <v>50297</v>
      </c>
      <c r="BN2" s="784">
        <v>50449</v>
      </c>
      <c r="BO2" s="784">
        <v>50300</v>
      </c>
      <c r="BP2" s="784">
        <v>50298</v>
      </c>
      <c r="BQ2" s="784">
        <v>50299</v>
      </c>
      <c r="BR2" s="784">
        <v>50301</v>
      </c>
      <c r="BS2" s="784">
        <v>50302</v>
      </c>
      <c r="BT2" s="784">
        <v>50303</v>
      </c>
      <c r="BU2" s="784">
        <v>50304</v>
      </c>
      <c r="BV2" s="784">
        <v>50540</v>
      </c>
      <c r="BW2" s="784">
        <v>50305</v>
      </c>
      <c r="BX2" s="784">
        <v>50306</v>
      </c>
      <c r="BY2" s="784">
        <v>50479</v>
      </c>
      <c r="BZ2" s="784">
        <v>50307</v>
      </c>
      <c r="CA2" s="784">
        <v>50308</v>
      </c>
      <c r="CB2" s="784">
        <v>50309</v>
      </c>
      <c r="CC2" s="784">
        <v>50310</v>
      </c>
      <c r="CD2" s="784">
        <v>50311</v>
      </c>
    </row>
    <row r="3" spans="1:82" x14ac:dyDescent="0.3">
      <c r="A3">
        <v>4</v>
      </c>
      <c r="B3" t="s">
        <v>111</v>
      </c>
      <c r="D3">
        <v>44068</v>
      </c>
      <c r="E3">
        <v>22201</v>
      </c>
      <c r="F3">
        <v>48301</v>
      </c>
      <c r="G3">
        <v>184098</v>
      </c>
      <c r="H3">
        <v>42059</v>
      </c>
      <c r="I3">
        <v>16418</v>
      </c>
      <c r="J3">
        <v>377</v>
      </c>
      <c r="K3">
        <v>11276</v>
      </c>
      <c r="L3">
        <v>5952</v>
      </c>
      <c r="M3">
        <v>537057</v>
      </c>
      <c r="N3">
        <v>8027</v>
      </c>
      <c r="O3">
        <v>53537</v>
      </c>
      <c r="P3">
        <v>780</v>
      </c>
      <c r="Q3">
        <v>3118143</v>
      </c>
      <c r="R3">
        <v>15332</v>
      </c>
      <c r="S3">
        <v>2483</v>
      </c>
      <c r="T3">
        <v>6956530</v>
      </c>
      <c r="U3">
        <v>1047378</v>
      </c>
      <c r="V3">
        <v>966621</v>
      </c>
      <c r="W3">
        <v>2504089</v>
      </c>
      <c r="Y3">
        <v>1269022</v>
      </c>
      <c r="Z3">
        <v>77606</v>
      </c>
      <c r="AA3">
        <v>347060</v>
      </c>
      <c r="AB3">
        <v>204084</v>
      </c>
      <c r="AC3">
        <v>75441</v>
      </c>
      <c r="AD3">
        <v>42162</v>
      </c>
      <c r="AE3">
        <v>77372</v>
      </c>
      <c r="AF3">
        <v>923070</v>
      </c>
      <c r="AG3">
        <v>551946</v>
      </c>
      <c r="AH3">
        <v>27046</v>
      </c>
      <c r="AI3">
        <v>1978327</v>
      </c>
      <c r="AJ3">
        <v>10579</v>
      </c>
      <c r="AK3">
        <v>11072</v>
      </c>
      <c r="AM3">
        <v>652029</v>
      </c>
      <c r="AN3">
        <v>25566</v>
      </c>
      <c r="AO3">
        <v>4945</v>
      </c>
      <c r="AP3">
        <v>28345</v>
      </c>
      <c r="AQ3">
        <v>47712</v>
      </c>
      <c r="AR3">
        <v>160379</v>
      </c>
      <c r="AS3">
        <v>29757</v>
      </c>
      <c r="AT3">
        <v>451223</v>
      </c>
      <c r="AU3">
        <v>35525</v>
      </c>
      <c r="AV3">
        <v>457491</v>
      </c>
      <c r="AW3">
        <v>906967</v>
      </c>
      <c r="AX3">
        <v>67734</v>
      </c>
      <c r="AY3">
        <v>632885</v>
      </c>
      <c r="AZ3">
        <v>25965</v>
      </c>
      <c r="BA3">
        <v>41656</v>
      </c>
      <c r="BB3">
        <v>0</v>
      </c>
      <c r="BC3">
        <v>14059</v>
      </c>
      <c r="BD3">
        <v>426673</v>
      </c>
      <c r="BE3">
        <v>30798</v>
      </c>
      <c r="BF3">
        <v>13125</v>
      </c>
      <c r="BG3">
        <v>2018</v>
      </c>
      <c r="BH3">
        <v>780</v>
      </c>
      <c r="BI3">
        <v>2698</v>
      </c>
      <c r="BJ3">
        <v>33505</v>
      </c>
      <c r="BK3">
        <v>100386</v>
      </c>
      <c r="BL3">
        <v>139858</v>
      </c>
      <c r="BM3">
        <v>54605</v>
      </c>
      <c r="BN3">
        <v>206956</v>
      </c>
      <c r="BO3">
        <v>53491</v>
      </c>
      <c r="BP3">
        <v>13858</v>
      </c>
      <c r="BQ3">
        <v>2022818</v>
      </c>
      <c r="BR3">
        <v>62417</v>
      </c>
      <c r="BS3">
        <v>1540211</v>
      </c>
      <c r="BT3">
        <v>82629</v>
      </c>
      <c r="BU3">
        <v>398991</v>
      </c>
      <c r="BV3">
        <v>675171</v>
      </c>
      <c r="BW3">
        <v>104392</v>
      </c>
      <c r="BX3">
        <v>39926</v>
      </c>
      <c r="BY3">
        <v>18512</v>
      </c>
      <c r="BZ3">
        <v>11581</v>
      </c>
      <c r="CA3">
        <v>11009</v>
      </c>
      <c r="CB3">
        <v>29612</v>
      </c>
      <c r="CD3">
        <v>24574</v>
      </c>
    </row>
    <row r="4" spans="1:82" x14ac:dyDescent="0.3">
      <c r="A4">
        <v>5</v>
      </c>
      <c r="B4" t="s">
        <v>112</v>
      </c>
      <c r="D4">
        <v>0</v>
      </c>
      <c r="E4">
        <v>0</v>
      </c>
      <c r="F4">
        <v>0</v>
      </c>
      <c r="G4">
        <v>359</v>
      </c>
      <c r="H4">
        <v>0</v>
      </c>
      <c r="I4">
        <v>4502</v>
      </c>
      <c r="J4">
        <v>0</v>
      </c>
      <c r="K4">
        <v>2</v>
      </c>
      <c r="L4">
        <v>0</v>
      </c>
      <c r="M4">
        <v>0</v>
      </c>
      <c r="N4">
        <v>0</v>
      </c>
      <c r="O4">
        <v>0</v>
      </c>
      <c r="P4">
        <v>0</v>
      </c>
      <c r="Q4">
        <v>22731</v>
      </c>
      <c r="R4">
        <v>0</v>
      </c>
      <c r="S4">
        <v>0</v>
      </c>
      <c r="T4">
        <v>2212904</v>
      </c>
      <c r="U4">
        <v>796981</v>
      </c>
      <c r="V4">
        <v>0</v>
      </c>
      <c r="W4">
        <v>12777</v>
      </c>
      <c r="Y4">
        <v>29790</v>
      </c>
      <c r="Z4">
        <v>0</v>
      </c>
      <c r="AA4">
        <v>0</v>
      </c>
      <c r="AB4">
        <v>0</v>
      </c>
      <c r="AC4">
        <v>0</v>
      </c>
      <c r="AD4">
        <v>0</v>
      </c>
      <c r="AE4">
        <v>10554</v>
      </c>
      <c r="AF4">
        <v>8589</v>
      </c>
      <c r="AG4">
        <v>33910</v>
      </c>
      <c r="AH4">
        <v>0</v>
      </c>
      <c r="AI4">
        <v>286706</v>
      </c>
      <c r="AJ4">
        <v>0</v>
      </c>
      <c r="AK4">
        <v>0</v>
      </c>
      <c r="AM4">
        <v>1096</v>
      </c>
      <c r="AN4">
        <v>2051</v>
      </c>
      <c r="AO4">
        <v>0</v>
      </c>
      <c r="AP4">
        <v>0</v>
      </c>
      <c r="AQ4">
        <v>0</v>
      </c>
      <c r="AR4">
        <v>12500000</v>
      </c>
      <c r="AS4">
        <v>275935</v>
      </c>
      <c r="AT4">
        <v>48777</v>
      </c>
      <c r="AU4">
        <v>0</v>
      </c>
      <c r="AV4">
        <v>357013</v>
      </c>
      <c r="AW4">
        <v>0</v>
      </c>
      <c r="AX4">
        <v>0</v>
      </c>
      <c r="AY4">
        <v>0</v>
      </c>
      <c r="AZ4">
        <v>0</v>
      </c>
      <c r="BA4">
        <v>0</v>
      </c>
      <c r="BB4">
        <v>0</v>
      </c>
      <c r="BC4">
        <v>0</v>
      </c>
      <c r="BD4">
        <v>0</v>
      </c>
      <c r="BE4">
        <v>0</v>
      </c>
      <c r="BF4">
        <v>0</v>
      </c>
      <c r="BG4">
        <v>39168</v>
      </c>
      <c r="BH4">
        <v>0</v>
      </c>
      <c r="BI4">
        <v>0</v>
      </c>
      <c r="BJ4">
        <v>0</v>
      </c>
      <c r="BK4">
        <v>0</v>
      </c>
      <c r="BL4">
        <v>2361</v>
      </c>
      <c r="BM4">
        <v>0</v>
      </c>
      <c r="BN4">
        <v>42219</v>
      </c>
      <c r="BO4">
        <v>0</v>
      </c>
      <c r="BP4">
        <v>1796</v>
      </c>
      <c r="BQ4">
        <v>0</v>
      </c>
      <c r="BR4">
        <v>196796</v>
      </c>
      <c r="BS4">
        <v>0</v>
      </c>
      <c r="BT4">
        <v>0</v>
      </c>
      <c r="BU4">
        <v>471158</v>
      </c>
      <c r="BV4">
        <v>0</v>
      </c>
      <c r="BW4">
        <v>5111</v>
      </c>
      <c r="BX4">
        <v>1288</v>
      </c>
      <c r="BY4">
        <v>0</v>
      </c>
      <c r="BZ4">
        <v>157219</v>
      </c>
      <c r="CA4">
        <v>260</v>
      </c>
      <c r="CB4">
        <v>0</v>
      </c>
      <c r="CD4">
        <v>0</v>
      </c>
    </row>
    <row r="5" spans="1:82" x14ac:dyDescent="0.3">
      <c r="A5">
        <v>6</v>
      </c>
      <c r="B5" t="s">
        <v>251</v>
      </c>
      <c r="D5">
        <v>0</v>
      </c>
      <c r="E5">
        <v>0</v>
      </c>
      <c r="F5">
        <v>0</v>
      </c>
      <c r="G5">
        <v>0</v>
      </c>
      <c r="H5">
        <v>0</v>
      </c>
      <c r="I5">
        <v>0</v>
      </c>
      <c r="J5">
        <v>0</v>
      </c>
      <c r="K5">
        <v>0</v>
      </c>
      <c r="L5">
        <v>0</v>
      </c>
      <c r="M5">
        <v>21750</v>
      </c>
      <c r="N5">
        <v>0</v>
      </c>
      <c r="O5">
        <v>0</v>
      </c>
      <c r="P5">
        <v>0</v>
      </c>
      <c r="Q5">
        <v>3780216</v>
      </c>
      <c r="R5">
        <v>0</v>
      </c>
      <c r="S5">
        <v>0</v>
      </c>
      <c r="T5">
        <v>3573194</v>
      </c>
      <c r="U5">
        <v>0</v>
      </c>
      <c r="V5">
        <v>922564</v>
      </c>
      <c r="W5">
        <v>1008878</v>
      </c>
      <c r="Y5">
        <v>1631319</v>
      </c>
      <c r="Z5">
        <v>0</v>
      </c>
      <c r="AA5">
        <v>0</v>
      </c>
      <c r="AB5">
        <v>0</v>
      </c>
      <c r="AC5">
        <v>0</v>
      </c>
      <c r="AD5">
        <v>0</v>
      </c>
      <c r="AE5">
        <v>0</v>
      </c>
      <c r="AF5">
        <v>1154135</v>
      </c>
      <c r="AG5">
        <v>0</v>
      </c>
      <c r="AH5">
        <v>0</v>
      </c>
      <c r="AI5">
        <v>2126270</v>
      </c>
      <c r="AJ5">
        <v>0</v>
      </c>
      <c r="AK5">
        <v>0</v>
      </c>
      <c r="AM5">
        <v>743446</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615675</v>
      </c>
      <c r="BR5">
        <v>0</v>
      </c>
      <c r="BS5">
        <v>0</v>
      </c>
      <c r="BT5">
        <v>0</v>
      </c>
      <c r="BU5">
        <v>0</v>
      </c>
      <c r="BV5">
        <v>0</v>
      </c>
      <c r="BW5">
        <v>0</v>
      </c>
      <c r="BX5">
        <v>0</v>
      </c>
      <c r="BY5">
        <v>0</v>
      </c>
      <c r="BZ5">
        <v>0</v>
      </c>
      <c r="CA5">
        <v>0</v>
      </c>
      <c r="CB5">
        <v>0</v>
      </c>
      <c r="CD5">
        <v>0</v>
      </c>
    </row>
    <row r="6" spans="1:82" x14ac:dyDescent="0.3">
      <c r="A6">
        <v>7</v>
      </c>
      <c r="B6" t="s">
        <v>193</v>
      </c>
      <c r="D6">
        <v>0</v>
      </c>
      <c r="E6">
        <v>0</v>
      </c>
      <c r="F6">
        <v>0</v>
      </c>
      <c r="G6">
        <v>0</v>
      </c>
      <c r="H6">
        <v>0</v>
      </c>
      <c r="I6">
        <v>28431</v>
      </c>
      <c r="J6">
        <v>0</v>
      </c>
      <c r="K6">
        <v>0</v>
      </c>
      <c r="L6">
        <v>0</v>
      </c>
      <c r="M6">
        <v>66081</v>
      </c>
      <c r="N6">
        <v>0</v>
      </c>
      <c r="O6">
        <v>0</v>
      </c>
      <c r="P6">
        <v>0</v>
      </c>
      <c r="Q6">
        <v>724013</v>
      </c>
      <c r="R6">
        <v>0</v>
      </c>
      <c r="S6">
        <v>10043</v>
      </c>
      <c r="T6">
        <v>333710</v>
      </c>
      <c r="U6">
        <v>25275</v>
      </c>
      <c r="V6">
        <v>220939</v>
      </c>
      <c r="W6">
        <v>28888</v>
      </c>
      <c r="Y6">
        <v>156792</v>
      </c>
      <c r="Z6">
        <v>2668</v>
      </c>
      <c r="AA6">
        <v>98693</v>
      </c>
      <c r="AB6">
        <v>15000</v>
      </c>
      <c r="AC6">
        <v>0</v>
      </c>
      <c r="AD6">
        <v>65586</v>
      </c>
      <c r="AE6">
        <v>12195</v>
      </c>
      <c r="AF6">
        <v>112860</v>
      </c>
      <c r="AG6">
        <v>10124</v>
      </c>
      <c r="AH6">
        <v>0</v>
      </c>
      <c r="AI6">
        <v>639621</v>
      </c>
      <c r="AJ6">
        <v>0</v>
      </c>
      <c r="AK6">
        <v>0</v>
      </c>
      <c r="AM6">
        <v>69931</v>
      </c>
      <c r="AN6">
        <v>0</v>
      </c>
      <c r="AO6">
        <v>0</v>
      </c>
      <c r="AP6">
        <v>0</v>
      </c>
      <c r="AQ6">
        <v>0</v>
      </c>
      <c r="AR6">
        <v>0</v>
      </c>
      <c r="AS6">
        <v>0</v>
      </c>
      <c r="AT6">
        <v>0</v>
      </c>
      <c r="AU6">
        <v>0</v>
      </c>
      <c r="AV6">
        <v>268287</v>
      </c>
      <c r="AW6">
        <v>0</v>
      </c>
      <c r="AX6">
        <v>0</v>
      </c>
      <c r="AY6">
        <v>0</v>
      </c>
      <c r="AZ6">
        <v>0</v>
      </c>
      <c r="BA6">
        <v>0</v>
      </c>
      <c r="BB6">
        <v>0</v>
      </c>
      <c r="BC6">
        <v>3052</v>
      </c>
      <c r="BD6">
        <v>71030</v>
      </c>
      <c r="BE6">
        <v>0</v>
      </c>
      <c r="BF6">
        <v>0</v>
      </c>
      <c r="BG6">
        <v>0</v>
      </c>
      <c r="BH6">
        <v>0</v>
      </c>
      <c r="BI6">
        <v>0</v>
      </c>
      <c r="BJ6">
        <v>6188</v>
      </c>
      <c r="BK6">
        <v>0</v>
      </c>
      <c r="BL6">
        <v>0</v>
      </c>
      <c r="BM6">
        <v>0</v>
      </c>
      <c r="BN6">
        <v>42074</v>
      </c>
      <c r="BO6">
        <v>0</v>
      </c>
      <c r="BP6">
        <v>0</v>
      </c>
      <c r="BQ6">
        <v>145753</v>
      </c>
      <c r="BR6">
        <v>0</v>
      </c>
      <c r="BS6">
        <v>120383</v>
      </c>
      <c r="BT6">
        <v>0</v>
      </c>
      <c r="BU6">
        <v>0</v>
      </c>
      <c r="BV6">
        <v>350</v>
      </c>
      <c r="BW6">
        <v>0</v>
      </c>
      <c r="BX6">
        <v>0</v>
      </c>
      <c r="BY6">
        <v>0</v>
      </c>
      <c r="BZ6">
        <v>0</v>
      </c>
      <c r="CA6">
        <v>0</v>
      </c>
      <c r="CB6">
        <v>27854</v>
      </c>
      <c r="CD6">
        <v>0</v>
      </c>
    </row>
    <row r="7" spans="1:82" x14ac:dyDescent="0.3">
      <c r="A7">
        <v>9</v>
      </c>
      <c r="B7" t="s">
        <v>195</v>
      </c>
      <c r="D7">
        <v>171250</v>
      </c>
      <c r="E7">
        <v>200441</v>
      </c>
      <c r="F7">
        <v>1182785</v>
      </c>
      <c r="G7">
        <v>5852219</v>
      </c>
      <c r="H7">
        <v>6848543</v>
      </c>
      <c r="I7">
        <v>6444359</v>
      </c>
      <c r="J7">
        <v>148516</v>
      </c>
      <c r="K7">
        <v>1114766</v>
      </c>
      <c r="L7">
        <v>975785</v>
      </c>
      <c r="M7">
        <v>12690697</v>
      </c>
      <c r="N7">
        <v>911645</v>
      </c>
      <c r="O7">
        <v>8529087</v>
      </c>
      <c r="P7">
        <v>350328</v>
      </c>
      <c r="Q7">
        <v>36433117</v>
      </c>
      <c r="R7">
        <v>1163405</v>
      </c>
      <c r="S7">
        <v>174011</v>
      </c>
      <c r="T7">
        <v>82477930</v>
      </c>
      <c r="U7">
        <v>10341028</v>
      </c>
      <c r="V7">
        <v>31849321</v>
      </c>
      <c r="W7">
        <v>31119593</v>
      </c>
      <c r="Y7">
        <v>16926854</v>
      </c>
      <c r="Z7">
        <v>1307277</v>
      </c>
      <c r="AA7">
        <v>20164174</v>
      </c>
      <c r="AB7">
        <v>2127453</v>
      </c>
      <c r="AC7">
        <v>2580929</v>
      </c>
      <c r="AD7">
        <v>2110067</v>
      </c>
      <c r="AE7">
        <v>3839912</v>
      </c>
      <c r="AF7">
        <v>19087859</v>
      </c>
      <c r="AG7">
        <v>5320023</v>
      </c>
      <c r="AH7">
        <v>1771559</v>
      </c>
      <c r="AI7">
        <v>26473854</v>
      </c>
      <c r="AJ7">
        <v>3889403</v>
      </c>
      <c r="AK7">
        <v>1005506</v>
      </c>
      <c r="AM7">
        <v>14114362</v>
      </c>
      <c r="AN7">
        <v>754599</v>
      </c>
      <c r="AO7">
        <v>910794</v>
      </c>
      <c r="AP7">
        <v>100309</v>
      </c>
      <c r="AQ7">
        <v>5133511</v>
      </c>
      <c r="AR7">
        <v>7166282</v>
      </c>
      <c r="AS7">
        <v>614441</v>
      </c>
      <c r="AT7">
        <v>1946271</v>
      </c>
      <c r="AU7">
        <v>271625</v>
      </c>
      <c r="AV7">
        <v>21345785</v>
      </c>
      <c r="AW7">
        <v>3863090</v>
      </c>
      <c r="AX7">
        <v>1190515</v>
      </c>
      <c r="AY7">
        <v>9402351</v>
      </c>
      <c r="AZ7">
        <v>2445105</v>
      </c>
      <c r="BA7">
        <v>1318712</v>
      </c>
      <c r="BB7">
        <v>127262</v>
      </c>
      <c r="BC7">
        <v>634958</v>
      </c>
      <c r="BD7">
        <v>9120344</v>
      </c>
      <c r="BE7">
        <v>700282</v>
      </c>
      <c r="BF7">
        <v>908414</v>
      </c>
      <c r="BG7">
        <v>263738</v>
      </c>
      <c r="BH7">
        <v>305401</v>
      </c>
      <c r="BI7">
        <v>521608</v>
      </c>
      <c r="BJ7">
        <v>355351</v>
      </c>
      <c r="BK7">
        <v>2531062</v>
      </c>
      <c r="BL7">
        <v>727103</v>
      </c>
      <c r="BM7">
        <v>718772</v>
      </c>
      <c r="BN7">
        <v>3451670</v>
      </c>
      <c r="BO7">
        <v>1727507</v>
      </c>
      <c r="BP7">
        <v>2501148</v>
      </c>
      <c r="BQ7">
        <v>15239959</v>
      </c>
      <c r="BR7">
        <v>800050</v>
      </c>
      <c r="BS7">
        <v>22934355</v>
      </c>
      <c r="BT7">
        <v>765235</v>
      </c>
      <c r="BU7">
        <v>6301838</v>
      </c>
      <c r="BV7">
        <v>2537403</v>
      </c>
      <c r="BW7">
        <v>1541890</v>
      </c>
      <c r="BX7">
        <v>2304939</v>
      </c>
      <c r="BY7">
        <v>369018</v>
      </c>
      <c r="BZ7">
        <v>972721</v>
      </c>
      <c r="CA7">
        <v>184613</v>
      </c>
      <c r="CB7">
        <v>639804</v>
      </c>
      <c r="CD7">
        <v>413433</v>
      </c>
    </row>
    <row r="8" spans="1:82" x14ac:dyDescent="0.3">
      <c r="A8">
        <v>11</v>
      </c>
      <c r="B8" t="s">
        <v>194</v>
      </c>
      <c r="D8">
        <v>72817</v>
      </c>
      <c r="E8">
        <v>41048</v>
      </c>
      <c r="F8">
        <v>177443</v>
      </c>
      <c r="G8">
        <v>456285</v>
      </c>
      <c r="H8">
        <v>0</v>
      </c>
      <c r="I8">
        <v>156462</v>
      </c>
      <c r="J8">
        <v>0</v>
      </c>
      <c r="K8">
        <v>0</v>
      </c>
      <c r="L8">
        <v>0</v>
      </c>
      <c r="M8">
        <v>787932</v>
      </c>
      <c r="N8">
        <v>121365</v>
      </c>
      <c r="O8">
        <v>185007</v>
      </c>
      <c r="P8">
        <v>0</v>
      </c>
      <c r="Q8">
        <v>1870200</v>
      </c>
      <c r="R8">
        <v>47844</v>
      </c>
      <c r="S8">
        <v>0</v>
      </c>
      <c r="T8">
        <v>1278589</v>
      </c>
      <c r="U8">
        <v>0</v>
      </c>
      <c r="V8">
        <v>873565</v>
      </c>
      <c r="W8">
        <v>3069699</v>
      </c>
      <c r="Y8">
        <v>562009</v>
      </c>
      <c r="Z8">
        <v>68731</v>
      </c>
      <c r="AA8">
        <v>2042935</v>
      </c>
      <c r="AB8">
        <v>324159</v>
      </c>
      <c r="AC8">
        <v>52735</v>
      </c>
      <c r="AD8">
        <v>247308</v>
      </c>
      <c r="AE8">
        <v>100835</v>
      </c>
      <c r="AF8">
        <v>251599</v>
      </c>
      <c r="AG8">
        <v>0</v>
      </c>
      <c r="AH8">
        <v>132999</v>
      </c>
      <c r="AI8">
        <v>254715</v>
      </c>
      <c r="AJ8">
        <v>174660</v>
      </c>
      <c r="AK8">
        <v>10519</v>
      </c>
      <c r="AM8">
        <v>601946</v>
      </c>
      <c r="AN8">
        <v>102255</v>
      </c>
      <c r="AO8">
        <v>42008</v>
      </c>
      <c r="AP8">
        <v>0</v>
      </c>
      <c r="AQ8">
        <v>34371</v>
      </c>
      <c r="AR8">
        <v>155783</v>
      </c>
      <c r="AS8">
        <v>19361</v>
      </c>
      <c r="AT8">
        <v>189635</v>
      </c>
      <c r="AU8">
        <v>50228</v>
      </c>
      <c r="AV8">
        <v>109354</v>
      </c>
      <c r="AW8">
        <v>0</v>
      </c>
      <c r="AX8">
        <v>81159</v>
      </c>
      <c r="AY8">
        <v>64082</v>
      </c>
      <c r="AZ8">
        <v>51297</v>
      </c>
      <c r="BA8">
        <v>267753</v>
      </c>
      <c r="BB8">
        <v>0</v>
      </c>
      <c r="BC8">
        <v>0</v>
      </c>
      <c r="BD8">
        <v>283324</v>
      </c>
      <c r="BE8">
        <v>36423</v>
      </c>
      <c r="BF8">
        <v>317</v>
      </c>
      <c r="BG8">
        <v>36866</v>
      </c>
      <c r="BH8">
        <v>0</v>
      </c>
      <c r="BI8">
        <v>43462</v>
      </c>
      <c r="BJ8">
        <v>26632</v>
      </c>
      <c r="BK8">
        <v>73203</v>
      </c>
      <c r="BL8">
        <v>186551</v>
      </c>
      <c r="BM8">
        <v>107627</v>
      </c>
      <c r="BN8">
        <v>62739</v>
      </c>
      <c r="BO8">
        <v>201980</v>
      </c>
      <c r="BP8">
        <v>221899</v>
      </c>
      <c r="BQ8">
        <v>0</v>
      </c>
      <c r="BR8">
        <v>247308</v>
      </c>
      <c r="BS8">
        <v>469648</v>
      </c>
      <c r="BT8">
        <v>92522</v>
      </c>
      <c r="BU8">
        <v>19934</v>
      </c>
      <c r="BV8">
        <v>0</v>
      </c>
      <c r="BW8">
        <v>16255</v>
      </c>
      <c r="BX8">
        <v>203440</v>
      </c>
      <c r="BY8">
        <v>128541</v>
      </c>
      <c r="BZ8">
        <v>36181</v>
      </c>
      <c r="CA8">
        <v>14756</v>
      </c>
      <c r="CB8">
        <v>102413</v>
      </c>
      <c r="CD8">
        <v>18800</v>
      </c>
    </row>
    <row r="9" spans="1:82" x14ac:dyDescent="0.3">
      <c r="A9">
        <v>16</v>
      </c>
      <c r="B9" t="s">
        <v>197</v>
      </c>
      <c r="D9">
        <v>372936</v>
      </c>
      <c r="E9">
        <v>69698</v>
      </c>
      <c r="F9">
        <v>1088057</v>
      </c>
      <c r="G9">
        <v>2670800</v>
      </c>
      <c r="H9">
        <v>2370854</v>
      </c>
      <c r="I9">
        <v>5087697</v>
      </c>
      <c r="J9">
        <v>123971</v>
      </c>
      <c r="K9">
        <v>374589</v>
      </c>
      <c r="L9">
        <v>241612</v>
      </c>
      <c r="M9">
        <v>17452335</v>
      </c>
      <c r="N9">
        <v>690908</v>
      </c>
      <c r="O9">
        <v>6375254</v>
      </c>
      <c r="P9">
        <v>117564</v>
      </c>
      <c r="Q9">
        <v>45756808</v>
      </c>
      <c r="R9">
        <v>2055873</v>
      </c>
      <c r="S9">
        <v>28377</v>
      </c>
      <c r="T9">
        <v>86216394</v>
      </c>
      <c r="U9">
        <v>19112155</v>
      </c>
      <c r="V9">
        <v>25345694</v>
      </c>
      <c r="W9">
        <v>39993081</v>
      </c>
      <c r="Y9">
        <v>16056041</v>
      </c>
      <c r="Z9">
        <v>1385837</v>
      </c>
      <c r="AA9">
        <v>18137161</v>
      </c>
      <c r="AB9">
        <v>5718872</v>
      </c>
      <c r="AC9">
        <v>2333053</v>
      </c>
      <c r="AD9">
        <v>2353084</v>
      </c>
      <c r="AE9">
        <v>2755097</v>
      </c>
      <c r="AF9">
        <v>22382738</v>
      </c>
      <c r="AG9">
        <v>6504823</v>
      </c>
      <c r="AH9">
        <v>1117739</v>
      </c>
      <c r="AI9">
        <v>34193888</v>
      </c>
      <c r="AJ9">
        <v>822467</v>
      </c>
      <c r="AK9">
        <v>1116777</v>
      </c>
      <c r="AM9">
        <v>16019408</v>
      </c>
      <c r="AN9">
        <v>645302</v>
      </c>
      <c r="AO9">
        <v>930016</v>
      </c>
      <c r="AP9">
        <v>35887</v>
      </c>
      <c r="AQ9">
        <v>6505016</v>
      </c>
      <c r="AR9">
        <v>7529959</v>
      </c>
      <c r="AS9">
        <v>564421</v>
      </c>
      <c r="AT9">
        <v>2858654</v>
      </c>
      <c r="AU9">
        <v>150929</v>
      </c>
      <c r="AV9">
        <v>17270957</v>
      </c>
      <c r="AW9">
        <v>2018275</v>
      </c>
      <c r="AX9">
        <v>2158219</v>
      </c>
      <c r="AY9">
        <v>10366177</v>
      </c>
      <c r="AZ9">
        <v>1029642</v>
      </c>
      <c r="BA9">
        <v>1131474</v>
      </c>
      <c r="BB9">
        <v>37235</v>
      </c>
      <c r="BC9">
        <v>289419</v>
      </c>
      <c r="BD9">
        <v>10167461</v>
      </c>
      <c r="BE9">
        <v>134452</v>
      </c>
      <c r="BF9">
        <v>489114</v>
      </c>
      <c r="BG9">
        <v>164953</v>
      </c>
      <c r="BH9">
        <v>91244</v>
      </c>
      <c r="BI9">
        <v>261902</v>
      </c>
      <c r="BJ9">
        <v>226898</v>
      </c>
      <c r="BK9">
        <v>3840687</v>
      </c>
      <c r="BL9">
        <v>816253</v>
      </c>
      <c r="BM9">
        <v>2170861</v>
      </c>
      <c r="BN9">
        <v>4989986</v>
      </c>
      <c r="BO9">
        <v>1559283</v>
      </c>
      <c r="BP9">
        <v>1792259</v>
      </c>
      <c r="BQ9">
        <v>23024021</v>
      </c>
      <c r="BR9">
        <v>1007456</v>
      </c>
      <c r="BS9">
        <v>16336934</v>
      </c>
      <c r="BT9">
        <v>719158</v>
      </c>
      <c r="BU9">
        <v>6849189</v>
      </c>
      <c r="BV9">
        <v>850110</v>
      </c>
      <c r="BW9">
        <v>2141555</v>
      </c>
      <c r="BX9">
        <v>1017666</v>
      </c>
      <c r="BY9">
        <v>81100</v>
      </c>
      <c r="BZ9">
        <v>579420</v>
      </c>
      <c r="CA9">
        <v>135364</v>
      </c>
      <c r="CB9">
        <v>1223044</v>
      </c>
      <c r="CD9">
        <v>92769</v>
      </c>
    </row>
    <row r="10" spans="1:82" x14ac:dyDescent="0.3">
      <c r="A10">
        <v>17</v>
      </c>
      <c r="B10" t="s">
        <v>200</v>
      </c>
      <c r="D10">
        <v>0</v>
      </c>
      <c r="E10">
        <v>0</v>
      </c>
      <c r="F10">
        <v>25645</v>
      </c>
      <c r="G10">
        <v>0</v>
      </c>
      <c r="H10">
        <v>0</v>
      </c>
      <c r="I10">
        <v>773302</v>
      </c>
      <c r="J10">
        <v>0</v>
      </c>
      <c r="K10">
        <v>0</v>
      </c>
      <c r="L10">
        <v>34377</v>
      </c>
      <c r="M10">
        <v>0</v>
      </c>
      <c r="N10">
        <v>0</v>
      </c>
      <c r="O10">
        <v>0</v>
      </c>
      <c r="P10">
        <v>0</v>
      </c>
      <c r="Q10">
        <v>6721885</v>
      </c>
      <c r="R10">
        <v>0</v>
      </c>
      <c r="S10">
        <v>0</v>
      </c>
      <c r="T10">
        <v>0</v>
      </c>
      <c r="U10">
        <v>184320</v>
      </c>
      <c r="V10">
        <v>794458</v>
      </c>
      <c r="W10">
        <v>1149496</v>
      </c>
      <c r="Y10">
        <v>10000</v>
      </c>
      <c r="Z10">
        <v>0</v>
      </c>
      <c r="AA10">
        <v>0</v>
      </c>
      <c r="AB10">
        <v>100000</v>
      </c>
      <c r="AC10">
        <v>196150</v>
      </c>
      <c r="AD10">
        <v>0</v>
      </c>
      <c r="AE10">
        <v>99598</v>
      </c>
      <c r="AF10">
        <v>0</v>
      </c>
      <c r="AG10">
        <v>182307</v>
      </c>
      <c r="AH10">
        <v>0</v>
      </c>
      <c r="AI10">
        <v>2693022</v>
      </c>
      <c r="AJ10">
        <v>0</v>
      </c>
      <c r="AK10">
        <v>0</v>
      </c>
      <c r="AM10">
        <v>0</v>
      </c>
      <c r="AN10">
        <v>0</v>
      </c>
      <c r="AO10">
        <v>0</v>
      </c>
      <c r="AP10">
        <v>0</v>
      </c>
      <c r="AQ10">
        <v>0</v>
      </c>
      <c r="AR10">
        <v>484764</v>
      </c>
      <c r="AS10">
        <v>0</v>
      </c>
      <c r="AT10">
        <v>0</v>
      </c>
      <c r="AU10">
        <v>0</v>
      </c>
      <c r="AV10">
        <v>512954</v>
      </c>
      <c r="AW10">
        <v>0</v>
      </c>
      <c r="AX10">
        <v>0</v>
      </c>
      <c r="AY10">
        <v>700000</v>
      </c>
      <c r="AZ10">
        <v>147238</v>
      </c>
      <c r="BA10">
        <v>0</v>
      </c>
      <c r="BB10">
        <v>0</v>
      </c>
      <c r="BC10">
        <v>0</v>
      </c>
      <c r="BD10">
        <v>225975</v>
      </c>
      <c r="BE10">
        <v>0</v>
      </c>
      <c r="BF10">
        <v>0</v>
      </c>
      <c r="BG10">
        <v>0</v>
      </c>
      <c r="BH10">
        <v>0</v>
      </c>
      <c r="BI10">
        <v>4135</v>
      </c>
      <c r="BJ10">
        <v>0</v>
      </c>
      <c r="BK10">
        <v>0</v>
      </c>
      <c r="BL10">
        <v>0</v>
      </c>
      <c r="BM10">
        <v>0</v>
      </c>
      <c r="BN10">
        <v>158519</v>
      </c>
      <c r="BO10">
        <v>0</v>
      </c>
      <c r="BP10">
        <v>0</v>
      </c>
      <c r="BQ10">
        <v>0</v>
      </c>
      <c r="BR10">
        <v>344778</v>
      </c>
      <c r="BS10">
        <v>42717</v>
      </c>
      <c r="BT10">
        <v>27650</v>
      </c>
      <c r="BU10">
        <v>473313</v>
      </c>
      <c r="BV10">
        <v>1402328</v>
      </c>
      <c r="BW10">
        <v>0</v>
      </c>
      <c r="BX10">
        <v>0</v>
      </c>
      <c r="BY10">
        <v>14029</v>
      </c>
      <c r="BZ10">
        <v>0</v>
      </c>
      <c r="CA10">
        <v>0</v>
      </c>
      <c r="CB10">
        <v>0</v>
      </c>
      <c r="CD10">
        <v>0</v>
      </c>
    </row>
    <row r="11" spans="1:82" x14ac:dyDescent="0.3">
      <c r="A11">
        <v>20</v>
      </c>
      <c r="B11" t="s">
        <v>201</v>
      </c>
      <c r="D11">
        <v>0</v>
      </c>
      <c r="E11">
        <v>0</v>
      </c>
      <c r="F11">
        <v>0</v>
      </c>
      <c r="G11">
        <v>0</v>
      </c>
      <c r="H11">
        <v>0</v>
      </c>
      <c r="I11">
        <v>668000</v>
      </c>
      <c r="J11">
        <v>15000</v>
      </c>
      <c r="K11">
        <v>0</v>
      </c>
      <c r="L11">
        <v>0</v>
      </c>
      <c r="M11">
        <v>0</v>
      </c>
      <c r="N11">
        <v>0</v>
      </c>
      <c r="O11">
        <v>0</v>
      </c>
      <c r="P11">
        <v>0</v>
      </c>
      <c r="Q11">
        <v>15749259</v>
      </c>
      <c r="R11">
        <v>145454</v>
      </c>
      <c r="S11">
        <v>0</v>
      </c>
      <c r="T11">
        <v>14008959</v>
      </c>
      <c r="U11">
        <v>4530028</v>
      </c>
      <c r="V11">
        <v>409107</v>
      </c>
      <c r="W11">
        <v>4847650</v>
      </c>
      <c r="Y11">
        <v>99759</v>
      </c>
      <c r="Z11">
        <v>1913</v>
      </c>
      <c r="AA11">
        <v>0</v>
      </c>
      <c r="AB11">
        <v>0</v>
      </c>
      <c r="AC11">
        <v>346421</v>
      </c>
      <c r="AD11">
        <v>0</v>
      </c>
      <c r="AE11">
        <v>0</v>
      </c>
      <c r="AF11">
        <v>2102426</v>
      </c>
      <c r="AG11">
        <v>0</v>
      </c>
      <c r="AH11">
        <v>0</v>
      </c>
      <c r="AI11">
        <v>2889948</v>
      </c>
      <c r="AJ11">
        <v>0</v>
      </c>
      <c r="AK11">
        <v>0</v>
      </c>
      <c r="AM11">
        <v>40250</v>
      </c>
      <c r="AN11">
        <v>0</v>
      </c>
      <c r="AO11">
        <v>0</v>
      </c>
      <c r="AP11">
        <v>0</v>
      </c>
      <c r="AQ11">
        <v>0</v>
      </c>
      <c r="AR11">
        <v>883000</v>
      </c>
      <c r="AS11">
        <v>0</v>
      </c>
      <c r="AT11">
        <v>0</v>
      </c>
      <c r="AU11">
        <v>0</v>
      </c>
      <c r="AV11">
        <v>280000</v>
      </c>
      <c r="AW11">
        <v>0</v>
      </c>
      <c r="AX11">
        <v>0</v>
      </c>
      <c r="AY11">
        <v>0</v>
      </c>
      <c r="AZ11">
        <v>40000</v>
      </c>
      <c r="BA11">
        <v>0</v>
      </c>
      <c r="BB11">
        <v>0</v>
      </c>
      <c r="BC11">
        <v>20000</v>
      </c>
      <c r="BD11">
        <v>0</v>
      </c>
      <c r="BE11">
        <v>0</v>
      </c>
      <c r="BF11">
        <v>0</v>
      </c>
      <c r="BG11">
        <v>0</v>
      </c>
      <c r="BH11">
        <v>0</v>
      </c>
      <c r="BI11">
        <v>0</v>
      </c>
      <c r="BJ11">
        <v>0</v>
      </c>
      <c r="BK11">
        <v>0</v>
      </c>
      <c r="BL11">
        <v>0</v>
      </c>
      <c r="BM11">
        <v>0</v>
      </c>
      <c r="BN11">
        <v>100000</v>
      </c>
      <c r="BO11">
        <v>0</v>
      </c>
      <c r="BP11">
        <v>0</v>
      </c>
      <c r="BQ11">
        <v>400000</v>
      </c>
      <c r="BR11">
        <v>0</v>
      </c>
      <c r="BS11">
        <v>89451</v>
      </c>
      <c r="BT11">
        <v>0</v>
      </c>
      <c r="BU11">
        <v>473313</v>
      </c>
      <c r="BV11">
        <v>6394</v>
      </c>
      <c r="BW11">
        <v>0</v>
      </c>
      <c r="BX11">
        <v>0</v>
      </c>
      <c r="BY11">
        <v>0</v>
      </c>
      <c r="BZ11">
        <v>483234</v>
      </c>
      <c r="CA11">
        <v>0</v>
      </c>
      <c r="CB11">
        <v>0</v>
      </c>
      <c r="CD11">
        <v>0</v>
      </c>
    </row>
    <row r="12" spans="1:82" x14ac:dyDescent="0.3">
      <c r="A12">
        <v>22</v>
      </c>
      <c r="B12" t="s">
        <v>203</v>
      </c>
      <c r="D12">
        <v>0</v>
      </c>
      <c r="E12">
        <v>0</v>
      </c>
      <c r="F12">
        <v>0</v>
      </c>
      <c r="G12">
        <v>0</v>
      </c>
      <c r="H12">
        <v>0</v>
      </c>
      <c r="I12">
        <v>168000</v>
      </c>
      <c r="J12">
        <v>0</v>
      </c>
      <c r="K12">
        <v>0</v>
      </c>
      <c r="L12">
        <v>0</v>
      </c>
      <c r="M12">
        <v>0</v>
      </c>
      <c r="N12">
        <v>0</v>
      </c>
      <c r="O12">
        <v>-138341</v>
      </c>
      <c r="P12">
        <v>0</v>
      </c>
      <c r="Q12">
        <v>110955</v>
      </c>
      <c r="R12">
        <v>1140</v>
      </c>
      <c r="S12">
        <v>0</v>
      </c>
      <c r="T12">
        <v>1943027</v>
      </c>
      <c r="U12">
        <v>2114852</v>
      </c>
      <c r="V12">
        <v>0</v>
      </c>
      <c r="W12">
        <v>0</v>
      </c>
      <c r="Y12">
        <v>32994</v>
      </c>
      <c r="Z12">
        <v>0</v>
      </c>
      <c r="AA12">
        <v>671680</v>
      </c>
      <c r="AB12">
        <v>0</v>
      </c>
      <c r="AC12">
        <v>362551</v>
      </c>
      <c r="AD12">
        <v>0</v>
      </c>
      <c r="AE12">
        <v>0</v>
      </c>
      <c r="AF12">
        <v>24633</v>
      </c>
      <c r="AG12">
        <v>0</v>
      </c>
      <c r="AH12">
        <v>0</v>
      </c>
      <c r="AI12">
        <v>99979</v>
      </c>
      <c r="AJ12">
        <v>0</v>
      </c>
      <c r="AK12">
        <v>0</v>
      </c>
      <c r="AM12">
        <v>0</v>
      </c>
      <c r="AN12">
        <v>0</v>
      </c>
      <c r="AO12">
        <v>875</v>
      </c>
      <c r="AP12">
        <v>0</v>
      </c>
      <c r="AQ12">
        <v>0</v>
      </c>
      <c r="AR12">
        <v>20124</v>
      </c>
      <c r="AS12">
        <v>0</v>
      </c>
      <c r="AT12">
        <v>0</v>
      </c>
      <c r="AU12">
        <v>0</v>
      </c>
      <c r="AV12">
        <v>0</v>
      </c>
      <c r="AW12">
        <v>3000</v>
      </c>
      <c r="AX12">
        <v>0</v>
      </c>
      <c r="AY12">
        <v>71673</v>
      </c>
      <c r="AZ12">
        <v>0</v>
      </c>
      <c r="BA12">
        <v>0</v>
      </c>
      <c r="BB12">
        <v>0</v>
      </c>
      <c r="BC12">
        <v>0</v>
      </c>
      <c r="BD12">
        <v>0</v>
      </c>
      <c r="BE12">
        <v>0</v>
      </c>
      <c r="BF12">
        <v>0</v>
      </c>
      <c r="BG12">
        <v>0</v>
      </c>
      <c r="BH12">
        <v>0</v>
      </c>
      <c r="BI12">
        <v>13558</v>
      </c>
      <c r="BJ12">
        <v>0</v>
      </c>
      <c r="BK12">
        <v>0</v>
      </c>
      <c r="BL12">
        <v>2218</v>
      </c>
      <c r="BM12">
        <v>29500</v>
      </c>
      <c r="BN12">
        <v>0</v>
      </c>
      <c r="BO12">
        <v>0</v>
      </c>
      <c r="BP12">
        <v>0</v>
      </c>
      <c r="BQ12">
        <v>70576</v>
      </c>
      <c r="BR12">
        <v>0</v>
      </c>
      <c r="BS12">
        <v>0</v>
      </c>
      <c r="BT12">
        <v>0</v>
      </c>
      <c r="BU12">
        <v>0</v>
      </c>
      <c r="BV12">
        <v>0</v>
      </c>
      <c r="BW12">
        <v>0</v>
      </c>
      <c r="BX12">
        <v>5411</v>
      </c>
      <c r="BY12">
        <v>0</v>
      </c>
      <c r="BZ12">
        <v>55310</v>
      </c>
      <c r="CA12">
        <v>0</v>
      </c>
      <c r="CB12">
        <v>0</v>
      </c>
      <c r="CD12">
        <v>0</v>
      </c>
    </row>
    <row r="13" spans="1:82" x14ac:dyDescent="0.3">
      <c r="A13">
        <v>23</v>
      </c>
      <c r="B13" t="s">
        <v>206</v>
      </c>
      <c r="D13">
        <v>20886</v>
      </c>
      <c r="E13">
        <v>9450</v>
      </c>
      <c r="F13">
        <v>187759</v>
      </c>
      <c r="G13">
        <v>742022</v>
      </c>
      <c r="H13">
        <v>637496</v>
      </c>
      <c r="I13">
        <v>1245004</v>
      </c>
      <c r="J13">
        <v>20990</v>
      </c>
      <c r="K13">
        <v>52126</v>
      </c>
      <c r="L13">
        <v>-126006</v>
      </c>
      <c r="M13">
        <v>1900621</v>
      </c>
      <c r="N13">
        <v>133513</v>
      </c>
      <c r="O13">
        <v>737281</v>
      </c>
      <c r="P13">
        <v>31063</v>
      </c>
      <c r="Q13">
        <v>-2211809</v>
      </c>
      <c r="R13">
        <v>438169</v>
      </c>
      <c r="S13">
        <v>-13579</v>
      </c>
      <c r="T13">
        <v>4638960</v>
      </c>
      <c r="U13">
        <v>-315461</v>
      </c>
      <c r="V13">
        <v>4853153</v>
      </c>
      <c r="W13">
        <v>-1435173</v>
      </c>
      <c r="Y13">
        <v>1988416</v>
      </c>
      <c r="Z13">
        <v>-375595</v>
      </c>
      <c r="AA13">
        <v>2767658</v>
      </c>
      <c r="AB13">
        <v>435483</v>
      </c>
      <c r="AC13">
        <v>116179</v>
      </c>
      <c r="AD13">
        <v>367492</v>
      </c>
      <c r="AE13">
        <v>-8488</v>
      </c>
      <c r="AF13">
        <v>-727297</v>
      </c>
      <c r="AG13">
        <v>-690312</v>
      </c>
      <c r="AH13">
        <v>306054</v>
      </c>
      <c r="AI13">
        <v>786663</v>
      </c>
      <c r="AJ13">
        <v>234381</v>
      </c>
      <c r="AK13">
        <v>4064</v>
      </c>
      <c r="AM13">
        <v>846712</v>
      </c>
      <c r="AN13">
        <v>29927</v>
      </c>
      <c r="AO13">
        <v>176203</v>
      </c>
      <c r="AP13">
        <v>-1416</v>
      </c>
      <c r="AQ13">
        <v>805987</v>
      </c>
      <c r="AR13">
        <v>-5334</v>
      </c>
      <c r="AS13">
        <v>-209854</v>
      </c>
      <c r="AT13">
        <v>-239890</v>
      </c>
      <c r="AU13">
        <v>-27974</v>
      </c>
      <c r="AV13">
        <v>4013464</v>
      </c>
      <c r="AW13">
        <v>-134305</v>
      </c>
      <c r="AX13">
        <v>126565</v>
      </c>
      <c r="AY13">
        <v>-11612787</v>
      </c>
      <c r="AZ13">
        <v>163752</v>
      </c>
      <c r="BA13">
        <v>-20035</v>
      </c>
      <c r="BB13">
        <v>6340</v>
      </c>
      <c r="BC13">
        <v>50909</v>
      </c>
      <c r="BD13">
        <v>1473394</v>
      </c>
      <c r="BE13">
        <v>35216</v>
      </c>
      <c r="BF13">
        <v>15406</v>
      </c>
      <c r="BG13">
        <v>17789</v>
      </c>
      <c r="BH13">
        <v>-29474</v>
      </c>
      <c r="BI13">
        <v>3456</v>
      </c>
      <c r="BJ13">
        <v>80616</v>
      </c>
      <c r="BK13">
        <v>65214</v>
      </c>
      <c r="BL13">
        <v>115427</v>
      </c>
      <c r="BM13">
        <v>21740</v>
      </c>
      <c r="BN13">
        <v>338892</v>
      </c>
      <c r="BO13">
        <v>347474</v>
      </c>
      <c r="BP13">
        <v>-122397</v>
      </c>
      <c r="BQ13">
        <v>1951091</v>
      </c>
      <c r="BR13">
        <v>111991</v>
      </c>
      <c r="BS13">
        <v>2889667</v>
      </c>
      <c r="BT13">
        <v>-102059</v>
      </c>
      <c r="BU13">
        <v>773699</v>
      </c>
      <c r="BV13">
        <v>1629275</v>
      </c>
      <c r="BW13">
        <v>63354</v>
      </c>
      <c r="BX13">
        <v>220838</v>
      </c>
      <c r="BY13">
        <v>28529</v>
      </c>
      <c r="BZ13">
        <v>403101</v>
      </c>
      <c r="CA13">
        <v>4126</v>
      </c>
      <c r="CB13">
        <v>-15048</v>
      </c>
      <c r="CD13">
        <v>26061</v>
      </c>
    </row>
    <row r="14" spans="1:82" x14ac:dyDescent="0.3">
      <c r="A14">
        <v>44</v>
      </c>
      <c r="B14" t="s">
        <v>878</v>
      </c>
      <c r="D14">
        <v>140571</v>
      </c>
      <c r="E14">
        <v>0</v>
      </c>
      <c r="F14">
        <v>778602</v>
      </c>
      <c r="G14">
        <v>0</v>
      </c>
      <c r="H14">
        <v>0</v>
      </c>
      <c r="I14">
        <v>0</v>
      </c>
      <c r="J14">
        <v>61741</v>
      </c>
      <c r="K14">
        <v>0</v>
      </c>
      <c r="L14">
        <v>0</v>
      </c>
      <c r="M14">
        <v>0</v>
      </c>
      <c r="N14">
        <v>0</v>
      </c>
      <c r="O14">
        <v>2790933</v>
      </c>
      <c r="P14">
        <v>0</v>
      </c>
      <c r="Q14">
        <v>57476799</v>
      </c>
      <c r="R14">
        <v>922821</v>
      </c>
      <c r="S14">
        <v>0</v>
      </c>
      <c r="T14">
        <v>28874899</v>
      </c>
      <c r="U14">
        <v>9496458</v>
      </c>
      <c r="V14">
        <v>21934652</v>
      </c>
      <c r="W14">
        <v>0</v>
      </c>
      <c r="Y14">
        <v>9824110</v>
      </c>
      <c r="Z14">
        <v>1763987</v>
      </c>
      <c r="AA14">
        <v>17013395</v>
      </c>
      <c r="AB14">
        <v>2339177</v>
      </c>
      <c r="AC14">
        <v>1526674</v>
      </c>
      <c r="AD14">
        <v>1302604</v>
      </c>
      <c r="AE14">
        <v>2181333</v>
      </c>
      <c r="AF14">
        <v>4642639</v>
      </c>
      <c r="AG14">
        <v>1121200</v>
      </c>
      <c r="AH14">
        <v>0</v>
      </c>
      <c r="AI14">
        <v>24708352</v>
      </c>
      <c r="AJ14">
        <v>410254</v>
      </c>
      <c r="AK14">
        <v>713315</v>
      </c>
      <c r="AM14">
        <v>4513790</v>
      </c>
      <c r="AN14">
        <v>50450</v>
      </c>
      <c r="AO14">
        <v>179032</v>
      </c>
      <c r="AP14">
        <v>0</v>
      </c>
      <c r="AQ14">
        <v>0</v>
      </c>
      <c r="AR14">
        <v>5664545</v>
      </c>
      <c r="AS14">
        <v>0</v>
      </c>
      <c r="AT14">
        <v>2135120</v>
      </c>
      <c r="AU14">
        <v>0</v>
      </c>
      <c r="AV14">
        <v>35468949</v>
      </c>
      <c r="AW14">
        <v>0</v>
      </c>
      <c r="AX14">
        <v>3107054</v>
      </c>
      <c r="AY14">
        <v>18393142</v>
      </c>
      <c r="AZ14">
        <v>1077305</v>
      </c>
      <c r="BA14">
        <v>282656</v>
      </c>
      <c r="BB14">
        <v>0</v>
      </c>
      <c r="BC14">
        <v>81868</v>
      </c>
      <c r="BD14">
        <v>9853347</v>
      </c>
      <c r="BE14">
        <v>0</v>
      </c>
      <c r="BF14">
        <v>298792</v>
      </c>
      <c r="BG14">
        <v>132118</v>
      </c>
      <c r="BH14">
        <v>0</v>
      </c>
      <c r="BI14">
        <v>358281</v>
      </c>
      <c r="BJ14">
        <v>0</v>
      </c>
      <c r="BK14">
        <v>2367135</v>
      </c>
      <c r="BL14">
        <v>652639</v>
      </c>
      <c r="BM14">
        <v>717479</v>
      </c>
      <c r="BN14">
        <v>1164674</v>
      </c>
      <c r="BO14">
        <v>949906</v>
      </c>
      <c r="BP14">
        <v>1212280</v>
      </c>
      <c r="BQ14">
        <v>0</v>
      </c>
      <c r="BR14">
        <v>954297</v>
      </c>
      <c r="BS14">
        <v>0</v>
      </c>
      <c r="BT14">
        <v>650428</v>
      </c>
      <c r="BU14">
        <v>7062334</v>
      </c>
      <c r="BV14">
        <v>0</v>
      </c>
      <c r="BW14">
        <v>1873982</v>
      </c>
      <c r="BX14">
        <v>1435209</v>
      </c>
      <c r="BY14">
        <v>36114</v>
      </c>
      <c r="BZ14">
        <v>395742</v>
      </c>
      <c r="CA14">
        <v>67186</v>
      </c>
      <c r="CB14">
        <v>1540739</v>
      </c>
      <c r="CD14">
        <v>35503</v>
      </c>
    </row>
    <row r="15" spans="1:82" x14ac:dyDescent="0.3">
      <c r="A15">
        <v>45</v>
      </c>
      <c r="B15" t="s">
        <v>879</v>
      </c>
      <c r="D15">
        <v>41743</v>
      </c>
      <c r="E15">
        <v>0</v>
      </c>
      <c r="F15">
        <v>52478</v>
      </c>
      <c r="G15">
        <v>0</v>
      </c>
      <c r="H15">
        <v>0</v>
      </c>
      <c r="I15">
        <v>0</v>
      </c>
      <c r="J15">
        <v>9268</v>
      </c>
      <c r="K15">
        <v>0</v>
      </c>
      <c r="L15">
        <v>0</v>
      </c>
      <c r="M15">
        <v>0</v>
      </c>
      <c r="N15">
        <v>0</v>
      </c>
      <c r="O15">
        <v>321896</v>
      </c>
      <c r="P15">
        <v>0</v>
      </c>
      <c r="Q15">
        <v>2647317</v>
      </c>
      <c r="R15">
        <v>43876</v>
      </c>
      <c r="S15">
        <v>0</v>
      </c>
      <c r="T15">
        <v>8242652</v>
      </c>
      <c r="U15">
        <v>2080676</v>
      </c>
      <c r="V15">
        <v>2043200</v>
      </c>
      <c r="W15">
        <v>0</v>
      </c>
      <c r="Y15">
        <v>998893</v>
      </c>
      <c r="Z15">
        <v>258448</v>
      </c>
      <c r="AA15">
        <v>739590</v>
      </c>
      <c r="AB15">
        <v>780427</v>
      </c>
      <c r="AC15">
        <v>375528</v>
      </c>
      <c r="AD15">
        <v>301824</v>
      </c>
      <c r="AE15">
        <v>157301</v>
      </c>
      <c r="AF15">
        <v>486101</v>
      </c>
      <c r="AG15">
        <v>260832</v>
      </c>
      <c r="AH15">
        <v>0</v>
      </c>
      <c r="AI15">
        <v>5259175</v>
      </c>
      <c r="AJ15">
        <v>64896</v>
      </c>
      <c r="AK15">
        <v>54840</v>
      </c>
      <c r="AM15">
        <v>1642584</v>
      </c>
      <c r="AN15">
        <v>46235</v>
      </c>
      <c r="AO15">
        <v>155736</v>
      </c>
      <c r="AP15">
        <v>0</v>
      </c>
      <c r="AQ15">
        <v>0</v>
      </c>
      <c r="AR15">
        <v>335556</v>
      </c>
      <c r="AS15">
        <v>0</v>
      </c>
      <c r="AT15">
        <v>960525</v>
      </c>
      <c r="AU15">
        <v>0</v>
      </c>
      <c r="AV15">
        <v>1522131</v>
      </c>
      <c r="AW15">
        <v>0</v>
      </c>
      <c r="AX15">
        <v>432517</v>
      </c>
      <c r="AY15">
        <v>409085</v>
      </c>
      <c r="AZ15">
        <v>49786</v>
      </c>
      <c r="BA15">
        <v>70830</v>
      </c>
      <c r="BB15">
        <v>0</v>
      </c>
      <c r="BC15">
        <v>9016</v>
      </c>
      <c r="BD15">
        <v>2895408</v>
      </c>
      <c r="BE15">
        <v>0</v>
      </c>
      <c r="BF15">
        <v>262550</v>
      </c>
      <c r="BG15">
        <v>5856</v>
      </c>
      <c r="BH15">
        <v>0</v>
      </c>
      <c r="BI15">
        <v>11206</v>
      </c>
      <c r="BJ15">
        <v>0</v>
      </c>
      <c r="BK15">
        <v>473077</v>
      </c>
      <c r="BL15">
        <v>81563</v>
      </c>
      <c r="BM15">
        <v>315380</v>
      </c>
      <c r="BN15">
        <v>110883</v>
      </c>
      <c r="BO15">
        <v>196671</v>
      </c>
      <c r="BP15">
        <v>110582</v>
      </c>
      <c r="BQ15">
        <v>0</v>
      </c>
      <c r="BR15">
        <v>181771</v>
      </c>
      <c r="BS15">
        <v>0</v>
      </c>
      <c r="BT15">
        <v>86845</v>
      </c>
      <c r="BU15">
        <v>791440</v>
      </c>
      <c r="BV15">
        <v>0</v>
      </c>
      <c r="BW15">
        <v>1053940</v>
      </c>
      <c r="BX15">
        <v>16201</v>
      </c>
      <c r="BY15">
        <v>35125</v>
      </c>
      <c r="BZ15">
        <v>688972</v>
      </c>
      <c r="CA15">
        <v>18881</v>
      </c>
      <c r="CB15">
        <v>85117</v>
      </c>
      <c r="CD15">
        <v>0</v>
      </c>
    </row>
    <row r="16" spans="1:82" x14ac:dyDescent="0.3">
      <c r="A16">
        <v>47</v>
      </c>
      <c r="B16" t="s">
        <v>880</v>
      </c>
      <c r="D16">
        <v>0</v>
      </c>
      <c r="E16">
        <v>0</v>
      </c>
      <c r="F16">
        <v>0</v>
      </c>
      <c r="G16">
        <v>0</v>
      </c>
      <c r="H16">
        <v>0</v>
      </c>
      <c r="I16">
        <v>0</v>
      </c>
      <c r="J16">
        <v>0</v>
      </c>
      <c r="K16">
        <v>0</v>
      </c>
      <c r="L16">
        <v>0</v>
      </c>
      <c r="M16">
        <v>0</v>
      </c>
      <c r="N16">
        <v>0</v>
      </c>
      <c r="O16">
        <v>0</v>
      </c>
      <c r="P16">
        <v>0</v>
      </c>
      <c r="Q16">
        <v>99669701</v>
      </c>
      <c r="R16">
        <v>0</v>
      </c>
      <c r="S16">
        <v>0</v>
      </c>
      <c r="T16">
        <v>0</v>
      </c>
      <c r="U16">
        <v>0</v>
      </c>
      <c r="V16">
        <v>23101351</v>
      </c>
      <c r="W16">
        <v>0</v>
      </c>
      <c r="Y16">
        <v>0</v>
      </c>
      <c r="Z16">
        <v>0</v>
      </c>
      <c r="AA16">
        <v>0</v>
      </c>
      <c r="AB16">
        <v>0</v>
      </c>
      <c r="AC16">
        <v>0</v>
      </c>
      <c r="AD16">
        <v>0</v>
      </c>
      <c r="AE16">
        <v>0</v>
      </c>
      <c r="AF16">
        <v>0</v>
      </c>
      <c r="AG16">
        <v>0</v>
      </c>
      <c r="AH16">
        <v>0</v>
      </c>
      <c r="AI16">
        <v>26689429</v>
      </c>
      <c r="AJ16">
        <v>0</v>
      </c>
      <c r="AK16">
        <v>0</v>
      </c>
      <c r="AM16">
        <v>13955402</v>
      </c>
      <c r="AN16">
        <v>0</v>
      </c>
      <c r="AO16">
        <v>0</v>
      </c>
      <c r="AP16">
        <v>0</v>
      </c>
      <c r="AQ16">
        <v>0</v>
      </c>
      <c r="AR16">
        <v>0</v>
      </c>
      <c r="AS16">
        <v>0</v>
      </c>
      <c r="AT16">
        <v>0</v>
      </c>
      <c r="AU16">
        <v>756220</v>
      </c>
      <c r="AV16">
        <v>0</v>
      </c>
      <c r="AW16">
        <v>0</v>
      </c>
      <c r="AX16">
        <v>0</v>
      </c>
      <c r="AY16">
        <v>0</v>
      </c>
      <c r="AZ16">
        <v>0</v>
      </c>
      <c r="BA16">
        <v>0</v>
      </c>
      <c r="BB16">
        <v>0</v>
      </c>
      <c r="BC16">
        <v>0</v>
      </c>
      <c r="BD16">
        <v>0</v>
      </c>
      <c r="BE16">
        <v>0</v>
      </c>
      <c r="BF16">
        <v>0</v>
      </c>
      <c r="BG16">
        <v>0</v>
      </c>
      <c r="BH16">
        <v>0</v>
      </c>
      <c r="BI16">
        <v>0</v>
      </c>
      <c r="BJ16">
        <v>0</v>
      </c>
      <c r="BK16">
        <v>0</v>
      </c>
      <c r="BL16">
        <v>1576465</v>
      </c>
      <c r="BM16">
        <v>0</v>
      </c>
      <c r="BN16">
        <v>0</v>
      </c>
      <c r="BO16">
        <v>0</v>
      </c>
      <c r="BP16">
        <v>0</v>
      </c>
      <c r="BQ16">
        <v>0</v>
      </c>
      <c r="BR16">
        <v>2155718</v>
      </c>
      <c r="BS16">
        <v>6468719</v>
      </c>
      <c r="BT16">
        <v>0</v>
      </c>
      <c r="BU16">
        <v>0</v>
      </c>
      <c r="BV16">
        <v>0</v>
      </c>
      <c r="BW16">
        <v>0</v>
      </c>
      <c r="BX16">
        <v>0</v>
      </c>
      <c r="BY16">
        <v>0</v>
      </c>
      <c r="BZ16">
        <v>0</v>
      </c>
      <c r="CA16">
        <v>0</v>
      </c>
      <c r="CB16">
        <v>0</v>
      </c>
      <c r="CD16">
        <v>0</v>
      </c>
    </row>
    <row r="17" spans="1:82" x14ac:dyDescent="0.3">
      <c r="A17">
        <v>48</v>
      </c>
      <c r="B17" t="s">
        <v>115</v>
      </c>
      <c r="D17">
        <v>0</v>
      </c>
      <c r="E17">
        <v>0</v>
      </c>
      <c r="F17">
        <v>0</v>
      </c>
      <c r="G17">
        <v>0</v>
      </c>
      <c r="H17">
        <v>0</v>
      </c>
      <c r="I17">
        <v>0</v>
      </c>
      <c r="J17">
        <v>0</v>
      </c>
      <c r="K17">
        <v>0</v>
      </c>
      <c r="L17">
        <v>0</v>
      </c>
      <c r="M17">
        <v>0</v>
      </c>
      <c r="N17">
        <v>0</v>
      </c>
      <c r="O17">
        <v>0</v>
      </c>
      <c r="P17">
        <v>0</v>
      </c>
      <c r="Q17">
        <v>7121139</v>
      </c>
      <c r="R17">
        <v>0</v>
      </c>
      <c r="S17">
        <v>0</v>
      </c>
      <c r="T17">
        <v>0</v>
      </c>
      <c r="U17">
        <v>0</v>
      </c>
      <c r="V17">
        <v>2759675</v>
      </c>
      <c r="W17">
        <v>0</v>
      </c>
      <c r="Y17">
        <v>0</v>
      </c>
      <c r="Z17">
        <v>0</v>
      </c>
      <c r="AA17">
        <v>0</v>
      </c>
      <c r="AB17">
        <v>0</v>
      </c>
      <c r="AC17">
        <v>0</v>
      </c>
      <c r="AD17">
        <v>0</v>
      </c>
      <c r="AE17">
        <v>0</v>
      </c>
      <c r="AF17">
        <v>0</v>
      </c>
      <c r="AG17">
        <v>0</v>
      </c>
      <c r="AH17">
        <v>0</v>
      </c>
      <c r="AI17">
        <v>8194430</v>
      </c>
      <c r="AJ17">
        <v>0</v>
      </c>
      <c r="AK17">
        <v>0</v>
      </c>
      <c r="AM17">
        <v>1881833</v>
      </c>
      <c r="AN17">
        <v>0</v>
      </c>
      <c r="AO17">
        <v>0</v>
      </c>
      <c r="AP17">
        <v>0</v>
      </c>
      <c r="AQ17">
        <v>0</v>
      </c>
      <c r="AR17">
        <v>0</v>
      </c>
      <c r="AS17">
        <v>0</v>
      </c>
      <c r="AT17">
        <v>0</v>
      </c>
      <c r="AU17">
        <v>63148</v>
      </c>
      <c r="AV17">
        <v>0</v>
      </c>
      <c r="AW17">
        <v>0</v>
      </c>
      <c r="AX17">
        <v>0</v>
      </c>
      <c r="AY17">
        <v>0</v>
      </c>
      <c r="AZ17">
        <v>0</v>
      </c>
      <c r="BA17">
        <v>0</v>
      </c>
      <c r="BB17">
        <v>0</v>
      </c>
      <c r="BC17">
        <v>0</v>
      </c>
      <c r="BD17">
        <v>0</v>
      </c>
      <c r="BE17">
        <v>0</v>
      </c>
      <c r="BF17">
        <v>0</v>
      </c>
      <c r="BG17">
        <v>0</v>
      </c>
      <c r="BH17">
        <v>0</v>
      </c>
      <c r="BI17">
        <v>0</v>
      </c>
      <c r="BJ17">
        <v>0</v>
      </c>
      <c r="BK17">
        <v>0</v>
      </c>
      <c r="BL17">
        <v>105565</v>
      </c>
      <c r="BM17">
        <v>0</v>
      </c>
      <c r="BN17">
        <v>0</v>
      </c>
      <c r="BO17">
        <v>0</v>
      </c>
      <c r="BP17">
        <v>0</v>
      </c>
      <c r="BQ17">
        <v>0</v>
      </c>
      <c r="BR17">
        <v>320784</v>
      </c>
      <c r="BS17">
        <v>1106466</v>
      </c>
      <c r="BT17">
        <v>0</v>
      </c>
      <c r="BU17">
        <v>0</v>
      </c>
      <c r="BV17">
        <v>0</v>
      </c>
      <c r="BW17">
        <v>0</v>
      </c>
      <c r="BX17">
        <v>0</v>
      </c>
      <c r="BY17">
        <v>0</v>
      </c>
      <c r="BZ17">
        <v>0</v>
      </c>
      <c r="CA17">
        <v>0</v>
      </c>
      <c r="CB17">
        <v>0</v>
      </c>
      <c r="CD17">
        <v>0</v>
      </c>
    </row>
    <row r="18" spans="1:82" x14ac:dyDescent="0.3">
      <c r="A18">
        <v>49</v>
      </c>
      <c r="B18" t="s">
        <v>219</v>
      </c>
      <c r="D18">
        <v>91171</v>
      </c>
      <c r="E18">
        <v>0</v>
      </c>
      <c r="F18">
        <v>254384</v>
      </c>
      <c r="G18">
        <v>0</v>
      </c>
      <c r="H18">
        <v>0</v>
      </c>
      <c r="I18">
        <v>0</v>
      </c>
      <c r="J18">
        <v>68272</v>
      </c>
      <c r="K18">
        <v>0</v>
      </c>
      <c r="L18">
        <v>0</v>
      </c>
      <c r="M18">
        <v>0</v>
      </c>
      <c r="N18">
        <v>0</v>
      </c>
      <c r="O18">
        <v>719233</v>
      </c>
      <c r="P18">
        <v>0</v>
      </c>
      <c r="Q18">
        <v>3899504</v>
      </c>
      <c r="R18">
        <v>81997</v>
      </c>
      <c r="S18">
        <v>0</v>
      </c>
      <c r="T18">
        <v>5001977</v>
      </c>
      <c r="U18">
        <v>1868757</v>
      </c>
      <c r="V18">
        <v>2746946</v>
      </c>
      <c r="W18">
        <v>0</v>
      </c>
      <c r="Y18">
        <v>2046594</v>
      </c>
      <c r="Z18">
        <v>499363</v>
      </c>
      <c r="AA18">
        <v>1173763</v>
      </c>
      <c r="AB18">
        <v>628266</v>
      </c>
      <c r="AC18">
        <v>124602</v>
      </c>
      <c r="AD18">
        <v>222983</v>
      </c>
      <c r="AE18">
        <v>863223</v>
      </c>
      <c r="AF18">
        <v>365539</v>
      </c>
      <c r="AG18">
        <v>384490</v>
      </c>
      <c r="AH18">
        <v>0</v>
      </c>
      <c r="AI18">
        <v>4049372</v>
      </c>
      <c r="AJ18">
        <v>81145</v>
      </c>
      <c r="AK18">
        <v>245878</v>
      </c>
      <c r="AM18">
        <v>2145129</v>
      </c>
      <c r="AN18">
        <v>76784</v>
      </c>
      <c r="AO18">
        <v>92219</v>
      </c>
      <c r="AP18">
        <v>0</v>
      </c>
      <c r="AQ18">
        <v>0</v>
      </c>
      <c r="AR18">
        <v>790654</v>
      </c>
      <c r="AS18">
        <v>0</v>
      </c>
      <c r="AT18">
        <v>398995</v>
      </c>
      <c r="AU18">
        <v>0</v>
      </c>
      <c r="AV18">
        <v>3560083</v>
      </c>
      <c r="AW18">
        <v>0</v>
      </c>
      <c r="AX18">
        <v>256003</v>
      </c>
      <c r="AY18">
        <v>181066</v>
      </c>
      <c r="AZ18">
        <v>212867</v>
      </c>
      <c r="BA18">
        <v>43334</v>
      </c>
      <c r="BB18">
        <v>0</v>
      </c>
      <c r="BC18">
        <v>26499</v>
      </c>
      <c r="BD18">
        <v>1055164</v>
      </c>
      <c r="BE18">
        <v>0</v>
      </c>
      <c r="BF18">
        <v>66384</v>
      </c>
      <c r="BG18">
        <v>74766</v>
      </c>
      <c r="BH18">
        <v>0</v>
      </c>
      <c r="BI18">
        <v>91322</v>
      </c>
      <c r="BJ18">
        <v>0</v>
      </c>
      <c r="BK18">
        <v>589999</v>
      </c>
      <c r="BL18">
        <v>307800</v>
      </c>
      <c r="BM18">
        <v>361722</v>
      </c>
      <c r="BN18">
        <v>172965</v>
      </c>
      <c r="BO18">
        <v>108010</v>
      </c>
      <c r="BP18">
        <v>41511</v>
      </c>
      <c r="BQ18">
        <v>0</v>
      </c>
      <c r="BR18">
        <v>179944</v>
      </c>
      <c r="BS18">
        <v>0</v>
      </c>
      <c r="BT18">
        <v>274002</v>
      </c>
      <c r="BU18">
        <v>577576</v>
      </c>
      <c r="BV18">
        <v>0</v>
      </c>
      <c r="BW18">
        <v>532872</v>
      </c>
      <c r="BX18">
        <v>79476</v>
      </c>
      <c r="BY18">
        <v>18215</v>
      </c>
      <c r="BZ18">
        <v>189430</v>
      </c>
      <c r="CA18">
        <v>155043</v>
      </c>
      <c r="CB18">
        <v>159362</v>
      </c>
      <c r="CD18">
        <v>30020</v>
      </c>
    </row>
    <row r="19" spans="1:82" x14ac:dyDescent="0.3">
      <c r="A19">
        <v>50</v>
      </c>
      <c r="B19" t="s">
        <v>92</v>
      </c>
      <c r="D19">
        <v>-133424</v>
      </c>
      <c r="E19">
        <v>0</v>
      </c>
      <c r="F19">
        <v>-129610</v>
      </c>
      <c r="G19">
        <v>0</v>
      </c>
      <c r="H19">
        <v>0</v>
      </c>
      <c r="I19">
        <v>0</v>
      </c>
      <c r="J19">
        <v>-66812</v>
      </c>
      <c r="K19">
        <v>0</v>
      </c>
      <c r="L19">
        <v>0</v>
      </c>
      <c r="M19">
        <v>0</v>
      </c>
      <c r="N19">
        <v>0</v>
      </c>
      <c r="O19">
        <v>1551136</v>
      </c>
      <c r="P19">
        <v>0</v>
      </c>
      <c r="Q19">
        <v>13327648</v>
      </c>
      <c r="R19">
        <v>16733</v>
      </c>
      <c r="S19">
        <v>0</v>
      </c>
      <c r="T19">
        <v>12515172</v>
      </c>
      <c r="U19">
        <v>388358</v>
      </c>
      <c r="V19">
        <v>2453244</v>
      </c>
      <c r="W19">
        <v>0</v>
      </c>
      <c r="Y19">
        <v>589151</v>
      </c>
      <c r="Z19">
        <v>-136906</v>
      </c>
      <c r="AA19">
        <v>4855075</v>
      </c>
      <c r="AB19">
        <v>3937920</v>
      </c>
      <c r="AC19">
        <v>231930</v>
      </c>
      <c r="AD19">
        <v>529497</v>
      </c>
      <c r="AE19">
        <v>-366335</v>
      </c>
      <c r="AF19">
        <v>636156</v>
      </c>
      <c r="AG19">
        <v>321505</v>
      </c>
      <c r="AH19">
        <v>0</v>
      </c>
      <c r="AI19">
        <v>4226887</v>
      </c>
      <c r="AJ19">
        <v>-10819</v>
      </c>
      <c r="AK19">
        <v>-2187</v>
      </c>
      <c r="AM19">
        <v>1122157</v>
      </c>
      <c r="AN19">
        <v>1019</v>
      </c>
      <c r="AO19">
        <v>-14990</v>
      </c>
      <c r="AP19">
        <v>0</v>
      </c>
      <c r="AQ19">
        <v>0</v>
      </c>
      <c r="AR19">
        <v>2262455</v>
      </c>
      <c r="AS19">
        <v>0</v>
      </c>
      <c r="AT19">
        <v>1914084</v>
      </c>
      <c r="AU19">
        <v>0</v>
      </c>
      <c r="AV19">
        <v>1162243</v>
      </c>
      <c r="AW19">
        <v>0</v>
      </c>
      <c r="AX19">
        <v>49956</v>
      </c>
      <c r="AY19">
        <v>10735354</v>
      </c>
      <c r="AZ19">
        <v>-65800</v>
      </c>
      <c r="BA19">
        <v>-17857</v>
      </c>
      <c r="BB19">
        <v>0</v>
      </c>
      <c r="BC19">
        <v>-30243</v>
      </c>
      <c r="BD19">
        <v>4454227</v>
      </c>
      <c r="BE19">
        <v>0</v>
      </c>
      <c r="BF19">
        <v>-70004</v>
      </c>
      <c r="BG19">
        <v>1232260</v>
      </c>
      <c r="BH19">
        <v>0</v>
      </c>
      <c r="BI19">
        <v>-40359</v>
      </c>
      <c r="BJ19">
        <v>0</v>
      </c>
      <c r="BK19">
        <v>-173142</v>
      </c>
      <c r="BL19">
        <v>290364</v>
      </c>
      <c r="BM19">
        <v>2138567</v>
      </c>
      <c r="BN19">
        <v>119254</v>
      </c>
      <c r="BO19">
        <v>209490</v>
      </c>
      <c r="BP19">
        <v>100483</v>
      </c>
      <c r="BQ19">
        <v>0</v>
      </c>
      <c r="BR19">
        <v>351346</v>
      </c>
      <c r="BS19">
        <v>0</v>
      </c>
      <c r="BT19">
        <v>-151914</v>
      </c>
      <c r="BU19">
        <v>2614038</v>
      </c>
      <c r="BV19">
        <v>0</v>
      </c>
      <c r="BW19">
        <v>230905</v>
      </c>
      <c r="BX19">
        <v>40975</v>
      </c>
      <c r="BY19">
        <v>-18108</v>
      </c>
      <c r="BZ19">
        <v>181699</v>
      </c>
      <c r="CA19">
        <v>-130674</v>
      </c>
      <c r="CB19">
        <v>1075291</v>
      </c>
      <c r="CD19">
        <v>-21866</v>
      </c>
    </row>
    <row r="20" spans="1:82" x14ac:dyDescent="0.3">
      <c r="A20">
        <v>51</v>
      </c>
      <c r="B20" t="s">
        <v>237</v>
      </c>
      <c r="D20">
        <v>-80223</v>
      </c>
      <c r="E20">
        <v>0</v>
      </c>
      <c r="F20">
        <v>114839</v>
      </c>
      <c r="G20">
        <v>0</v>
      </c>
      <c r="H20">
        <v>0</v>
      </c>
      <c r="I20">
        <v>0</v>
      </c>
      <c r="J20">
        <v>11994</v>
      </c>
      <c r="K20">
        <v>0</v>
      </c>
      <c r="L20">
        <v>0</v>
      </c>
      <c r="M20">
        <v>0</v>
      </c>
      <c r="N20">
        <v>0</v>
      </c>
      <c r="O20">
        <v>1380626</v>
      </c>
      <c r="P20">
        <v>0</v>
      </c>
      <c r="Q20">
        <v>18523867</v>
      </c>
      <c r="R20">
        <v>115331</v>
      </c>
      <c r="S20">
        <v>0</v>
      </c>
      <c r="T20">
        <v>5141117</v>
      </c>
      <c r="U20">
        <v>2489923</v>
      </c>
      <c r="V20">
        <v>4500746</v>
      </c>
      <c r="W20">
        <v>0</v>
      </c>
      <c r="Y20">
        <v>2446542</v>
      </c>
      <c r="Z20">
        <v>334907</v>
      </c>
      <c r="AA20">
        <v>5031054</v>
      </c>
      <c r="AB20">
        <v>1521509</v>
      </c>
      <c r="AC20">
        <v>408520</v>
      </c>
      <c r="AD20">
        <v>705261</v>
      </c>
      <c r="AE20">
        <v>299805</v>
      </c>
      <c r="AF20">
        <v>1096252</v>
      </c>
      <c r="AG20">
        <v>1618146</v>
      </c>
      <c r="AH20">
        <v>0</v>
      </c>
      <c r="AI20">
        <v>7993628</v>
      </c>
      <c r="AJ20">
        <v>90182</v>
      </c>
      <c r="AK20">
        <v>295890</v>
      </c>
      <c r="AM20">
        <v>2293045</v>
      </c>
      <c r="AN20">
        <v>14782</v>
      </c>
      <c r="AO20">
        <v>60999</v>
      </c>
      <c r="AP20">
        <v>0</v>
      </c>
      <c r="AQ20">
        <v>0</v>
      </c>
      <c r="AR20">
        <v>1136700</v>
      </c>
      <c r="AS20">
        <v>0</v>
      </c>
      <c r="AT20">
        <v>960067</v>
      </c>
      <c r="AU20">
        <v>0</v>
      </c>
      <c r="AV20">
        <v>6833838</v>
      </c>
      <c r="AW20">
        <v>0</v>
      </c>
      <c r="AX20">
        <v>170892</v>
      </c>
      <c r="AY20">
        <v>1046355</v>
      </c>
      <c r="AZ20">
        <v>114825</v>
      </c>
      <c r="BA20">
        <v>-1163</v>
      </c>
      <c r="BB20">
        <v>0</v>
      </c>
      <c r="BC20">
        <v>-13749</v>
      </c>
      <c r="BD20">
        <v>4319353</v>
      </c>
      <c r="BE20">
        <v>0</v>
      </c>
      <c r="BF20">
        <v>149629</v>
      </c>
      <c r="BG20">
        <v>22066</v>
      </c>
      <c r="BH20">
        <v>0</v>
      </c>
      <c r="BI20">
        <v>46455</v>
      </c>
      <c r="BJ20">
        <v>0</v>
      </c>
      <c r="BK20">
        <v>695617</v>
      </c>
      <c r="BL20">
        <v>213150</v>
      </c>
      <c r="BM20">
        <v>-22118</v>
      </c>
      <c r="BN20">
        <v>0</v>
      </c>
      <c r="BO20">
        <v>425160</v>
      </c>
      <c r="BP20">
        <v>152782</v>
      </c>
      <c r="BQ20">
        <v>0</v>
      </c>
      <c r="BR20">
        <v>261235</v>
      </c>
      <c r="BS20">
        <v>0</v>
      </c>
      <c r="BT20">
        <v>13753</v>
      </c>
      <c r="BU20">
        <v>2540691</v>
      </c>
      <c r="BV20">
        <v>0</v>
      </c>
      <c r="BW20">
        <v>325519</v>
      </c>
      <c r="BX20">
        <v>158645</v>
      </c>
      <c r="BY20">
        <v>-2931</v>
      </c>
      <c r="BZ20">
        <v>107139</v>
      </c>
      <c r="CA20">
        <v>45991</v>
      </c>
      <c r="CB20">
        <v>250853</v>
      </c>
      <c r="CD20">
        <v>1864</v>
      </c>
    </row>
    <row r="21" spans="1:82" x14ac:dyDescent="0.3">
      <c r="A21">
        <v>52</v>
      </c>
      <c r="B21" t="s">
        <v>230</v>
      </c>
      <c r="D21">
        <v>0</v>
      </c>
      <c r="E21">
        <v>0</v>
      </c>
      <c r="F21">
        <v>0</v>
      </c>
      <c r="G21">
        <v>0</v>
      </c>
      <c r="H21">
        <v>0</v>
      </c>
      <c r="I21">
        <v>0</v>
      </c>
      <c r="J21">
        <v>0</v>
      </c>
      <c r="K21">
        <v>0</v>
      </c>
      <c r="L21">
        <v>0</v>
      </c>
      <c r="M21">
        <v>0</v>
      </c>
      <c r="N21">
        <v>0</v>
      </c>
      <c r="O21">
        <v>0</v>
      </c>
      <c r="P21">
        <v>0</v>
      </c>
      <c r="Q21">
        <v>2267598</v>
      </c>
      <c r="R21">
        <v>0</v>
      </c>
      <c r="S21">
        <v>0</v>
      </c>
      <c r="T21">
        <v>0</v>
      </c>
      <c r="U21">
        <v>0</v>
      </c>
      <c r="V21">
        <v>1253245</v>
      </c>
      <c r="W21">
        <v>0</v>
      </c>
      <c r="Y21">
        <v>0</v>
      </c>
      <c r="Z21">
        <v>0</v>
      </c>
      <c r="AA21">
        <v>0</v>
      </c>
      <c r="AB21">
        <v>0</v>
      </c>
      <c r="AC21">
        <v>0</v>
      </c>
      <c r="AD21">
        <v>0</v>
      </c>
      <c r="AE21">
        <v>0</v>
      </c>
      <c r="AF21">
        <v>0</v>
      </c>
      <c r="AG21">
        <v>0</v>
      </c>
      <c r="AH21">
        <v>0</v>
      </c>
      <c r="AI21">
        <v>2356879</v>
      </c>
      <c r="AJ21">
        <v>0</v>
      </c>
      <c r="AK21">
        <v>0</v>
      </c>
      <c r="AM21">
        <v>1207175</v>
      </c>
      <c r="AN21">
        <v>0</v>
      </c>
      <c r="AO21">
        <v>0</v>
      </c>
      <c r="AP21">
        <v>0</v>
      </c>
      <c r="AQ21">
        <v>0</v>
      </c>
      <c r="AR21">
        <v>0</v>
      </c>
      <c r="AS21">
        <v>0</v>
      </c>
      <c r="AT21">
        <v>0</v>
      </c>
      <c r="AU21">
        <v>7958</v>
      </c>
      <c r="AV21">
        <v>0</v>
      </c>
      <c r="AW21">
        <v>0</v>
      </c>
      <c r="AX21">
        <v>0</v>
      </c>
      <c r="AY21">
        <v>0</v>
      </c>
      <c r="AZ21">
        <v>0</v>
      </c>
      <c r="BA21">
        <v>0</v>
      </c>
      <c r="BB21">
        <v>0</v>
      </c>
      <c r="BC21">
        <v>0</v>
      </c>
      <c r="BD21">
        <v>0</v>
      </c>
      <c r="BE21">
        <v>0</v>
      </c>
      <c r="BF21">
        <v>0</v>
      </c>
      <c r="BG21">
        <v>0</v>
      </c>
      <c r="BH21">
        <v>0</v>
      </c>
      <c r="BI21">
        <v>0</v>
      </c>
      <c r="BJ21">
        <v>0</v>
      </c>
      <c r="BK21">
        <v>0</v>
      </c>
      <c r="BL21">
        <v>52154</v>
      </c>
      <c r="BM21">
        <v>0</v>
      </c>
      <c r="BN21">
        <v>0</v>
      </c>
      <c r="BO21">
        <v>0</v>
      </c>
      <c r="BP21">
        <v>0</v>
      </c>
      <c r="BQ21">
        <v>0</v>
      </c>
      <c r="BR21">
        <v>27803</v>
      </c>
      <c r="BS21">
        <v>578939</v>
      </c>
      <c r="BT21">
        <v>0</v>
      </c>
      <c r="BU21">
        <v>0</v>
      </c>
      <c r="BV21">
        <v>0</v>
      </c>
      <c r="BW21">
        <v>0</v>
      </c>
      <c r="BX21">
        <v>0</v>
      </c>
      <c r="BY21">
        <v>0</v>
      </c>
      <c r="BZ21">
        <v>0</v>
      </c>
      <c r="CA21">
        <v>0</v>
      </c>
      <c r="CB21">
        <v>0</v>
      </c>
      <c r="CD21">
        <v>0</v>
      </c>
    </row>
    <row r="22" spans="1:82" x14ac:dyDescent="0.3">
      <c r="A22">
        <v>53</v>
      </c>
      <c r="B22" t="s">
        <v>93</v>
      </c>
      <c r="D22">
        <v>0</v>
      </c>
      <c r="E22">
        <v>0</v>
      </c>
      <c r="F22">
        <v>0</v>
      </c>
      <c r="G22">
        <v>0</v>
      </c>
      <c r="H22">
        <v>0</v>
      </c>
      <c r="I22">
        <v>0</v>
      </c>
      <c r="J22">
        <v>0</v>
      </c>
      <c r="K22">
        <v>0</v>
      </c>
      <c r="L22">
        <v>0</v>
      </c>
      <c r="M22">
        <v>0</v>
      </c>
      <c r="N22">
        <v>0</v>
      </c>
      <c r="O22">
        <v>0</v>
      </c>
      <c r="P22">
        <v>0</v>
      </c>
      <c r="Q22">
        <v>3214368</v>
      </c>
      <c r="R22">
        <v>0</v>
      </c>
      <c r="S22">
        <v>0</v>
      </c>
      <c r="T22">
        <v>0</v>
      </c>
      <c r="U22">
        <v>0</v>
      </c>
      <c r="V22">
        <v>693591</v>
      </c>
      <c r="W22">
        <v>0</v>
      </c>
      <c r="Y22">
        <v>0</v>
      </c>
      <c r="Z22">
        <v>0</v>
      </c>
      <c r="AA22">
        <v>0</v>
      </c>
      <c r="AB22">
        <v>0</v>
      </c>
      <c r="AC22">
        <v>0</v>
      </c>
      <c r="AD22">
        <v>0</v>
      </c>
      <c r="AE22">
        <v>0</v>
      </c>
      <c r="AF22">
        <v>0</v>
      </c>
      <c r="AG22">
        <v>0</v>
      </c>
      <c r="AH22">
        <v>0</v>
      </c>
      <c r="AI22">
        <v>1708294</v>
      </c>
      <c r="AJ22">
        <v>0</v>
      </c>
      <c r="AK22">
        <v>0</v>
      </c>
      <c r="AM22">
        <v>300230</v>
      </c>
      <c r="AN22">
        <v>0</v>
      </c>
      <c r="AO22">
        <v>0</v>
      </c>
      <c r="AP22">
        <v>0</v>
      </c>
      <c r="AQ22">
        <v>0</v>
      </c>
      <c r="AR22">
        <v>0</v>
      </c>
      <c r="AS22">
        <v>0</v>
      </c>
      <c r="AT22">
        <v>0</v>
      </c>
      <c r="AU22">
        <v>39407</v>
      </c>
      <c r="AV22">
        <v>0</v>
      </c>
      <c r="AW22">
        <v>0</v>
      </c>
      <c r="AX22">
        <v>0</v>
      </c>
      <c r="AY22">
        <v>0</v>
      </c>
      <c r="AZ22">
        <v>0</v>
      </c>
      <c r="BA22">
        <v>0</v>
      </c>
      <c r="BB22">
        <v>0</v>
      </c>
      <c r="BC22">
        <v>0</v>
      </c>
      <c r="BD22">
        <v>0</v>
      </c>
      <c r="BE22">
        <v>0</v>
      </c>
      <c r="BF22">
        <v>0</v>
      </c>
      <c r="BG22">
        <v>0</v>
      </c>
      <c r="BH22">
        <v>0</v>
      </c>
      <c r="BI22">
        <v>0</v>
      </c>
      <c r="BJ22">
        <v>0</v>
      </c>
      <c r="BK22">
        <v>0</v>
      </c>
      <c r="BL22">
        <v>30616</v>
      </c>
      <c r="BM22">
        <v>0</v>
      </c>
      <c r="BN22">
        <v>0</v>
      </c>
      <c r="BO22">
        <v>0</v>
      </c>
      <c r="BP22">
        <v>0</v>
      </c>
      <c r="BQ22">
        <v>0</v>
      </c>
      <c r="BR22">
        <v>374035</v>
      </c>
      <c r="BS22">
        <v>926254</v>
      </c>
      <c r="BT22">
        <v>0</v>
      </c>
      <c r="BU22">
        <v>0</v>
      </c>
      <c r="BV22">
        <v>0</v>
      </c>
      <c r="BW22">
        <v>0</v>
      </c>
      <c r="BX22">
        <v>0</v>
      </c>
      <c r="BY22">
        <v>0</v>
      </c>
      <c r="BZ22">
        <v>0</v>
      </c>
      <c r="CA22">
        <v>0</v>
      </c>
      <c r="CB22">
        <v>0</v>
      </c>
      <c r="CD22">
        <v>0</v>
      </c>
    </row>
    <row r="23" spans="1:82" x14ac:dyDescent="0.3">
      <c r="A23">
        <v>55</v>
      </c>
      <c r="B23" t="s">
        <v>240</v>
      </c>
      <c r="D23">
        <v>0</v>
      </c>
      <c r="E23">
        <v>0</v>
      </c>
      <c r="F23">
        <v>0</v>
      </c>
      <c r="G23">
        <v>0</v>
      </c>
      <c r="H23">
        <v>0</v>
      </c>
      <c r="I23">
        <v>0</v>
      </c>
      <c r="J23">
        <v>0</v>
      </c>
      <c r="K23">
        <v>0</v>
      </c>
      <c r="L23">
        <v>0</v>
      </c>
      <c r="M23">
        <v>0</v>
      </c>
      <c r="N23">
        <v>0</v>
      </c>
      <c r="O23">
        <v>0</v>
      </c>
      <c r="P23">
        <v>0</v>
      </c>
      <c r="Q23">
        <v>7023247</v>
      </c>
      <c r="R23">
        <v>0</v>
      </c>
      <c r="S23">
        <v>0</v>
      </c>
      <c r="T23">
        <v>0</v>
      </c>
      <c r="U23">
        <v>0</v>
      </c>
      <c r="V23">
        <v>1538662</v>
      </c>
      <c r="W23">
        <v>0</v>
      </c>
      <c r="Y23">
        <v>0</v>
      </c>
      <c r="Z23">
        <v>0</v>
      </c>
      <c r="AA23">
        <v>0</v>
      </c>
      <c r="AB23">
        <v>0</v>
      </c>
      <c r="AC23">
        <v>0</v>
      </c>
      <c r="AD23">
        <v>0</v>
      </c>
      <c r="AE23">
        <v>0</v>
      </c>
      <c r="AF23">
        <v>0</v>
      </c>
      <c r="AG23">
        <v>0</v>
      </c>
      <c r="AH23">
        <v>0</v>
      </c>
      <c r="AI23">
        <v>4409211</v>
      </c>
      <c r="AJ23">
        <v>0</v>
      </c>
      <c r="AK23">
        <v>0</v>
      </c>
      <c r="AM23">
        <v>1550342</v>
      </c>
      <c r="AN23">
        <v>0</v>
      </c>
      <c r="AO23">
        <v>0</v>
      </c>
      <c r="AP23">
        <v>0</v>
      </c>
      <c r="AQ23">
        <v>0</v>
      </c>
      <c r="AR23">
        <v>0</v>
      </c>
      <c r="AS23">
        <v>0</v>
      </c>
      <c r="AT23">
        <v>0</v>
      </c>
      <c r="AU23">
        <v>41080</v>
      </c>
      <c r="AV23">
        <v>0</v>
      </c>
      <c r="AW23">
        <v>0</v>
      </c>
      <c r="AX23">
        <v>0</v>
      </c>
      <c r="AY23">
        <v>0</v>
      </c>
      <c r="AZ23">
        <v>0</v>
      </c>
      <c r="BA23">
        <v>0</v>
      </c>
      <c r="BB23">
        <v>0</v>
      </c>
      <c r="BC23">
        <v>0</v>
      </c>
      <c r="BD23">
        <v>0</v>
      </c>
      <c r="BE23">
        <v>0</v>
      </c>
      <c r="BF23">
        <v>0</v>
      </c>
      <c r="BG23">
        <v>0</v>
      </c>
      <c r="BH23">
        <v>0</v>
      </c>
      <c r="BI23">
        <v>0</v>
      </c>
      <c r="BJ23">
        <v>0</v>
      </c>
      <c r="BK23">
        <v>0</v>
      </c>
      <c r="BL23">
        <v>18061</v>
      </c>
      <c r="BM23">
        <v>0</v>
      </c>
      <c r="BN23">
        <v>0</v>
      </c>
      <c r="BO23">
        <v>0</v>
      </c>
      <c r="BP23">
        <v>0</v>
      </c>
      <c r="BQ23">
        <v>0</v>
      </c>
      <c r="BR23">
        <v>892050</v>
      </c>
      <c r="BS23">
        <v>1399718</v>
      </c>
      <c r="BT23">
        <v>0</v>
      </c>
      <c r="BU23">
        <v>0</v>
      </c>
      <c r="BV23">
        <v>0</v>
      </c>
      <c r="BW23">
        <v>0</v>
      </c>
      <c r="BX23">
        <v>0</v>
      </c>
      <c r="BY23">
        <v>0</v>
      </c>
      <c r="BZ23">
        <v>0</v>
      </c>
      <c r="CA23">
        <v>0</v>
      </c>
      <c r="CB23">
        <v>0</v>
      </c>
      <c r="CD23">
        <v>0</v>
      </c>
    </row>
    <row r="24" spans="1:82" x14ac:dyDescent="0.3">
      <c r="A24">
        <v>61</v>
      </c>
      <c r="B24" t="s">
        <v>254</v>
      </c>
      <c r="D24">
        <v>98.13</v>
      </c>
      <c r="E24">
        <v>97.13</v>
      </c>
      <c r="F24">
        <v>98.67</v>
      </c>
      <c r="G24">
        <v>99.28</v>
      </c>
      <c r="H24">
        <v>98.64</v>
      </c>
      <c r="I24">
        <v>99.25</v>
      </c>
      <c r="J24">
        <v>97.43</v>
      </c>
      <c r="K24">
        <v>99.77</v>
      </c>
      <c r="L24">
        <v>99.59</v>
      </c>
      <c r="M24">
        <v>99.4</v>
      </c>
      <c r="N24">
        <v>97.47</v>
      </c>
      <c r="O24">
        <v>99.27</v>
      </c>
      <c r="P24">
        <v>98.43</v>
      </c>
      <c r="Q24">
        <v>99.39</v>
      </c>
      <c r="R24">
        <v>99.96</v>
      </c>
      <c r="S24">
        <v>0</v>
      </c>
      <c r="T24">
        <v>99.6</v>
      </c>
      <c r="U24">
        <v>98.81</v>
      </c>
      <c r="V24">
        <v>98.07</v>
      </c>
      <c r="W24">
        <v>99.75</v>
      </c>
      <c r="Y24">
        <v>98.78</v>
      </c>
      <c r="Z24">
        <v>96.08</v>
      </c>
      <c r="AA24">
        <v>99.55</v>
      </c>
      <c r="AB24">
        <v>97.2</v>
      </c>
      <c r="AC24">
        <v>99.39</v>
      </c>
      <c r="AD24">
        <v>97.94</v>
      </c>
      <c r="AE24">
        <v>93.92</v>
      </c>
      <c r="AF24">
        <v>99.99</v>
      </c>
      <c r="AG24">
        <v>98.72</v>
      </c>
      <c r="AH24">
        <v>96.95</v>
      </c>
      <c r="AI24">
        <v>99.15</v>
      </c>
      <c r="AJ24">
        <v>99.68</v>
      </c>
      <c r="AK24">
        <v>95.36</v>
      </c>
      <c r="AM24">
        <v>98.6</v>
      </c>
      <c r="AN24">
        <v>95.68</v>
      </c>
      <c r="AO24">
        <v>97.06</v>
      </c>
      <c r="AP24">
        <v>0</v>
      </c>
      <c r="AQ24">
        <v>99.31</v>
      </c>
      <c r="AR24">
        <v>96.11</v>
      </c>
      <c r="AS24">
        <v>97.95</v>
      </c>
      <c r="AT24">
        <v>98.54</v>
      </c>
      <c r="AU24">
        <v>90.4</v>
      </c>
      <c r="AV24">
        <v>97.68</v>
      </c>
      <c r="AW24">
        <v>99.64</v>
      </c>
      <c r="AX24">
        <v>98.76</v>
      </c>
      <c r="AY24">
        <v>99.96</v>
      </c>
      <c r="AZ24">
        <v>99.66</v>
      </c>
      <c r="BA24">
        <v>97.02</v>
      </c>
      <c r="BB24">
        <v>0</v>
      </c>
      <c r="BC24">
        <v>99.47</v>
      </c>
      <c r="BD24">
        <v>98.89</v>
      </c>
      <c r="BE24">
        <v>100</v>
      </c>
      <c r="BF24">
        <v>96.58</v>
      </c>
      <c r="BG24">
        <v>83.21</v>
      </c>
      <c r="BH24">
        <v>98.59</v>
      </c>
      <c r="BI24">
        <v>90.03</v>
      </c>
      <c r="BJ24">
        <v>96.95</v>
      </c>
      <c r="BK24">
        <v>96.94</v>
      </c>
      <c r="BL24">
        <v>99.06</v>
      </c>
      <c r="BM24">
        <v>99.2</v>
      </c>
      <c r="BN24">
        <v>99.73</v>
      </c>
      <c r="BO24">
        <v>99.92</v>
      </c>
      <c r="BP24">
        <v>99.4</v>
      </c>
      <c r="BQ24">
        <v>99.93</v>
      </c>
      <c r="BR24">
        <v>94.54</v>
      </c>
      <c r="BS24">
        <v>99.24</v>
      </c>
      <c r="BT24">
        <v>97.84</v>
      </c>
      <c r="BU24">
        <v>99.41</v>
      </c>
      <c r="BV24">
        <v>98.96</v>
      </c>
      <c r="BW24">
        <v>84.04</v>
      </c>
      <c r="BX24">
        <v>92.95</v>
      </c>
      <c r="BY24">
        <v>99.27</v>
      </c>
      <c r="BZ24">
        <v>94.97</v>
      </c>
      <c r="CA24">
        <v>97.33</v>
      </c>
      <c r="CB24">
        <v>99.61</v>
      </c>
      <c r="CD24">
        <v>95.46</v>
      </c>
    </row>
    <row r="25" spans="1:82" x14ac:dyDescent="0.3">
      <c r="A25">
        <v>80</v>
      </c>
      <c r="B25" t="s">
        <v>209</v>
      </c>
      <c r="D25">
        <v>77824</v>
      </c>
      <c r="E25">
        <v>0</v>
      </c>
      <c r="F25">
        <v>729395</v>
      </c>
      <c r="G25">
        <v>0</v>
      </c>
      <c r="H25">
        <v>0</v>
      </c>
      <c r="I25">
        <v>0</v>
      </c>
      <c r="J25">
        <v>18259</v>
      </c>
      <c r="K25">
        <v>0</v>
      </c>
      <c r="L25">
        <v>0</v>
      </c>
      <c r="M25">
        <v>0</v>
      </c>
      <c r="N25">
        <v>0</v>
      </c>
      <c r="O25">
        <v>1754560</v>
      </c>
      <c r="P25">
        <v>0</v>
      </c>
      <c r="Q25">
        <v>54585578</v>
      </c>
      <c r="R25">
        <v>880436</v>
      </c>
      <c r="S25">
        <v>0</v>
      </c>
      <c r="T25">
        <v>21183995</v>
      </c>
      <c r="U25">
        <v>7836273</v>
      </c>
      <c r="V25">
        <v>20207627</v>
      </c>
      <c r="W25">
        <v>0</v>
      </c>
      <c r="Y25">
        <v>5917843</v>
      </c>
      <c r="Z25">
        <v>1488329</v>
      </c>
      <c r="AA25">
        <v>14947278</v>
      </c>
      <c r="AB25">
        <v>1718682</v>
      </c>
      <c r="AC25">
        <v>1371965</v>
      </c>
      <c r="AD25">
        <v>1059027</v>
      </c>
      <c r="AE25">
        <v>2006977</v>
      </c>
      <c r="AF25">
        <v>3933212</v>
      </c>
      <c r="AG25">
        <v>805688</v>
      </c>
      <c r="AH25">
        <v>0</v>
      </c>
      <c r="AI25">
        <v>21529398</v>
      </c>
      <c r="AJ25">
        <v>378161</v>
      </c>
      <c r="AK25">
        <v>660572</v>
      </c>
      <c r="AM25">
        <v>2010460</v>
      </c>
      <c r="AN25">
        <v>-25119</v>
      </c>
      <c r="AO25">
        <v>47818</v>
      </c>
      <c r="AP25">
        <v>0</v>
      </c>
      <c r="AQ25">
        <v>0</v>
      </c>
      <c r="AR25">
        <v>5128263</v>
      </c>
      <c r="AS25">
        <v>0</v>
      </c>
      <c r="AT25">
        <v>1270850</v>
      </c>
      <c r="AU25">
        <v>0</v>
      </c>
      <c r="AV25">
        <v>31741542</v>
      </c>
      <c r="AW25">
        <v>0</v>
      </c>
      <c r="AX25">
        <v>2752670</v>
      </c>
      <c r="AY25">
        <v>17354515</v>
      </c>
      <c r="AZ25">
        <v>935562</v>
      </c>
      <c r="BA25">
        <v>194504</v>
      </c>
      <c r="BB25">
        <v>0</v>
      </c>
      <c r="BC25">
        <v>65290</v>
      </c>
      <c r="BD25">
        <v>8910658</v>
      </c>
      <c r="BE25">
        <v>0</v>
      </c>
      <c r="BF25">
        <v>258798</v>
      </c>
      <c r="BG25">
        <v>112468</v>
      </c>
      <c r="BH25">
        <v>0</v>
      </c>
      <c r="BI25">
        <v>336687</v>
      </c>
      <c r="BJ25">
        <v>0</v>
      </c>
      <c r="BK25">
        <v>1720826</v>
      </c>
      <c r="BL25">
        <v>574125</v>
      </c>
      <c r="BM25">
        <v>416697</v>
      </c>
      <c r="BN25">
        <v>883272</v>
      </c>
      <c r="BO25">
        <v>822154</v>
      </c>
      <c r="BP25">
        <v>1201953</v>
      </c>
      <c r="BQ25">
        <v>0</v>
      </c>
      <c r="BR25">
        <v>748122</v>
      </c>
      <c r="BS25">
        <v>0</v>
      </c>
      <c r="BT25">
        <v>541542</v>
      </c>
      <c r="BU25">
        <v>6171313</v>
      </c>
      <c r="BV25">
        <v>0</v>
      </c>
      <c r="BW25">
        <v>406763</v>
      </c>
      <c r="BX25">
        <v>1369118</v>
      </c>
      <c r="BY25">
        <v>3129</v>
      </c>
      <c r="BZ25">
        <v>367066</v>
      </c>
      <c r="CA25">
        <v>50849</v>
      </c>
      <c r="CB25">
        <v>1354338</v>
      </c>
      <c r="CD25">
        <v>1499</v>
      </c>
    </row>
    <row r="26" spans="1:82" x14ac:dyDescent="0.3">
      <c r="A26">
        <v>81</v>
      </c>
      <c r="B26" t="s">
        <v>210</v>
      </c>
      <c r="D26">
        <v>60701</v>
      </c>
      <c r="E26">
        <v>0</v>
      </c>
      <c r="F26">
        <v>49207</v>
      </c>
      <c r="G26">
        <v>0</v>
      </c>
      <c r="H26">
        <v>0</v>
      </c>
      <c r="I26">
        <v>0</v>
      </c>
      <c r="J26">
        <v>12023</v>
      </c>
      <c r="K26">
        <v>0</v>
      </c>
      <c r="L26">
        <v>0</v>
      </c>
      <c r="M26">
        <v>0</v>
      </c>
      <c r="N26">
        <v>0</v>
      </c>
      <c r="O26">
        <v>697775</v>
      </c>
      <c r="P26">
        <v>0</v>
      </c>
      <c r="Q26">
        <v>2449842</v>
      </c>
      <c r="R26">
        <v>25845</v>
      </c>
      <c r="S26">
        <v>0</v>
      </c>
      <c r="T26">
        <v>4786142</v>
      </c>
      <c r="U26">
        <v>1425653</v>
      </c>
      <c r="V26">
        <v>1654713</v>
      </c>
      <c r="W26">
        <v>0</v>
      </c>
      <c r="Y26">
        <v>773959</v>
      </c>
      <c r="Z26">
        <v>191232</v>
      </c>
      <c r="AA26">
        <v>1904938</v>
      </c>
      <c r="AB26">
        <v>620495</v>
      </c>
      <c r="AC26">
        <v>140860</v>
      </c>
      <c r="AD26">
        <v>143655</v>
      </c>
      <c r="AE26">
        <v>166265</v>
      </c>
      <c r="AF26">
        <v>577183</v>
      </c>
      <c r="AG26">
        <v>103847</v>
      </c>
      <c r="AH26">
        <v>0</v>
      </c>
      <c r="AI26">
        <v>2858535</v>
      </c>
      <c r="AJ26">
        <v>32093</v>
      </c>
      <c r="AK26">
        <v>52743</v>
      </c>
      <c r="AM26">
        <v>1121400</v>
      </c>
      <c r="AN26">
        <v>61617</v>
      </c>
      <c r="AO26">
        <v>131214</v>
      </c>
      <c r="AP26">
        <v>0</v>
      </c>
      <c r="AQ26">
        <v>0</v>
      </c>
      <c r="AR26">
        <v>506603</v>
      </c>
      <c r="AS26">
        <v>0</v>
      </c>
      <c r="AT26">
        <v>569122</v>
      </c>
      <c r="AU26">
        <v>0</v>
      </c>
      <c r="AV26">
        <v>2848646</v>
      </c>
      <c r="AW26">
        <v>0</v>
      </c>
      <c r="AX26">
        <v>143057</v>
      </c>
      <c r="AY26">
        <v>866511</v>
      </c>
      <c r="AZ26">
        <v>95392</v>
      </c>
      <c r="BA26">
        <v>45608</v>
      </c>
      <c r="BB26">
        <v>0</v>
      </c>
      <c r="BC26">
        <v>15972</v>
      </c>
      <c r="BD26">
        <v>765848</v>
      </c>
      <c r="BE26">
        <v>0</v>
      </c>
      <c r="BF26">
        <v>37777</v>
      </c>
      <c r="BG26">
        <v>3297</v>
      </c>
      <c r="BH26">
        <v>0</v>
      </c>
      <c r="BI26">
        <v>21011</v>
      </c>
      <c r="BJ26">
        <v>0</v>
      </c>
      <c r="BK26">
        <v>123402</v>
      </c>
      <c r="BL26">
        <v>78514</v>
      </c>
      <c r="BM26">
        <v>175588</v>
      </c>
      <c r="BN26">
        <v>153501</v>
      </c>
      <c r="BO26">
        <v>100022</v>
      </c>
      <c r="BP26">
        <v>10327</v>
      </c>
      <c r="BQ26">
        <v>0</v>
      </c>
      <c r="BR26">
        <v>112742</v>
      </c>
      <c r="BS26">
        <v>0</v>
      </c>
      <c r="BT26">
        <v>89333</v>
      </c>
      <c r="BU26">
        <v>747716</v>
      </c>
      <c r="BV26">
        <v>0</v>
      </c>
      <c r="BW26">
        <v>476230</v>
      </c>
      <c r="BX26">
        <v>30170</v>
      </c>
      <c r="BY26">
        <v>1748</v>
      </c>
      <c r="BZ26">
        <v>26419</v>
      </c>
      <c r="CA26">
        <v>12349</v>
      </c>
      <c r="CB26">
        <v>166093</v>
      </c>
      <c r="CD26">
        <v>10446</v>
      </c>
    </row>
    <row r="27" spans="1:82" x14ac:dyDescent="0.3">
      <c r="A27">
        <v>82</v>
      </c>
      <c r="B27" t="s">
        <v>307</v>
      </c>
      <c r="D27">
        <v>848000</v>
      </c>
      <c r="E27">
        <v>0</v>
      </c>
      <c r="F27">
        <v>460198</v>
      </c>
      <c r="G27">
        <v>0</v>
      </c>
      <c r="H27">
        <v>0</v>
      </c>
      <c r="I27">
        <v>0</v>
      </c>
      <c r="J27">
        <v>398000</v>
      </c>
      <c r="K27">
        <v>0</v>
      </c>
      <c r="L27">
        <v>0</v>
      </c>
      <c r="M27">
        <v>0</v>
      </c>
      <c r="N27">
        <v>0</v>
      </c>
      <c r="O27">
        <v>3472141</v>
      </c>
      <c r="P27">
        <v>0</v>
      </c>
      <c r="Q27">
        <v>20147417</v>
      </c>
      <c r="R27">
        <v>301481</v>
      </c>
      <c r="S27">
        <v>0</v>
      </c>
      <c r="T27">
        <v>42861524</v>
      </c>
      <c r="U27">
        <v>13067000</v>
      </c>
      <c r="V27">
        <v>12579783</v>
      </c>
      <c r="W27">
        <v>0</v>
      </c>
      <c r="Y27">
        <v>5127547</v>
      </c>
      <c r="Z27">
        <v>3625772</v>
      </c>
      <c r="AA27">
        <v>5553806</v>
      </c>
      <c r="AB27">
        <v>6496961</v>
      </c>
      <c r="AC27">
        <v>287446</v>
      </c>
      <c r="AD27">
        <v>0</v>
      </c>
      <c r="AE27">
        <v>1111923</v>
      </c>
      <c r="AF27">
        <v>40799</v>
      </c>
      <c r="AG27">
        <v>80100</v>
      </c>
      <c r="AH27">
        <v>0</v>
      </c>
      <c r="AI27">
        <v>17569404</v>
      </c>
      <c r="AJ27">
        <v>0</v>
      </c>
      <c r="AK27">
        <v>858085</v>
      </c>
      <c r="AM27">
        <v>8298978</v>
      </c>
      <c r="AN27">
        <v>0</v>
      </c>
      <c r="AO27">
        <v>155891</v>
      </c>
      <c r="AP27">
        <v>0</v>
      </c>
      <c r="AQ27">
        <v>0</v>
      </c>
      <c r="AR27">
        <v>933390</v>
      </c>
      <c r="AS27">
        <v>0</v>
      </c>
      <c r="AT27">
        <v>4493778</v>
      </c>
      <c r="AU27">
        <v>0</v>
      </c>
      <c r="AV27">
        <v>73976588</v>
      </c>
      <c r="AW27">
        <v>0</v>
      </c>
      <c r="AX27">
        <v>3735135</v>
      </c>
      <c r="AY27">
        <v>0</v>
      </c>
      <c r="AZ27">
        <v>646000</v>
      </c>
      <c r="BA27">
        <v>0</v>
      </c>
      <c r="BB27">
        <v>0</v>
      </c>
      <c r="BC27">
        <v>0</v>
      </c>
      <c r="BD27">
        <v>19465325</v>
      </c>
      <c r="BE27">
        <v>0</v>
      </c>
      <c r="BF27">
        <v>407141</v>
      </c>
      <c r="BG27">
        <v>0</v>
      </c>
      <c r="BH27">
        <v>0</v>
      </c>
      <c r="BI27">
        <v>66689</v>
      </c>
      <c r="BJ27">
        <v>0</v>
      </c>
      <c r="BK27">
        <v>1310484</v>
      </c>
      <c r="BL27">
        <v>2250000</v>
      </c>
      <c r="BM27">
        <v>3508884</v>
      </c>
      <c r="BN27">
        <v>2261242</v>
      </c>
      <c r="BO27">
        <v>2861191</v>
      </c>
      <c r="BP27">
        <v>0</v>
      </c>
      <c r="BQ27">
        <v>0</v>
      </c>
      <c r="BR27">
        <v>1483615</v>
      </c>
      <c r="BS27">
        <v>1500000</v>
      </c>
      <c r="BT27">
        <v>953515</v>
      </c>
      <c r="BU27">
        <v>1164174</v>
      </c>
      <c r="BV27">
        <v>0</v>
      </c>
      <c r="BW27">
        <v>1811325</v>
      </c>
      <c r="BX27">
        <v>0</v>
      </c>
      <c r="BY27">
        <v>0</v>
      </c>
      <c r="BZ27">
        <v>0</v>
      </c>
      <c r="CA27">
        <v>378000</v>
      </c>
      <c r="CB27">
        <v>993061</v>
      </c>
      <c r="CD27">
        <v>0</v>
      </c>
    </row>
    <row r="28" spans="1:82" x14ac:dyDescent="0.3">
      <c r="A28">
        <v>83</v>
      </c>
      <c r="B28" t="s">
        <v>94</v>
      </c>
      <c r="D28">
        <v>1503678</v>
      </c>
      <c r="E28">
        <v>0</v>
      </c>
      <c r="F28">
        <v>5626442</v>
      </c>
      <c r="G28">
        <v>0</v>
      </c>
      <c r="H28">
        <v>0</v>
      </c>
      <c r="I28">
        <v>0</v>
      </c>
      <c r="J28">
        <v>1920481</v>
      </c>
      <c r="K28">
        <v>0</v>
      </c>
      <c r="L28">
        <v>0</v>
      </c>
      <c r="M28">
        <v>0</v>
      </c>
      <c r="N28">
        <v>0</v>
      </c>
      <c r="O28">
        <v>15107141</v>
      </c>
      <c r="P28">
        <v>0</v>
      </c>
      <c r="Q28">
        <v>134991554</v>
      </c>
      <c r="R28">
        <v>1965734</v>
      </c>
      <c r="S28">
        <v>0</v>
      </c>
      <c r="T28">
        <v>152168062</v>
      </c>
      <c r="U28">
        <v>46567917</v>
      </c>
      <c r="V28">
        <v>64620872</v>
      </c>
      <c r="W28">
        <v>0</v>
      </c>
      <c r="Y28">
        <v>41493799</v>
      </c>
      <c r="Z28">
        <v>9773217</v>
      </c>
      <c r="AA28">
        <v>40682681</v>
      </c>
      <c r="AB28">
        <v>22304206</v>
      </c>
      <c r="AC28">
        <v>4374360</v>
      </c>
      <c r="AD28">
        <v>5967533</v>
      </c>
      <c r="AE28">
        <v>12709278</v>
      </c>
      <c r="AF28">
        <v>9730094</v>
      </c>
      <c r="AG28">
        <v>8201557</v>
      </c>
      <c r="AH28">
        <v>0</v>
      </c>
      <c r="AI28">
        <v>114108786</v>
      </c>
      <c r="AJ28">
        <v>1785680</v>
      </c>
      <c r="AK28">
        <v>3690480</v>
      </c>
      <c r="AM28">
        <v>24914010</v>
      </c>
      <c r="AN28">
        <v>719779</v>
      </c>
      <c r="AO28">
        <v>834328</v>
      </c>
      <c r="AP28">
        <v>0</v>
      </c>
      <c r="AQ28">
        <v>0</v>
      </c>
      <c r="AR28">
        <v>21943439</v>
      </c>
      <c r="AS28">
        <v>0</v>
      </c>
      <c r="AT28">
        <v>12135356</v>
      </c>
      <c r="AU28">
        <v>0</v>
      </c>
      <c r="AV28">
        <v>54496570</v>
      </c>
      <c r="AW28">
        <v>0</v>
      </c>
      <c r="AX28">
        <v>11292114</v>
      </c>
      <c r="AY28">
        <v>22637145</v>
      </c>
      <c r="AZ28">
        <v>5880138</v>
      </c>
      <c r="BA28">
        <v>1177840</v>
      </c>
      <c r="BB28">
        <v>0</v>
      </c>
      <c r="BC28">
        <v>553498</v>
      </c>
      <c r="BD28">
        <v>40754939</v>
      </c>
      <c r="BE28">
        <v>0</v>
      </c>
      <c r="BF28">
        <v>2594285</v>
      </c>
      <c r="BG28">
        <v>4191720</v>
      </c>
      <c r="BH28">
        <v>0</v>
      </c>
      <c r="BI28">
        <v>3043070</v>
      </c>
      <c r="BJ28">
        <v>0</v>
      </c>
      <c r="BK28">
        <v>15288804</v>
      </c>
      <c r="BL28">
        <v>8381991</v>
      </c>
      <c r="BM28">
        <v>9045197</v>
      </c>
      <c r="BN28">
        <v>1925036</v>
      </c>
      <c r="BO28">
        <v>2004631</v>
      </c>
      <c r="BP28">
        <v>1670239</v>
      </c>
      <c r="BQ28">
        <v>0</v>
      </c>
      <c r="BR28">
        <v>5222954</v>
      </c>
      <c r="BS28">
        <v>0</v>
      </c>
      <c r="BT28">
        <v>5890009</v>
      </c>
      <c r="BU28">
        <v>17355276</v>
      </c>
      <c r="BV28">
        <v>0</v>
      </c>
      <c r="BW28">
        <v>11273428</v>
      </c>
      <c r="BX28">
        <v>3298727</v>
      </c>
      <c r="BY28">
        <v>595862</v>
      </c>
      <c r="BZ28">
        <v>4054806</v>
      </c>
      <c r="CA28">
        <v>4054694</v>
      </c>
      <c r="CB28">
        <v>3980111</v>
      </c>
      <c r="CD28">
        <v>767808</v>
      </c>
    </row>
    <row r="29" spans="1:82" x14ac:dyDescent="0.3">
      <c r="A29">
        <v>84</v>
      </c>
      <c r="B29" t="s">
        <v>218</v>
      </c>
      <c r="D29">
        <v>331331</v>
      </c>
      <c r="E29">
        <v>0</v>
      </c>
      <c r="F29">
        <v>607996</v>
      </c>
      <c r="G29">
        <v>0</v>
      </c>
      <c r="H29">
        <v>0</v>
      </c>
      <c r="I29">
        <v>0</v>
      </c>
      <c r="J29">
        <v>129212</v>
      </c>
      <c r="K29">
        <v>0</v>
      </c>
      <c r="L29">
        <v>0</v>
      </c>
      <c r="M29">
        <v>0</v>
      </c>
      <c r="N29">
        <v>0</v>
      </c>
      <c r="O29">
        <v>4074302</v>
      </c>
      <c r="P29">
        <v>0</v>
      </c>
      <c r="Q29">
        <v>22940169</v>
      </c>
      <c r="R29">
        <v>347544</v>
      </c>
      <c r="S29">
        <v>0</v>
      </c>
      <c r="T29">
        <v>27478209</v>
      </c>
      <c r="U29">
        <v>8500069</v>
      </c>
      <c r="V29">
        <v>11904346</v>
      </c>
      <c r="W29">
        <v>0</v>
      </c>
      <c r="Y29">
        <v>6456483</v>
      </c>
      <c r="Z29">
        <v>1301399</v>
      </c>
      <c r="AA29">
        <v>11740992</v>
      </c>
      <c r="AB29">
        <v>3857689</v>
      </c>
      <c r="AC29">
        <v>1366033</v>
      </c>
      <c r="AD29">
        <v>1838650</v>
      </c>
      <c r="AE29">
        <v>2090086</v>
      </c>
      <c r="AF29">
        <v>3812298</v>
      </c>
      <c r="AG29">
        <v>5052831</v>
      </c>
      <c r="AH29">
        <v>0</v>
      </c>
      <c r="AI29">
        <v>23806064</v>
      </c>
      <c r="AJ29">
        <v>348564</v>
      </c>
      <c r="AK29">
        <v>502233</v>
      </c>
      <c r="AM29">
        <v>8892455</v>
      </c>
      <c r="AN29">
        <v>397645</v>
      </c>
      <c r="AO29">
        <v>790768</v>
      </c>
      <c r="AP29">
        <v>0</v>
      </c>
      <c r="AQ29">
        <v>0</v>
      </c>
      <c r="AR29">
        <v>3194397</v>
      </c>
      <c r="AS29">
        <v>0</v>
      </c>
      <c r="AT29">
        <v>2202188</v>
      </c>
      <c r="AU29">
        <v>0</v>
      </c>
      <c r="AV29">
        <v>17778677</v>
      </c>
      <c r="AW29">
        <v>0</v>
      </c>
      <c r="AX29">
        <v>1375743</v>
      </c>
      <c r="AY29">
        <v>3956897</v>
      </c>
      <c r="AZ29">
        <v>578899</v>
      </c>
      <c r="BA29">
        <v>481725</v>
      </c>
      <c r="BB29">
        <v>0</v>
      </c>
      <c r="BC29">
        <v>116523</v>
      </c>
      <c r="BD29">
        <v>7390447</v>
      </c>
      <c r="BE29">
        <v>0</v>
      </c>
      <c r="BF29">
        <v>240968</v>
      </c>
      <c r="BG29">
        <v>97738</v>
      </c>
      <c r="BH29">
        <v>0</v>
      </c>
      <c r="BI29">
        <v>165910</v>
      </c>
      <c r="BJ29">
        <v>0</v>
      </c>
      <c r="BK29">
        <v>2663394</v>
      </c>
      <c r="BL29">
        <v>691148</v>
      </c>
      <c r="BM29">
        <v>1105632</v>
      </c>
      <c r="BN29">
        <v>850818</v>
      </c>
      <c r="BO29">
        <v>1040045</v>
      </c>
      <c r="BP29">
        <v>478940</v>
      </c>
      <c r="BQ29">
        <v>0</v>
      </c>
      <c r="BR29">
        <v>751541</v>
      </c>
      <c r="BS29">
        <v>0</v>
      </c>
      <c r="BT29">
        <v>554746</v>
      </c>
      <c r="BU29">
        <v>5815317</v>
      </c>
      <c r="BV29">
        <v>0</v>
      </c>
      <c r="BW29">
        <v>1951410</v>
      </c>
      <c r="BX29">
        <v>405329</v>
      </c>
      <c r="BY29">
        <v>13958</v>
      </c>
      <c r="BZ29">
        <v>286819</v>
      </c>
      <c r="CA29">
        <v>212421</v>
      </c>
      <c r="CB29">
        <v>817663</v>
      </c>
      <c r="CD29">
        <v>31520</v>
      </c>
    </row>
    <row r="30" spans="1:82" x14ac:dyDescent="0.3">
      <c r="A30">
        <v>85</v>
      </c>
      <c r="B30" t="s">
        <v>220</v>
      </c>
      <c r="D30">
        <v>492849</v>
      </c>
      <c r="E30">
        <v>0</v>
      </c>
      <c r="F30">
        <v>773176</v>
      </c>
      <c r="G30">
        <v>0</v>
      </c>
      <c r="H30">
        <v>0</v>
      </c>
      <c r="I30">
        <v>0</v>
      </c>
      <c r="J30">
        <v>188901</v>
      </c>
      <c r="K30">
        <v>0</v>
      </c>
      <c r="L30">
        <v>0</v>
      </c>
      <c r="M30">
        <v>0</v>
      </c>
      <c r="N30">
        <v>0</v>
      </c>
      <c r="O30">
        <v>3042544</v>
      </c>
      <c r="P30">
        <v>0</v>
      </c>
      <c r="Q30">
        <v>9088448</v>
      </c>
      <c r="R30">
        <v>325873</v>
      </c>
      <c r="S30">
        <v>0</v>
      </c>
      <c r="T30">
        <v>19605201</v>
      </c>
      <c r="U30">
        <v>7916563</v>
      </c>
      <c r="V30">
        <v>9280756</v>
      </c>
      <c r="W30">
        <v>0</v>
      </c>
      <c r="Y30">
        <v>5809960</v>
      </c>
      <c r="Z30">
        <v>1401827</v>
      </c>
      <c r="AA30">
        <v>7752116</v>
      </c>
      <c r="AB30">
        <v>2890355</v>
      </c>
      <c r="AC30">
        <v>1124978</v>
      </c>
      <c r="AD30">
        <v>1322628</v>
      </c>
      <c r="AE30">
        <v>2715613</v>
      </c>
      <c r="AF30">
        <v>3400083</v>
      </c>
      <c r="AG30">
        <v>3566506</v>
      </c>
      <c r="AH30">
        <v>0</v>
      </c>
      <c r="AI30">
        <v>19625901</v>
      </c>
      <c r="AJ30">
        <v>359810</v>
      </c>
      <c r="AK30">
        <v>469487</v>
      </c>
      <c r="AM30">
        <v>8027814</v>
      </c>
      <c r="AN30">
        <v>459388</v>
      </c>
      <c r="AO30">
        <v>772568</v>
      </c>
      <c r="AP30">
        <v>0</v>
      </c>
      <c r="AQ30">
        <v>0</v>
      </c>
      <c r="AR30">
        <v>2818464</v>
      </c>
      <c r="AS30">
        <v>0</v>
      </c>
      <c r="AT30">
        <v>1773984</v>
      </c>
      <c r="AU30">
        <v>0</v>
      </c>
      <c r="AV30">
        <v>14303447</v>
      </c>
      <c r="AW30">
        <v>0</v>
      </c>
      <c r="AX30">
        <v>1319557</v>
      </c>
      <c r="AY30">
        <v>3135450</v>
      </c>
      <c r="AZ30">
        <v>621914</v>
      </c>
      <c r="BA30">
        <v>499680</v>
      </c>
      <c r="BB30">
        <v>0</v>
      </c>
      <c r="BC30">
        <v>147610</v>
      </c>
      <c r="BD30">
        <v>3595673</v>
      </c>
      <c r="BE30">
        <v>0</v>
      </c>
      <c r="BF30">
        <v>311024</v>
      </c>
      <c r="BG30">
        <v>150438</v>
      </c>
      <c r="BH30">
        <v>0</v>
      </c>
      <c r="BI30">
        <v>210324</v>
      </c>
      <c r="BJ30">
        <v>0</v>
      </c>
      <c r="BK30">
        <v>2930958</v>
      </c>
      <c r="BL30">
        <v>764155</v>
      </c>
      <c r="BM30">
        <v>1587630</v>
      </c>
      <c r="BN30">
        <v>713698</v>
      </c>
      <c r="BO30">
        <v>871359</v>
      </c>
      <c r="BP30">
        <v>381197</v>
      </c>
      <c r="BQ30">
        <v>0</v>
      </c>
      <c r="BR30">
        <v>683012</v>
      </c>
      <c r="BS30">
        <v>0</v>
      </c>
      <c r="BT30">
        <v>756665</v>
      </c>
      <c r="BU30">
        <v>3970040</v>
      </c>
      <c r="BV30">
        <v>0</v>
      </c>
      <c r="BW30">
        <v>2226207</v>
      </c>
      <c r="BX30">
        <v>365945</v>
      </c>
      <c r="BY30">
        <v>32066</v>
      </c>
      <c r="BZ30">
        <v>371934</v>
      </c>
      <c r="CA30">
        <v>333950</v>
      </c>
      <c r="CB30">
        <v>689099</v>
      </c>
      <c r="CD30">
        <v>53386</v>
      </c>
    </row>
    <row r="31" spans="1:82" x14ac:dyDescent="0.3">
      <c r="A31">
        <v>88</v>
      </c>
      <c r="B31" t="s">
        <v>217</v>
      </c>
      <c r="D31">
        <v>322701</v>
      </c>
      <c r="E31">
        <v>0</v>
      </c>
      <c r="F31">
        <v>499022</v>
      </c>
      <c r="G31">
        <v>0</v>
      </c>
      <c r="H31">
        <v>0</v>
      </c>
      <c r="I31">
        <v>0</v>
      </c>
      <c r="J31">
        <v>129162</v>
      </c>
      <c r="K31">
        <v>0</v>
      </c>
      <c r="L31">
        <v>0</v>
      </c>
      <c r="M31">
        <v>0</v>
      </c>
      <c r="N31">
        <v>0</v>
      </c>
      <c r="O31">
        <v>4052082</v>
      </c>
      <c r="P31">
        <v>0</v>
      </c>
      <c r="Q31">
        <v>18740030</v>
      </c>
      <c r="R31">
        <v>298891</v>
      </c>
      <c r="S31">
        <v>0</v>
      </c>
      <c r="T31">
        <v>26824525</v>
      </c>
      <c r="U31">
        <v>8102439</v>
      </c>
      <c r="V31">
        <v>11904346</v>
      </c>
      <c r="W31">
        <v>0</v>
      </c>
      <c r="Y31">
        <v>6436424</v>
      </c>
      <c r="Z31">
        <v>1219940</v>
      </c>
      <c r="AA31">
        <v>9986344</v>
      </c>
      <c r="AB31">
        <v>3835120</v>
      </c>
      <c r="AC31">
        <v>1235749</v>
      </c>
      <c r="AD31">
        <v>1771052</v>
      </c>
      <c r="AE31">
        <v>1957448</v>
      </c>
      <c r="AF31">
        <v>3760396</v>
      </c>
      <c r="AG31">
        <v>4837801</v>
      </c>
      <c r="AH31">
        <v>0</v>
      </c>
      <c r="AI31">
        <v>22431425</v>
      </c>
      <c r="AJ31">
        <v>341884</v>
      </c>
      <c r="AK31">
        <v>502233</v>
      </c>
      <c r="AM31">
        <v>8194822</v>
      </c>
      <c r="AN31">
        <v>397645</v>
      </c>
      <c r="AO31">
        <v>763291</v>
      </c>
      <c r="AP31">
        <v>0</v>
      </c>
      <c r="AQ31">
        <v>0</v>
      </c>
      <c r="AR31">
        <v>3105147</v>
      </c>
      <c r="AS31">
        <v>0</v>
      </c>
      <c r="AT31">
        <v>1989166</v>
      </c>
      <c r="AU31">
        <v>0</v>
      </c>
      <c r="AV31">
        <v>17051918</v>
      </c>
      <c r="AW31">
        <v>0</v>
      </c>
      <c r="AX31">
        <v>1249148</v>
      </c>
      <c r="AY31">
        <v>3461752</v>
      </c>
      <c r="AZ31">
        <v>422787</v>
      </c>
      <c r="BA31">
        <v>324896</v>
      </c>
      <c r="BB31">
        <v>0</v>
      </c>
      <c r="BC31">
        <v>113030</v>
      </c>
      <c r="BD31">
        <v>6199662</v>
      </c>
      <c r="BE31">
        <v>0</v>
      </c>
      <c r="BF31">
        <v>220516</v>
      </c>
      <c r="BG31">
        <v>97714</v>
      </c>
      <c r="BH31">
        <v>0</v>
      </c>
      <c r="BI31">
        <v>165910</v>
      </c>
      <c r="BJ31">
        <v>0</v>
      </c>
      <c r="BK31">
        <v>2663394</v>
      </c>
      <c r="BL31">
        <v>621594</v>
      </c>
      <c r="BM31">
        <v>1019258</v>
      </c>
      <c r="BN31">
        <v>849733</v>
      </c>
      <c r="BO31">
        <v>1039780</v>
      </c>
      <c r="BP31">
        <v>478940</v>
      </c>
      <c r="BQ31">
        <v>0</v>
      </c>
      <c r="BR31">
        <v>750356</v>
      </c>
      <c r="BS31">
        <v>0</v>
      </c>
      <c r="BT31">
        <v>536928</v>
      </c>
      <c r="BU31">
        <v>4901011</v>
      </c>
      <c r="BV31">
        <v>0</v>
      </c>
      <c r="BW31">
        <v>1951410</v>
      </c>
      <c r="BX31">
        <v>397086</v>
      </c>
      <c r="BY31">
        <v>13958</v>
      </c>
      <c r="BZ31">
        <v>281919</v>
      </c>
      <c r="CA31">
        <v>203126</v>
      </c>
      <c r="CB31">
        <v>675900</v>
      </c>
      <c r="CD31">
        <v>31520</v>
      </c>
    </row>
    <row r="32" spans="1:82" x14ac:dyDescent="0.3">
      <c r="A32">
        <v>89</v>
      </c>
      <c r="B32" t="s">
        <v>221</v>
      </c>
      <c r="D32">
        <v>16700</v>
      </c>
      <c r="E32">
        <v>0</v>
      </c>
      <c r="F32">
        <v>7734</v>
      </c>
      <c r="G32">
        <v>0</v>
      </c>
      <c r="H32">
        <v>0</v>
      </c>
      <c r="I32">
        <v>0</v>
      </c>
      <c r="J32">
        <v>7123</v>
      </c>
      <c r="K32">
        <v>0</v>
      </c>
      <c r="L32">
        <v>0</v>
      </c>
      <c r="M32">
        <v>0</v>
      </c>
      <c r="N32">
        <v>0</v>
      </c>
      <c r="O32">
        <v>52761</v>
      </c>
      <c r="P32">
        <v>0</v>
      </c>
      <c r="Q32">
        <v>690654</v>
      </c>
      <c r="R32">
        <v>4983</v>
      </c>
      <c r="S32">
        <v>0</v>
      </c>
      <c r="T32">
        <v>1236528</v>
      </c>
      <c r="U32">
        <v>305200</v>
      </c>
      <c r="V32">
        <v>299588</v>
      </c>
      <c r="W32">
        <v>0</v>
      </c>
      <c r="Y32">
        <v>180711</v>
      </c>
      <c r="Z32">
        <v>36673</v>
      </c>
      <c r="AA32">
        <v>63412</v>
      </c>
      <c r="AB32">
        <v>281383</v>
      </c>
      <c r="AC32">
        <v>11115</v>
      </c>
      <c r="AD32">
        <v>32149</v>
      </c>
      <c r="AE32">
        <v>0</v>
      </c>
      <c r="AF32">
        <v>1219</v>
      </c>
      <c r="AG32">
        <v>1781</v>
      </c>
      <c r="AH32">
        <v>0</v>
      </c>
      <c r="AI32">
        <v>471342</v>
      </c>
      <c r="AJ32">
        <v>0</v>
      </c>
      <c r="AK32">
        <v>35265</v>
      </c>
      <c r="AM32">
        <v>191236</v>
      </c>
      <c r="AN32">
        <v>13513</v>
      </c>
      <c r="AO32">
        <v>39291</v>
      </c>
      <c r="AP32">
        <v>0</v>
      </c>
      <c r="AQ32">
        <v>0</v>
      </c>
      <c r="AR32">
        <v>9204</v>
      </c>
      <c r="AS32">
        <v>0</v>
      </c>
      <c r="AT32">
        <v>37700</v>
      </c>
      <c r="AU32">
        <v>0</v>
      </c>
      <c r="AV32">
        <v>3101128</v>
      </c>
      <c r="AW32">
        <v>0</v>
      </c>
      <c r="AX32">
        <v>0</v>
      </c>
      <c r="AY32">
        <v>0</v>
      </c>
      <c r="AZ32">
        <v>30495</v>
      </c>
      <c r="BA32">
        <v>0</v>
      </c>
      <c r="BB32">
        <v>0</v>
      </c>
      <c r="BC32">
        <v>0</v>
      </c>
      <c r="BD32">
        <v>54706</v>
      </c>
      <c r="BE32">
        <v>0</v>
      </c>
      <c r="BF32">
        <v>0</v>
      </c>
      <c r="BG32">
        <v>0</v>
      </c>
      <c r="BH32">
        <v>0</v>
      </c>
      <c r="BI32">
        <v>0</v>
      </c>
      <c r="BJ32">
        <v>0</v>
      </c>
      <c r="BK32">
        <v>57762</v>
      </c>
      <c r="BL32">
        <v>41030</v>
      </c>
      <c r="BM32">
        <v>60774</v>
      </c>
      <c r="BN32">
        <v>96043</v>
      </c>
      <c r="BO32">
        <v>99936</v>
      </c>
      <c r="BP32">
        <v>0</v>
      </c>
      <c r="BQ32">
        <v>0</v>
      </c>
      <c r="BR32">
        <v>29728</v>
      </c>
      <c r="BS32">
        <v>0</v>
      </c>
      <c r="BT32">
        <v>26262</v>
      </c>
      <c r="BU32">
        <v>16263</v>
      </c>
      <c r="BV32">
        <v>0</v>
      </c>
      <c r="BW32">
        <v>11843</v>
      </c>
      <c r="BX32">
        <v>0</v>
      </c>
      <c r="BY32">
        <v>0</v>
      </c>
      <c r="BZ32">
        <v>26957</v>
      </c>
      <c r="CA32">
        <v>9168</v>
      </c>
      <c r="CB32">
        <v>59124</v>
      </c>
      <c r="CD32">
        <v>0</v>
      </c>
    </row>
    <row r="33" spans="1:82" x14ac:dyDescent="0.3">
      <c r="A33">
        <v>90</v>
      </c>
      <c r="B33" t="s">
        <v>214</v>
      </c>
      <c r="D33">
        <v>0</v>
      </c>
      <c r="E33">
        <v>0</v>
      </c>
      <c r="F33">
        <v>0</v>
      </c>
      <c r="G33">
        <v>0</v>
      </c>
      <c r="H33">
        <v>0</v>
      </c>
      <c r="I33">
        <v>0</v>
      </c>
      <c r="J33">
        <v>0</v>
      </c>
      <c r="K33">
        <v>0</v>
      </c>
      <c r="L33">
        <v>0</v>
      </c>
      <c r="M33">
        <v>0</v>
      </c>
      <c r="N33">
        <v>0</v>
      </c>
      <c r="O33">
        <v>0</v>
      </c>
      <c r="P33">
        <v>0</v>
      </c>
      <c r="Q33">
        <v>85518669</v>
      </c>
      <c r="R33">
        <v>0</v>
      </c>
      <c r="S33">
        <v>0</v>
      </c>
      <c r="T33">
        <v>0</v>
      </c>
      <c r="U33">
        <v>0</v>
      </c>
      <c r="V33">
        <v>19503061</v>
      </c>
      <c r="W33">
        <v>0</v>
      </c>
      <c r="Y33">
        <v>0</v>
      </c>
      <c r="Z33">
        <v>0</v>
      </c>
      <c r="AA33">
        <v>0</v>
      </c>
      <c r="AB33">
        <v>0</v>
      </c>
      <c r="AC33">
        <v>0</v>
      </c>
      <c r="AD33">
        <v>0</v>
      </c>
      <c r="AE33">
        <v>0</v>
      </c>
      <c r="AF33">
        <v>0</v>
      </c>
      <c r="AG33">
        <v>0</v>
      </c>
      <c r="AH33">
        <v>0</v>
      </c>
      <c r="AI33">
        <v>15944733</v>
      </c>
      <c r="AJ33">
        <v>0</v>
      </c>
      <c r="AK33">
        <v>0</v>
      </c>
      <c r="AM33">
        <v>10994549</v>
      </c>
      <c r="AN33">
        <v>0</v>
      </c>
      <c r="AO33">
        <v>0</v>
      </c>
      <c r="AP33">
        <v>0</v>
      </c>
      <c r="AQ33">
        <v>0</v>
      </c>
      <c r="AR33">
        <v>0</v>
      </c>
      <c r="AS33">
        <v>0</v>
      </c>
      <c r="AT33">
        <v>0</v>
      </c>
      <c r="AU33">
        <v>695714</v>
      </c>
      <c r="AV33">
        <v>0</v>
      </c>
      <c r="AW33">
        <v>0</v>
      </c>
      <c r="AX33">
        <v>0</v>
      </c>
      <c r="AY33">
        <v>0</v>
      </c>
      <c r="AZ33">
        <v>0</v>
      </c>
      <c r="BA33">
        <v>0</v>
      </c>
      <c r="BB33">
        <v>0</v>
      </c>
      <c r="BC33">
        <v>0</v>
      </c>
      <c r="BD33">
        <v>0</v>
      </c>
      <c r="BE33">
        <v>0</v>
      </c>
      <c r="BF33">
        <v>0</v>
      </c>
      <c r="BG33">
        <v>0</v>
      </c>
      <c r="BH33">
        <v>0</v>
      </c>
      <c r="BI33">
        <v>0</v>
      </c>
      <c r="BJ33">
        <v>0</v>
      </c>
      <c r="BK33">
        <v>0</v>
      </c>
      <c r="BL33">
        <v>1431651</v>
      </c>
      <c r="BM33">
        <v>0</v>
      </c>
      <c r="BN33">
        <v>0</v>
      </c>
      <c r="BO33">
        <v>0</v>
      </c>
      <c r="BP33">
        <v>0</v>
      </c>
      <c r="BQ33">
        <v>0</v>
      </c>
      <c r="BR33">
        <v>1760340</v>
      </c>
      <c r="BS33">
        <v>4136723</v>
      </c>
      <c r="BT33">
        <v>0</v>
      </c>
      <c r="BU33">
        <v>0</v>
      </c>
      <c r="BV33">
        <v>0</v>
      </c>
      <c r="BW33">
        <v>0</v>
      </c>
      <c r="BX33">
        <v>0</v>
      </c>
      <c r="BY33">
        <v>0</v>
      </c>
      <c r="BZ33">
        <v>0</v>
      </c>
      <c r="CA33">
        <v>0</v>
      </c>
      <c r="CB33">
        <v>0</v>
      </c>
      <c r="CD33">
        <v>0</v>
      </c>
    </row>
    <row r="34" spans="1:82" x14ac:dyDescent="0.3">
      <c r="A34">
        <v>91</v>
      </c>
      <c r="B34" t="s">
        <v>215</v>
      </c>
      <c r="D34">
        <v>0</v>
      </c>
      <c r="E34">
        <v>0</v>
      </c>
      <c r="F34">
        <v>0</v>
      </c>
      <c r="G34">
        <v>0</v>
      </c>
      <c r="H34">
        <v>0</v>
      </c>
      <c r="I34">
        <v>0</v>
      </c>
      <c r="J34">
        <v>0</v>
      </c>
      <c r="K34">
        <v>0</v>
      </c>
      <c r="L34">
        <v>0</v>
      </c>
      <c r="M34">
        <v>0</v>
      </c>
      <c r="N34">
        <v>0</v>
      </c>
      <c r="O34">
        <v>0</v>
      </c>
      <c r="P34">
        <v>0</v>
      </c>
      <c r="Q34">
        <v>8079939</v>
      </c>
      <c r="R34">
        <v>0</v>
      </c>
      <c r="S34">
        <v>0</v>
      </c>
      <c r="T34">
        <v>0</v>
      </c>
      <c r="U34">
        <v>0</v>
      </c>
      <c r="V34">
        <v>3552382</v>
      </c>
      <c r="W34">
        <v>0</v>
      </c>
      <c r="Y34">
        <v>0</v>
      </c>
      <c r="Z34">
        <v>0</v>
      </c>
      <c r="AA34">
        <v>0</v>
      </c>
      <c r="AB34">
        <v>0</v>
      </c>
      <c r="AC34">
        <v>0</v>
      </c>
      <c r="AD34">
        <v>0</v>
      </c>
      <c r="AE34">
        <v>0</v>
      </c>
      <c r="AF34">
        <v>0</v>
      </c>
      <c r="AG34">
        <v>0</v>
      </c>
      <c r="AH34">
        <v>0</v>
      </c>
      <c r="AI34">
        <v>7819274</v>
      </c>
      <c r="AJ34">
        <v>0</v>
      </c>
      <c r="AK34">
        <v>0</v>
      </c>
      <c r="AM34">
        <v>1962006</v>
      </c>
      <c r="AN34">
        <v>0</v>
      </c>
      <c r="AO34">
        <v>0</v>
      </c>
      <c r="AP34">
        <v>0</v>
      </c>
      <c r="AQ34">
        <v>0</v>
      </c>
      <c r="AR34">
        <v>0</v>
      </c>
      <c r="AS34">
        <v>0</v>
      </c>
      <c r="AT34">
        <v>0</v>
      </c>
      <c r="AU34">
        <v>55923</v>
      </c>
      <c r="AV34">
        <v>0</v>
      </c>
      <c r="AW34">
        <v>0</v>
      </c>
      <c r="AX34">
        <v>0</v>
      </c>
      <c r="AY34">
        <v>0</v>
      </c>
      <c r="AZ34">
        <v>0</v>
      </c>
      <c r="BA34">
        <v>0</v>
      </c>
      <c r="BB34">
        <v>0</v>
      </c>
      <c r="BC34">
        <v>0</v>
      </c>
      <c r="BD34">
        <v>0</v>
      </c>
      <c r="BE34">
        <v>0</v>
      </c>
      <c r="BF34">
        <v>0</v>
      </c>
      <c r="BG34">
        <v>0</v>
      </c>
      <c r="BH34">
        <v>0</v>
      </c>
      <c r="BI34">
        <v>0</v>
      </c>
      <c r="BJ34">
        <v>0</v>
      </c>
      <c r="BK34">
        <v>0</v>
      </c>
      <c r="BL34">
        <v>144814</v>
      </c>
      <c r="BM34">
        <v>0</v>
      </c>
      <c r="BN34">
        <v>0</v>
      </c>
      <c r="BO34">
        <v>0</v>
      </c>
      <c r="BP34">
        <v>0</v>
      </c>
      <c r="BQ34">
        <v>0</v>
      </c>
      <c r="BR34">
        <v>327575</v>
      </c>
      <c r="BS34">
        <v>1818935</v>
      </c>
      <c r="BT34">
        <v>0</v>
      </c>
      <c r="BU34">
        <v>0</v>
      </c>
      <c r="BV34">
        <v>0</v>
      </c>
      <c r="BW34">
        <v>0</v>
      </c>
      <c r="BX34">
        <v>0</v>
      </c>
      <c r="BY34">
        <v>0</v>
      </c>
      <c r="BZ34">
        <v>0</v>
      </c>
      <c r="CA34">
        <v>0</v>
      </c>
      <c r="CB34">
        <v>0</v>
      </c>
      <c r="CD34">
        <v>0</v>
      </c>
    </row>
    <row r="35" spans="1:82" x14ac:dyDescent="0.3">
      <c r="A35">
        <v>93</v>
      </c>
      <c r="B35" t="s">
        <v>228</v>
      </c>
      <c r="D35">
        <v>0</v>
      </c>
      <c r="E35">
        <v>0</v>
      </c>
      <c r="F35">
        <v>0</v>
      </c>
      <c r="G35">
        <v>0</v>
      </c>
      <c r="H35">
        <v>0</v>
      </c>
      <c r="I35">
        <v>0</v>
      </c>
      <c r="J35">
        <v>0</v>
      </c>
      <c r="K35">
        <v>0</v>
      </c>
      <c r="L35">
        <v>0</v>
      </c>
      <c r="M35">
        <v>0</v>
      </c>
      <c r="N35">
        <v>0</v>
      </c>
      <c r="O35">
        <v>0</v>
      </c>
      <c r="P35">
        <v>0</v>
      </c>
      <c r="Q35">
        <v>60908986</v>
      </c>
      <c r="R35">
        <v>0</v>
      </c>
      <c r="S35">
        <v>0</v>
      </c>
      <c r="T35">
        <v>0</v>
      </c>
      <c r="U35">
        <v>0</v>
      </c>
      <c r="V35">
        <v>29847931</v>
      </c>
      <c r="W35">
        <v>0</v>
      </c>
      <c r="Y35">
        <v>0</v>
      </c>
      <c r="Z35">
        <v>0</v>
      </c>
      <c r="AA35">
        <v>0</v>
      </c>
      <c r="AB35">
        <v>0</v>
      </c>
      <c r="AC35">
        <v>0</v>
      </c>
      <c r="AD35">
        <v>0</v>
      </c>
      <c r="AE35">
        <v>0</v>
      </c>
      <c r="AF35">
        <v>0</v>
      </c>
      <c r="AG35">
        <v>0</v>
      </c>
      <c r="AH35">
        <v>0</v>
      </c>
      <c r="AI35">
        <v>52824907</v>
      </c>
      <c r="AJ35">
        <v>0</v>
      </c>
      <c r="AK35">
        <v>0</v>
      </c>
      <c r="AM35">
        <v>16379996</v>
      </c>
      <c r="AN35">
        <v>0</v>
      </c>
      <c r="AO35">
        <v>0</v>
      </c>
      <c r="AP35">
        <v>0</v>
      </c>
      <c r="AQ35">
        <v>0</v>
      </c>
      <c r="AR35">
        <v>0</v>
      </c>
      <c r="AS35">
        <v>0</v>
      </c>
      <c r="AT35">
        <v>0</v>
      </c>
      <c r="AU35">
        <v>425831</v>
      </c>
      <c r="AV35">
        <v>0</v>
      </c>
      <c r="AW35">
        <v>0</v>
      </c>
      <c r="AX35">
        <v>0</v>
      </c>
      <c r="AY35">
        <v>0</v>
      </c>
      <c r="AZ35">
        <v>0</v>
      </c>
      <c r="BA35">
        <v>0</v>
      </c>
      <c r="BB35">
        <v>0</v>
      </c>
      <c r="BC35">
        <v>0</v>
      </c>
      <c r="BD35">
        <v>0</v>
      </c>
      <c r="BE35">
        <v>0</v>
      </c>
      <c r="BF35">
        <v>0</v>
      </c>
      <c r="BG35">
        <v>0</v>
      </c>
      <c r="BH35">
        <v>0</v>
      </c>
      <c r="BI35">
        <v>0</v>
      </c>
      <c r="BJ35">
        <v>0</v>
      </c>
      <c r="BK35">
        <v>0</v>
      </c>
      <c r="BL35">
        <v>1111743</v>
      </c>
      <c r="BM35">
        <v>0</v>
      </c>
      <c r="BN35">
        <v>0</v>
      </c>
      <c r="BO35">
        <v>0</v>
      </c>
      <c r="BP35">
        <v>0</v>
      </c>
      <c r="BQ35">
        <v>0</v>
      </c>
      <c r="BR35">
        <v>2820906</v>
      </c>
      <c r="BS35">
        <v>12245961</v>
      </c>
      <c r="BT35">
        <v>0</v>
      </c>
      <c r="BU35">
        <v>0</v>
      </c>
      <c r="BV35">
        <v>0</v>
      </c>
      <c r="BW35">
        <v>0</v>
      </c>
      <c r="BX35">
        <v>0</v>
      </c>
      <c r="BY35">
        <v>0</v>
      </c>
      <c r="BZ35">
        <v>0</v>
      </c>
      <c r="CA35">
        <v>0</v>
      </c>
      <c r="CB35">
        <v>0</v>
      </c>
      <c r="CD35">
        <v>0</v>
      </c>
    </row>
    <row r="36" spans="1:82" x14ac:dyDescent="0.3">
      <c r="A36">
        <v>94</v>
      </c>
      <c r="B36" t="s">
        <v>231</v>
      </c>
      <c r="D36">
        <v>0</v>
      </c>
      <c r="E36">
        <v>0</v>
      </c>
      <c r="F36">
        <v>0</v>
      </c>
      <c r="G36">
        <v>0</v>
      </c>
      <c r="H36">
        <v>0</v>
      </c>
      <c r="I36">
        <v>0</v>
      </c>
      <c r="J36">
        <v>0</v>
      </c>
      <c r="K36">
        <v>0</v>
      </c>
      <c r="L36">
        <v>0</v>
      </c>
      <c r="M36">
        <v>0</v>
      </c>
      <c r="N36">
        <v>0</v>
      </c>
      <c r="O36">
        <v>0</v>
      </c>
      <c r="P36">
        <v>0</v>
      </c>
      <c r="Q36">
        <v>55654757</v>
      </c>
      <c r="R36">
        <v>0</v>
      </c>
      <c r="S36">
        <v>0</v>
      </c>
      <c r="T36">
        <v>0</v>
      </c>
      <c r="U36">
        <v>0</v>
      </c>
      <c r="V36">
        <v>28502920</v>
      </c>
      <c r="W36">
        <v>0</v>
      </c>
      <c r="Y36">
        <v>0</v>
      </c>
      <c r="Z36">
        <v>0</v>
      </c>
      <c r="AA36">
        <v>0</v>
      </c>
      <c r="AB36">
        <v>0</v>
      </c>
      <c r="AC36">
        <v>0</v>
      </c>
      <c r="AD36">
        <v>0</v>
      </c>
      <c r="AE36">
        <v>0</v>
      </c>
      <c r="AF36">
        <v>0</v>
      </c>
      <c r="AG36">
        <v>0</v>
      </c>
      <c r="AH36">
        <v>0</v>
      </c>
      <c r="AI36">
        <v>50413935</v>
      </c>
      <c r="AJ36">
        <v>0</v>
      </c>
      <c r="AK36">
        <v>0</v>
      </c>
      <c r="AM36">
        <v>16212578</v>
      </c>
      <c r="AN36">
        <v>0</v>
      </c>
      <c r="AO36">
        <v>0</v>
      </c>
      <c r="AP36">
        <v>0</v>
      </c>
      <c r="AQ36">
        <v>0</v>
      </c>
      <c r="AR36">
        <v>0</v>
      </c>
      <c r="AS36">
        <v>0</v>
      </c>
      <c r="AT36">
        <v>0</v>
      </c>
      <c r="AU36">
        <v>401320</v>
      </c>
      <c r="AV36">
        <v>0</v>
      </c>
      <c r="AW36">
        <v>0</v>
      </c>
      <c r="AX36">
        <v>0</v>
      </c>
      <c r="AY36">
        <v>0</v>
      </c>
      <c r="AZ36">
        <v>0</v>
      </c>
      <c r="BA36">
        <v>0</v>
      </c>
      <c r="BB36">
        <v>0</v>
      </c>
      <c r="BC36">
        <v>0</v>
      </c>
      <c r="BD36">
        <v>0</v>
      </c>
      <c r="BE36">
        <v>0</v>
      </c>
      <c r="BF36">
        <v>0</v>
      </c>
      <c r="BG36">
        <v>0</v>
      </c>
      <c r="BH36">
        <v>0</v>
      </c>
      <c r="BI36">
        <v>0</v>
      </c>
      <c r="BJ36">
        <v>0</v>
      </c>
      <c r="BK36">
        <v>0</v>
      </c>
      <c r="BL36">
        <v>1076312</v>
      </c>
      <c r="BM36">
        <v>0</v>
      </c>
      <c r="BN36">
        <v>0</v>
      </c>
      <c r="BO36">
        <v>0</v>
      </c>
      <c r="BP36">
        <v>0</v>
      </c>
      <c r="BQ36">
        <v>0</v>
      </c>
      <c r="BR36">
        <v>2094239</v>
      </c>
      <c r="BS36">
        <v>11338127</v>
      </c>
      <c r="BT36">
        <v>0</v>
      </c>
      <c r="BU36">
        <v>0</v>
      </c>
      <c r="BV36">
        <v>0</v>
      </c>
      <c r="BW36">
        <v>0</v>
      </c>
      <c r="BX36">
        <v>0</v>
      </c>
      <c r="BY36">
        <v>0</v>
      </c>
      <c r="BZ36">
        <v>0</v>
      </c>
      <c r="CA36">
        <v>0</v>
      </c>
      <c r="CB36">
        <v>0</v>
      </c>
      <c r="CD36">
        <v>0</v>
      </c>
    </row>
    <row r="37" spans="1:82" x14ac:dyDescent="0.3">
      <c r="A37">
        <v>97</v>
      </c>
      <c r="B37" t="s">
        <v>227</v>
      </c>
      <c r="D37">
        <v>0</v>
      </c>
      <c r="E37">
        <v>0</v>
      </c>
      <c r="F37">
        <v>0</v>
      </c>
      <c r="G37">
        <v>0</v>
      </c>
      <c r="H37">
        <v>0</v>
      </c>
      <c r="I37">
        <v>0</v>
      </c>
      <c r="J37">
        <v>0</v>
      </c>
      <c r="K37">
        <v>0</v>
      </c>
      <c r="L37">
        <v>0</v>
      </c>
      <c r="M37">
        <v>0</v>
      </c>
      <c r="N37">
        <v>0</v>
      </c>
      <c r="O37">
        <v>0</v>
      </c>
      <c r="P37">
        <v>0</v>
      </c>
      <c r="Q37">
        <v>60647432</v>
      </c>
      <c r="R37">
        <v>0</v>
      </c>
      <c r="S37">
        <v>0</v>
      </c>
      <c r="T37">
        <v>0</v>
      </c>
      <c r="U37">
        <v>0</v>
      </c>
      <c r="V37">
        <v>29847931</v>
      </c>
      <c r="W37">
        <v>0</v>
      </c>
      <c r="Y37">
        <v>0</v>
      </c>
      <c r="Z37">
        <v>0</v>
      </c>
      <c r="AA37">
        <v>0</v>
      </c>
      <c r="AB37">
        <v>0</v>
      </c>
      <c r="AC37">
        <v>0</v>
      </c>
      <c r="AD37">
        <v>0</v>
      </c>
      <c r="AE37">
        <v>0</v>
      </c>
      <c r="AF37">
        <v>0</v>
      </c>
      <c r="AG37">
        <v>0</v>
      </c>
      <c r="AH37">
        <v>0</v>
      </c>
      <c r="AI37">
        <v>52777339</v>
      </c>
      <c r="AJ37">
        <v>0</v>
      </c>
      <c r="AK37">
        <v>0</v>
      </c>
      <c r="AM37">
        <v>15568571</v>
      </c>
      <c r="AN37">
        <v>0</v>
      </c>
      <c r="AO37">
        <v>0</v>
      </c>
      <c r="AP37">
        <v>0</v>
      </c>
      <c r="AQ37">
        <v>0</v>
      </c>
      <c r="AR37">
        <v>0</v>
      </c>
      <c r="AS37">
        <v>0</v>
      </c>
      <c r="AT37">
        <v>0</v>
      </c>
      <c r="AU37">
        <v>425831</v>
      </c>
      <c r="AV37">
        <v>0</v>
      </c>
      <c r="AW37">
        <v>0</v>
      </c>
      <c r="AX37">
        <v>0</v>
      </c>
      <c r="AY37">
        <v>0</v>
      </c>
      <c r="AZ37">
        <v>0</v>
      </c>
      <c r="BA37">
        <v>0</v>
      </c>
      <c r="BB37">
        <v>0</v>
      </c>
      <c r="BC37">
        <v>0</v>
      </c>
      <c r="BD37">
        <v>0</v>
      </c>
      <c r="BE37">
        <v>0</v>
      </c>
      <c r="BF37">
        <v>0</v>
      </c>
      <c r="BG37">
        <v>0</v>
      </c>
      <c r="BH37">
        <v>0</v>
      </c>
      <c r="BI37">
        <v>0</v>
      </c>
      <c r="BJ37">
        <v>0</v>
      </c>
      <c r="BK37">
        <v>0</v>
      </c>
      <c r="BL37">
        <v>1079479</v>
      </c>
      <c r="BM37">
        <v>0</v>
      </c>
      <c r="BN37">
        <v>0</v>
      </c>
      <c r="BO37">
        <v>0</v>
      </c>
      <c r="BP37">
        <v>0</v>
      </c>
      <c r="BQ37">
        <v>0</v>
      </c>
      <c r="BR37">
        <v>2793560</v>
      </c>
      <c r="BS37">
        <v>11948221</v>
      </c>
      <c r="BT37">
        <v>0</v>
      </c>
      <c r="BU37">
        <v>0</v>
      </c>
      <c r="BV37">
        <v>0</v>
      </c>
      <c r="BW37">
        <v>0</v>
      </c>
      <c r="BX37">
        <v>0</v>
      </c>
      <c r="BY37">
        <v>0</v>
      </c>
      <c r="BZ37">
        <v>0</v>
      </c>
      <c r="CA37">
        <v>0</v>
      </c>
      <c r="CB37">
        <v>0</v>
      </c>
      <c r="CD37">
        <v>0</v>
      </c>
    </row>
    <row r="38" spans="1:82" x14ac:dyDescent="0.3">
      <c r="A38">
        <v>98</v>
      </c>
      <c r="B38" t="s">
        <v>232</v>
      </c>
      <c r="D38">
        <v>0</v>
      </c>
      <c r="E38">
        <v>0</v>
      </c>
      <c r="F38">
        <v>0</v>
      </c>
      <c r="G38">
        <v>0</v>
      </c>
      <c r="H38">
        <v>0</v>
      </c>
      <c r="I38">
        <v>0</v>
      </c>
      <c r="J38">
        <v>0</v>
      </c>
      <c r="K38">
        <v>0</v>
      </c>
      <c r="L38">
        <v>0</v>
      </c>
      <c r="M38">
        <v>0</v>
      </c>
      <c r="N38">
        <v>0</v>
      </c>
      <c r="O38">
        <v>0</v>
      </c>
      <c r="P38">
        <v>0</v>
      </c>
      <c r="Q38">
        <v>551912</v>
      </c>
      <c r="R38">
        <v>0</v>
      </c>
      <c r="S38">
        <v>0</v>
      </c>
      <c r="T38">
        <v>0</v>
      </c>
      <c r="U38">
        <v>0</v>
      </c>
      <c r="V38">
        <v>12554</v>
      </c>
      <c r="W38">
        <v>0</v>
      </c>
      <c r="Y38">
        <v>0</v>
      </c>
      <c r="Z38">
        <v>0</v>
      </c>
      <c r="AA38">
        <v>0</v>
      </c>
      <c r="AB38">
        <v>0</v>
      </c>
      <c r="AC38">
        <v>0</v>
      </c>
      <c r="AD38">
        <v>0</v>
      </c>
      <c r="AE38">
        <v>0</v>
      </c>
      <c r="AF38">
        <v>0</v>
      </c>
      <c r="AG38">
        <v>0</v>
      </c>
      <c r="AH38">
        <v>0</v>
      </c>
      <c r="AI38">
        <v>94102</v>
      </c>
      <c r="AJ38">
        <v>0</v>
      </c>
      <c r="AK38">
        <v>0</v>
      </c>
      <c r="AM38">
        <v>102225</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5315</v>
      </c>
      <c r="BM38">
        <v>0</v>
      </c>
      <c r="BN38">
        <v>0</v>
      </c>
      <c r="BO38">
        <v>0</v>
      </c>
      <c r="BP38">
        <v>0</v>
      </c>
      <c r="BQ38">
        <v>0</v>
      </c>
      <c r="BR38">
        <v>7854</v>
      </c>
      <c r="BS38">
        <v>0</v>
      </c>
      <c r="BT38">
        <v>0</v>
      </c>
      <c r="BU38">
        <v>0</v>
      </c>
      <c r="BV38">
        <v>0</v>
      </c>
      <c r="BW38">
        <v>0</v>
      </c>
      <c r="BX38">
        <v>0</v>
      </c>
      <c r="BY38">
        <v>0</v>
      </c>
      <c r="BZ38">
        <v>0</v>
      </c>
      <c r="CA38">
        <v>0</v>
      </c>
      <c r="CB38">
        <v>0</v>
      </c>
      <c r="CD38">
        <v>0</v>
      </c>
    </row>
    <row r="39" spans="1:82" x14ac:dyDescent="0.3">
      <c r="A39">
        <v>99</v>
      </c>
      <c r="B39" t="s">
        <v>229</v>
      </c>
      <c r="D39">
        <v>0</v>
      </c>
      <c r="E39">
        <v>0</v>
      </c>
      <c r="F39">
        <v>0</v>
      </c>
      <c r="G39">
        <v>0</v>
      </c>
      <c r="H39">
        <v>0</v>
      </c>
      <c r="I39">
        <v>0</v>
      </c>
      <c r="J39">
        <v>0</v>
      </c>
      <c r="K39">
        <v>0</v>
      </c>
      <c r="L39">
        <v>0</v>
      </c>
      <c r="M39">
        <v>0</v>
      </c>
      <c r="N39">
        <v>0</v>
      </c>
      <c r="O39">
        <v>0</v>
      </c>
      <c r="P39">
        <v>0</v>
      </c>
      <c r="Q39">
        <v>47740429</v>
      </c>
      <c r="R39">
        <v>0</v>
      </c>
      <c r="S39">
        <v>0</v>
      </c>
      <c r="T39">
        <v>0</v>
      </c>
      <c r="U39">
        <v>0</v>
      </c>
      <c r="V39">
        <v>23303021</v>
      </c>
      <c r="W39">
        <v>0</v>
      </c>
      <c r="Y39">
        <v>0</v>
      </c>
      <c r="Z39">
        <v>0</v>
      </c>
      <c r="AA39">
        <v>0</v>
      </c>
      <c r="AB39">
        <v>0</v>
      </c>
      <c r="AC39">
        <v>0</v>
      </c>
      <c r="AD39">
        <v>0</v>
      </c>
      <c r="AE39">
        <v>0</v>
      </c>
      <c r="AF39">
        <v>0</v>
      </c>
      <c r="AG39">
        <v>0</v>
      </c>
      <c r="AH39">
        <v>0</v>
      </c>
      <c r="AI39">
        <v>38684107</v>
      </c>
      <c r="AJ39">
        <v>0</v>
      </c>
      <c r="AK39">
        <v>0</v>
      </c>
      <c r="AM39">
        <v>11307113</v>
      </c>
      <c r="AN39">
        <v>0</v>
      </c>
      <c r="AO39">
        <v>0</v>
      </c>
      <c r="AP39">
        <v>0</v>
      </c>
      <c r="AQ39">
        <v>0</v>
      </c>
      <c r="AR39">
        <v>0</v>
      </c>
      <c r="AS39">
        <v>0</v>
      </c>
      <c r="AT39">
        <v>0</v>
      </c>
      <c r="AU39">
        <v>283130</v>
      </c>
      <c r="AV39">
        <v>0</v>
      </c>
      <c r="AW39">
        <v>0</v>
      </c>
      <c r="AX39">
        <v>0</v>
      </c>
      <c r="AY39">
        <v>0</v>
      </c>
      <c r="AZ39">
        <v>0</v>
      </c>
      <c r="BA39">
        <v>0</v>
      </c>
      <c r="BB39">
        <v>0</v>
      </c>
      <c r="BC39">
        <v>0</v>
      </c>
      <c r="BD39">
        <v>0</v>
      </c>
      <c r="BE39">
        <v>0</v>
      </c>
      <c r="BF39">
        <v>0</v>
      </c>
      <c r="BG39">
        <v>0</v>
      </c>
      <c r="BH39">
        <v>0</v>
      </c>
      <c r="BI39">
        <v>0</v>
      </c>
      <c r="BJ39">
        <v>0</v>
      </c>
      <c r="BK39">
        <v>0</v>
      </c>
      <c r="BL39">
        <v>752556</v>
      </c>
      <c r="BM39">
        <v>0</v>
      </c>
      <c r="BN39">
        <v>0</v>
      </c>
      <c r="BO39">
        <v>0</v>
      </c>
      <c r="BP39">
        <v>0</v>
      </c>
      <c r="BQ39">
        <v>0</v>
      </c>
      <c r="BR39">
        <v>1523573</v>
      </c>
      <c r="BS39">
        <v>8892584</v>
      </c>
      <c r="BT39">
        <v>0</v>
      </c>
      <c r="BU39">
        <v>0</v>
      </c>
      <c r="BV39">
        <v>0</v>
      </c>
      <c r="BW39">
        <v>0</v>
      </c>
      <c r="BX39">
        <v>0</v>
      </c>
      <c r="BY39">
        <v>0</v>
      </c>
      <c r="BZ39">
        <v>0</v>
      </c>
      <c r="CA39">
        <v>0</v>
      </c>
      <c r="CB39">
        <v>0</v>
      </c>
      <c r="CD39">
        <v>0</v>
      </c>
    </row>
    <row r="40" spans="1:82" x14ac:dyDescent="0.3">
      <c r="A40">
        <v>100</v>
      </c>
      <c r="B40" t="s">
        <v>242</v>
      </c>
      <c r="D40">
        <v>0</v>
      </c>
      <c r="E40">
        <v>0</v>
      </c>
      <c r="F40">
        <v>0</v>
      </c>
      <c r="G40">
        <v>0</v>
      </c>
      <c r="H40">
        <v>0</v>
      </c>
      <c r="I40">
        <v>0</v>
      </c>
      <c r="J40">
        <v>0</v>
      </c>
      <c r="K40">
        <v>0</v>
      </c>
      <c r="L40">
        <v>0</v>
      </c>
      <c r="M40">
        <v>0</v>
      </c>
      <c r="N40">
        <v>0</v>
      </c>
      <c r="O40">
        <v>0</v>
      </c>
      <c r="P40">
        <v>0</v>
      </c>
      <c r="Q40">
        <v>843658</v>
      </c>
      <c r="R40">
        <v>0</v>
      </c>
      <c r="S40">
        <v>0</v>
      </c>
      <c r="T40">
        <v>0</v>
      </c>
      <c r="U40">
        <v>0</v>
      </c>
      <c r="V40">
        <v>96417</v>
      </c>
      <c r="W40">
        <v>0</v>
      </c>
      <c r="Y40">
        <v>0</v>
      </c>
      <c r="Z40">
        <v>0</v>
      </c>
      <c r="AA40">
        <v>0</v>
      </c>
      <c r="AB40">
        <v>0</v>
      </c>
      <c r="AC40">
        <v>0</v>
      </c>
      <c r="AD40">
        <v>0</v>
      </c>
      <c r="AE40">
        <v>0</v>
      </c>
      <c r="AF40">
        <v>0</v>
      </c>
      <c r="AG40">
        <v>0</v>
      </c>
      <c r="AH40">
        <v>0</v>
      </c>
      <c r="AI40">
        <v>1652046</v>
      </c>
      <c r="AJ40">
        <v>0</v>
      </c>
      <c r="AK40">
        <v>0</v>
      </c>
      <c r="AM40">
        <v>860108</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88545</v>
      </c>
      <c r="BM40">
        <v>0</v>
      </c>
      <c r="BN40">
        <v>0</v>
      </c>
      <c r="BO40">
        <v>0</v>
      </c>
      <c r="BP40">
        <v>0</v>
      </c>
      <c r="BQ40">
        <v>0</v>
      </c>
      <c r="BR40">
        <v>6639</v>
      </c>
      <c r="BS40">
        <v>0</v>
      </c>
      <c r="BT40">
        <v>0</v>
      </c>
      <c r="BU40">
        <v>0</v>
      </c>
      <c r="BV40">
        <v>0</v>
      </c>
      <c r="BW40">
        <v>0</v>
      </c>
      <c r="BX40">
        <v>0</v>
      </c>
      <c r="BY40">
        <v>0</v>
      </c>
      <c r="BZ40">
        <v>0</v>
      </c>
      <c r="CA40">
        <v>0</v>
      </c>
      <c r="CB40">
        <v>0</v>
      </c>
      <c r="CD40">
        <v>0</v>
      </c>
    </row>
    <row r="41" spans="1:82" x14ac:dyDescent="0.3">
      <c r="A41">
        <v>101</v>
      </c>
      <c r="B41" t="s">
        <v>241</v>
      </c>
      <c r="D41">
        <v>0</v>
      </c>
      <c r="E41">
        <v>0</v>
      </c>
      <c r="F41">
        <v>0</v>
      </c>
      <c r="G41">
        <v>0</v>
      </c>
      <c r="H41">
        <v>0</v>
      </c>
      <c r="I41">
        <v>0</v>
      </c>
      <c r="J41">
        <v>0</v>
      </c>
      <c r="K41">
        <v>0</v>
      </c>
      <c r="L41">
        <v>0</v>
      </c>
      <c r="M41">
        <v>0</v>
      </c>
      <c r="N41">
        <v>0</v>
      </c>
      <c r="O41">
        <v>0</v>
      </c>
      <c r="P41">
        <v>0</v>
      </c>
      <c r="Q41">
        <v>5993520</v>
      </c>
      <c r="R41">
        <v>0</v>
      </c>
      <c r="S41">
        <v>0</v>
      </c>
      <c r="T41">
        <v>0</v>
      </c>
      <c r="U41">
        <v>0</v>
      </c>
      <c r="V41">
        <v>4327106</v>
      </c>
      <c r="W41">
        <v>0</v>
      </c>
      <c r="Y41">
        <v>0</v>
      </c>
      <c r="Z41">
        <v>0</v>
      </c>
      <c r="AA41">
        <v>0</v>
      </c>
      <c r="AB41">
        <v>0</v>
      </c>
      <c r="AC41">
        <v>0</v>
      </c>
      <c r="AD41">
        <v>0</v>
      </c>
      <c r="AE41">
        <v>0</v>
      </c>
      <c r="AF41">
        <v>0</v>
      </c>
      <c r="AG41">
        <v>0</v>
      </c>
      <c r="AH41">
        <v>0</v>
      </c>
      <c r="AI41">
        <v>3058077</v>
      </c>
      <c r="AJ41">
        <v>0</v>
      </c>
      <c r="AK41">
        <v>0</v>
      </c>
      <c r="AM41">
        <v>283674</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1953006</v>
      </c>
      <c r="BT41">
        <v>0</v>
      </c>
      <c r="BU41">
        <v>0</v>
      </c>
      <c r="BV41">
        <v>0</v>
      </c>
      <c r="BW41">
        <v>0</v>
      </c>
      <c r="BX41">
        <v>0</v>
      </c>
      <c r="BY41">
        <v>0</v>
      </c>
      <c r="BZ41">
        <v>0</v>
      </c>
      <c r="CA41">
        <v>0</v>
      </c>
      <c r="CB41">
        <v>0</v>
      </c>
      <c r="CD41">
        <v>0</v>
      </c>
    </row>
    <row r="42" spans="1:82" x14ac:dyDescent="0.3">
      <c r="A42">
        <v>102</v>
      </c>
      <c r="B42" t="s">
        <v>255</v>
      </c>
      <c r="D42">
        <v>97.86</v>
      </c>
      <c r="E42">
        <v>96.99</v>
      </c>
      <c r="F42">
        <v>98.47</v>
      </c>
      <c r="G42">
        <v>99.21</v>
      </c>
      <c r="H42">
        <v>98.45</v>
      </c>
      <c r="I42">
        <v>99.19</v>
      </c>
      <c r="J42">
        <v>97.14</v>
      </c>
      <c r="K42">
        <v>99.75</v>
      </c>
      <c r="L42">
        <v>99.56</v>
      </c>
      <c r="M42">
        <v>99.35</v>
      </c>
      <c r="N42">
        <v>97.04</v>
      </c>
      <c r="O42">
        <v>99.23</v>
      </c>
      <c r="P42">
        <v>98.02</v>
      </c>
      <c r="Q42">
        <v>99.34</v>
      </c>
      <c r="R42">
        <v>99.98</v>
      </c>
      <c r="S42">
        <v>0</v>
      </c>
      <c r="T42">
        <v>99.61</v>
      </c>
      <c r="U42">
        <v>98.74</v>
      </c>
      <c r="V42">
        <v>97.91</v>
      </c>
      <c r="W42">
        <v>99.73</v>
      </c>
      <c r="Y42">
        <v>98.71</v>
      </c>
      <c r="Z42">
        <v>95.61</v>
      </c>
      <c r="AA42">
        <v>99.5</v>
      </c>
      <c r="AB42">
        <v>96.91</v>
      </c>
      <c r="AC42">
        <v>99.33</v>
      </c>
      <c r="AD42">
        <v>97.63</v>
      </c>
      <c r="AE42">
        <v>93.67</v>
      </c>
      <c r="AF42">
        <v>99.99</v>
      </c>
      <c r="AG42">
        <v>98.53</v>
      </c>
      <c r="AH42">
        <v>96.54</v>
      </c>
      <c r="AI42">
        <v>99.06</v>
      </c>
      <c r="AJ42">
        <v>99.66</v>
      </c>
      <c r="AK42">
        <v>94.91</v>
      </c>
      <c r="AM42">
        <v>98.46</v>
      </c>
      <c r="AN42">
        <v>95.28</v>
      </c>
      <c r="AO42">
        <v>96.51</v>
      </c>
      <c r="AP42">
        <v>0</v>
      </c>
      <c r="AQ42">
        <v>99.3</v>
      </c>
      <c r="AR42">
        <v>95.74</v>
      </c>
      <c r="AS42">
        <v>97.74</v>
      </c>
      <c r="AT42">
        <v>98.43</v>
      </c>
      <c r="AU42">
        <v>88.3</v>
      </c>
      <c r="AV42">
        <v>97.57</v>
      </c>
      <c r="AW42">
        <v>99.6</v>
      </c>
      <c r="AX42">
        <v>98.55</v>
      </c>
      <c r="AY42">
        <v>99.96</v>
      </c>
      <c r="AZ42">
        <v>99.64</v>
      </c>
      <c r="BA42">
        <v>96.84</v>
      </c>
      <c r="BB42">
        <v>0</v>
      </c>
      <c r="BC42">
        <v>99.38</v>
      </c>
      <c r="BD42">
        <v>98.7</v>
      </c>
      <c r="BE42">
        <v>100</v>
      </c>
      <c r="BF42">
        <v>96.15</v>
      </c>
      <c r="BG42">
        <v>80.91</v>
      </c>
      <c r="BH42">
        <v>98.45</v>
      </c>
      <c r="BI42">
        <v>88.11</v>
      </c>
      <c r="BJ42">
        <v>96.65</v>
      </c>
      <c r="BK42">
        <v>96.9</v>
      </c>
      <c r="BL42">
        <v>98.95</v>
      </c>
      <c r="BM42">
        <v>99.12</v>
      </c>
      <c r="BN42">
        <v>99.72</v>
      </c>
      <c r="BO42">
        <v>99.91</v>
      </c>
      <c r="BP42">
        <v>99.32</v>
      </c>
      <c r="BQ42">
        <v>99.92</v>
      </c>
      <c r="BR42">
        <v>93.62</v>
      </c>
      <c r="BS42">
        <v>99.21</v>
      </c>
      <c r="BT42">
        <v>97.59</v>
      </c>
      <c r="BU42">
        <v>99.35</v>
      </c>
      <c r="BV42">
        <v>98.82</v>
      </c>
      <c r="BW42">
        <v>82.55</v>
      </c>
      <c r="BX42">
        <v>91.85</v>
      </c>
      <c r="BY42">
        <v>99.18</v>
      </c>
      <c r="BZ42">
        <v>94.27</v>
      </c>
      <c r="CA42">
        <v>96.69</v>
      </c>
      <c r="CB42">
        <v>99.57</v>
      </c>
      <c r="CD42">
        <v>94.3</v>
      </c>
    </row>
    <row r="43" spans="1:82" x14ac:dyDescent="0.3">
      <c r="A43">
        <v>103</v>
      </c>
      <c r="B43" t="s">
        <v>256</v>
      </c>
      <c r="D43">
        <v>100</v>
      </c>
      <c r="E43">
        <v>98.1</v>
      </c>
      <c r="F43">
        <v>100</v>
      </c>
      <c r="G43">
        <v>99.84</v>
      </c>
      <c r="H43">
        <v>100</v>
      </c>
      <c r="I43">
        <v>100</v>
      </c>
      <c r="J43">
        <v>100</v>
      </c>
      <c r="K43">
        <v>100</v>
      </c>
      <c r="L43">
        <v>100</v>
      </c>
      <c r="M43">
        <v>100</v>
      </c>
      <c r="N43">
        <v>100</v>
      </c>
      <c r="O43">
        <v>100</v>
      </c>
      <c r="P43">
        <v>100</v>
      </c>
      <c r="Q43">
        <v>100</v>
      </c>
      <c r="R43">
        <v>99.31</v>
      </c>
      <c r="S43">
        <v>0</v>
      </c>
      <c r="T43">
        <v>99.44</v>
      </c>
      <c r="U43">
        <v>100</v>
      </c>
      <c r="V43">
        <v>100</v>
      </c>
      <c r="W43">
        <v>100</v>
      </c>
      <c r="Y43">
        <v>99.53</v>
      </c>
      <c r="Z43">
        <v>100</v>
      </c>
      <c r="AA43">
        <v>100</v>
      </c>
      <c r="AB43">
        <v>100</v>
      </c>
      <c r="AC43">
        <v>100</v>
      </c>
      <c r="AD43">
        <v>100</v>
      </c>
      <c r="AE43">
        <v>100</v>
      </c>
      <c r="AF43">
        <v>100</v>
      </c>
      <c r="AG43">
        <v>100</v>
      </c>
      <c r="AH43">
        <v>100</v>
      </c>
      <c r="AI43">
        <v>100</v>
      </c>
      <c r="AJ43">
        <v>100</v>
      </c>
      <c r="AK43">
        <v>100</v>
      </c>
      <c r="AM43">
        <v>100</v>
      </c>
      <c r="AN43">
        <v>99.24</v>
      </c>
      <c r="AO43">
        <v>100</v>
      </c>
      <c r="AP43">
        <v>0</v>
      </c>
      <c r="AQ43">
        <v>100</v>
      </c>
      <c r="AR43">
        <v>100</v>
      </c>
      <c r="AS43">
        <v>100</v>
      </c>
      <c r="AT43">
        <v>100</v>
      </c>
      <c r="AU43">
        <v>100</v>
      </c>
      <c r="AV43">
        <v>100</v>
      </c>
      <c r="AW43">
        <v>100</v>
      </c>
      <c r="AX43">
        <v>100</v>
      </c>
      <c r="AY43">
        <v>100</v>
      </c>
      <c r="AZ43">
        <v>100</v>
      </c>
      <c r="BA43">
        <v>100</v>
      </c>
      <c r="BB43">
        <v>0</v>
      </c>
      <c r="BC43">
        <v>100</v>
      </c>
      <c r="BD43">
        <v>100</v>
      </c>
      <c r="BE43">
        <v>100</v>
      </c>
      <c r="BF43">
        <v>100</v>
      </c>
      <c r="BG43">
        <v>100</v>
      </c>
      <c r="BH43">
        <v>100</v>
      </c>
      <c r="BI43">
        <v>100</v>
      </c>
      <c r="BJ43">
        <v>100</v>
      </c>
      <c r="BK43">
        <v>97.5</v>
      </c>
      <c r="BL43">
        <v>100</v>
      </c>
      <c r="BM43">
        <v>100</v>
      </c>
      <c r="BN43">
        <v>99.87</v>
      </c>
      <c r="BO43">
        <v>100</v>
      </c>
      <c r="BP43">
        <v>100</v>
      </c>
      <c r="BQ43">
        <v>100</v>
      </c>
      <c r="BR43">
        <v>99.92</v>
      </c>
      <c r="BS43">
        <v>100</v>
      </c>
      <c r="BT43">
        <v>100</v>
      </c>
      <c r="BU43">
        <v>100</v>
      </c>
      <c r="BV43">
        <v>100</v>
      </c>
      <c r="BW43">
        <v>100</v>
      </c>
      <c r="BX43">
        <v>100</v>
      </c>
      <c r="BY43">
        <v>100</v>
      </c>
      <c r="BZ43">
        <v>100</v>
      </c>
      <c r="CA43">
        <v>100</v>
      </c>
      <c r="CB43">
        <v>100</v>
      </c>
      <c r="CD43">
        <v>100</v>
      </c>
    </row>
    <row r="44" spans="1:82" x14ac:dyDescent="0.3">
      <c r="A44">
        <v>171</v>
      </c>
      <c r="B44" t="s">
        <v>208</v>
      </c>
      <c r="D44">
        <v>1924</v>
      </c>
      <c r="E44">
        <v>2100</v>
      </c>
      <c r="F44">
        <v>14569</v>
      </c>
      <c r="G44">
        <v>50589</v>
      </c>
      <c r="H44">
        <v>0</v>
      </c>
      <c r="I44">
        <v>0</v>
      </c>
      <c r="J44">
        <v>0</v>
      </c>
      <c r="K44">
        <v>0</v>
      </c>
      <c r="L44">
        <v>0</v>
      </c>
      <c r="M44">
        <v>1062998</v>
      </c>
      <c r="N44">
        <v>11903</v>
      </c>
      <c r="O44">
        <v>0</v>
      </c>
      <c r="P44">
        <v>0</v>
      </c>
      <c r="Q44">
        <v>3482556</v>
      </c>
      <c r="R44">
        <v>111995</v>
      </c>
      <c r="S44">
        <v>0</v>
      </c>
      <c r="T44">
        <v>0</v>
      </c>
      <c r="U44">
        <v>8841788</v>
      </c>
      <c r="V44">
        <v>1405433</v>
      </c>
      <c r="W44">
        <v>3079419</v>
      </c>
      <c r="Y44">
        <v>0</v>
      </c>
      <c r="Z44">
        <v>0</v>
      </c>
      <c r="AA44">
        <v>1403629</v>
      </c>
      <c r="AB44">
        <v>74834</v>
      </c>
      <c r="AC44">
        <v>103947</v>
      </c>
      <c r="AD44">
        <v>0</v>
      </c>
      <c r="AE44">
        <v>160978</v>
      </c>
      <c r="AF44">
        <v>4066078</v>
      </c>
      <c r="AG44">
        <v>65051</v>
      </c>
      <c r="AH44">
        <v>0</v>
      </c>
      <c r="AI44">
        <v>2248446</v>
      </c>
      <c r="AJ44">
        <v>0</v>
      </c>
      <c r="AK44">
        <v>0</v>
      </c>
      <c r="AM44">
        <v>1368641</v>
      </c>
      <c r="AN44">
        <v>0</v>
      </c>
      <c r="AO44">
        <v>29831</v>
      </c>
      <c r="AP44">
        <v>0</v>
      </c>
      <c r="AQ44">
        <v>6022299</v>
      </c>
      <c r="AR44">
        <v>803025</v>
      </c>
      <c r="AS44">
        <v>0</v>
      </c>
      <c r="AT44">
        <v>116874</v>
      </c>
      <c r="AU44">
        <v>0</v>
      </c>
      <c r="AV44">
        <v>0</v>
      </c>
      <c r="AW44">
        <v>255600</v>
      </c>
      <c r="AX44">
        <v>0</v>
      </c>
      <c r="AY44">
        <v>0</v>
      </c>
      <c r="AZ44">
        <v>24067</v>
      </c>
      <c r="BA44">
        <v>0</v>
      </c>
      <c r="BB44">
        <v>0</v>
      </c>
      <c r="BC44">
        <v>0</v>
      </c>
      <c r="BD44">
        <v>0</v>
      </c>
      <c r="BE44">
        <v>0</v>
      </c>
      <c r="BF44">
        <v>0</v>
      </c>
      <c r="BG44">
        <v>93395</v>
      </c>
      <c r="BH44">
        <v>0</v>
      </c>
      <c r="BI44">
        <v>0</v>
      </c>
      <c r="BJ44">
        <v>18940</v>
      </c>
      <c r="BK44">
        <v>270809</v>
      </c>
      <c r="BL44">
        <v>0</v>
      </c>
      <c r="BM44">
        <v>37175</v>
      </c>
      <c r="BN44">
        <v>162274</v>
      </c>
      <c r="BO44">
        <v>45967</v>
      </c>
      <c r="BP44">
        <v>578145</v>
      </c>
      <c r="BQ44">
        <v>11343</v>
      </c>
      <c r="BR44">
        <v>24653</v>
      </c>
      <c r="BS44">
        <v>325961</v>
      </c>
      <c r="BT44">
        <v>20544</v>
      </c>
      <c r="BU44">
        <v>124155</v>
      </c>
      <c r="BV44">
        <v>0</v>
      </c>
      <c r="BW44">
        <v>112023</v>
      </c>
      <c r="BX44">
        <v>10188</v>
      </c>
      <c r="BY44">
        <v>0</v>
      </c>
      <c r="BZ44">
        <v>0</v>
      </c>
      <c r="CA44">
        <v>0</v>
      </c>
      <c r="CB44">
        <v>75518</v>
      </c>
      <c r="CD44">
        <v>0</v>
      </c>
    </row>
    <row r="45" spans="1:82" x14ac:dyDescent="0.3">
      <c r="A45">
        <v>191</v>
      </c>
      <c r="B45" t="s">
        <v>224</v>
      </c>
      <c r="D45">
        <v>0</v>
      </c>
      <c r="E45">
        <v>0</v>
      </c>
      <c r="F45">
        <v>15000</v>
      </c>
      <c r="G45">
        <v>0</v>
      </c>
      <c r="H45">
        <v>0</v>
      </c>
      <c r="I45">
        <v>0</v>
      </c>
      <c r="J45">
        <v>0</v>
      </c>
      <c r="K45">
        <v>0</v>
      </c>
      <c r="L45">
        <v>0</v>
      </c>
      <c r="M45">
        <v>0</v>
      </c>
      <c r="N45">
        <v>0</v>
      </c>
      <c r="O45">
        <v>549111</v>
      </c>
      <c r="P45">
        <v>0</v>
      </c>
      <c r="Q45">
        <v>1300</v>
      </c>
      <c r="R45">
        <v>0</v>
      </c>
      <c r="S45">
        <v>0</v>
      </c>
      <c r="T45">
        <v>0</v>
      </c>
      <c r="U45">
        <v>48000</v>
      </c>
      <c r="V45">
        <v>0</v>
      </c>
      <c r="W45">
        <v>0</v>
      </c>
      <c r="Y45">
        <v>101424</v>
      </c>
      <c r="Z45">
        <v>0</v>
      </c>
      <c r="AA45">
        <v>835015</v>
      </c>
      <c r="AB45">
        <v>2588501</v>
      </c>
      <c r="AC45">
        <v>0</v>
      </c>
      <c r="AD45">
        <v>0</v>
      </c>
      <c r="AE45">
        <v>264041</v>
      </c>
      <c r="AF45">
        <v>27412</v>
      </c>
      <c r="AG45">
        <v>0</v>
      </c>
      <c r="AH45">
        <v>0</v>
      </c>
      <c r="AI45">
        <v>0</v>
      </c>
      <c r="AJ45">
        <v>0</v>
      </c>
      <c r="AK45">
        <v>0</v>
      </c>
      <c r="AM45">
        <v>282763</v>
      </c>
      <c r="AN45">
        <v>0</v>
      </c>
      <c r="AO45">
        <v>0</v>
      </c>
      <c r="AP45">
        <v>0</v>
      </c>
      <c r="AQ45">
        <v>0</v>
      </c>
      <c r="AR45">
        <v>1278000</v>
      </c>
      <c r="AS45">
        <v>0</v>
      </c>
      <c r="AT45">
        <v>1521672</v>
      </c>
      <c r="AU45">
        <v>0</v>
      </c>
      <c r="AV45">
        <v>155854</v>
      </c>
      <c r="AW45">
        <v>0</v>
      </c>
      <c r="AX45">
        <v>0</v>
      </c>
      <c r="AY45">
        <v>0</v>
      </c>
      <c r="AZ45">
        <v>0</v>
      </c>
      <c r="BA45">
        <v>0</v>
      </c>
      <c r="BB45">
        <v>0</v>
      </c>
      <c r="BC45">
        <v>0</v>
      </c>
      <c r="BD45">
        <v>716697</v>
      </c>
      <c r="BE45">
        <v>0</v>
      </c>
      <c r="BF45">
        <v>0</v>
      </c>
      <c r="BG45">
        <v>0</v>
      </c>
      <c r="BH45">
        <v>0</v>
      </c>
      <c r="BI45">
        <v>0</v>
      </c>
      <c r="BJ45">
        <v>0</v>
      </c>
      <c r="BK45">
        <v>147048</v>
      </c>
      <c r="BL45">
        <v>407373</v>
      </c>
      <c r="BM45">
        <v>2651839</v>
      </c>
      <c r="BN45">
        <v>0</v>
      </c>
      <c r="BO45">
        <v>109908</v>
      </c>
      <c r="BP45">
        <v>0</v>
      </c>
      <c r="BQ45">
        <v>0</v>
      </c>
      <c r="BR45">
        <v>0</v>
      </c>
      <c r="BS45">
        <v>0</v>
      </c>
      <c r="BT45">
        <v>26489</v>
      </c>
      <c r="BU45">
        <v>0</v>
      </c>
      <c r="BV45">
        <v>0</v>
      </c>
      <c r="BW45">
        <v>576548</v>
      </c>
      <c r="BX45">
        <v>0</v>
      </c>
      <c r="BY45">
        <v>0</v>
      </c>
      <c r="BZ45">
        <v>147747</v>
      </c>
      <c r="CA45">
        <v>0</v>
      </c>
      <c r="CB45">
        <v>1005851</v>
      </c>
      <c r="CD45">
        <v>0</v>
      </c>
    </row>
    <row r="46" spans="1:82" x14ac:dyDescent="0.3">
      <c r="A46">
        <v>192</v>
      </c>
      <c r="B46" t="s">
        <v>235</v>
      </c>
      <c r="D46">
        <v>0</v>
      </c>
      <c r="E46">
        <v>0</v>
      </c>
      <c r="F46">
        <v>0</v>
      </c>
      <c r="G46">
        <v>0</v>
      </c>
      <c r="H46">
        <v>0</v>
      </c>
      <c r="I46">
        <v>0</v>
      </c>
      <c r="J46">
        <v>0</v>
      </c>
      <c r="K46">
        <v>0</v>
      </c>
      <c r="L46">
        <v>0</v>
      </c>
      <c r="M46">
        <v>0</v>
      </c>
      <c r="N46">
        <v>0</v>
      </c>
      <c r="O46">
        <v>0</v>
      </c>
      <c r="P46">
        <v>0</v>
      </c>
      <c r="Q46">
        <v>0</v>
      </c>
      <c r="R46">
        <v>0</v>
      </c>
      <c r="S46">
        <v>0</v>
      </c>
      <c r="T46">
        <v>0</v>
      </c>
      <c r="U46">
        <v>0</v>
      </c>
      <c r="V46">
        <v>0</v>
      </c>
      <c r="W46">
        <v>0</v>
      </c>
      <c r="Y46">
        <v>0</v>
      </c>
      <c r="Z46">
        <v>0</v>
      </c>
      <c r="AA46">
        <v>0</v>
      </c>
      <c r="AB46">
        <v>0</v>
      </c>
      <c r="AC46">
        <v>0</v>
      </c>
      <c r="AD46">
        <v>0</v>
      </c>
      <c r="AE46">
        <v>0</v>
      </c>
      <c r="AF46">
        <v>0</v>
      </c>
      <c r="AG46">
        <v>0</v>
      </c>
      <c r="AH46">
        <v>0</v>
      </c>
      <c r="AI46">
        <v>1971102</v>
      </c>
      <c r="AJ46">
        <v>0</v>
      </c>
      <c r="AK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D46">
        <v>0</v>
      </c>
    </row>
    <row r="47" spans="1:82" x14ac:dyDescent="0.3">
      <c r="A47">
        <v>252</v>
      </c>
      <c r="B47" t="s">
        <v>95</v>
      </c>
      <c r="D47">
        <v>96024</v>
      </c>
      <c r="E47">
        <v>165844</v>
      </c>
      <c r="F47">
        <v>951678</v>
      </c>
      <c r="G47">
        <v>6303544</v>
      </c>
      <c r="H47">
        <v>3548944</v>
      </c>
      <c r="I47">
        <v>6065312</v>
      </c>
      <c r="J47">
        <v>13455</v>
      </c>
      <c r="K47">
        <v>1641990</v>
      </c>
      <c r="L47">
        <v>489254</v>
      </c>
      <c r="M47">
        <v>76227671</v>
      </c>
      <c r="N47">
        <v>392086</v>
      </c>
      <c r="O47">
        <v>6120810</v>
      </c>
      <c r="P47">
        <v>159338</v>
      </c>
      <c r="Q47">
        <v>80215566</v>
      </c>
      <c r="R47">
        <v>5341705</v>
      </c>
      <c r="S47">
        <v>123149</v>
      </c>
      <c r="T47">
        <v>102079485</v>
      </c>
      <c r="U47">
        <v>39831788</v>
      </c>
      <c r="V47">
        <v>28285277</v>
      </c>
      <c r="W47">
        <v>152861140</v>
      </c>
      <c r="Y47">
        <v>24108735</v>
      </c>
      <c r="Z47">
        <v>1986131</v>
      </c>
      <c r="AA47">
        <v>21625096</v>
      </c>
      <c r="AB47">
        <v>3305922</v>
      </c>
      <c r="AC47">
        <v>3094846</v>
      </c>
      <c r="AD47">
        <v>937907</v>
      </c>
      <c r="AE47">
        <v>1887656</v>
      </c>
      <c r="AF47">
        <v>33233399</v>
      </c>
      <c r="AG47">
        <v>7223216</v>
      </c>
      <c r="AH47">
        <v>2341304</v>
      </c>
      <c r="AI47">
        <v>58590887</v>
      </c>
      <c r="AJ47">
        <v>4722520</v>
      </c>
      <c r="AK47">
        <v>2597928</v>
      </c>
      <c r="AM47">
        <v>13604276</v>
      </c>
      <c r="AN47">
        <v>297007</v>
      </c>
      <c r="AO47">
        <v>279225</v>
      </c>
      <c r="AP47">
        <v>86033</v>
      </c>
      <c r="AQ47">
        <v>13116798</v>
      </c>
      <c r="AR47">
        <v>40343165</v>
      </c>
      <c r="AS47">
        <v>198277</v>
      </c>
      <c r="AT47">
        <v>2852310</v>
      </c>
      <c r="AU47">
        <v>185307</v>
      </c>
      <c r="AV47">
        <v>25161918</v>
      </c>
      <c r="AW47">
        <v>7376999</v>
      </c>
      <c r="AX47">
        <v>3533986</v>
      </c>
      <c r="AY47">
        <v>12945424</v>
      </c>
      <c r="AZ47">
        <v>2024547</v>
      </c>
      <c r="BA47">
        <v>2885501</v>
      </c>
      <c r="BB47">
        <v>48475</v>
      </c>
      <c r="BC47">
        <v>56803</v>
      </c>
      <c r="BD47">
        <v>4209373</v>
      </c>
      <c r="BE47">
        <v>93917</v>
      </c>
      <c r="BF47">
        <v>113360</v>
      </c>
      <c r="BG47">
        <v>142753</v>
      </c>
      <c r="BH47">
        <v>113795</v>
      </c>
      <c r="BI47">
        <v>246872</v>
      </c>
      <c r="BJ47">
        <v>383167</v>
      </c>
      <c r="BK47">
        <v>6131385</v>
      </c>
      <c r="BL47">
        <v>364517</v>
      </c>
      <c r="BM47">
        <v>2124128</v>
      </c>
      <c r="BN47">
        <v>6361897</v>
      </c>
      <c r="BO47">
        <v>244179</v>
      </c>
      <c r="BP47">
        <v>1661133</v>
      </c>
      <c r="BQ47">
        <v>28803183</v>
      </c>
      <c r="BR47">
        <v>667001</v>
      </c>
      <c r="BS47">
        <v>31308585</v>
      </c>
      <c r="BT47">
        <v>855514</v>
      </c>
      <c r="BU47">
        <v>5397839</v>
      </c>
      <c r="BV47">
        <v>3191629</v>
      </c>
      <c r="BW47">
        <v>2598039</v>
      </c>
      <c r="BX47">
        <v>366738</v>
      </c>
      <c r="BY47">
        <v>314689</v>
      </c>
      <c r="BZ47">
        <v>1457003</v>
      </c>
      <c r="CA47">
        <v>62653</v>
      </c>
      <c r="CB47">
        <v>1804989</v>
      </c>
      <c r="CD47">
        <v>58278</v>
      </c>
    </row>
    <row r="48" spans="1:82" x14ac:dyDescent="0.3">
      <c r="A48">
        <v>253</v>
      </c>
      <c r="B48" t="s">
        <v>96</v>
      </c>
      <c r="D48">
        <v>90466</v>
      </c>
      <c r="E48">
        <v>45563</v>
      </c>
      <c r="F48">
        <v>299002</v>
      </c>
      <c r="G48">
        <v>2348386</v>
      </c>
      <c r="H48">
        <v>281694</v>
      </c>
      <c r="I48">
        <v>614624</v>
      </c>
      <c r="J48">
        <v>10963</v>
      </c>
      <c r="K48">
        <v>64075</v>
      </c>
      <c r="L48">
        <v>20115</v>
      </c>
      <c r="M48">
        <v>4274572</v>
      </c>
      <c r="N48">
        <v>198181</v>
      </c>
      <c r="O48">
        <v>2630744</v>
      </c>
      <c r="P48">
        <v>18717</v>
      </c>
      <c r="Q48">
        <v>31642236</v>
      </c>
      <c r="R48">
        <v>249692</v>
      </c>
      <c r="S48">
        <v>4202</v>
      </c>
      <c r="T48">
        <v>37287788</v>
      </c>
      <c r="U48">
        <v>9171757</v>
      </c>
      <c r="V48">
        <v>12237213</v>
      </c>
      <c r="W48">
        <v>11866466</v>
      </c>
      <c r="Y48">
        <v>6036183</v>
      </c>
      <c r="Z48">
        <v>252664</v>
      </c>
      <c r="AA48">
        <v>4091556</v>
      </c>
      <c r="AB48">
        <v>1143465</v>
      </c>
      <c r="AC48">
        <v>672483</v>
      </c>
      <c r="AD48">
        <v>797736</v>
      </c>
      <c r="AE48">
        <v>643904</v>
      </c>
      <c r="AF48">
        <v>9405616</v>
      </c>
      <c r="AG48">
        <v>1239417</v>
      </c>
      <c r="AH48">
        <v>277830</v>
      </c>
      <c r="AI48">
        <v>13519815</v>
      </c>
      <c r="AJ48">
        <v>479466</v>
      </c>
      <c r="AK48">
        <v>121419</v>
      </c>
      <c r="AM48">
        <v>3950457</v>
      </c>
      <c r="AN48">
        <v>167510</v>
      </c>
      <c r="AO48">
        <v>193677</v>
      </c>
      <c r="AP48">
        <v>2512</v>
      </c>
      <c r="AQ48">
        <v>7525265</v>
      </c>
      <c r="AR48">
        <v>1542409</v>
      </c>
      <c r="AS48">
        <v>102463</v>
      </c>
      <c r="AT48">
        <v>657925</v>
      </c>
      <c r="AU48">
        <v>62233</v>
      </c>
      <c r="AV48">
        <v>14271932</v>
      </c>
      <c r="AW48">
        <v>252574</v>
      </c>
      <c r="AX48">
        <v>279549</v>
      </c>
      <c r="AY48">
        <v>411572</v>
      </c>
      <c r="AZ48">
        <v>399527</v>
      </c>
      <c r="BA48">
        <v>586965</v>
      </c>
      <c r="BB48">
        <v>0</v>
      </c>
      <c r="BC48">
        <v>152675</v>
      </c>
      <c r="BD48">
        <v>1224927</v>
      </c>
      <c r="BE48">
        <v>42418</v>
      </c>
      <c r="BF48">
        <v>113178</v>
      </c>
      <c r="BG48">
        <v>36866</v>
      </c>
      <c r="BH48">
        <v>7379</v>
      </c>
      <c r="BI48">
        <v>76010</v>
      </c>
      <c r="BJ48">
        <v>43218</v>
      </c>
      <c r="BK48">
        <v>498023</v>
      </c>
      <c r="BL48">
        <v>262003</v>
      </c>
      <c r="BM48">
        <v>482240</v>
      </c>
      <c r="BN48">
        <v>4963225</v>
      </c>
      <c r="BO48">
        <v>414242</v>
      </c>
      <c r="BP48">
        <v>493107</v>
      </c>
      <c r="BQ48">
        <v>2934310</v>
      </c>
      <c r="BR48">
        <v>448084</v>
      </c>
      <c r="BS48">
        <v>3813342</v>
      </c>
      <c r="BT48">
        <v>539831</v>
      </c>
      <c r="BU48">
        <v>798762</v>
      </c>
      <c r="BV48">
        <v>107451</v>
      </c>
      <c r="BW48">
        <v>313655</v>
      </c>
      <c r="BX48">
        <v>351478</v>
      </c>
      <c r="BY48">
        <v>152002</v>
      </c>
      <c r="BZ48">
        <v>649498</v>
      </c>
      <c r="CA48">
        <v>22083</v>
      </c>
      <c r="CB48">
        <v>1667230</v>
      </c>
      <c r="CD48">
        <v>21679</v>
      </c>
    </row>
    <row r="49" spans="1:82" x14ac:dyDescent="0.3">
      <c r="A49">
        <v>254</v>
      </c>
      <c r="B49" t="s">
        <v>97</v>
      </c>
      <c r="D49">
        <v>63086</v>
      </c>
      <c r="E49">
        <v>156379</v>
      </c>
      <c r="F49">
        <v>806433</v>
      </c>
      <c r="G49">
        <v>4220367</v>
      </c>
      <c r="H49">
        <v>6573581</v>
      </c>
      <c r="I49">
        <v>6215920</v>
      </c>
      <c r="J49">
        <v>140835</v>
      </c>
      <c r="K49">
        <v>1064399</v>
      </c>
      <c r="L49">
        <v>956551</v>
      </c>
      <c r="M49">
        <v>-172204</v>
      </c>
      <c r="N49">
        <v>580908</v>
      </c>
      <c r="O49">
        <v>4314272</v>
      </c>
      <c r="P49">
        <v>334279</v>
      </c>
      <c r="Q49">
        <v>-18564042</v>
      </c>
      <c r="R49">
        <v>851587</v>
      </c>
      <c r="S49">
        <v>169809</v>
      </c>
      <c r="T49">
        <v>-3229970</v>
      </c>
      <c r="U49">
        <v>1306389</v>
      </c>
      <c r="V49">
        <v>4036202</v>
      </c>
      <c r="W49">
        <v>17811514</v>
      </c>
      <c r="Y49">
        <v>9913843</v>
      </c>
      <c r="Z49">
        <v>914982</v>
      </c>
      <c r="AA49">
        <v>11054411</v>
      </c>
      <c r="AB49">
        <v>1525141</v>
      </c>
      <c r="AC49">
        <v>2474406</v>
      </c>
      <c r="AD49">
        <v>1253631</v>
      </c>
      <c r="AE49">
        <v>3177413</v>
      </c>
      <c r="AF49">
        <v>6454409</v>
      </c>
      <c r="AG49">
        <v>3965747</v>
      </c>
      <c r="AH49">
        <v>1486963</v>
      </c>
      <c r="AI49">
        <v>-33675496</v>
      </c>
      <c r="AJ49">
        <v>3476017</v>
      </c>
      <c r="AK49">
        <v>657957</v>
      </c>
      <c r="AM49">
        <v>6140787</v>
      </c>
      <c r="AN49">
        <v>463722</v>
      </c>
      <c r="AO49">
        <v>655426</v>
      </c>
      <c r="AP49">
        <v>97797</v>
      </c>
      <c r="AQ49">
        <v>8689405</v>
      </c>
      <c r="AR49">
        <v>4316962</v>
      </c>
      <c r="AS49">
        <v>469265</v>
      </c>
      <c r="AT49">
        <v>624286</v>
      </c>
      <c r="AU49">
        <v>255199</v>
      </c>
      <c r="AV49">
        <v>3620982</v>
      </c>
      <c r="AW49">
        <v>3484950</v>
      </c>
      <c r="AX49">
        <v>690822</v>
      </c>
      <c r="AY49">
        <v>10019477</v>
      </c>
      <c r="AZ49">
        <v>2156961</v>
      </c>
      <c r="BA49">
        <v>718724</v>
      </c>
      <c r="BB49">
        <v>127262</v>
      </c>
      <c r="BC49">
        <v>732253</v>
      </c>
      <c r="BD49">
        <v>-367630</v>
      </c>
      <c r="BE49">
        <v>657864</v>
      </c>
      <c r="BF49">
        <v>797791</v>
      </c>
      <c r="BG49">
        <v>211198</v>
      </c>
      <c r="BH49">
        <v>298589</v>
      </c>
      <c r="BI49">
        <v>458026</v>
      </c>
      <c r="BJ49">
        <v>316288</v>
      </c>
      <c r="BK49">
        <v>-610094</v>
      </c>
      <c r="BL49">
        <v>285473</v>
      </c>
      <c r="BM49">
        <v>579002</v>
      </c>
      <c r="BN49">
        <v>2126216</v>
      </c>
      <c r="BO49">
        <v>1077455</v>
      </c>
      <c r="BP49">
        <v>1834856</v>
      </c>
      <c r="BQ49">
        <v>9279012</v>
      </c>
      <c r="BR49">
        <v>-149581</v>
      </c>
      <c r="BS49">
        <v>18199829</v>
      </c>
      <c r="BT49">
        <v>427599</v>
      </c>
      <c r="BU49">
        <v>4852844</v>
      </c>
      <c r="BV49">
        <v>2467989</v>
      </c>
      <c r="BW49">
        <v>1299684</v>
      </c>
      <c r="BX49">
        <v>1306874</v>
      </c>
      <c r="BY49">
        <v>217194</v>
      </c>
      <c r="BZ49">
        <v>-850331</v>
      </c>
      <c r="CA49">
        <v>164153</v>
      </c>
      <c r="CB49">
        <v>-629145</v>
      </c>
      <c r="CD49">
        <v>393279</v>
      </c>
    </row>
    <row r="50" spans="1:82" x14ac:dyDescent="0.3">
      <c r="A50">
        <v>255</v>
      </c>
      <c r="B50" t="s">
        <v>188</v>
      </c>
      <c r="D50">
        <v>-21343</v>
      </c>
      <c r="E50">
        <v>17075</v>
      </c>
      <c r="F50">
        <v>168433</v>
      </c>
      <c r="G50">
        <v>1863462</v>
      </c>
      <c r="H50">
        <v>1345476</v>
      </c>
      <c r="I50">
        <v>1788310</v>
      </c>
      <c r="J50">
        <v>26295</v>
      </c>
      <c r="K50">
        <v>37839</v>
      </c>
      <c r="L50">
        <v>28554</v>
      </c>
      <c r="M50">
        <v>3078241</v>
      </c>
      <c r="N50">
        <v>110084</v>
      </c>
      <c r="O50">
        <v>1705514</v>
      </c>
      <c r="P50">
        <v>34149</v>
      </c>
      <c r="Q50">
        <v>10914882</v>
      </c>
      <c r="R50">
        <v>466186</v>
      </c>
      <c r="S50">
        <v>-13714</v>
      </c>
      <c r="T50">
        <v>31577047</v>
      </c>
      <c r="U50">
        <v>2763870</v>
      </c>
      <c r="V50">
        <v>8128079</v>
      </c>
      <c r="W50">
        <v>11003258</v>
      </c>
      <c r="Y50">
        <v>1555904</v>
      </c>
      <c r="Z50">
        <v>-77213</v>
      </c>
      <c r="AA50">
        <v>4452607</v>
      </c>
      <c r="AB50">
        <v>1230348</v>
      </c>
      <c r="AC50">
        <v>775509</v>
      </c>
      <c r="AD50">
        <v>548079</v>
      </c>
      <c r="AE50">
        <v>260813</v>
      </c>
      <c r="AF50">
        <v>-3100124</v>
      </c>
      <c r="AG50">
        <v>252981</v>
      </c>
      <c r="AH50">
        <v>684225</v>
      </c>
      <c r="AI50">
        <v>4438638</v>
      </c>
      <c r="AJ50">
        <v>326475</v>
      </c>
      <c r="AK50">
        <v>-13580</v>
      </c>
      <c r="AM50">
        <v>2091173</v>
      </c>
      <c r="AN50">
        <v>21768</v>
      </c>
      <c r="AO50">
        <v>239286</v>
      </c>
      <c r="AP50">
        <v>-6851</v>
      </c>
      <c r="AQ50">
        <v>3592240</v>
      </c>
      <c r="AR50">
        <v>221892</v>
      </c>
      <c r="AS50">
        <v>-152343</v>
      </c>
      <c r="AT50">
        <v>-20301</v>
      </c>
      <c r="AU50">
        <v>-34239</v>
      </c>
      <c r="AV50">
        <v>-3928393</v>
      </c>
      <c r="AW50">
        <v>455590</v>
      </c>
      <c r="AX50">
        <v>453</v>
      </c>
      <c r="AY50">
        <v>-9471774</v>
      </c>
      <c r="AZ50">
        <v>530624</v>
      </c>
      <c r="BA50">
        <v>-199564</v>
      </c>
      <c r="BB50">
        <v>4884</v>
      </c>
      <c r="BC50">
        <v>77032</v>
      </c>
      <c r="BD50">
        <v>538180</v>
      </c>
      <c r="BE50">
        <v>59097</v>
      </c>
      <c r="BF50">
        <v>-4551</v>
      </c>
      <c r="BG50">
        <v>31147</v>
      </c>
      <c r="BH50">
        <v>-5801</v>
      </c>
      <c r="BI50">
        <v>-9026</v>
      </c>
      <c r="BJ50">
        <v>94051</v>
      </c>
      <c r="BK50">
        <v>1090892</v>
      </c>
      <c r="BL50">
        <v>129274</v>
      </c>
      <c r="BM50">
        <v>726711</v>
      </c>
      <c r="BN50">
        <v>738391</v>
      </c>
      <c r="BO50">
        <v>337796</v>
      </c>
      <c r="BP50">
        <v>234349</v>
      </c>
      <c r="BQ50">
        <v>3817060</v>
      </c>
      <c r="BR50">
        <v>103164</v>
      </c>
      <c r="BS50">
        <v>2384441</v>
      </c>
      <c r="BT50">
        <v>104243</v>
      </c>
      <c r="BU50">
        <v>982743</v>
      </c>
      <c r="BV50">
        <v>143964</v>
      </c>
      <c r="BW50">
        <v>113493</v>
      </c>
      <c r="BX50">
        <v>180706</v>
      </c>
      <c r="BY50">
        <v>20609</v>
      </c>
      <c r="BZ50">
        <v>373218</v>
      </c>
      <c r="CA50">
        <v>7026</v>
      </c>
      <c r="CB50">
        <v>1864525</v>
      </c>
      <c r="CD50">
        <v>21216</v>
      </c>
    </row>
    <row r="51" spans="1:82" x14ac:dyDescent="0.3">
      <c r="A51">
        <v>327</v>
      </c>
      <c r="B51" t="s">
        <v>881</v>
      </c>
      <c r="D51">
        <v>59093</v>
      </c>
      <c r="E51">
        <v>0</v>
      </c>
      <c r="F51">
        <v>0</v>
      </c>
      <c r="G51">
        <v>0</v>
      </c>
      <c r="H51">
        <v>0</v>
      </c>
      <c r="I51">
        <v>0</v>
      </c>
      <c r="J51">
        <v>53983</v>
      </c>
      <c r="K51">
        <v>0</v>
      </c>
      <c r="L51">
        <v>0</v>
      </c>
      <c r="M51">
        <v>0</v>
      </c>
      <c r="N51">
        <v>0</v>
      </c>
      <c r="O51">
        <v>46446</v>
      </c>
      <c r="P51">
        <v>0</v>
      </c>
      <c r="Q51">
        <v>2740380</v>
      </c>
      <c r="R51">
        <v>367968</v>
      </c>
      <c r="S51">
        <v>0</v>
      </c>
      <c r="T51">
        <v>3865259</v>
      </c>
      <c r="U51">
        <v>2345234</v>
      </c>
      <c r="V51">
        <v>14979085</v>
      </c>
      <c r="W51">
        <v>0</v>
      </c>
      <c r="Y51">
        <v>745155</v>
      </c>
      <c r="Z51">
        <v>4000</v>
      </c>
      <c r="AA51">
        <v>569712</v>
      </c>
      <c r="AB51">
        <v>23252</v>
      </c>
      <c r="AC51">
        <v>15684</v>
      </c>
      <c r="AD51">
        <v>882432</v>
      </c>
      <c r="AE51">
        <v>0</v>
      </c>
      <c r="AF51">
        <v>204205</v>
      </c>
      <c r="AG51">
        <v>514809</v>
      </c>
      <c r="AH51">
        <v>0</v>
      </c>
      <c r="AI51">
        <v>13256459</v>
      </c>
      <c r="AJ51">
        <v>6500</v>
      </c>
      <c r="AK51">
        <v>63005</v>
      </c>
      <c r="AM51">
        <v>210332</v>
      </c>
      <c r="AN51">
        <v>42297</v>
      </c>
      <c r="AO51">
        <v>0</v>
      </c>
      <c r="AP51">
        <v>0</v>
      </c>
      <c r="AQ51">
        <v>0</v>
      </c>
      <c r="AR51">
        <v>44618</v>
      </c>
      <c r="AS51">
        <v>0</v>
      </c>
      <c r="AT51">
        <v>552989</v>
      </c>
      <c r="AU51">
        <v>0</v>
      </c>
      <c r="AV51">
        <v>3735076</v>
      </c>
      <c r="AW51">
        <v>0</v>
      </c>
      <c r="AX51">
        <v>76640</v>
      </c>
      <c r="AY51">
        <v>496374</v>
      </c>
      <c r="AZ51">
        <v>5006</v>
      </c>
      <c r="BA51">
        <v>0</v>
      </c>
      <c r="BB51">
        <v>0</v>
      </c>
      <c r="BC51">
        <v>0</v>
      </c>
      <c r="BD51">
        <v>217472</v>
      </c>
      <c r="BE51">
        <v>0</v>
      </c>
      <c r="BF51">
        <v>0</v>
      </c>
      <c r="BG51">
        <v>0</v>
      </c>
      <c r="BH51">
        <v>0</v>
      </c>
      <c r="BI51">
        <v>474</v>
      </c>
      <c r="BJ51">
        <v>0</v>
      </c>
      <c r="BK51">
        <v>140972</v>
      </c>
      <c r="BL51">
        <v>1094735</v>
      </c>
      <c r="BM51">
        <v>168864</v>
      </c>
      <c r="BN51">
        <v>0</v>
      </c>
      <c r="BO51">
        <v>39115</v>
      </c>
      <c r="BP51">
        <v>12100</v>
      </c>
      <c r="BQ51">
        <v>0</v>
      </c>
      <c r="BR51">
        <v>25500</v>
      </c>
      <c r="BS51">
        <v>0</v>
      </c>
      <c r="BT51">
        <v>341062</v>
      </c>
      <c r="BU51">
        <v>10200</v>
      </c>
      <c r="BV51">
        <v>0</v>
      </c>
      <c r="BW51">
        <v>107630</v>
      </c>
      <c r="BX51">
        <v>81232</v>
      </c>
      <c r="BY51">
        <v>0</v>
      </c>
      <c r="BZ51">
        <v>21695</v>
      </c>
      <c r="CA51">
        <v>49000</v>
      </c>
      <c r="CB51">
        <v>24280</v>
      </c>
      <c r="CD51">
        <v>0</v>
      </c>
    </row>
    <row r="52" spans="1:82" x14ac:dyDescent="0.3">
      <c r="A52">
        <v>328</v>
      </c>
      <c r="B52" t="s">
        <v>304</v>
      </c>
      <c r="D52">
        <v>0</v>
      </c>
      <c r="E52">
        <v>0</v>
      </c>
      <c r="F52">
        <v>0</v>
      </c>
      <c r="G52">
        <v>0</v>
      </c>
      <c r="H52">
        <v>0</v>
      </c>
      <c r="I52">
        <v>0</v>
      </c>
      <c r="J52">
        <v>0</v>
      </c>
      <c r="K52">
        <v>0</v>
      </c>
      <c r="L52">
        <v>0</v>
      </c>
      <c r="M52">
        <v>0</v>
      </c>
      <c r="N52">
        <v>0</v>
      </c>
      <c r="O52">
        <v>4632694</v>
      </c>
      <c r="P52">
        <v>0</v>
      </c>
      <c r="Q52">
        <v>2257812</v>
      </c>
      <c r="R52">
        <v>0</v>
      </c>
      <c r="S52">
        <v>0</v>
      </c>
      <c r="T52">
        <v>24078263</v>
      </c>
      <c r="U52">
        <v>0</v>
      </c>
      <c r="V52">
        <v>83878</v>
      </c>
      <c r="W52">
        <v>0</v>
      </c>
      <c r="Y52">
        <v>107175</v>
      </c>
      <c r="Z52">
        <v>0</v>
      </c>
      <c r="AA52">
        <v>2391883</v>
      </c>
      <c r="AB52">
        <v>3894042</v>
      </c>
      <c r="AC52">
        <v>180475</v>
      </c>
      <c r="AD52">
        <v>338093</v>
      </c>
      <c r="AE52">
        <v>0</v>
      </c>
      <c r="AF52">
        <v>1399038</v>
      </c>
      <c r="AG52">
        <v>0</v>
      </c>
      <c r="AH52">
        <v>0</v>
      </c>
      <c r="AI52">
        <v>1620024</v>
      </c>
      <c r="AJ52">
        <v>0</v>
      </c>
      <c r="AK52">
        <v>0</v>
      </c>
      <c r="AM52">
        <v>3150752</v>
      </c>
      <c r="AN52">
        <v>0</v>
      </c>
      <c r="AO52">
        <v>0</v>
      </c>
      <c r="AP52">
        <v>0</v>
      </c>
      <c r="AQ52">
        <v>0</v>
      </c>
      <c r="AR52">
        <v>3264646</v>
      </c>
      <c r="AS52">
        <v>0</v>
      </c>
      <c r="AT52">
        <v>5149981</v>
      </c>
      <c r="AU52">
        <v>0</v>
      </c>
      <c r="AV52">
        <v>0</v>
      </c>
      <c r="AW52">
        <v>0</v>
      </c>
      <c r="AX52">
        <v>6893610</v>
      </c>
      <c r="AY52">
        <v>0</v>
      </c>
      <c r="AZ52">
        <v>0</v>
      </c>
      <c r="BA52">
        <v>0</v>
      </c>
      <c r="BB52">
        <v>0</v>
      </c>
      <c r="BC52">
        <v>0</v>
      </c>
      <c r="BD52">
        <v>30957146</v>
      </c>
      <c r="BE52">
        <v>0</v>
      </c>
      <c r="BF52">
        <v>3000</v>
      </c>
      <c r="BG52">
        <v>1947194</v>
      </c>
      <c r="BH52">
        <v>0</v>
      </c>
      <c r="BI52">
        <v>54000</v>
      </c>
      <c r="BJ52">
        <v>0</v>
      </c>
      <c r="BK52">
        <v>0</v>
      </c>
      <c r="BL52">
        <v>0</v>
      </c>
      <c r="BM52">
        <v>6631226</v>
      </c>
      <c r="BN52">
        <v>75937</v>
      </c>
      <c r="BO52">
        <v>2219582</v>
      </c>
      <c r="BP52">
        <v>0</v>
      </c>
      <c r="BQ52">
        <v>0</v>
      </c>
      <c r="BR52">
        <v>1767841</v>
      </c>
      <c r="BS52">
        <v>0</v>
      </c>
      <c r="BT52">
        <v>136189</v>
      </c>
      <c r="BU52">
        <v>3502790</v>
      </c>
      <c r="BV52">
        <v>0</v>
      </c>
      <c r="BW52">
        <v>0</v>
      </c>
      <c r="BX52">
        <v>40000</v>
      </c>
      <c r="BY52">
        <v>0</v>
      </c>
      <c r="BZ52">
        <v>23600</v>
      </c>
      <c r="CA52">
        <v>0</v>
      </c>
      <c r="CB52">
        <v>163935</v>
      </c>
      <c r="CD52">
        <v>0</v>
      </c>
    </row>
    <row r="53" spans="1:82" x14ac:dyDescent="0.3">
      <c r="A53">
        <v>331</v>
      </c>
      <c r="B53" t="s">
        <v>238</v>
      </c>
      <c r="D53">
        <v>28000</v>
      </c>
      <c r="E53">
        <v>0</v>
      </c>
      <c r="F53">
        <v>19153</v>
      </c>
      <c r="G53">
        <v>0</v>
      </c>
      <c r="H53">
        <v>0</v>
      </c>
      <c r="I53">
        <v>0</v>
      </c>
      <c r="J53">
        <v>9000</v>
      </c>
      <c r="K53">
        <v>0</v>
      </c>
      <c r="L53">
        <v>0</v>
      </c>
      <c r="M53">
        <v>0</v>
      </c>
      <c r="N53">
        <v>0</v>
      </c>
      <c r="O53">
        <v>181500</v>
      </c>
      <c r="P53">
        <v>0</v>
      </c>
      <c r="Q53">
        <v>1261141</v>
      </c>
      <c r="R53">
        <v>46322</v>
      </c>
      <c r="S53">
        <v>0</v>
      </c>
      <c r="T53">
        <v>4188000</v>
      </c>
      <c r="U53">
        <v>1215750</v>
      </c>
      <c r="V53">
        <v>1843313</v>
      </c>
      <c r="W53">
        <v>0</v>
      </c>
      <c r="Y53">
        <v>957997</v>
      </c>
      <c r="Z53">
        <v>167336</v>
      </c>
      <c r="AA53">
        <v>331386</v>
      </c>
      <c r="AB53">
        <v>232083</v>
      </c>
      <c r="AC53">
        <v>155390</v>
      </c>
      <c r="AD53">
        <v>218700</v>
      </c>
      <c r="AE53">
        <v>102620</v>
      </c>
      <c r="AF53">
        <v>38495</v>
      </c>
      <c r="AG53">
        <v>35600</v>
      </c>
      <c r="AH53">
        <v>0</v>
      </c>
      <c r="AI53">
        <v>4764991</v>
      </c>
      <c r="AJ53">
        <v>0</v>
      </c>
      <c r="AK53">
        <v>37190</v>
      </c>
      <c r="AM53">
        <v>1025130</v>
      </c>
      <c r="AN53">
        <v>22000</v>
      </c>
      <c r="AO53">
        <v>39862</v>
      </c>
      <c r="AP53">
        <v>0</v>
      </c>
      <c r="AQ53">
        <v>0</v>
      </c>
      <c r="AR53">
        <v>425782</v>
      </c>
      <c r="AS53">
        <v>0</v>
      </c>
      <c r="AT53">
        <v>171685</v>
      </c>
      <c r="AU53">
        <v>0</v>
      </c>
      <c r="AV53">
        <v>4119975</v>
      </c>
      <c r="AW53">
        <v>0</v>
      </c>
      <c r="AX53">
        <v>139296</v>
      </c>
      <c r="AY53">
        <v>0</v>
      </c>
      <c r="AZ53">
        <v>34500</v>
      </c>
      <c r="BA53">
        <v>0</v>
      </c>
      <c r="BB53">
        <v>0</v>
      </c>
      <c r="BC53">
        <v>0</v>
      </c>
      <c r="BD53">
        <v>1517152</v>
      </c>
      <c r="BE53">
        <v>0</v>
      </c>
      <c r="BF53">
        <v>29802</v>
      </c>
      <c r="BG53">
        <v>0</v>
      </c>
      <c r="BH53">
        <v>0</v>
      </c>
      <c r="BI53">
        <v>5558</v>
      </c>
      <c r="BJ53">
        <v>0</v>
      </c>
      <c r="BK53">
        <v>253111</v>
      </c>
      <c r="BL53">
        <v>66000</v>
      </c>
      <c r="BM53">
        <v>100232</v>
      </c>
      <c r="BN53">
        <v>0</v>
      </c>
      <c r="BO53">
        <v>60387</v>
      </c>
      <c r="BP53">
        <v>0</v>
      </c>
      <c r="BQ53">
        <v>0</v>
      </c>
      <c r="BR53">
        <v>79623</v>
      </c>
      <c r="BS53">
        <v>0</v>
      </c>
      <c r="BT53">
        <v>19811</v>
      </c>
      <c r="BU53">
        <v>128014</v>
      </c>
      <c r="BV53">
        <v>0</v>
      </c>
      <c r="BW53">
        <v>172525</v>
      </c>
      <c r="BX53">
        <v>0</v>
      </c>
      <c r="BY53">
        <v>0</v>
      </c>
      <c r="BZ53">
        <v>37083</v>
      </c>
      <c r="CA53">
        <v>8000</v>
      </c>
      <c r="CB53">
        <v>54244</v>
      </c>
      <c r="CD53">
        <v>0</v>
      </c>
    </row>
    <row r="54" spans="1:82" x14ac:dyDescent="0.3">
      <c r="A54">
        <v>332</v>
      </c>
      <c r="B54" t="s">
        <v>239</v>
      </c>
      <c r="D54">
        <v>20000</v>
      </c>
      <c r="E54">
        <v>0</v>
      </c>
      <c r="F54">
        <v>447181</v>
      </c>
      <c r="G54">
        <v>0</v>
      </c>
      <c r="H54">
        <v>0</v>
      </c>
      <c r="I54">
        <v>0</v>
      </c>
      <c r="J54">
        <v>0</v>
      </c>
      <c r="K54">
        <v>0</v>
      </c>
      <c r="L54">
        <v>0</v>
      </c>
      <c r="M54">
        <v>0</v>
      </c>
      <c r="N54">
        <v>0</v>
      </c>
      <c r="O54">
        <v>389437</v>
      </c>
      <c r="P54">
        <v>0</v>
      </c>
      <c r="Q54">
        <v>11595711</v>
      </c>
      <c r="R54">
        <v>10197</v>
      </c>
      <c r="S54">
        <v>0</v>
      </c>
      <c r="T54">
        <v>6709967</v>
      </c>
      <c r="U54">
        <v>229929</v>
      </c>
      <c r="V54">
        <v>1307694</v>
      </c>
      <c r="W54">
        <v>0</v>
      </c>
      <c r="Y54">
        <v>383744</v>
      </c>
      <c r="Z54">
        <v>111323</v>
      </c>
      <c r="AA54">
        <v>4880041</v>
      </c>
      <c r="AB54">
        <v>3281619</v>
      </c>
      <c r="AC54">
        <v>196207</v>
      </c>
      <c r="AD54">
        <v>553933</v>
      </c>
      <c r="AE54">
        <v>550632</v>
      </c>
      <c r="AF54">
        <v>1518088</v>
      </c>
      <c r="AG54">
        <v>121288</v>
      </c>
      <c r="AH54">
        <v>0</v>
      </c>
      <c r="AI54">
        <v>1907281</v>
      </c>
      <c r="AJ54">
        <v>67943</v>
      </c>
      <c r="AK54">
        <v>0</v>
      </c>
      <c r="AM54">
        <v>3052069</v>
      </c>
      <c r="AN54">
        <v>84188</v>
      </c>
      <c r="AO54">
        <v>0</v>
      </c>
      <c r="AP54">
        <v>0</v>
      </c>
      <c r="AQ54">
        <v>0</v>
      </c>
      <c r="AR54">
        <v>2729583</v>
      </c>
      <c r="AS54">
        <v>0</v>
      </c>
      <c r="AT54">
        <v>4359492</v>
      </c>
      <c r="AU54">
        <v>0</v>
      </c>
      <c r="AV54">
        <v>616873</v>
      </c>
      <c r="AW54">
        <v>0</v>
      </c>
      <c r="AX54">
        <v>6735784</v>
      </c>
      <c r="AY54">
        <v>0</v>
      </c>
      <c r="AZ54">
        <v>80701</v>
      </c>
      <c r="BA54">
        <v>0</v>
      </c>
      <c r="BB54">
        <v>0</v>
      </c>
      <c r="BC54">
        <v>0</v>
      </c>
      <c r="BD54">
        <v>4784881</v>
      </c>
      <c r="BE54">
        <v>0</v>
      </c>
      <c r="BF54">
        <v>3000</v>
      </c>
      <c r="BG54">
        <v>1291733</v>
      </c>
      <c r="BH54">
        <v>0</v>
      </c>
      <c r="BI54">
        <v>0</v>
      </c>
      <c r="BJ54">
        <v>0</v>
      </c>
      <c r="BK54">
        <v>1357176</v>
      </c>
      <c r="BL54">
        <v>304934</v>
      </c>
      <c r="BM54">
        <v>4512261</v>
      </c>
      <c r="BN54">
        <v>0</v>
      </c>
      <c r="BO54">
        <v>1470966</v>
      </c>
      <c r="BP54">
        <v>0</v>
      </c>
      <c r="BQ54">
        <v>0</v>
      </c>
      <c r="BR54">
        <v>616714</v>
      </c>
      <c r="BS54">
        <v>0</v>
      </c>
      <c r="BT54">
        <v>34792</v>
      </c>
      <c r="BU54">
        <v>1789383</v>
      </c>
      <c r="BV54">
        <v>0</v>
      </c>
      <c r="BW54">
        <v>626336</v>
      </c>
      <c r="BX54">
        <v>6173</v>
      </c>
      <c r="BY54">
        <v>0</v>
      </c>
      <c r="BZ54">
        <v>491202</v>
      </c>
      <c r="CA54">
        <v>0</v>
      </c>
      <c r="CB54">
        <v>6244</v>
      </c>
      <c r="CD54">
        <v>0</v>
      </c>
    </row>
    <row r="55" spans="1:82" x14ac:dyDescent="0.3">
      <c r="A55">
        <v>333</v>
      </c>
      <c r="B55" t="s">
        <v>176</v>
      </c>
      <c r="D55">
        <v>124852</v>
      </c>
      <c r="E55">
        <v>154776</v>
      </c>
      <c r="F55">
        <v>911313</v>
      </c>
      <c r="G55">
        <v>4901217</v>
      </c>
      <c r="H55">
        <v>6609806</v>
      </c>
      <c r="I55">
        <v>6455852</v>
      </c>
      <c r="J55">
        <v>137966</v>
      </c>
      <c r="K55">
        <v>1061969</v>
      </c>
      <c r="L55">
        <v>961622</v>
      </c>
      <c r="M55">
        <v>9342738</v>
      </c>
      <c r="N55">
        <v>746383</v>
      </c>
      <c r="O55">
        <v>5951880</v>
      </c>
      <c r="P55">
        <v>332391</v>
      </c>
      <c r="Q55">
        <v>53345146</v>
      </c>
      <c r="R55">
        <v>1140508</v>
      </c>
      <c r="S55">
        <v>162249</v>
      </c>
      <c r="T55">
        <v>68398173</v>
      </c>
      <c r="U55">
        <v>15064060</v>
      </c>
      <c r="V55">
        <v>29072646</v>
      </c>
      <c r="W55">
        <v>33418002</v>
      </c>
      <c r="Y55">
        <v>16893730</v>
      </c>
      <c r="Z55">
        <v>1157081</v>
      </c>
      <c r="AA55">
        <v>18371091</v>
      </c>
      <c r="AB55">
        <v>2111098</v>
      </c>
      <c r="AC55">
        <v>2492540</v>
      </c>
      <c r="AD55">
        <v>1621093</v>
      </c>
      <c r="AE55">
        <v>3995359</v>
      </c>
      <c r="AF55">
        <v>17729502</v>
      </c>
      <c r="AG55">
        <v>6734937</v>
      </c>
      <c r="AH55">
        <v>1512121</v>
      </c>
      <c r="AI55">
        <v>24183156</v>
      </c>
      <c r="AJ55">
        <v>3606819</v>
      </c>
      <c r="AK55">
        <v>895159</v>
      </c>
      <c r="AM55">
        <v>12636488</v>
      </c>
      <c r="AN55">
        <v>614706</v>
      </c>
      <c r="AO55">
        <v>754169</v>
      </c>
      <c r="AP55">
        <v>102234</v>
      </c>
      <c r="AQ55">
        <v>14841856</v>
      </c>
      <c r="AR55">
        <v>19798577</v>
      </c>
      <c r="AS55">
        <v>555186</v>
      </c>
      <c r="AT55">
        <v>1623794</v>
      </c>
      <c r="AU55">
        <v>244917</v>
      </c>
      <c r="AV55">
        <v>29425034</v>
      </c>
      <c r="AW55">
        <v>3676525</v>
      </c>
      <c r="AX55">
        <v>945700</v>
      </c>
      <c r="AY55">
        <v>11403493</v>
      </c>
      <c r="AZ55">
        <v>2590053</v>
      </c>
      <c r="BA55">
        <v>773403</v>
      </c>
      <c r="BB55">
        <v>127262</v>
      </c>
      <c r="BC55">
        <v>490191</v>
      </c>
      <c r="BD55">
        <v>8256200</v>
      </c>
      <c r="BE55">
        <v>660566</v>
      </c>
      <c r="BF55">
        <v>855966</v>
      </c>
      <c r="BG55">
        <v>233365</v>
      </c>
      <c r="BH55">
        <v>298802</v>
      </c>
      <c r="BI55">
        <v>448296</v>
      </c>
      <c r="BJ55">
        <v>336897</v>
      </c>
      <c r="BK55">
        <v>2139160</v>
      </c>
      <c r="BL55">
        <v>607319</v>
      </c>
      <c r="BM55">
        <v>925758</v>
      </c>
      <c r="BN55">
        <v>7170087</v>
      </c>
      <c r="BO55">
        <v>1430389</v>
      </c>
      <c r="BP55">
        <v>2023695</v>
      </c>
      <c r="BQ55">
        <v>15202924</v>
      </c>
      <c r="BR55">
        <v>611179</v>
      </c>
      <c r="BS55">
        <v>26898950</v>
      </c>
      <c r="BT55">
        <v>579903</v>
      </c>
      <c r="BU55">
        <v>7599934</v>
      </c>
      <c r="BV55">
        <v>2472095</v>
      </c>
      <c r="BW55">
        <v>1876370</v>
      </c>
      <c r="BX55">
        <v>1994675</v>
      </c>
      <c r="BY55">
        <v>218798</v>
      </c>
      <c r="BZ55">
        <v>610095</v>
      </c>
      <c r="CA55">
        <v>173799</v>
      </c>
      <c r="CB55">
        <v>181448</v>
      </c>
      <c r="CD55">
        <v>416328</v>
      </c>
    </row>
    <row r="56" spans="1:82" x14ac:dyDescent="0.3">
      <c r="A56">
        <v>334</v>
      </c>
      <c r="B56" t="s">
        <v>261</v>
      </c>
      <c r="D56">
        <v>432662</v>
      </c>
      <c r="E56">
        <v>247223</v>
      </c>
      <c r="F56">
        <v>2133674</v>
      </c>
      <c r="G56">
        <v>8087877</v>
      </c>
      <c r="H56">
        <v>1907822</v>
      </c>
      <c r="I56">
        <v>5377592</v>
      </c>
      <c r="J56">
        <v>71608</v>
      </c>
      <c r="K56">
        <v>1153000</v>
      </c>
      <c r="L56">
        <v>818380</v>
      </c>
      <c r="M56">
        <v>100627307</v>
      </c>
      <c r="N56">
        <v>753898</v>
      </c>
      <c r="O56">
        <v>14194974</v>
      </c>
      <c r="P56">
        <v>253777</v>
      </c>
      <c r="Q56">
        <v>166121493</v>
      </c>
      <c r="R56">
        <v>6753003</v>
      </c>
      <c r="S56">
        <v>300166</v>
      </c>
      <c r="T56">
        <v>186271275</v>
      </c>
      <c r="U56">
        <v>53222500</v>
      </c>
      <c r="V56">
        <v>101508209</v>
      </c>
      <c r="W56">
        <v>167249785</v>
      </c>
      <c r="Y56">
        <v>50853477</v>
      </c>
      <c r="Z56">
        <v>3516719</v>
      </c>
      <c r="AA56">
        <v>33714468</v>
      </c>
      <c r="AB56">
        <v>12409746</v>
      </c>
      <c r="AC56">
        <v>5898717</v>
      </c>
      <c r="AD56">
        <v>4613091</v>
      </c>
      <c r="AE56">
        <v>7494856</v>
      </c>
      <c r="AF56">
        <v>115742975</v>
      </c>
      <c r="AG56">
        <v>12404704</v>
      </c>
      <c r="AH56">
        <v>3804231</v>
      </c>
      <c r="AI56">
        <v>85175153</v>
      </c>
      <c r="AJ56">
        <v>5553310</v>
      </c>
      <c r="AK56">
        <v>2776520</v>
      </c>
      <c r="AM56">
        <v>41598935</v>
      </c>
      <c r="AN56">
        <v>648830</v>
      </c>
      <c r="AO56">
        <v>975078</v>
      </c>
      <c r="AP56">
        <v>147732</v>
      </c>
      <c r="AQ56">
        <v>36327617</v>
      </c>
      <c r="AR56">
        <v>49419365</v>
      </c>
      <c r="AS56">
        <v>545197</v>
      </c>
      <c r="AT56">
        <v>4187527</v>
      </c>
      <c r="AU56">
        <v>410123</v>
      </c>
      <c r="AV56">
        <v>32484039</v>
      </c>
      <c r="AW56">
        <v>6769126</v>
      </c>
      <c r="AX56">
        <v>5886020</v>
      </c>
      <c r="AY56">
        <v>13396355</v>
      </c>
      <c r="AZ56">
        <v>3451871</v>
      </c>
      <c r="BA56">
        <v>3588906</v>
      </c>
      <c r="BB56">
        <v>0</v>
      </c>
      <c r="BC56">
        <v>33036</v>
      </c>
      <c r="BD56">
        <v>16983720</v>
      </c>
      <c r="BE56">
        <v>116463</v>
      </c>
      <c r="BF56">
        <v>388338</v>
      </c>
      <c r="BG56">
        <v>361770</v>
      </c>
      <c r="BH56">
        <v>199999</v>
      </c>
      <c r="BI56">
        <v>535867</v>
      </c>
      <c r="BJ56">
        <v>234978</v>
      </c>
      <c r="BK56">
        <v>11087161</v>
      </c>
      <c r="BL56">
        <v>603191</v>
      </c>
      <c r="BM56">
        <v>694841</v>
      </c>
      <c r="BN56">
        <v>10855098</v>
      </c>
      <c r="BO56">
        <v>2660499</v>
      </c>
      <c r="BP56">
        <v>5143931</v>
      </c>
      <c r="BQ56">
        <v>49050711</v>
      </c>
      <c r="BR56">
        <v>2267252</v>
      </c>
      <c r="BS56">
        <v>42886521</v>
      </c>
      <c r="BT56">
        <v>2822799</v>
      </c>
      <c r="BU56">
        <v>6350066</v>
      </c>
      <c r="BV56">
        <v>3283761</v>
      </c>
      <c r="BW56">
        <v>6756626</v>
      </c>
      <c r="BX56">
        <v>1027528</v>
      </c>
      <c r="BY56">
        <v>183210</v>
      </c>
      <c r="BZ56">
        <v>1622320</v>
      </c>
      <c r="CA56">
        <v>119171</v>
      </c>
      <c r="CB56">
        <v>2213624</v>
      </c>
      <c r="CD56">
        <v>199375</v>
      </c>
    </row>
    <row r="57" spans="1:82" x14ac:dyDescent="0.3">
      <c r="A57">
        <v>335</v>
      </c>
      <c r="B57" t="s">
        <v>109</v>
      </c>
      <c r="D57">
        <v>0</v>
      </c>
      <c r="E57">
        <v>0</v>
      </c>
      <c r="F57">
        <v>77595</v>
      </c>
      <c r="G57">
        <v>0</v>
      </c>
      <c r="H57">
        <v>0</v>
      </c>
      <c r="I57">
        <v>406835</v>
      </c>
      <c r="J57">
        <v>0</v>
      </c>
      <c r="K57">
        <v>0</v>
      </c>
      <c r="L57">
        <v>33028</v>
      </c>
      <c r="M57">
        <v>3994413</v>
      </c>
      <c r="N57">
        <v>0</v>
      </c>
      <c r="O57">
        <v>0</v>
      </c>
      <c r="P57">
        <v>0</v>
      </c>
      <c r="Q57">
        <v>2055</v>
      </c>
      <c r="R57">
        <v>0</v>
      </c>
      <c r="S57">
        <v>15094</v>
      </c>
      <c r="T57">
        <v>792506</v>
      </c>
      <c r="U57">
        <v>1354696</v>
      </c>
      <c r="V57">
        <v>0</v>
      </c>
      <c r="W57">
        <v>0</v>
      </c>
      <c r="Y57">
        <v>2160544</v>
      </c>
      <c r="Z57">
        <v>0</v>
      </c>
      <c r="AA57">
        <v>0</v>
      </c>
      <c r="AB57">
        <v>0</v>
      </c>
      <c r="AC57">
        <v>0</v>
      </c>
      <c r="AD57">
        <v>0</v>
      </c>
      <c r="AE57">
        <v>0</v>
      </c>
      <c r="AF57">
        <v>1415764</v>
      </c>
      <c r="AG57">
        <v>0</v>
      </c>
      <c r="AH57">
        <v>0</v>
      </c>
      <c r="AI57">
        <v>0</v>
      </c>
      <c r="AJ57">
        <v>0</v>
      </c>
      <c r="AK57">
        <v>0</v>
      </c>
      <c r="AM57">
        <v>2179563</v>
      </c>
      <c r="AN57">
        <v>13765</v>
      </c>
      <c r="AO57">
        <v>0</v>
      </c>
      <c r="AP57">
        <v>0</v>
      </c>
      <c r="AQ57">
        <v>0</v>
      </c>
      <c r="AR57">
        <v>0</v>
      </c>
      <c r="AS57">
        <v>0</v>
      </c>
      <c r="AT57">
        <v>0</v>
      </c>
      <c r="AU57">
        <v>0</v>
      </c>
      <c r="AV57">
        <v>0</v>
      </c>
      <c r="AW57">
        <v>828051</v>
      </c>
      <c r="AX57">
        <v>0</v>
      </c>
      <c r="AY57">
        <v>0</v>
      </c>
      <c r="AZ57">
        <v>0</v>
      </c>
      <c r="BA57">
        <v>0</v>
      </c>
      <c r="BB57">
        <v>0</v>
      </c>
      <c r="BC57">
        <v>0</v>
      </c>
      <c r="BD57">
        <v>0</v>
      </c>
      <c r="BE57">
        <v>0</v>
      </c>
      <c r="BF57">
        <v>0</v>
      </c>
      <c r="BG57">
        <v>39168</v>
      </c>
      <c r="BH57">
        <v>35336</v>
      </c>
      <c r="BI57">
        <v>0</v>
      </c>
      <c r="BJ57">
        <v>0</v>
      </c>
      <c r="BK57">
        <v>0</v>
      </c>
      <c r="BL57">
        <v>0</v>
      </c>
      <c r="BM57">
        <v>0</v>
      </c>
      <c r="BN57">
        <v>43809</v>
      </c>
      <c r="BO57">
        <v>0</v>
      </c>
      <c r="BP57">
        <v>0</v>
      </c>
      <c r="BQ57">
        <v>2648376</v>
      </c>
      <c r="BR57">
        <v>0</v>
      </c>
      <c r="BS57">
        <v>0</v>
      </c>
      <c r="BT57">
        <v>0</v>
      </c>
      <c r="BU57">
        <v>0</v>
      </c>
      <c r="BV57">
        <v>0</v>
      </c>
      <c r="BW57">
        <v>0</v>
      </c>
      <c r="BX57">
        <v>0</v>
      </c>
      <c r="BY57">
        <v>37915</v>
      </c>
      <c r="BZ57">
        <v>228096</v>
      </c>
      <c r="CA57">
        <v>0</v>
      </c>
      <c r="CB57">
        <v>222770</v>
      </c>
      <c r="CD57">
        <v>0</v>
      </c>
    </row>
    <row r="58" spans="1:82" x14ac:dyDescent="0.3">
      <c r="A58">
        <v>336</v>
      </c>
      <c r="B58" t="s">
        <v>882</v>
      </c>
      <c r="D58">
        <v>45923</v>
      </c>
      <c r="E58">
        <v>22201</v>
      </c>
      <c r="F58">
        <v>119273</v>
      </c>
      <c r="G58">
        <v>308210</v>
      </c>
      <c r="H58">
        <v>42059</v>
      </c>
      <c r="I58">
        <v>60898</v>
      </c>
      <c r="J58">
        <v>377</v>
      </c>
      <c r="K58">
        <v>146585</v>
      </c>
      <c r="L58">
        <v>38980</v>
      </c>
      <c r="M58">
        <v>5392249</v>
      </c>
      <c r="N58">
        <v>38031</v>
      </c>
      <c r="O58">
        <v>270026</v>
      </c>
      <c r="P58">
        <v>780</v>
      </c>
      <c r="Q58">
        <v>8691620</v>
      </c>
      <c r="R58">
        <v>102761</v>
      </c>
      <c r="S58">
        <v>2483</v>
      </c>
      <c r="T58">
        <v>15063266</v>
      </c>
      <c r="U58">
        <v>3401733</v>
      </c>
      <c r="V58">
        <v>5399143</v>
      </c>
      <c r="W58">
        <v>12597200</v>
      </c>
      <c r="Y58">
        <v>3631884</v>
      </c>
      <c r="Z58">
        <v>79130</v>
      </c>
      <c r="AA58">
        <v>3994880</v>
      </c>
      <c r="AB58">
        <v>319527</v>
      </c>
      <c r="AC58">
        <v>135801</v>
      </c>
      <c r="AD58">
        <v>62904</v>
      </c>
      <c r="AE58">
        <v>250988</v>
      </c>
      <c r="AF58">
        <v>6172121</v>
      </c>
      <c r="AG58">
        <v>525008</v>
      </c>
      <c r="AH58">
        <v>32041</v>
      </c>
      <c r="AI58">
        <v>13393945</v>
      </c>
      <c r="AJ58">
        <v>10579</v>
      </c>
      <c r="AK58">
        <v>11072</v>
      </c>
      <c r="AM58">
        <v>4395098</v>
      </c>
      <c r="AN58">
        <v>72456</v>
      </c>
      <c r="AO58">
        <v>30964</v>
      </c>
      <c r="AP58">
        <v>0</v>
      </c>
      <c r="AQ58">
        <v>2376576</v>
      </c>
      <c r="AR58">
        <v>160379</v>
      </c>
      <c r="AS58">
        <v>29757</v>
      </c>
      <c r="AT58">
        <v>451223</v>
      </c>
      <c r="AU58">
        <v>7545</v>
      </c>
      <c r="AV58">
        <v>460713</v>
      </c>
      <c r="AW58">
        <v>1136880</v>
      </c>
      <c r="AX58">
        <v>34734</v>
      </c>
      <c r="AY58">
        <v>1520593</v>
      </c>
      <c r="AZ58">
        <v>25965</v>
      </c>
      <c r="BA58">
        <v>41656</v>
      </c>
      <c r="BB58">
        <v>0</v>
      </c>
      <c r="BC58">
        <v>10959</v>
      </c>
      <c r="BD58">
        <v>678173</v>
      </c>
      <c r="BE58">
        <v>30798</v>
      </c>
      <c r="BF58">
        <v>13125</v>
      </c>
      <c r="BG58">
        <v>13182</v>
      </c>
      <c r="BH58">
        <v>780</v>
      </c>
      <c r="BI58">
        <v>2698</v>
      </c>
      <c r="BJ58">
        <v>51967</v>
      </c>
      <c r="BK58">
        <v>1175221</v>
      </c>
      <c r="BL58">
        <v>139858</v>
      </c>
      <c r="BM58">
        <v>123243</v>
      </c>
      <c r="BN58">
        <v>373206</v>
      </c>
      <c r="BO58">
        <v>70887</v>
      </c>
      <c r="BP58">
        <v>31187</v>
      </c>
      <c r="BQ58">
        <v>2034902</v>
      </c>
      <c r="BR58">
        <v>94181</v>
      </c>
      <c r="BS58">
        <v>4667328</v>
      </c>
      <c r="BT58">
        <v>96724</v>
      </c>
      <c r="BU58">
        <v>555102</v>
      </c>
      <c r="BV58">
        <v>42493</v>
      </c>
      <c r="BW58">
        <v>200662</v>
      </c>
      <c r="BX58">
        <v>45071</v>
      </c>
      <c r="BY58">
        <v>1783</v>
      </c>
      <c r="BZ58">
        <v>1250334</v>
      </c>
      <c r="CA58">
        <v>11009</v>
      </c>
      <c r="CB58">
        <v>486306</v>
      </c>
      <c r="CD58">
        <v>24574</v>
      </c>
    </row>
    <row r="59" spans="1:82" x14ac:dyDescent="0.3">
      <c r="A59">
        <v>337</v>
      </c>
      <c r="B59" t="s">
        <v>245</v>
      </c>
      <c r="D59">
        <v>1855</v>
      </c>
      <c r="E59">
        <v>0</v>
      </c>
      <c r="F59">
        <v>67442</v>
      </c>
      <c r="G59">
        <v>0</v>
      </c>
      <c r="H59">
        <v>0</v>
      </c>
      <c r="I59">
        <v>0</v>
      </c>
      <c r="J59">
        <v>0</v>
      </c>
      <c r="K59">
        <v>0</v>
      </c>
      <c r="L59">
        <v>0</v>
      </c>
      <c r="M59">
        <v>0</v>
      </c>
      <c r="N59">
        <v>0</v>
      </c>
      <c r="O59">
        <v>516489</v>
      </c>
      <c r="P59">
        <v>0</v>
      </c>
      <c r="Q59">
        <v>28339154</v>
      </c>
      <c r="R59">
        <v>864799</v>
      </c>
      <c r="S59">
        <v>0</v>
      </c>
      <c r="T59">
        <v>71434253</v>
      </c>
      <c r="U59">
        <v>9731739</v>
      </c>
      <c r="V59">
        <v>6024827</v>
      </c>
      <c r="W59">
        <v>44470407</v>
      </c>
      <c r="Y59">
        <v>796074</v>
      </c>
      <c r="Z59">
        <v>0</v>
      </c>
      <c r="AA59">
        <v>7521960</v>
      </c>
      <c r="AB59">
        <v>867555</v>
      </c>
      <c r="AC59">
        <v>573501</v>
      </c>
      <c r="AD59">
        <v>0</v>
      </c>
      <c r="AE59">
        <v>1781108</v>
      </c>
      <c r="AF59">
        <v>9748728</v>
      </c>
      <c r="AG59">
        <v>220251</v>
      </c>
      <c r="AH59">
        <v>179590</v>
      </c>
      <c r="AI59">
        <v>9416263</v>
      </c>
      <c r="AJ59">
        <v>0</v>
      </c>
      <c r="AK59">
        <v>0</v>
      </c>
      <c r="AM59">
        <v>8049463</v>
      </c>
      <c r="AN59">
        <v>0</v>
      </c>
      <c r="AO59">
        <v>159478</v>
      </c>
      <c r="AP59">
        <v>0</v>
      </c>
      <c r="AQ59">
        <v>13218017</v>
      </c>
      <c r="AR59">
        <v>0</v>
      </c>
      <c r="AS59">
        <v>0</v>
      </c>
      <c r="AT59">
        <v>388564</v>
      </c>
      <c r="AU59">
        <v>0</v>
      </c>
      <c r="AV59">
        <v>12075881</v>
      </c>
      <c r="AW59">
        <v>1080000</v>
      </c>
      <c r="AX59">
        <v>0</v>
      </c>
      <c r="AY59">
        <v>7538225</v>
      </c>
      <c r="AZ59">
        <v>0</v>
      </c>
      <c r="BA59">
        <v>0</v>
      </c>
      <c r="BB59">
        <v>0</v>
      </c>
      <c r="BC59">
        <v>0</v>
      </c>
      <c r="BD59">
        <v>1633165</v>
      </c>
      <c r="BE59">
        <v>0</v>
      </c>
      <c r="BF59">
        <v>0</v>
      </c>
      <c r="BG59">
        <v>70021</v>
      </c>
      <c r="BH59">
        <v>0</v>
      </c>
      <c r="BI59">
        <v>0</v>
      </c>
      <c r="BJ59">
        <v>18462</v>
      </c>
      <c r="BK59">
        <v>1934109</v>
      </c>
      <c r="BL59">
        <v>0</v>
      </c>
      <c r="BM59">
        <v>284056</v>
      </c>
      <c r="BN59">
        <v>1174298</v>
      </c>
      <c r="BO59">
        <v>772734</v>
      </c>
      <c r="BP59">
        <v>1095025</v>
      </c>
      <c r="BQ59">
        <v>0</v>
      </c>
      <c r="BR59">
        <v>304173</v>
      </c>
      <c r="BS59">
        <v>21000000</v>
      </c>
      <c r="BT59">
        <v>121676</v>
      </c>
      <c r="BU59">
        <v>235689</v>
      </c>
      <c r="BV59">
        <v>0</v>
      </c>
      <c r="BW59">
        <v>318905</v>
      </c>
      <c r="BX59">
        <v>9357</v>
      </c>
      <c r="BY59">
        <v>0</v>
      </c>
      <c r="BZ59">
        <v>0</v>
      </c>
      <c r="CA59">
        <v>0</v>
      </c>
      <c r="CB59">
        <v>487651</v>
      </c>
      <c r="CD59">
        <v>0</v>
      </c>
    </row>
    <row r="60" spans="1:82" x14ac:dyDescent="0.3">
      <c r="A60">
        <v>338</v>
      </c>
      <c r="B60" t="s">
        <v>108</v>
      </c>
      <c r="D60">
        <v>128792</v>
      </c>
      <c r="E60">
        <v>55364</v>
      </c>
      <c r="F60">
        <v>427538</v>
      </c>
      <c r="G60">
        <v>1029235</v>
      </c>
      <c r="H60">
        <v>843731</v>
      </c>
      <c r="I60">
        <v>724853</v>
      </c>
      <c r="J60">
        <v>23801</v>
      </c>
      <c r="K60">
        <v>175638</v>
      </c>
      <c r="L60">
        <v>38980</v>
      </c>
      <c r="M60">
        <v>17833660</v>
      </c>
      <c r="N60">
        <v>302389</v>
      </c>
      <c r="O60">
        <v>3995637</v>
      </c>
      <c r="P60">
        <v>19920</v>
      </c>
      <c r="Q60">
        <v>94308410</v>
      </c>
      <c r="R60">
        <v>1477083</v>
      </c>
      <c r="S60">
        <v>17577</v>
      </c>
      <c r="T60">
        <v>178688896</v>
      </c>
      <c r="U60">
        <v>27225830</v>
      </c>
      <c r="V60">
        <v>36918997</v>
      </c>
      <c r="W60">
        <v>73894523</v>
      </c>
      <c r="Y60">
        <v>9940277</v>
      </c>
      <c r="Z60">
        <v>656319</v>
      </c>
      <c r="AA60">
        <v>21707965</v>
      </c>
      <c r="AB60">
        <v>2901505</v>
      </c>
      <c r="AC60">
        <v>812308</v>
      </c>
      <c r="AD60">
        <v>838037</v>
      </c>
      <c r="AE60">
        <v>2915154</v>
      </c>
      <c r="AF60">
        <v>25023081</v>
      </c>
      <c r="AG60">
        <v>3414585</v>
      </c>
      <c r="AH60">
        <v>346984</v>
      </c>
      <c r="AI60">
        <v>86668326</v>
      </c>
      <c r="AJ60">
        <v>41866</v>
      </c>
      <c r="AK60">
        <v>382149</v>
      </c>
      <c r="AM60">
        <v>18434888</v>
      </c>
      <c r="AN60">
        <v>339466</v>
      </c>
      <c r="AO60">
        <v>349793</v>
      </c>
      <c r="AP60">
        <v>0</v>
      </c>
      <c r="AQ60">
        <v>15484417</v>
      </c>
      <c r="AR60">
        <v>49683079</v>
      </c>
      <c r="AS60">
        <v>514492</v>
      </c>
      <c r="AT60">
        <v>1991622</v>
      </c>
      <c r="AU60">
        <v>94376</v>
      </c>
      <c r="AV60">
        <v>21143050</v>
      </c>
      <c r="AW60">
        <v>2270775</v>
      </c>
      <c r="AX60">
        <v>609439</v>
      </c>
      <c r="AY60">
        <v>9931441</v>
      </c>
      <c r="AZ60">
        <v>275522</v>
      </c>
      <c r="BA60">
        <v>208842</v>
      </c>
      <c r="BB60">
        <v>0</v>
      </c>
      <c r="BC60">
        <v>92040</v>
      </c>
      <c r="BD60">
        <v>16277635</v>
      </c>
      <c r="BE60">
        <v>30798</v>
      </c>
      <c r="BF60">
        <v>120109</v>
      </c>
      <c r="BG60">
        <v>111207</v>
      </c>
      <c r="BH60">
        <v>36116</v>
      </c>
      <c r="BI60">
        <v>88959</v>
      </c>
      <c r="BJ60">
        <v>51967</v>
      </c>
      <c r="BK60">
        <v>5809003</v>
      </c>
      <c r="BL60">
        <v>449584</v>
      </c>
      <c r="BM60">
        <v>887977</v>
      </c>
      <c r="BN60">
        <v>3247380</v>
      </c>
      <c r="BO60">
        <v>1585504</v>
      </c>
      <c r="BP60">
        <v>1704289</v>
      </c>
      <c r="BQ60">
        <v>11145906</v>
      </c>
      <c r="BR60">
        <v>984333</v>
      </c>
      <c r="BS60">
        <v>33269113</v>
      </c>
      <c r="BT60">
        <v>417998</v>
      </c>
      <c r="BU60">
        <v>3880059</v>
      </c>
      <c r="BV60">
        <v>675171</v>
      </c>
      <c r="BW60">
        <v>1547402</v>
      </c>
      <c r="BX60">
        <v>1365313</v>
      </c>
      <c r="BY60">
        <v>39698</v>
      </c>
      <c r="BZ60">
        <v>1481922</v>
      </c>
      <c r="CA60">
        <v>50150</v>
      </c>
      <c r="CB60">
        <v>1218601</v>
      </c>
      <c r="CD60">
        <v>24574</v>
      </c>
    </row>
    <row r="61" spans="1:82" x14ac:dyDescent="0.3">
      <c r="A61">
        <v>339</v>
      </c>
      <c r="B61" t="s">
        <v>181</v>
      </c>
      <c r="D61">
        <v>47913</v>
      </c>
      <c r="E61">
        <v>12406</v>
      </c>
      <c r="F61">
        <v>269009</v>
      </c>
      <c r="G61">
        <v>134670</v>
      </c>
      <c r="H61">
        <v>0</v>
      </c>
      <c r="I61">
        <v>16035</v>
      </c>
      <c r="J61">
        <v>0</v>
      </c>
      <c r="K61">
        <v>4825</v>
      </c>
      <c r="L61">
        <v>4715</v>
      </c>
      <c r="M61">
        <v>0</v>
      </c>
      <c r="N61">
        <v>254616</v>
      </c>
      <c r="O61">
        <v>210519</v>
      </c>
      <c r="P61">
        <v>775</v>
      </c>
      <c r="Q61">
        <v>12768708</v>
      </c>
      <c r="R61">
        <v>112415</v>
      </c>
      <c r="S61">
        <v>0</v>
      </c>
      <c r="T61">
        <v>6974717</v>
      </c>
      <c r="U61">
        <v>2081615</v>
      </c>
      <c r="V61">
        <v>3991899</v>
      </c>
      <c r="W61">
        <v>2341431</v>
      </c>
      <c r="Y61">
        <v>1280090</v>
      </c>
      <c r="Z61">
        <v>121755</v>
      </c>
      <c r="AA61">
        <v>1162141</v>
      </c>
      <c r="AB61">
        <v>694512</v>
      </c>
      <c r="AC61">
        <v>57446</v>
      </c>
      <c r="AD61">
        <v>334468</v>
      </c>
      <c r="AE61">
        <v>32851</v>
      </c>
      <c r="AF61">
        <v>702577</v>
      </c>
      <c r="AG61">
        <v>945343</v>
      </c>
      <c r="AH61">
        <v>23907</v>
      </c>
      <c r="AI61">
        <v>1898420</v>
      </c>
      <c r="AJ61">
        <v>5745</v>
      </c>
      <c r="AK61">
        <v>92093</v>
      </c>
      <c r="AM61">
        <v>1813684</v>
      </c>
      <c r="AN61">
        <v>57074</v>
      </c>
      <c r="AO61">
        <v>1047</v>
      </c>
      <c r="AP61">
        <v>1650</v>
      </c>
      <c r="AQ61">
        <v>1386750</v>
      </c>
      <c r="AR61">
        <v>420328</v>
      </c>
      <c r="AS61">
        <v>0</v>
      </c>
      <c r="AT61">
        <v>221940</v>
      </c>
      <c r="AU61">
        <v>1850</v>
      </c>
      <c r="AV61">
        <v>2630603</v>
      </c>
      <c r="AW61">
        <v>48214</v>
      </c>
      <c r="AX61">
        <v>93755</v>
      </c>
      <c r="AY61">
        <v>3742372</v>
      </c>
      <c r="AZ61">
        <v>54484</v>
      </c>
      <c r="BA61">
        <v>138212</v>
      </c>
      <c r="BB61">
        <v>0</v>
      </c>
      <c r="BC61">
        <v>27126</v>
      </c>
      <c r="BD61">
        <v>2497226</v>
      </c>
      <c r="BE61">
        <v>2725</v>
      </c>
      <c r="BF61">
        <v>48186</v>
      </c>
      <c r="BG61">
        <v>0</v>
      </c>
      <c r="BH61">
        <v>0</v>
      </c>
      <c r="BI61">
        <v>32655</v>
      </c>
      <c r="BJ61">
        <v>14899</v>
      </c>
      <c r="BK61">
        <v>604323</v>
      </c>
      <c r="BL61">
        <v>120272</v>
      </c>
      <c r="BM61">
        <v>418582</v>
      </c>
      <c r="BN61">
        <v>1222395</v>
      </c>
      <c r="BO61">
        <v>344817</v>
      </c>
      <c r="BP61">
        <v>46967</v>
      </c>
      <c r="BQ61">
        <v>1701376</v>
      </c>
      <c r="BR61">
        <v>145119</v>
      </c>
      <c r="BS61">
        <v>1159970</v>
      </c>
      <c r="BT61">
        <v>109229</v>
      </c>
      <c r="BU61">
        <v>865032</v>
      </c>
      <c r="BV61">
        <v>127708</v>
      </c>
      <c r="BW61">
        <v>166943</v>
      </c>
      <c r="BX61">
        <v>49857</v>
      </c>
      <c r="BY61">
        <v>0</v>
      </c>
      <c r="BZ61">
        <v>0</v>
      </c>
      <c r="CA61">
        <v>26753</v>
      </c>
      <c r="CB61">
        <v>184301</v>
      </c>
      <c r="CD61">
        <v>0</v>
      </c>
    </row>
    <row r="62" spans="1:82" x14ac:dyDescent="0.3">
      <c r="A62">
        <v>341</v>
      </c>
      <c r="B62" t="s">
        <v>883</v>
      </c>
      <c r="D62">
        <v>281615</v>
      </c>
      <c r="E62">
        <v>51250</v>
      </c>
      <c r="F62">
        <v>705615</v>
      </c>
      <c r="G62">
        <v>2436739</v>
      </c>
      <c r="H62">
        <v>2018958</v>
      </c>
      <c r="I62">
        <v>4846861</v>
      </c>
      <c r="J62">
        <v>124461</v>
      </c>
      <c r="K62">
        <v>369754</v>
      </c>
      <c r="L62">
        <v>214952</v>
      </c>
      <c r="M62">
        <v>15591476</v>
      </c>
      <c r="N62">
        <v>301200</v>
      </c>
      <c r="O62">
        <v>5440576</v>
      </c>
      <c r="P62">
        <v>116455</v>
      </c>
      <c r="Q62">
        <v>39859040</v>
      </c>
      <c r="R62">
        <v>1890564</v>
      </c>
      <c r="S62">
        <v>23252</v>
      </c>
      <c r="T62">
        <v>74717211</v>
      </c>
      <c r="U62">
        <v>17254051</v>
      </c>
      <c r="V62">
        <v>20906613</v>
      </c>
      <c r="W62">
        <v>37428883</v>
      </c>
      <c r="Y62">
        <v>14466391</v>
      </c>
      <c r="Z62">
        <v>1089380</v>
      </c>
      <c r="AA62">
        <v>15731010</v>
      </c>
      <c r="AB62">
        <v>4136437</v>
      </c>
      <c r="AC62">
        <v>1630533</v>
      </c>
      <c r="AD62">
        <v>1698287</v>
      </c>
      <c r="AE62">
        <v>2848748</v>
      </c>
      <c r="AF62">
        <v>20236389</v>
      </c>
      <c r="AG62">
        <v>4839087</v>
      </c>
      <c r="AH62">
        <v>1363792</v>
      </c>
      <c r="AI62">
        <v>31584154</v>
      </c>
      <c r="AJ62">
        <v>690229</v>
      </c>
      <c r="AK62">
        <v>885449</v>
      </c>
      <c r="AM62">
        <v>13659590</v>
      </c>
      <c r="AN62">
        <v>561213</v>
      </c>
      <c r="AO62">
        <v>891985</v>
      </c>
      <c r="AP62">
        <v>3967</v>
      </c>
      <c r="AQ62">
        <v>9904087</v>
      </c>
      <c r="AR62">
        <v>7004665</v>
      </c>
      <c r="AS62">
        <v>507287</v>
      </c>
      <c r="AT62">
        <v>2405650</v>
      </c>
      <c r="AU62">
        <v>136112</v>
      </c>
      <c r="AV62">
        <v>17969727</v>
      </c>
      <c r="AW62">
        <v>1876953</v>
      </c>
      <c r="AX62">
        <v>1964495</v>
      </c>
      <c r="AY62">
        <v>8284847</v>
      </c>
      <c r="AZ62">
        <v>906391</v>
      </c>
      <c r="BA62">
        <v>768204</v>
      </c>
      <c r="BB62">
        <v>30021</v>
      </c>
      <c r="BC62">
        <v>262107</v>
      </c>
      <c r="BD62">
        <v>7332334</v>
      </c>
      <c r="BE62">
        <v>124952</v>
      </c>
      <c r="BF62">
        <v>386558</v>
      </c>
      <c r="BG62">
        <v>159319</v>
      </c>
      <c r="BH62">
        <v>83370</v>
      </c>
      <c r="BI62">
        <v>223227</v>
      </c>
      <c r="BJ62">
        <v>136374</v>
      </c>
      <c r="BK62">
        <v>3094473</v>
      </c>
      <c r="BL62">
        <v>697248</v>
      </c>
      <c r="BM62">
        <v>1733558</v>
      </c>
      <c r="BN62">
        <v>3917184</v>
      </c>
      <c r="BO62">
        <v>1074046</v>
      </c>
      <c r="BP62">
        <v>1526109</v>
      </c>
      <c r="BQ62">
        <v>20744324</v>
      </c>
      <c r="BR62">
        <v>674752</v>
      </c>
      <c r="BS62">
        <v>13006039</v>
      </c>
      <c r="BT62">
        <v>431423</v>
      </c>
      <c r="BU62">
        <v>5726952</v>
      </c>
      <c r="BV62">
        <v>722936</v>
      </c>
      <c r="BW62">
        <v>1930200</v>
      </c>
      <c r="BX62">
        <v>904287</v>
      </c>
      <c r="BY62">
        <v>54435</v>
      </c>
      <c r="BZ62">
        <v>441996</v>
      </c>
      <c r="CA62">
        <v>102460</v>
      </c>
      <c r="CB62">
        <v>917184</v>
      </c>
      <c r="CD62">
        <v>87036</v>
      </c>
    </row>
    <row r="63" spans="1:82" x14ac:dyDescent="0.3">
      <c r="A63">
        <v>343</v>
      </c>
      <c r="B63" t="s">
        <v>246</v>
      </c>
      <c r="D63">
        <v>1809</v>
      </c>
      <c r="E63">
        <v>0</v>
      </c>
      <c r="F63">
        <v>12167</v>
      </c>
      <c r="G63">
        <v>0</v>
      </c>
      <c r="H63">
        <v>0</v>
      </c>
      <c r="I63">
        <v>0</v>
      </c>
      <c r="J63">
        <v>0</v>
      </c>
      <c r="K63">
        <v>0</v>
      </c>
      <c r="L63">
        <v>0</v>
      </c>
      <c r="M63">
        <v>0</v>
      </c>
      <c r="N63">
        <v>0</v>
      </c>
      <c r="O63">
        <v>1014490</v>
      </c>
      <c r="P63">
        <v>0</v>
      </c>
      <c r="Q63">
        <v>2393562</v>
      </c>
      <c r="R63">
        <v>82867</v>
      </c>
      <c r="S63">
        <v>0</v>
      </c>
      <c r="T63">
        <v>6125192</v>
      </c>
      <c r="U63">
        <v>8445633</v>
      </c>
      <c r="V63">
        <v>1385013</v>
      </c>
      <c r="W63">
        <v>2346946</v>
      </c>
      <c r="Y63">
        <v>45049</v>
      </c>
      <c r="Z63">
        <v>0</v>
      </c>
      <c r="AA63">
        <v>1147173</v>
      </c>
      <c r="AB63">
        <v>12853</v>
      </c>
      <c r="AC63">
        <v>151596</v>
      </c>
      <c r="AD63">
        <v>0</v>
      </c>
      <c r="AE63">
        <v>89718</v>
      </c>
      <c r="AF63">
        <v>3818546</v>
      </c>
      <c r="AG63">
        <v>60621</v>
      </c>
      <c r="AH63">
        <v>1279</v>
      </c>
      <c r="AI63">
        <v>2118896</v>
      </c>
      <c r="AJ63">
        <v>0</v>
      </c>
      <c r="AK63">
        <v>0</v>
      </c>
      <c r="AM63">
        <v>1161216</v>
      </c>
      <c r="AN63">
        <v>0</v>
      </c>
      <c r="AO63">
        <v>25403</v>
      </c>
      <c r="AP63">
        <v>0</v>
      </c>
      <c r="AQ63">
        <v>1447800</v>
      </c>
      <c r="AR63">
        <v>780325</v>
      </c>
      <c r="AS63">
        <v>0</v>
      </c>
      <c r="AT63">
        <v>103466</v>
      </c>
      <c r="AU63">
        <v>0</v>
      </c>
      <c r="AV63">
        <v>6015000</v>
      </c>
      <c r="AW63">
        <v>180000</v>
      </c>
      <c r="AX63">
        <v>0</v>
      </c>
      <c r="AY63">
        <v>845417</v>
      </c>
      <c r="AZ63">
        <v>23275</v>
      </c>
      <c r="BA63">
        <v>0</v>
      </c>
      <c r="BB63">
        <v>0</v>
      </c>
      <c r="BC63">
        <v>0</v>
      </c>
      <c r="BD63">
        <v>184371</v>
      </c>
      <c r="BE63">
        <v>0</v>
      </c>
      <c r="BF63">
        <v>0</v>
      </c>
      <c r="BG63">
        <v>10970</v>
      </c>
      <c r="BH63">
        <v>0</v>
      </c>
      <c r="BI63">
        <v>0</v>
      </c>
      <c r="BJ63">
        <v>17996</v>
      </c>
      <c r="BK63">
        <v>208372</v>
      </c>
      <c r="BL63">
        <v>0</v>
      </c>
      <c r="BM63">
        <v>34461</v>
      </c>
      <c r="BN63">
        <v>135818</v>
      </c>
      <c r="BO63">
        <v>18113</v>
      </c>
      <c r="BP63">
        <v>520829</v>
      </c>
      <c r="BQ63">
        <v>0</v>
      </c>
      <c r="BR63">
        <v>18998</v>
      </c>
      <c r="BS63">
        <v>0</v>
      </c>
      <c r="BT63">
        <v>14094</v>
      </c>
      <c r="BU63">
        <v>115879</v>
      </c>
      <c r="BV63">
        <v>0</v>
      </c>
      <c r="BW63">
        <v>100407</v>
      </c>
      <c r="BX63">
        <v>8362</v>
      </c>
      <c r="BY63">
        <v>0</v>
      </c>
      <c r="BZ63">
        <v>0</v>
      </c>
      <c r="CA63">
        <v>0</v>
      </c>
      <c r="CB63">
        <v>62334</v>
      </c>
      <c r="CD63">
        <v>0</v>
      </c>
    </row>
    <row r="64" spans="1:82" x14ac:dyDescent="0.3">
      <c r="A64">
        <v>344</v>
      </c>
      <c r="B64" t="s">
        <v>179</v>
      </c>
      <c r="D64">
        <v>115</v>
      </c>
      <c r="E64">
        <v>0</v>
      </c>
      <c r="F64">
        <v>2402</v>
      </c>
      <c r="G64">
        <v>16827</v>
      </c>
      <c r="H64">
        <v>0</v>
      </c>
      <c r="I64">
        <v>0</v>
      </c>
      <c r="J64">
        <v>0</v>
      </c>
      <c r="K64">
        <v>0</v>
      </c>
      <c r="L64">
        <v>0</v>
      </c>
      <c r="M64">
        <v>36773</v>
      </c>
      <c r="N64">
        <v>442</v>
      </c>
      <c r="O64">
        <v>0</v>
      </c>
      <c r="P64">
        <v>0</v>
      </c>
      <c r="Q64">
        <v>1088994</v>
      </c>
      <c r="R64">
        <v>29128</v>
      </c>
      <c r="S64">
        <v>0</v>
      </c>
      <c r="T64">
        <v>1693631</v>
      </c>
      <c r="U64">
        <v>296933</v>
      </c>
      <c r="V64">
        <v>116895</v>
      </c>
      <c r="W64">
        <v>988971</v>
      </c>
      <c r="Y64">
        <v>5601</v>
      </c>
      <c r="Z64">
        <v>0</v>
      </c>
      <c r="AA64">
        <v>251069</v>
      </c>
      <c r="AB64">
        <v>21373</v>
      </c>
      <c r="AC64">
        <v>18644</v>
      </c>
      <c r="AD64">
        <v>0</v>
      </c>
      <c r="AE64">
        <v>71038</v>
      </c>
      <c r="AF64">
        <v>233493</v>
      </c>
      <c r="AG64">
        <v>4691</v>
      </c>
      <c r="AH64">
        <v>5671</v>
      </c>
      <c r="AI64">
        <v>267717</v>
      </c>
      <c r="AJ64">
        <v>0</v>
      </c>
      <c r="AK64">
        <v>0</v>
      </c>
      <c r="AM64">
        <v>204298</v>
      </c>
      <c r="AN64">
        <v>0</v>
      </c>
      <c r="AO64">
        <v>4428</v>
      </c>
      <c r="AP64">
        <v>0</v>
      </c>
      <c r="AQ64">
        <v>431505</v>
      </c>
      <c r="AR64">
        <v>22700</v>
      </c>
      <c r="AS64">
        <v>0</v>
      </c>
      <c r="AT64">
        <v>13408</v>
      </c>
      <c r="AU64">
        <v>0</v>
      </c>
      <c r="AV64">
        <v>217401</v>
      </c>
      <c r="AW64">
        <v>0</v>
      </c>
      <c r="AX64">
        <v>0</v>
      </c>
      <c r="AY64">
        <v>253712</v>
      </c>
      <c r="AZ64">
        <v>792</v>
      </c>
      <c r="BA64">
        <v>0</v>
      </c>
      <c r="BB64">
        <v>0</v>
      </c>
      <c r="BC64">
        <v>0</v>
      </c>
      <c r="BD64">
        <v>26750</v>
      </c>
      <c r="BE64">
        <v>0</v>
      </c>
      <c r="BF64">
        <v>0</v>
      </c>
      <c r="BG64">
        <v>1434</v>
      </c>
      <c r="BH64">
        <v>0</v>
      </c>
      <c r="BI64">
        <v>0</v>
      </c>
      <c r="BJ64">
        <v>944</v>
      </c>
      <c r="BK64">
        <v>62437</v>
      </c>
      <c r="BL64">
        <v>0</v>
      </c>
      <c r="BM64">
        <v>2714</v>
      </c>
      <c r="BN64">
        <v>24704</v>
      </c>
      <c r="BO64">
        <v>27854</v>
      </c>
      <c r="BP64">
        <v>57316</v>
      </c>
      <c r="BQ64">
        <v>201</v>
      </c>
      <c r="BR64">
        <v>5655</v>
      </c>
      <c r="BS64">
        <v>368112</v>
      </c>
      <c r="BT64">
        <v>6449</v>
      </c>
      <c r="BU64">
        <v>8276</v>
      </c>
      <c r="BV64">
        <v>0</v>
      </c>
      <c r="BW64">
        <v>11616</v>
      </c>
      <c r="BX64">
        <v>822</v>
      </c>
      <c r="BY64">
        <v>0</v>
      </c>
      <c r="BZ64">
        <v>0</v>
      </c>
      <c r="CA64">
        <v>0</v>
      </c>
      <c r="CB64">
        <v>13184</v>
      </c>
      <c r="CD64">
        <v>0</v>
      </c>
    </row>
    <row r="65" spans="1:82" x14ac:dyDescent="0.3">
      <c r="A65">
        <v>349</v>
      </c>
      <c r="B65" t="s">
        <v>114</v>
      </c>
      <c r="D65">
        <v>931702</v>
      </c>
      <c r="E65">
        <v>0</v>
      </c>
      <c r="F65">
        <v>612368</v>
      </c>
      <c r="G65">
        <v>0</v>
      </c>
      <c r="H65">
        <v>0</v>
      </c>
      <c r="I65">
        <v>0</v>
      </c>
      <c r="J65">
        <v>408786</v>
      </c>
      <c r="K65">
        <v>0</v>
      </c>
      <c r="L65">
        <v>0</v>
      </c>
      <c r="M65">
        <v>0</v>
      </c>
      <c r="N65">
        <v>0</v>
      </c>
      <c r="O65">
        <v>5904027</v>
      </c>
      <c r="P65">
        <v>0</v>
      </c>
      <c r="Q65">
        <v>31440696</v>
      </c>
      <c r="R65">
        <v>341991</v>
      </c>
      <c r="S65">
        <v>0</v>
      </c>
      <c r="T65">
        <v>62845869</v>
      </c>
      <c r="U65">
        <v>15699580</v>
      </c>
      <c r="V65">
        <v>17840329</v>
      </c>
      <c r="W65">
        <v>0</v>
      </c>
      <c r="Y65">
        <v>8953360</v>
      </c>
      <c r="Z65">
        <v>3898820</v>
      </c>
      <c r="AA65">
        <v>9595722</v>
      </c>
      <c r="AB65">
        <v>7740184</v>
      </c>
      <c r="AC65">
        <v>770730</v>
      </c>
      <c r="AD65">
        <v>2044265</v>
      </c>
      <c r="AE65">
        <v>1596905</v>
      </c>
      <c r="AF65">
        <v>1892947</v>
      </c>
      <c r="AG65">
        <v>791637</v>
      </c>
      <c r="AH65">
        <v>0</v>
      </c>
      <c r="AI65">
        <v>20818824</v>
      </c>
      <c r="AJ65">
        <v>64896</v>
      </c>
      <c r="AK65">
        <v>913592</v>
      </c>
      <c r="AM65">
        <v>11391288</v>
      </c>
      <c r="AN65">
        <v>311922</v>
      </c>
      <c r="AO65">
        <v>1778970</v>
      </c>
      <c r="AP65">
        <v>0</v>
      </c>
      <c r="AQ65">
        <v>0</v>
      </c>
      <c r="AR65">
        <v>1939185</v>
      </c>
      <c r="AS65">
        <v>0</v>
      </c>
      <c r="AT65">
        <v>5572078</v>
      </c>
      <c r="AU65">
        <v>0</v>
      </c>
      <c r="AV65">
        <v>76801259</v>
      </c>
      <c r="AW65">
        <v>0</v>
      </c>
      <c r="AX65">
        <v>3927333</v>
      </c>
      <c r="AY65">
        <v>1006674</v>
      </c>
      <c r="AZ65">
        <v>722910</v>
      </c>
      <c r="BA65">
        <v>236442</v>
      </c>
      <c r="BB65">
        <v>0</v>
      </c>
      <c r="BC65">
        <v>123891</v>
      </c>
      <c r="BD65">
        <v>21983402</v>
      </c>
      <c r="BE65">
        <v>0</v>
      </c>
      <c r="BF65">
        <v>567145</v>
      </c>
      <c r="BG65">
        <v>5856</v>
      </c>
      <c r="BH65">
        <v>0</v>
      </c>
      <c r="BI65">
        <v>93518</v>
      </c>
      <c r="BJ65">
        <v>0</v>
      </c>
      <c r="BK65">
        <v>4011572</v>
      </c>
      <c r="BL65">
        <v>2305537</v>
      </c>
      <c r="BM65">
        <v>3817375</v>
      </c>
      <c r="BN65">
        <v>2630517</v>
      </c>
      <c r="BO65">
        <v>3714629</v>
      </c>
      <c r="BP65">
        <v>132603</v>
      </c>
      <c r="BQ65">
        <v>0</v>
      </c>
      <c r="BR65">
        <v>1707388</v>
      </c>
      <c r="BS65">
        <v>0</v>
      </c>
      <c r="BT65">
        <v>1073120</v>
      </c>
      <c r="BU65">
        <v>3138615</v>
      </c>
      <c r="BV65">
        <v>0</v>
      </c>
      <c r="BW65">
        <v>3268158</v>
      </c>
      <c r="BX65">
        <v>208885</v>
      </c>
      <c r="BY65">
        <v>35125</v>
      </c>
      <c r="BZ65">
        <v>1173083</v>
      </c>
      <c r="CA65">
        <v>401256</v>
      </c>
      <c r="CB65">
        <v>1163268</v>
      </c>
      <c r="CD65">
        <v>0</v>
      </c>
    </row>
    <row r="66" spans="1:82" x14ac:dyDescent="0.3">
      <c r="A66">
        <v>350</v>
      </c>
      <c r="B66" t="s">
        <v>884</v>
      </c>
      <c r="D66">
        <v>44794</v>
      </c>
      <c r="E66">
        <v>0</v>
      </c>
      <c r="F66">
        <v>82</v>
      </c>
      <c r="G66">
        <v>0</v>
      </c>
      <c r="H66">
        <v>0</v>
      </c>
      <c r="I66">
        <v>0</v>
      </c>
      <c r="J66">
        <v>0</v>
      </c>
      <c r="K66">
        <v>0</v>
      </c>
      <c r="L66">
        <v>0</v>
      </c>
      <c r="M66">
        <v>0</v>
      </c>
      <c r="N66">
        <v>0</v>
      </c>
      <c r="O66">
        <v>23028</v>
      </c>
      <c r="P66">
        <v>0</v>
      </c>
      <c r="Q66">
        <v>296428</v>
      </c>
      <c r="R66">
        <v>45</v>
      </c>
      <c r="S66">
        <v>0</v>
      </c>
      <c r="T66">
        <v>5434356</v>
      </c>
      <c r="U66">
        <v>24102</v>
      </c>
      <c r="V66">
        <v>129242</v>
      </c>
      <c r="W66">
        <v>0</v>
      </c>
      <c r="Y66">
        <v>28898</v>
      </c>
      <c r="Z66">
        <v>927</v>
      </c>
      <c r="AA66">
        <v>94596</v>
      </c>
      <c r="AB66">
        <v>33970</v>
      </c>
      <c r="AC66">
        <v>1990</v>
      </c>
      <c r="AD66">
        <v>45624</v>
      </c>
      <c r="AE66">
        <v>0</v>
      </c>
      <c r="AF66">
        <v>532950</v>
      </c>
      <c r="AG66">
        <v>8368</v>
      </c>
      <c r="AH66">
        <v>0</v>
      </c>
      <c r="AI66">
        <v>558066</v>
      </c>
      <c r="AJ66">
        <v>427</v>
      </c>
      <c r="AK66">
        <v>332</v>
      </c>
      <c r="AM66">
        <v>165989</v>
      </c>
      <c r="AN66">
        <v>8</v>
      </c>
      <c r="AO66">
        <v>6101</v>
      </c>
      <c r="AP66">
        <v>0</v>
      </c>
      <c r="AQ66">
        <v>0</v>
      </c>
      <c r="AR66">
        <v>66460</v>
      </c>
      <c r="AS66">
        <v>0</v>
      </c>
      <c r="AT66">
        <v>1908</v>
      </c>
      <c r="AU66">
        <v>0</v>
      </c>
      <c r="AV66">
        <v>980621</v>
      </c>
      <c r="AW66">
        <v>0</v>
      </c>
      <c r="AX66">
        <v>6394</v>
      </c>
      <c r="AY66">
        <v>9913907</v>
      </c>
      <c r="AZ66">
        <v>7710</v>
      </c>
      <c r="BA66">
        <v>98</v>
      </c>
      <c r="BB66">
        <v>0</v>
      </c>
      <c r="BC66">
        <v>844</v>
      </c>
      <c r="BD66">
        <v>223437</v>
      </c>
      <c r="BE66">
        <v>0</v>
      </c>
      <c r="BF66">
        <v>52</v>
      </c>
      <c r="BG66">
        <v>1284960</v>
      </c>
      <c r="BH66">
        <v>0</v>
      </c>
      <c r="BI66">
        <v>2205</v>
      </c>
      <c r="BJ66">
        <v>0</v>
      </c>
      <c r="BK66">
        <v>5136</v>
      </c>
      <c r="BL66">
        <v>155</v>
      </c>
      <c r="BM66">
        <v>29500</v>
      </c>
      <c r="BN66">
        <v>69049</v>
      </c>
      <c r="BO66">
        <v>30832</v>
      </c>
      <c r="BP66">
        <v>2740</v>
      </c>
      <c r="BQ66">
        <v>0</v>
      </c>
      <c r="BR66">
        <v>312545</v>
      </c>
      <c r="BS66">
        <v>0</v>
      </c>
      <c r="BT66">
        <v>127</v>
      </c>
      <c r="BU66">
        <v>785024</v>
      </c>
      <c r="BV66">
        <v>0</v>
      </c>
      <c r="BW66">
        <v>9405</v>
      </c>
      <c r="BX66">
        <v>1591</v>
      </c>
      <c r="BY66">
        <v>18884</v>
      </c>
      <c r="BZ66">
        <v>4509</v>
      </c>
      <c r="CA66">
        <v>23</v>
      </c>
      <c r="CB66">
        <v>0</v>
      </c>
      <c r="CD66">
        <v>0</v>
      </c>
    </row>
    <row r="67" spans="1:82" x14ac:dyDescent="0.3">
      <c r="A67">
        <v>351</v>
      </c>
      <c r="B67" t="s">
        <v>223</v>
      </c>
      <c r="D67">
        <v>16700</v>
      </c>
      <c r="E67">
        <v>0</v>
      </c>
      <c r="F67">
        <v>7734</v>
      </c>
      <c r="G67">
        <v>0</v>
      </c>
      <c r="H67">
        <v>0</v>
      </c>
      <c r="I67">
        <v>0</v>
      </c>
      <c r="J67">
        <v>7123</v>
      </c>
      <c r="K67">
        <v>0</v>
      </c>
      <c r="L67">
        <v>0</v>
      </c>
      <c r="M67">
        <v>0</v>
      </c>
      <c r="N67">
        <v>0</v>
      </c>
      <c r="O67">
        <v>52761</v>
      </c>
      <c r="P67">
        <v>0</v>
      </c>
      <c r="Q67">
        <v>797635</v>
      </c>
      <c r="R67">
        <v>4983</v>
      </c>
      <c r="S67">
        <v>0</v>
      </c>
      <c r="T67">
        <v>1237738</v>
      </c>
      <c r="U67">
        <v>305200</v>
      </c>
      <c r="V67">
        <v>299588</v>
      </c>
      <c r="W67">
        <v>0</v>
      </c>
      <c r="Y67">
        <v>187694</v>
      </c>
      <c r="Z67">
        <v>36673</v>
      </c>
      <c r="AA67">
        <v>63412</v>
      </c>
      <c r="AB67">
        <v>281383</v>
      </c>
      <c r="AC67">
        <v>11115</v>
      </c>
      <c r="AD67">
        <v>32149</v>
      </c>
      <c r="AE67">
        <v>4849</v>
      </c>
      <c r="AF67">
        <v>336530</v>
      </c>
      <c r="AG67">
        <v>1781</v>
      </c>
      <c r="AH67">
        <v>0</v>
      </c>
      <c r="AI67">
        <v>471342</v>
      </c>
      <c r="AJ67">
        <v>0</v>
      </c>
      <c r="AK67">
        <v>35265</v>
      </c>
      <c r="AM67">
        <v>191236</v>
      </c>
      <c r="AN67">
        <v>13513</v>
      </c>
      <c r="AO67">
        <v>39291</v>
      </c>
      <c r="AP67">
        <v>0</v>
      </c>
      <c r="AQ67">
        <v>0</v>
      </c>
      <c r="AR67">
        <v>9204</v>
      </c>
      <c r="AS67">
        <v>0</v>
      </c>
      <c r="AT67">
        <v>37700</v>
      </c>
      <c r="AU67">
        <v>0</v>
      </c>
      <c r="AV67">
        <v>3101128</v>
      </c>
      <c r="AW67">
        <v>0</v>
      </c>
      <c r="AX67">
        <v>12624</v>
      </c>
      <c r="AY67">
        <v>0</v>
      </c>
      <c r="AZ67">
        <v>30495</v>
      </c>
      <c r="BA67">
        <v>0</v>
      </c>
      <c r="BB67">
        <v>0</v>
      </c>
      <c r="BC67">
        <v>0</v>
      </c>
      <c r="BD67">
        <v>54706</v>
      </c>
      <c r="BE67">
        <v>0</v>
      </c>
      <c r="BF67">
        <v>0</v>
      </c>
      <c r="BG67">
        <v>0</v>
      </c>
      <c r="BH67">
        <v>0</v>
      </c>
      <c r="BI67">
        <v>0</v>
      </c>
      <c r="BJ67">
        <v>0</v>
      </c>
      <c r="BK67">
        <v>57762</v>
      </c>
      <c r="BL67">
        <v>44157</v>
      </c>
      <c r="BM67">
        <v>60774</v>
      </c>
      <c r="BN67">
        <v>96043</v>
      </c>
      <c r="BO67">
        <v>99936</v>
      </c>
      <c r="BP67">
        <v>0</v>
      </c>
      <c r="BQ67">
        <v>0</v>
      </c>
      <c r="BR67">
        <v>29728</v>
      </c>
      <c r="BS67">
        <v>0</v>
      </c>
      <c r="BT67">
        <v>26262</v>
      </c>
      <c r="BU67">
        <v>16263</v>
      </c>
      <c r="BV67">
        <v>0</v>
      </c>
      <c r="BW67">
        <v>80251</v>
      </c>
      <c r="BX67">
        <v>0</v>
      </c>
      <c r="BY67">
        <v>18884</v>
      </c>
      <c r="BZ67">
        <v>26957</v>
      </c>
      <c r="CA67">
        <v>9168</v>
      </c>
      <c r="CB67">
        <v>59124</v>
      </c>
      <c r="CD67">
        <v>0</v>
      </c>
    </row>
    <row r="68" spans="1:82" x14ac:dyDescent="0.3">
      <c r="A68">
        <v>352</v>
      </c>
      <c r="B68" t="s">
        <v>225</v>
      </c>
      <c r="D68">
        <v>0</v>
      </c>
      <c r="E68">
        <v>0</v>
      </c>
      <c r="F68">
        <v>28222</v>
      </c>
      <c r="G68">
        <v>0</v>
      </c>
      <c r="H68">
        <v>0</v>
      </c>
      <c r="I68">
        <v>0</v>
      </c>
      <c r="J68">
        <v>0</v>
      </c>
      <c r="K68">
        <v>0</v>
      </c>
      <c r="L68">
        <v>0</v>
      </c>
      <c r="M68">
        <v>0</v>
      </c>
      <c r="N68">
        <v>0</v>
      </c>
      <c r="O68">
        <v>0</v>
      </c>
      <c r="P68">
        <v>0</v>
      </c>
      <c r="Q68">
        <v>0</v>
      </c>
      <c r="R68">
        <v>0</v>
      </c>
      <c r="S68">
        <v>0</v>
      </c>
      <c r="T68">
        <v>445546</v>
      </c>
      <c r="U68">
        <v>37950</v>
      </c>
      <c r="V68">
        <v>0</v>
      </c>
      <c r="W68">
        <v>0</v>
      </c>
      <c r="Y68">
        <v>0</v>
      </c>
      <c r="Z68">
        <v>29063</v>
      </c>
      <c r="AA68">
        <v>0</v>
      </c>
      <c r="AB68">
        <v>629498</v>
      </c>
      <c r="AC68">
        <v>0</v>
      </c>
      <c r="AD68">
        <v>0</v>
      </c>
      <c r="AE68">
        <v>0</v>
      </c>
      <c r="AF68">
        <v>109</v>
      </c>
      <c r="AG68">
        <v>0</v>
      </c>
      <c r="AH68">
        <v>0</v>
      </c>
      <c r="AI68">
        <v>0</v>
      </c>
      <c r="AJ68">
        <v>0</v>
      </c>
      <c r="AK68">
        <v>0</v>
      </c>
      <c r="AM68">
        <v>0</v>
      </c>
      <c r="AN68">
        <v>76267</v>
      </c>
      <c r="AO68">
        <v>0</v>
      </c>
      <c r="AP68">
        <v>0</v>
      </c>
      <c r="AQ68">
        <v>0</v>
      </c>
      <c r="AR68">
        <v>1239498</v>
      </c>
      <c r="AS68">
        <v>0</v>
      </c>
      <c r="AT68">
        <v>0</v>
      </c>
      <c r="AU68">
        <v>0</v>
      </c>
      <c r="AV68">
        <v>464944</v>
      </c>
      <c r="AW68">
        <v>0</v>
      </c>
      <c r="AX68">
        <v>0</v>
      </c>
      <c r="AY68">
        <v>0</v>
      </c>
      <c r="AZ68">
        <v>0</v>
      </c>
      <c r="BA68">
        <v>0</v>
      </c>
      <c r="BB68">
        <v>0</v>
      </c>
      <c r="BC68">
        <v>0</v>
      </c>
      <c r="BD68">
        <v>0</v>
      </c>
      <c r="BE68">
        <v>0</v>
      </c>
      <c r="BF68">
        <v>0</v>
      </c>
      <c r="BG68">
        <v>0</v>
      </c>
      <c r="BH68">
        <v>0</v>
      </c>
      <c r="BI68">
        <v>1850</v>
      </c>
      <c r="BJ68">
        <v>0</v>
      </c>
      <c r="BK68">
        <v>0</v>
      </c>
      <c r="BL68">
        <v>0</v>
      </c>
      <c r="BM68">
        <v>0</v>
      </c>
      <c r="BN68">
        <v>9128</v>
      </c>
      <c r="BO68">
        <v>0</v>
      </c>
      <c r="BP68">
        <v>0</v>
      </c>
      <c r="BQ68">
        <v>0</v>
      </c>
      <c r="BR68">
        <v>0</v>
      </c>
      <c r="BS68">
        <v>0</v>
      </c>
      <c r="BT68">
        <v>53140</v>
      </c>
      <c r="BU68">
        <v>3271451</v>
      </c>
      <c r="BV68">
        <v>0</v>
      </c>
      <c r="BW68">
        <v>0</v>
      </c>
      <c r="BX68">
        <v>0</v>
      </c>
      <c r="BY68">
        <v>0</v>
      </c>
      <c r="BZ68">
        <v>141515</v>
      </c>
      <c r="CA68">
        <v>0</v>
      </c>
      <c r="CB68">
        <v>0</v>
      </c>
      <c r="CD68">
        <v>0</v>
      </c>
    </row>
    <row r="69" spans="1:82" x14ac:dyDescent="0.3">
      <c r="A69">
        <v>353</v>
      </c>
      <c r="B69" t="s">
        <v>226</v>
      </c>
      <c r="D69">
        <v>0</v>
      </c>
      <c r="E69">
        <v>0</v>
      </c>
      <c r="F69">
        <v>0</v>
      </c>
      <c r="G69">
        <v>0</v>
      </c>
      <c r="H69">
        <v>0</v>
      </c>
      <c r="I69">
        <v>0</v>
      </c>
      <c r="J69">
        <v>0</v>
      </c>
      <c r="K69">
        <v>0</v>
      </c>
      <c r="L69">
        <v>0</v>
      </c>
      <c r="M69">
        <v>0</v>
      </c>
      <c r="N69">
        <v>0</v>
      </c>
      <c r="O69">
        <v>0</v>
      </c>
      <c r="P69">
        <v>0</v>
      </c>
      <c r="Q69">
        <v>24166</v>
      </c>
      <c r="R69">
        <v>0</v>
      </c>
      <c r="S69">
        <v>0</v>
      </c>
      <c r="T69">
        <v>0</v>
      </c>
      <c r="U69">
        <v>0</v>
      </c>
      <c r="V69">
        <v>0</v>
      </c>
      <c r="W69">
        <v>0</v>
      </c>
      <c r="Y69">
        <v>0</v>
      </c>
      <c r="Z69">
        <v>29795</v>
      </c>
      <c r="AA69">
        <v>0</v>
      </c>
      <c r="AB69">
        <v>0</v>
      </c>
      <c r="AC69">
        <v>0</v>
      </c>
      <c r="AD69">
        <v>0</v>
      </c>
      <c r="AE69">
        <v>0</v>
      </c>
      <c r="AF69">
        <v>0</v>
      </c>
      <c r="AG69">
        <v>1171407</v>
      </c>
      <c r="AH69">
        <v>0</v>
      </c>
      <c r="AI69">
        <v>40000</v>
      </c>
      <c r="AJ69">
        <v>0</v>
      </c>
      <c r="AK69">
        <v>0</v>
      </c>
      <c r="AM69">
        <v>0</v>
      </c>
      <c r="AN69">
        <v>0</v>
      </c>
      <c r="AO69">
        <v>0</v>
      </c>
      <c r="AP69">
        <v>0</v>
      </c>
      <c r="AQ69">
        <v>0</v>
      </c>
      <c r="AR69">
        <v>688232</v>
      </c>
      <c r="AS69">
        <v>0</v>
      </c>
      <c r="AT69">
        <v>0</v>
      </c>
      <c r="AU69">
        <v>0</v>
      </c>
      <c r="AV69">
        <v>813278</v>
      </c>
      <c r="AW69">
        <v>0</v>
      </c>
      <c r="AX69">
        <v>0</v>
      </c>
      <c r="AY69">
        <v>0</v>
      </c>
      <c r="AZ69">
        <v>0</v>
      </c>
      <c r="BA69">
        <v>0</v>
      </c>
      <c r="BB69">
        <v>0</v>
      </c>
      <c r="BC69">
        <v>0</v>
      </c>
      <c r="BD69">
        <v>225975</v>
      </c>
      <c r="BE69">
        <v>0</v>
      </c>
      <c r="BF69">
        <v>0</v>
      </c>
      <c r="BG69">
        <v>0</v>
      </c>
      <c r="BH69">
        <v>0</v>
      </c>
      <c r="BI69">
        <v>0</v>
      </c>
      <c r="BJ69">
        <v>0</v>
      </c>
      <c r="BK69">
        <v>0</v>
      </c>
      <c r="BL69">
        <v>0</v>
      </c>
      <c r="BM69">
        <v>0</v>
      </c>
      <c r="BN69">
        <v>0</v>
      </c>
      <c r="BO69">
        <v>0</v>
      </c>
      <c r="BP69">
        <v>0</v>
      </c>
      <c r="BQ69">
        <v>0</v>
      </c>
      <c r="BR69">
        <v>0</v>
      </c>
      <c r="BS69">
        <v>0</v>
      </c>
      <c r="BT69">
        <v>3489</v>
      </c>
      <c r="BU69">
        <v>3271451</v>
      </c>
      <c r="BV69">
        <v>0</v>
      </c>
      <c r="BW69">
        <v>0</v>
      </c>
      <c r="BX69">
        <v>0</v>
      </c>
      <c r="BY69">
        <v>0</v>
      </c>
      <c r="BZ69">
        <v>0</v>
      </c>
      <c r="CA69">
        <v>0</v>
      </c>
      <c r="CB69">
        <v>0</v>
      </c>
      <c r="CD69">
        <v>0</v>
      </c>
    </row>
    <row r="70" spans="1:82" x14ac:dyDescent="0.3">
      <c r="A70">
        <v>356</v>
      </c>
      <c r="B70" t="s">
        <v>305</v>
      </c>
      <c r="D70">
        <v>0</v>
      </c>
      <c r="E70">
        <v>0</v>
      </c>
      <c r="F70">
        <v>0</v>
      </c>
      <c r="G70">
        <v>0</v>
      </c>
      <c r="H70">
        <v>0</v>
      </c>
      <c r="I70">
        <v>0</v>
      </c>
      <c r="J70">
        <v>0</v>
      </c>
      <c r="K70">
        <v>0</v>
      </c>
      <c r="L70">
        <v>0</v>
      </c>
      <c r="M70">
        <v>0</v>
      </c>
      <c r="N70">
        <v>0</v>
      </c>
      <c r="O70">
        <v>0</v>
      </c>
      <c r="P70">
        <v>0</v>
      </c>
      <c r="Q70">
        <v>132043199</v>
      </c>
      <c r="R70">
        <v>0</v>
      </c>
      <c r="S70">
        <v>0</v>
      </c>
      <c r="T70">
        <v>0</v>
      </c>
      <c r="U70">
        <v>0</v>
      </c>
      <c r="V70">
        <v>32376505</v>
      </c>
      <c r="W70">
        <v>0</v>
      </c>
      <c r="Y70">
        <v>0</v>
      </c>
      <c r="Z70">
        <v>0</v>
      </c>
      <c r="AA70">
        <v>0</v>
      </c>
      <c r="AB70">
        <v>0</v>
      </c>
      <c r="AC70">
        <v>0</v>
      </c>
      <c r="AD70">
        <v>0</v>
      </c>
      <c r="AE70">
        <v>0</v>
      </c>
      <c r="AF70">
        <v>0</v>
      </c>
      <c r="AG70">
        <v>0</v>
      </c>
      <c r="AH70">
        <v>0</v>
      </c>
      <c r="AI70">
        <v>84815137</v>
      </c>
      <c r="AJ70">
        <v>0</v>
      </c>
      <c r="AK70">
        <v>0</v>
      </c>
      <c r="AM70">
        <v>27843232</v>
      </c>
      <c r="AN70">
        <v>0</v>
      </c>
      <c r="AO70">
        <v>0</v>
      </c>
      <c r="AP70">
        <v>0</v>
      </c>
      <c r="AQ70">
        <v>0</v>
      </c>
      <c r="AR70">
        <v>0</v>
      </c>
      <c r="AS70">
        <v>0</v>
      </c>
      <c r="AT70">
        <v>0</v>
      </c>
      <c r="AU70">
        <v>275692</v>
      </c>
      <c r="AV70">
        <v>0</v>
      </c>
      <c r="AW70">
        <v>0</v>
      </c>
      <c r="AX70">
        <v>0</v>
      </c>
      <c r="AY70">
        <v>0</v>
      </c>
      <c r="AZ70">
        <v>0</v>
      </c>
      <c r="BA70">
        <v>0</v>
      </c>
      <c r="BB70">
        <v>0</v>
      </c>
      <c r="BC70">
        <v>0</v>
      </c>
      <c r="BD70">
        <v>0</v>
      </c>
      <c r="BE70">
        <v>0</v>
      </c>
      <c r="BF70">
        <v>0</v>
      </c>
      <c r="BG70">
        <v>0</v>
      </c>
      <c r="BH70">
        <v>0</v>
      </c>
      <c r="BI70">
        <v>0</v>
      </c>
      <c r="BJ70">
        <v>0</v>
      </c>
      <c r="BK70">
        <v>0</v>
      </c>
      <c r="BL70">
        <v>2093105</v>
      </c>
      <c r="BM70">
        <v>0</v>
      </c>
      <c r="BN70">
        <v>0</v>
      </c>
      <c r="BO70">
        <v>0</v>
      </c>
      <c r="BP70">
        <v>0</v>
      </c>
      <c r="BQ70">
        <v>0</v>
      </c>
      <c r="BR70">
        <v>1443875</v>
      </c>
      <c r="BS70">
        <v>22258976</v>
      </c>
      <c r="BT70">
        <v>0</v>
      </c>
      <c r="BU70">
        <v>0</v>
      </c>
      <c r="BV70">
        <v>0</v>
      </c>
      <c r="BW70">
        <v>0</v>
      </c>
      <c r="BX70">
        <v>0</v>
      </c>
      <c r="BY70">
        <v>0</v>
      </c>
      <c r="BZ70">
        <v>0</v>
      </c>
      <c r="CA70">
        <v>0</v>
      </c>
      <c r="CB70">
        <v>0</v>
      </c>
      <c r="CD70">
        <v>0</v>
      </c>
    </row>
    <row r="71" spans="1:82" x14ac:dyDescent="0.3">
      <c r="A71">
        <v>357</v>
      </c>
      <c r="B71" t="s">
        <v>306</v>
      </c>
      <c r="D71">
        <v>0</v>
      </c>
      <c r="E71">
        <v>0</v>
      </c>
      <c r="F71">
        <v>0</v>
      </c>
      <c r="G71">
        <v>0</v>
      </c>
      <c r="H71">
        <v>0</v>
      </c>
      <c r="I71">
        <v>0</v>
      </c>
      <c r="J71">
        <v>0</v>
      </c>
      <c r="K71">
        <v>0</v>
      </c>
      <c r="L71">
        <v>0</v>
      </c>
      <c r="M71">
        <v>0</v>
      </c>
      <c r="N71">
        <v>0</v>
      </c>
      <c r="O71">
        <v>0</v>
      </c>
      <c r="P71">
        <v>0</v>
      </c>
      <c r="Q71">
        <v>55330178</v>
      </c>
      <c r="R71">
        <v>0</v>
      </c>
      <c r="S71">
        <v>0</v>
      </c>
      <c r="T71">
        <v>0</v>
      </c>
      <c r="U71">
        <v>0</v>
      </c>
      <c r="V71">
        <v>18754985</v>
      </c>
      <c r="W71">
        <v>0</v>
      </c>
      <c r="Y71">
        <v>0</v>
      </c>
      <c r="Z71">
        <v>0</v>
      </c>
      <c r="AA71">
        <v>0</v>
      </c>
      <c r="AB71">
        <v>0</v>
      </c>
      <c r="AC71">
        <v>0</v>
      </c>
      <c r="AD71">
        <v>0</v>
      </c>
      <c r="AE71">
        <v>0</v>
      </c>
      <c r="AF71">
        <v>0</v>
      </c>
      <c r="AG71">
        <v>0</v>
      </c>
      <c r="AH71">
        <v>0</v>
      </c>
      <c r="AI71">
        <v>52654026</v>
      </c>
      <c r="AJ71">
        <v>0</v>
      </c>
      <c r="AK71">
        <v>0</v>
      </c>
      <c r="AM71">
        <v>16534555</v>
      </c>
      <c r="AN71">
        <v>0</v>
      </c>
      <c r="AO71">
        <v>0</v>
      </c>
      <c r="AP71">
        <v>0</v>
      </c>
      <c r="AQ71">
        <v>0</v>
      </c>
      <c r="AR71">
        <v>0</v>
      </c>
      <c r="AS71">
        <v>0</v>
      </c>
      <c r="AT71">
        <v>0</v>
      </c>
      <c r="AU71">
        <v>233927</v>
      </c>
      <c r="AV71">
        <v>0</v>
      </c>
      <c r="AW71">
        <v>0</v>
      </c>
      <c r="AX71">
        <v>0</v>
      </c>
      <c r="AY71">
        <v>0</v>
      </c>
      <c r="AZ71">
        <v>0</v>
      </c>
      <c r="BA71">
        <v>0</v>
      </c>
      <c r="BB71">
        <v>0</v>
      </c>
      <c r="BC71">
        <v>0</v>
      </c>
      <c r="BD71">
        <v>0</v>
      </c>
      <c r="BE71">
        <v>0</v>
      </c>
      <c r="BF71">
        <v>0</v>
      </c>
      <c r="BG71">
        <v>0</v>
      </c>
      <c r="BH71">
        <v>0</v>
      </c>
      <c r="BI71">
        <v>0</v>
      </c>
      <c r="BJ71">
        <v>0</v>
      </c>
      <c r="BK71">
        <v>0</v>
      </c>
      <c r="BL71">
        <v>1639935</v>
      </c>
      <c r="BM71">
        <v>0</v>
      </c>
      <c r="BN71">
        <v>0</v>
      </c>
      <c r="BO71">
        <v>0</v>
      </c>
      <c r="BP71">
        <v>0</v>
      </c>
      <c r="BQ71">
        <v>0</v>
      </c>
      <c r="BR71">
        <v>1324315</v>
      </c>
      <c r="BS71">
        <v>11572679</v>
      </c>
      <c r="BT71">
        <v>0</v>
      </c>
      <c r="BU71">
        <v>0</v>
      </c>
      <c r="BV71">
        <v>0</v>
      </c>
      <c r="BW71">
        <v>0</v>
      </c>
      <c r="BX71">
        <v>0</v>
      </c>
      <c r="BY71">
        <v>0</v>
      </c>
      <c r="BZ71">
        <v>0</v>
      </c>
      <c r="CA71">
        <v>0</v>
      </c>
      <c r="CB71">
        <v>0</v>
      </c>
      <c r="CD71">
        <v>0</v>
      </c>
    </row>
    <row r="72" spans="1:82" x14ac:dyDescent="0.3">
      <c r="A72">
        <v>359</v>
      </c>
      <c r="B72" t="s">
        <v>247</v>
      </c>
      <c r="D72">
        <v>0</v>
      </c>
      <c r="E72">
        <v>0</v>
      </c>
      <c r="F72">
        <v>0</v>
      </c>
      <c r="G72">
        <v>0</v>
      </c>
      <c r="H72">
        <v>0</v>
      </c>
      <c r="I72">
        <v>0</v>
      </c>
      <c r="J72">
        <v>0</v>
      </c>
      <c r="K72">
        <v>0</v>
      </c>
      <c r="L72">
        <v>0</v>
      </c>
      <c r="M72">
        <v>0</v>
      </c>
      <c r="N72">
        <v>0</v>
      </c>
      <c r="O72">
        <v>0</v>
      </c>
      <c r="P72">
        <v>0</v>
      </c>
      <c r="Q72">
        <v>13633604</v>
      </c>
      <c r="R72">
        <v>0</v>
      </c>
      <c r="S72">
        <v>0</v>
      </c>
      <c r="T72">
        <v>0</v>
      </c>
      <c r="U72">
        <v>0</v>
      </c>
      <c r="V72">
        <v>532986</v>
      </c>
      <c r="W72">
        <v>0</v>
      </c>
      <c r="Y72">
        <v>0</v>
      </c>
      <c r="Z72">
        <v>0</v>
      </c>
      <c r="AA72">
        <v>0</v>
      </c>
      <c r="AB72">
        <v>0</v>
      </c>
      <c r="AC72">
        <v>0</v>
      </c>
      <c r="AD72">
        <v>0</v>
      </c>
      <c r="AE72">
        <v>0</v>
      </c>
      <c r="AF72">
        <v>0</v>
      </c>
      <c r="AG72">
        <v>0</v>
      </c>
      <c r="AH72">
        <v>0</v>
      </c>
      <c r="AI72">
        <v>3772404</v>
      </c>
      <c r="AJ72">
        <v>0</v>
      </c>
      <c r="AK72">
        <v>0</v>
      </c>
      <c r="AM72">
        <v>3764348</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147369</v>
      </c>
      <c r="BM72">
        <v>0</v>
      </c>
      <c r="BN72">
        <v>0</v>
      </c>
      <c r="BO72">
        <v>0</v>
      </c>
      <c r="BP72">
        <v>0</v>
      </c>
      <c r="BQ72">
        <v>0</v>
      </c>
      <c r="BR72">
        <v>13263</v>
      </c>
      <c r="BS72">
        <v>0</v>
      </c>
      <c r="BT72">
        <v>0</v>
      </c>
      <c r="BU72">
        <v>0</v>
      </c>
      <c r="BV72">
        <v>0</v>
      </c>
      <c r="BW72">
        <v>0</v>
      </c>
      <c r="BX72">
        <v>0</v>
      </c>
      <c r="BY72">
        <v>0</v>
      </c>
      <c r="BZ72">
        <v>0</v>
      </c>
      <c r="CA72">
        <v>0</v>
      </c>
      <c r="CB72">
        <v>0</v>
      </c>
      <c r="CD72">
        <v>0</v>
      </c>
    </row>
    <row r="73" spans="1:82" x14ac:dyDescent="0.3">
      <c r="A73">
        <v>360</v>
      </c>
      <c r="B73" t="s">
        <v>117</v>
      </c>
      <c r="D73">
        <v>0</v>
      </c>
      <c r="E73">
        <v>0</v>
      </c>
      <c r="F73">
        <v>0</v>
      </c>
      <c r="G73">
        <v>0</v>
      </c>
      <c r="H73">
        <v>0</v>
      </c>
      <c r="I73">
        <v>0</v>
      </c>
      <c r="J73">
        <v>0</v>
      </c>
      <c r="K73">
        <v>0</v>
      </c>
      <c r="L73">
        <v>0</v>
      </c>
      <c r="M73">
        <v>0</v>
      </c>
      <c r="N73">
        <v>0</v>
      </c>
      <c r="O73">
        <v>0</v>
      </c>
      <c r="P73">
        <v>0</v>
      </c>
      <c r="Q73">
        <v>24534502</v>
      </c>
      <c r="R73">
        <v>0</v>
      </c>
      <c r="S73">
        <v>0</v>
      </c>
      <c r="T73">
        <v>0</v>
      </c>
      <c r="U73">
        <v>0</v>
      </c>
      <c r="V73">
        <v>6249721</v>
      </c>
      <c r="W73">
        <v>0</v>
      </c>
      <c r="Y73">
        <v>0</v>
      </c>
      <c r="Z73">
        <v>0</v>
      </c>
      <c r="AA73">
        <v>0</v>
      </c>
      <c r="AB73">
        <v>0</v>
      </c>
      <c r="AC73">
        <v>0</v>
      </c>
      <c r="AD73">
        <v>0</v>
      </c>
      <c r="AE73">
        <v>0</v>
      </c>
      <c r="AF73">
        <v>0</v>
      </c>
      <c r="AG73">
        <v>0</v>
      </c>
      <c r="AH73">
        <v>0</v>
      </c>
      <c r="AI73">
        <v>12587554</v>
      </c>
      <c r="AJ73">
        <v>0</v>
      </c>
      <c r="AK73">
        <v>0</v>
      </c>
      <c r="AM73">
        <v>6006167</v>
      </c>
      <c r="AN73">
        <v>0</v>
      </c>
      <c r="AO73">
        <v>0</v>
      </c>
      <c r="AP73">
        <v>0</v>
      </c>
      <c r="AQ73">
        <v>0</v>
      </c>
      <c r="AR73">
        <v>0</v>
      </c>
      <c r="AS73">
        <v>0</v>
      </c>
      <c r="AT73">
        <v>0</v>
      </c>
      <c r="AU73">
        <v>76936</v>
      </c>
      <c r="AV73">
        <v>0</v>
      </c>
      <c r="AW73">
        <v>0</v>
      </c>
      <c r="AX73">
        <v>0</v>
      </c>
      <c r="AY73">
        <v>0</v>
      </c>
      <c r="AZ73">
        <v>0</v>
      </c>
      <c r="BA73">
        <v>0</v>
      </c>
      <c r="BB73">
        <v>0</v>
      </c>
      <c r="BC73">
        <v>0</v>
      </c>
      <c r="BD73">
        <v>0</v>
      </c>
      <c r="BE73">
        <v>0</v>
      </c>
      <c r="BF73">
        <v>0</v>
      </c>
      <c r="BG73">
        <v>0</v>
      </c>
      <c r="BH73">
        <v>0</v>
      </c>
      <c r="BI73">
        <v>0</v>
      </c>
      <c r="BJ73">
        <v>0</v>
      </c>
      <c r="BK73">
        <v>0</v>
      </c>
      <c r="BL73">
        <v>257848</v>
      </c>
      <c r="BM73">
        <v>0</v>
      </c>
      <c r="BN73">
        <v>0</v>
      </c>
      <c r="BO73">
        <v>0</v>
      </c>
      <c r="BP73">
        <v>0</v>
      </c>
      <c r="BQ73">
        <v>0</v>
      </c>
      <c r="BR73">
        <v>553475</v>
      </c>
      <c r="BS73">
        <v>1740743</v>
      </c>
      <c r="BT73">
        <v>0</v>
      </c>
      <c r="BU73">
        <v>0</v>
      </c>
      <c r="BV73">
        <v>0</v>
      </c>
      <c r="BW73">
        <v>0</v>
      </c>
      <c r="BX73">
        <v>0</v>
      </c>
      <c r="BY73">
        <v>0</v>
      </c>
      <c r="BZ73">
        <v>0</v>
      </c>
      <c r="CA73">
        <v>0</v>
      </c>
      <c r="CB73">
        <v>0</v>
      </c>
      <c r="CD73">
        <v>0</v>
      </c>
    </row>
    <row r="74" spans="1:82" x14ac:dyDescent="0.3">
      <c r="A74">
        <v>361</v>
      </c>
      <c r="B74" t="s">
        <v>98</v>
      </c>
      <c r="D74">
        <v>0</v>
      </c>
      <c r="E74">
        <v>0</v>
      </c>
      <c r="F74">
        <v>0</v>
      </c>
      <c r="G74">
        <v>0</v>
      </c>
      <c r="H74">
        <v>0</v>
      </c>
      <c r="I74">
        <v>0</v>
      </c>
      <c r="J74">
        <v>0</v>
      </c>
      <c r="K74">
        <v>0</v>
      </c>
      <c r="L74">
        <v>0</v>
      </c>
      <c r="M74">
        <v>0</v>
      </c>
      <c r="N74">
        <v>0</v>
      </c>
      <c r="O74">
        <v>0</v>
      </c>
      <c r="P74">
        <v>0</v>
      </c>
      <c r="Q74">
        <v>91537734</v>
      </c>
      <c r="R74">
        <v>0</v>
      </c>
      <c r="S74">
        <v>0</v>
      </c>
      <c r="T74">
        <v>0</v>
      </c>
      <c r="U74">
        <v>0</v>
      </c>
      <c r="V74">
        <v>18401038</v>
      </c>
      <c r="W74">
        <v>0</v>
      </c>
      <c r="Y74">
        <v>0</v>
      </c>
      <c r="Z74">
        <v>0</v>
      </c>
      <c r="AA74">
        <v>0</v>
      </c>
      <c r="AB74">
        <v>0</v>
      </c>
      <c r="AC74">
        <v>0</v>
      </c>
      <c r="AD74">
        <v>0</v>
      </c>
      <c r="AE74">
        <v>0</v>
      </c>
      <c r="AF74">
        <v>0</v>
      </c>
      <c r="AG74">
        <v>0</v>
      </c>
      <c r="AH74">
        <v>0</v>
      </c>
      <c r="AI74">
        <v>21559730</v>
      </c>
      <c r="AJ74">
        <v>0</v>
      </c>
      <c r="AK74">
        <v>0</v>
      </c>
      <c r="AM74">
        <v>12394780</v>
      </c>
      <c r="AN74">
        <v>0</v>
      </c>
      <c r="AO74">
        <v>0</v>
      </c>
      <c r="AP74">
        <v>0</v>
      </c>
      <c r="AQ74">
        <v>0</v>
      </c>
      <c r="AR74">
        <v>0</v>
      </c>
      <c r="AS74">
        <v>0</v>
      </c>
      <c r="AT74">
        <v>0</v>
      </c>
      <c r="AU74">
        <v>719454</v>
      </c>
      <c r="AV74">
        <v>0</v>
      </c>
      <c r="AW74">
        <v>0</v>
      </c>
      <c r="AX74">
        <v>0</v>
      </c>
      <c r="AY74">
        <v>0</v>
      </c>
      <c r="AZ74">
        <v>0</v>
      </c>
      <c r="BA74">
        <v>0</v>
      </c>
      <c r="BB74">
        <v>0</v>
      </c>
      <c r="BC74">
        <v>0</v>
      </c>
      <c r="BD74">
        <v>0</v>
      </c>
      <c r="BE74">
        <v>0</v>
      </c>
      <c r="BF74">
        <v>0</v>
      </c>
      <c r="BG74">
        <v>0</v>
      </c>
      <c r="BH74">
        <v>0</v>
      </c>
      <c r="BI74">
        <v>0</v>
      </c>
      <c r="BJ74">
        <v>0</v>
      </c>
      <c r="BK74">
        <v>0</v>
      </c>
      <c r="BL74">
        <v>1609697</v>
      </c>
      <c r="BM74">
        <v>0</v>
      </c>
      <c r="BN74">
        <v>0</v>
      </c>
      <c r="BO74">
        <v>0</v>
      </c>
      <c r="BP74">
        <v>0</v>
      </c>
      <c r="BQ74">
        <v>0</v>
      </c>
      <c r="BR74">
        <v>1764226</v>
      </c>
      <c r="BS74">
        <v>5104607</v>
      </c>
      <c r="BT74">
        <v>0</v>
      </c>
      <c r="BU74">
        <v>0</v>
      </c>
      <c r="BV74">
        <v>0</v>
      </c>
      <c r="BW74">
        <v>0</v>
      </c>
      <c r="BX74">
        <v>0</v>
      </c>
      <c r="BY74">
        <v>0</v>
      </c>
      <c r="BZ74">
        <v>0</v>
      </c>
      <c r="CA74">
        <v>0</v>
      </c>
      <c r="CB74">
        <v>0</v>
      </c>
      <c r="CD74">
        <v>0</v>
      </c>
    </row>
    <row r="75" spans="1:82" x14ac:dyDescent="0.3">
      <c r="A75">
        <v>362</v>
      </c>
      <c r="B75" t="s">
        <v>99</v>
      </c>
      <c r="D75">
        <v>0</v>
      </c>
      <c r="E75">
        <v>0</v>
      </c>
      <c r="F75">
        <v>0</v>
      </c>
      <c r="G75">
        <v>0</v>
      </c>
      <c r="H75">
        <v>0</v>
      </c>
      <c r="I75">
        <v>0</v>
      </c>
      <c r="J75">
        <v>0</v>
      </c>
      <c r="K75">
        <v>0</v>
      </c>
      <c r="L75">
        <v>0</v>
      </c>
      <c r="M75">
        <v>0</v>
      </c>
      <c r="N75">
        <v>0</v>
      </c>
      <c r="O75">
        <v>0</v>
      </c>
      <c r="P75">
        <v>0</v>
      </c>
      <c r="Q75">
        <v>161911939</v>
      </c>
      <c r="R75">
        <v>0</v>
      </c>
      <c r="S75">
        <v>0</v>
      </c>
      <c r="T75">
        <v>0</v>
      </c>
      <c r="U75">
        <v>0</v>
      </c>
      <c r="V75">
        <v>32056940</v>
      </c>
      <c r="W75">
        <v>0</v>
      </c>
      <c r="Y75">
        <v>0</v>
      </c>
      <c r="Z75">
        <v>0</v>
      </c>
      <c r="AA75">
        <v>0</v>
      </c>
      <c r="AB75">
        <v>0</v>
      </c>
      <c r="AC75">
        <v>0</v>
      </c>
      <c r="AD75">
        <v>0</v>
      </c>
      <c r="AE75">
        <v>0</v>
      </c>
      <c r="AF75">
        <v>0</v>
      </c>
      <c r="AG75">
        <v>0</v>
      </c>
      <c r="AH75">
        <v>0</v>
      </c>
      <c r="AI75">
        <v>54418019</v>
      </c>
      <c r="AJ75">
        <v>0</v>
      </c>
      <c r="AK75">
        <v>0</v>
      </c>
      <c r="AM75">
        <v>21481593</v>
      </c>
      <c r="AN75">
        <v>0</v>
      </c>
      <c r="AO75">
        <v>0</v>
      </c>
      <c r="AP75">
        <v>0</v>
      </c>
      <c r="AQ75">
        <v>0</v>
      </c>
      <c r="AR75">
        <v>0</v>
      </c>
      <c r="AS75">
        <v>0</v>
      </c>
      <c r="AT75">
        <v>0</v>
      </c>
      <c r="AU75">
        <v>768624</v>
      </c>
      <c r="AV75">
        <v>0</v>
      </c>
      <c r="AW75">
        <v>0</v>
      </c>
      <c r="AX75">
        <v>0</v>
      </c>
      <c r="AY75">
        <v>0</v>
      </c>
      <c r="AZ75">
        <v>0</v>
      </c>
      <c r="BA75">
        <v>0</v>
      </c>
      <c r="BB75">
        <v>0</v>
      </c>
      <c r="BC75">
        <v>0</v>
      </c>
      <c r="BD75">
        <v>0</v>
      </c>
      <c r="BE75">
        <v>0</v>
      </c>
      <c r="BF75">
        <v>0</v>
      </c>
      <c r="BG75">
        <v>0</v>
      </c>
      <c r="BH75">
        <v>0</v>
      </c>
      <c r="BI75">
        <v>0</v>
      </c>
      <c r="BJ75">
        <v>0</v>
      </c>
      <c r="BK75">
        <v>0</v>
      </c>
      <c r="BL75">
        <v>1915497</v>
      </c>
      <c r="BM75">
        <v>0</v>
      </c>
      <c r="BN75">
        <v>0</v>
      </c>
      <c r="BO75">
        <v>0</v>
      </c>
      <c r="BP75">
        <v>0</v>
      </c>
      <c r="BQ75">
        <v>0</v>
      </c>
      <c r="BR75">
        <v>1895386</v>
      </c>
      <c r="BS75">
        <v>22881706</v>
      </c>
      <c r="BT75">
        <v>0</v>
      </c>
      <c r="BU75">
        <v>0</v>
      </c>
      <c r="BV75">
        <v>0</v>
      </c>
      <c r="BW75">
        <v>0</v>
      </c>
      <c r="BX75">
        <v>0</v>
      </c>
      <c r="BY75">
        <v>0</v>
      </c>
      <c r="BZ75">
        <v>0</v>
      </c>
      <c r="CA75">
        <v>0</v>
      </c>
      <c r="CB75">
        <v>0</v>
      </c>
      <c r="CD75">
        <v>0</v>
      </c>
    </row>
    <row r="76" spans="1:82" x14ac:dyDescent="0.3">
      <c r="A76">
        <v>363</v>
      </c>
      <c r="B76" t="s">
        <v>233</v>
      </c>
      <c r="D76">
        <v>0</v>
      </c>
      <c r="E76">
        <v>0</v>
      </c>
      <c r="F76">
        <v>0</v>
      </c>
      <c r="G76">
        <v>0</v>
      </c>
      <c r="H76">
        <v>0</v>
      </c>
      <c r="I76">
        <v>0</v>
      </c>
      <c r="J76">
        <v>0</v>
      </c>
      <c r="K76">
        <v>0</v>
      </c>
      <c r="L76">
        <v>0</v>
      </c>
      <c r="M76">
        <v>0</v>
      </c>
      <c r="N76">
        <v>0</v>
      </c>
      <c r="O76">
        <v>0</v>
      </c>
      <c r="P76">
        <v>0</v>
      </c>
      <c r="Q76">
        <v>640483</v>
      </c>
      <c r="R76">
        <v>0</v>
      </c>
      <c r="S76">
        <v>0</v>
      </c>
      <c r="T76">
        <v>0</v>
      </c>
      <c r="U76">
        <v>0</v>
      </c>
      <c r="V76">
        <v>155592</v>
      </c>
      <c r="W76">
        <v>0</v>
      </c>
      <c r="Y76">
        <v>0</v>
      </c>
      <c r="Z76">
        <v>0</v>
      </c>
      <c r="AA76">
        <v>0</v>
      </c>
      <c r="AB76">
        <v>0</v>
      </c>
      <c r="AC76">
        <v>0</v>
      </c>
      <c r="AD76">
        <v>0</v>
      </c>
      <c r="AE76">
        <v>0</v>
      </c>
      <c r="AF76">
        <v>0</v>
      </c>
      <c r="AG76">
        <v>0</v>
      </c>
      <c r="AH76">
        <v>0</v>
      </c>
      <c r="AI76">
        <v>32230</v>
      </c>
      <c r="AJ76">
        <v>0</v>
      </c>
      <c r="AK76">
        <v>0</v>
      </c>
      <c r="AM76">
        <v>1016286</v>
      </c>
      <c r="AN76">
        <v>0</v>
      </c>
      <c r="AO76">
        <v>0</v>
      </c>
      <c r="AP76">
        <v>0</v>
      </c>
      <c r="AQ76">
        <v>0</v>
      </c>
      <c r="AR76">
        <v>0</v>
      </c>
      <c r="AS76">
        <v>0</v>
      </c>
      <c r="AT76">
        <v>0</v>
      </c>
      <c r="AU76">
        <v>14896</v>
      </c>
      <c r="AV76">
        <v>0</v>
      </c>
      <c r="AW76">
        <v>0</v>
      </c>
      <c r="AX76">
        <v>0</v>
      </c>
      <c r="AY76">
        <v>0</v>
      </c>
      <c r="AZ76">
        <v>0</v>
      </c>
      <c r="BA76">
        <v>0</v>
      </c>
      <c r="BB76">
        <v>0</v>
      </c>
      <c r="BC76">
        <v>0</v>
      </c>
      <c r="BD76">
        <v>0</v>
      </c>
      <c r="BE76">
        <v>0</v>
      </c>
      <c r="BF76">
        <v>0</v>
      </c>
      <c r="BG76">
        <v>0</v>
      </c>
      <c r="BH76">
        <v>0</v>
      </c>
      <c r="BI76">
        <v>0</v>
      </c>
      <c r="BJ76">
        <v>0</v>
      </c>
      <c r="BK76">
        <v>0</v>
      </c>
      <c r="BL76">
        <v>500</v>
      </c>
      <c r="BM76">
        <v>0</v>
      </c>
      <c r="BN76">
        <v>0</v>
      </c>
      <c r="BO76">
        <v>0</v>
      </c>
      <c r="BP76">
        <v>0</v>
      </c>
      <c r="BQ76">
        <v>0</v>
      </c>
      <c r="BR76">
        <v>0</v>
      </c>
      <c r="BS76">
        <v>47349</v>
      </c>
      <c r="BT76">
        <v>0</v>
      </c>
      <c r="BU76">
        <v>0</v>
      </c>
      <c r="BV76">
        <v>0</v>
      </c>
      <c r="BW76">
        <v>0</v>
      </c>
      <c r="BX76">
        <v>0</v>
      </c>
      <c r="BY76">
        <v>0</v>
      </c>
      <c r="BZ76">
        <v>0</v>
      </c>
      <c r="CA76">
        <v>0</v>
      </c>
      <c r="CB76">
        <v>0</v>
      </c>
      <c r="CD76">
        <v>0</v>
      </c>
    </row>
    <row r="77" spans="1:82" x14ac:dyDescent="0.3">
      <c r="A77">
        <v>364</v>
      </c>
      <c r="B77" t="s">
        <v>234</v>
      </c>
      <c r="D77">
        <v>0</v>
      </c>
      <c r="E77">
        <v>0</v>
      </c>
      <c r="F77">
        <v>0</v>
      </c>
      <c r="G77">
        <v>0</v>
      </c>
      <c r="H77">
        <v>0</v>
      </c>
      <c r="I77">
        <v>0</v>
      </c>
      <c r="J77">
        <v>0</v>
      </c>
      <c r="K77">
        <v>0</v>
      </c>
      <c r="L77">
        <v>0</v>
      </c>
      <c r="M77">
        <v>0</v>
      </c>
      <c r="N77">
        <v>0</v>
      </c>
      <c r="O77">
        <v>0</v>
      </c>
      <c r="P77">
        <v>0</v>
      </c>
      <c r="Q77">
        <v>2211481</v>
      </c>
      <c r="R77">
        <v>0</v>
      </c>
      <c r="S77">
        <v>0</v>
      </c>
      <c r="T77">
        <v>0</v>
      </c>
      <c r="U77">
        <v>0</v>
      </c>
      <c r="V77">
        <v>12554</v>
      </c>
      <c r="W77">
        <v>0</v>
      </c>
      <c r="Y77">
        <v>0</v>
      </c>
      <c r="Z77">
        <v>0</v>
      </c>
      <c r="AA77">
        <v>0</v>
      </c>
      <c r="AB77">
        <v>0</v>
      </c>
      <c r="AC77">
        <v>0</v>
      </c>
      <c r="AD77">
        <v>0</v>
      </c>
      <c r="AE77">
        <v>0</v>
      </c>
      <c r="AF77">
        <v>0</v>
      </c>
      <c r="AG77">
        <v>0</v>
      </c>
      <c r="AH77">
        <v>0</v>
      </c>
      <c r="AI77">
        <v>133460</v>
      </c>
      <c r="AJ77">
        <v>0</v>
      </c>
      <c r="AK77">
        <v>0</v>
      </c>
      <c r="AM77">
        <v>883474</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5315</v>
      </c>
      <c r="BM77">
        <v>0</v>
      </c>
      <c r="BN77">
        <v>0</v>
      </c>
      <c r="BO77">
        <v>0</v>
      </c>
      <c r="BP77">
        <v>0</v>
      </c>
      <c r="BQ77">
        <v>0</v>
      </c>
      <c r="BR77">
        <v>7854</v>
      </c>
      <c r="BS77">
        <v>0</v>
      </c>
      <c r="BT77">
        <v>0</v>
      </c>
      <c r="BU77">
        <v>0</v>
      </c>
      <c r="BV77">
        <v>0</v>
      </c>
      <c r="BW77">
        <v>0</v>
      </c>
      <c r="BX77">
        <v>0</v>
      </c>
      <c r="BY77">
        <v>0</v>
      </c>
      <c r="BZ77">
        <v>0</v>
      </c>
      <c r="CA77">
        <v>0</v>
      </c>
      <c r="CB77">
        <v>0</v>
      </c>
      <c r="CD77">
        <v>0</v>
      </c>
    </row>
    <row r="78" spans="1:82" x14ac:dyDescent="0.3">
      <c r="A78">
        <v>365</v>
      </c>
      <c r="B78" t="s">
        <v>236</v>
      </c>
      <c r="D78">
        <v>0</v>
      </c>
      <c r="E78">
        <v>0</v>
      </c>
      <c r="F78">
        <v>0</v>
      </c>
      <c r="G78">
        <v>0</v>
      </c>
      <c r="H78">
        <v>0</v>
      </c>
      <c r="I78">
        <v>0</v>
      </c>
      <c r="J78">
        <v>0</v>
      </c>
      <c r="K78">
        <v>0</v>
      </c>
      <c r="L78">
        <v>0</v>
      </c>
      <c r="M78">
        <v>0</v>
      </c>
      <c r="N78">
        <v>0</v>
      </c>
      <c r="O78">
        <v>0</v>
      </c>
      <c r="P78">
        <v>0</v>
      </c>
      <c r="Q78">
        <v>0</v>
      </c>
      <c r="R78">
        <v>0</v>
      </c>
      <c r="S78">
        <v>0</v>
      </c>
      <c r="T78">
        <v>0</v>
      </c>
      <c r="U78">
        <v>0</v>
      </c>
      <c r="V78">
        <v>0</v>
      </c>
      <c r="W78">
        <v>0</v>
      </c>
      <c r="Y78">
        <v>0</v>
      </c>
      <c r="Z78">
        <v>0</v>
      </c>
      <c r="AA78">
        <v>0</v>
      </c>
      <c r="AB78">
        <v>0</v>
      </c>
      <c r="AC78">
        <v>0</v>
      </c>
      <c r="AD78">
        <v>0</v>
      </c>
      <c r="AE78">
        <v>0</v>
      </c>
      <c r="AF78">
        <v>0</v>
      </c>
      <c r="AG78">
        <v>0</v>
      </c>
      <c r="AH78">
        <v>0</v>
      </c>
      <c r="AI78">
        <v>0</v>
      </c>
      <c r="AJ78">
        <v>0</v>
      </c>
      <c r="AK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D78">
        <v>0</v>
      </c>
    </row>
    <row r="79" spans="1:82" x14ac:dyDescent="0.3">
      <c r="A79">
        <v>366</v>
      </c>
      <c r="B79" t="s">
        <v>885</v>
      </c>
      <c r="D79">
        <v>0</v>
      </c>
      <c r="E79">
        <v>0</v>
      </c>
      <c r="F79">
        <v>0</v>
      </c>
      <c r="G79">
        <v>0</v>
      </c>
      <c r="H79">
        <v>0</v>
      </c>
      <c r="I79">
        <v>0</v>
      </c>
      <c r="J79">
        <v>0</v>
      </c>
      <c r="K79">
        <v>0</v>
      </c>
      <c r="L79">
        <v>0</v>
      </c>
      <c r="M79">
        <v>0</v>
      </c>
      <c r="N79">
        <v>0</v>
      </c>
      <c r="O79">
        <v>0</v>
      </c>
      <c r="P79">
        <v>0</v>
      </c>
      <c r="Q79">
        <v>468863</v>
      </c>
      <c r="R79">
        <v>0</v>
      </c>
      <c r="S79">
        <v>0</v>
      </c>
      <c r="T79">
        <v>0</v>
      </c>
      <c r="U79">
        <v>0</v>
      </c>
      <c r="V79">
        <v>794458</v>
      </c>
      <c r="W79">
        <v>0</v>
      </c>
      <c r="Y79">
        <v>0</v>
      </c>
      <c r="Z79">
        <v>0</v>
      </c>
      <c r="AA79">
        <v>0</v>
      </c>
      <c r="AB79">
        <v>0</v>
      </c>
      <c r="AC79">
        <v>0</v>
      </c>
      <c r="AD79">
        <v>0</v>
      </c>
      <c r="AE79">
        <v>0</v>
      </c>
      <c r="AF79">
        <v>0</v>
      </c>
      <c r="AG79">
        <v>0</v>
      </c>
      <c r="AH79">
        <v>0</v>
      </c>
      <c r="AI79">
        <v>2572550</v>
      </c>
      <c r="AJ79">
        <v>0</v>
      </c>
      <c r="AK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344778</v>
      </c>
      <c r="BS79">
        <v>28929</v>
      </c>
      <c r="BT79">
        <v>0</v>
      </c>
      <c r="BU79">
        <v>0</v>
      </c>
      <c r="BV79">
        <v>0</v>
      </c>
      <c r="BW79">
        <v>0</v>
      </c>
      <c r="BX79">
        <v>0</v>
      </c>
      <c r="BY79">
        <v>0</v>
      </c>
      <c r="BZ79">
        <v>0</v>
      </c>
      <c r="CA79">
        <v>0</v>
      </c>
      <c r="CB79">
        <v>0</v>
      </c>
      <c r="CD79">
        <v>0</v>
      </c>
    </row>
    <row r="80" spans="1:82" x14ac:dyDescent="0.3">
      <c r="A80">
        <v>368</v>
      </c>
      <c r="B80" t="s">
        <v>191</v>
      </c>
      <c r="D80">
        <v>0</v>
      </c>
      <c r="E80">
        <v>0</v>
      </c>
      <c r="F80">
        <v>0</v>
      </c>
      <c r="G80">
        <v>0</v>
      </c>
      <c r="H80">
        <v>0</v>
      </c>
      <c r="I80">
        <v>0</v>
      </c>
      <c r="J80">
        <v>0</v>
      </c>
      <c r="K80">
        <v>0</v>
      </c>
      <c r="L80">
        <v>0</v>
      </c>
      <c r="M80">
        <v>0</v>
      </c>
      <c r="N80">
        <v>0</v>
      </c>
      <c r="O80">
        <v>0</v>
      </c>
      <c r="P80">
        <v>0</v>
      </c>
      <c r="Q80">
        <v>15868</v>
      </c>
      <c r="R80">
        <v>0</v>
      </c>
      <c r="S80">
        <v>0</v>
      </c>
      <c r="T80">
        <v>19477</v>
      </c>
      <c r="U80">
        <v>0</v>
      </c>
      <c r="V80">
        <v>0</v>
      </c>
      <c r="W80">
        <v>0</v>
      </c>
      <c r="Y80">
        <v>284205</v>
      </c>
      <c r="Z80">
        <v>0</v>
      </c>
      <c r="AA80">
        <v>86045</v>
      </c>
      <c r="AB80">
        <v>0</v>
      </c>
      <c r="AC80">
        <v>32379</v>
      </c>
      <c r="AD80">
        <v>0</v>
      </c>
      <c r="AE80">
        <v>0</v>
      </c>
      <c r="AF80">
        <v>7710</v>
      </c>
      <c r="AG80">
        <v>0</v>
      </c>
      <c r="AH80">
        <v>0</v>
      </c>
      <c r="AI80">
        <v>0</v>
      </c>
      <c r="AJ80">
        <v>0</v>
      </c>
      <c r="AK80">
        <v>0</v>
      </c>
      <c r="AM80">
        <v>33640</v>
      </c>
      <c r="AN80">
        <v>0</v>
      </c>
      <c r="AO80">
        <v>0</v>
      </c>
      <c r="AP80">
        <v>0</v>
      </c>
      <c r="AQ80">
        <v>0</v>
      </c>
      <c r="AR80">
        <v>0</v>
      </c>
      <c r="AS80">
        <v>0</v>
      </c>
      <c r="AT80">
        <v>0</v>
      </c>
      <c r="AU80">
        <v>0</v>
      </c>
      <c r="AV80">
        <v>93429</v>
      </c>
      <c r="AW80">
        <v>12907</v>
      </c>
      <c r="AX80">
        <v>33000</v>
      </c>
      <c r="AY80">
        <v>157311</v>
      </c>
      <c r="AZ80">
        <v>0</v>
      </c>
      <c r="BA80">
        <v>0</v>
      </c>
      <c r="BB80">
        <v>0</v>
      </c>
      <c r="BC80">
        <v>3100</v>
      </c>
      <c r="BD80">
        <v>0</v>
      </c>
      <c r="BE80">
        <v>0</v>
      </c>
      <c r="BF80">
        <v>0</v>
      </c>
      <c r="BG80">
        <v>0</v>
      </c>
      <c r="BH80">
        <v>0</v>
      </c>
      <c r="BI80">
        <v>0</v>
      </c>
      <c r="BJ80">
        <v>0</v>
      </c>
      <c r="BK80">
        <v>0</v>
      </c>
      <c r="BL80">
        <v>0</v>
      </c>
      <c r="BM80">
        <v>0</v>
      </c>
      <c r="BN80">
        <v>45437</v>
      </c>
      <c r="BO80">
        <v>0</v>
      </c>
      <c r="BP80">
        <v>0</v>
      </c>
      <c r="BQ80">
        <v>0</v>
      </c>
      <c r="BR80">
        <v>0</v>
      </c>
      <c r="BS80">
        <v>0</v>
      </c>
      <c r="BT80">
        <v>0</v>
      </c>
      <c r="BU80">
        <v>0</v>
      </c>
      <c r="BV80">
        <v>632678</v>
      </c>
      <c r="BW80">
        <v>0</v>
      </c>
      <c r="BX80">
        <v>0</v>
      </c>
      <c r="BY80">
        <v>16729</v>
      </c>
      <c r="BZ80">
        <v>0</v>
      </c>
      <c r="CA80">
        <v>0</v>
      </c>
      <c r="CB80">
        <v>0</v>
      </c>
      <c r="CD80">
        <v>0</v>
      </c>
    </row>
    <row r="81" spans="1:82" x14ac:dyDescent="0.3">
      <c r="A81">
        <v>369</v>
      </c>
      <c r="B81" t="s">
        <v>196</v>
      </c>
      <c r="D81">
        <v>121250</v>
      </c>
      <c r="E81">
        <v>30533</v>
      </c>
      <c r="F81">
        <v>431340</v>
      </c>
      <c r="G81">
        <v>1116387</v>
      </c>
      <c r="H81">
        <v>2120046</v>
      </c>
      <c r="I81">
        <v>2001107</v>
      </c>
      <c r="J81">
        <v>39327</v>
      </c>
      <c r="K81">
        <v>279647</v>
      </c>
      <c r="L81">
        <v>98003</v>
      </c>
      <c r="M81">
        <v>5902909</v>
      </c>
      <c r="N81">
        <v>384124</v>
      </c>
      <c r="O81">
        <v>1260051</v>
      </c>
      <c r="P81">
        <v>9457</v>
      </c>
      <c r="Q81">
        <v>16138936</v>
      </c>
      <c r="R81">
        <v>144193</v>
      </c>
      <c r="S81">
        <v>5125</v>
      </c>
      <c r="T81">
        <v>28753797</v>
      </c>
      <c r="U81">
        <v>7899656</v>
      </c>
      <c r="V81">
        <v>3978637</v>
      </c>
      <c r="W81">
        <v>13354853</v>
      </c>
      <c r="Y81">
        <v>6360192</v>
      </c>
      <c r="Z81">
        <v>661224</v>
      </c>
      <c r="AA81">
        <v>6817914</v>
      </c>
      <c r="AB81">
        <v>2824502</v>
      </c>
      <c r="AC81">
        <v>1247246</v>
      </c>
      <c r="AD81">
        <v>1022742</v>
      </c>
      <c r="AE81">
        <v>1513721</v>
      </c>
      <c r="AF81">
        <v>1962409</v>
      </c>
      <c r="AG81">
        <v>2870282</v>
      </c>
      <c r="AH81">
        <v>770282</v>
      </c>
      <c r="AI81">
        <v>15346110</v>
      </c>
      <c r="AJ81">
        <v>553624</v>
      </c>
      <c r="AK81">
        <v>740346</v>
      </c>
      <c r="AM81">
        <v>1363501</v>
      </c>
      <c r="AN81">
        <v>301390</v>
      </c>
      <c r="AO81">
        <v>625140</v>
      </c>
      <c r="AP81">
        <v>34235</v>
      </c>
      <c r="AQ81">
        <v>2827114</v>
      </c>
      <c r="AR81">
        <v>2690887</v>
      </c>
      <c r="AS81">
        <v>343585</v>
      </c>
      <c r="AT81">
        <v>1093876</v>
      </c>
      <c r="AU81">
        <v>63963</v>
      </c>
      <c r="AV81">
        <v>4413708</v>
      </c>
      <c r="AW81">
        <v>939040</v>
      </c>
      <c r="AX81">
        <v>987457</v>
      </c>
      <c r="AY81">
        <v>3315394</v>
      </c>
      <c r="AZ81">
        <v>279692</v>
      </c>
      <c r="BA81">
        <v>355721</v>
      </c>
      <c r="BB81">
        <v>37235</v>
      </c>
      <c r="BC81">
        <v>21458</v>
      </c>
      <c r="BD81">
        <v>3653852</v>
      </c>
      <c r="BE81">
        <v>88505</v>
      </c>
      <c r="BF81">
        <v>74106</v>
      </c>
      <c r="BG81">
        <v>59133</v>
      </c>
      <c r="BH81">
        <v>45488</v>
      </c>
      <c r="BI81">
        <v>160273</v>
      </c>
      <c r="BJ81">
        <v>144192</v>
      </c>
      <c r="BK81">
        <v>491751</v>
      </c>
      <c r="BL81">
        <v>352447</v>
      </c>
      <c r="BM81">
        <v>983073</v>
      </c>
      <c r="BN81">
        <v>1550165</v>
      </c>
      <c r="BO81">
        <v>540556</v>
      </c>
      <c r="BP81">
        <v>1135581</v>
      </c>
      <c r="BQ81">
        <v>8559605</v>
      </c>
      <c r="BR81">
        <v>555086</v>
      </c>
      <c r="BS81">
        <v>7280559</v>
      </c>
      <c r="BT81">
        <v>324579</v>
      </c>
      <c r="BU81">
        <v>331463</v>
      </c>
      <c r="BV81">
        <v>373750</v>
      </c>
      <c r="BW81">
        <v>1016533</v>
      </c>
      <c r="BX81">
        <v>815334</v>
      </c>
      <c r="BY81">
        <v>55126</v>
      </c>
      <c r="BZ81">
        <v>244534</v>
      </c>
      <c r="CA81">
        <v>80603</v>
      </c>
      <c r="CB81">
        <v>458078</v>
      </c>
      <c r="CD81">
        <v>50916</v>
      </c>
    </row>
    <row r="82" spans="1:82" x14ac:dyDescent="0.3">
      <c r="A82">
        <v>370</v>
      </c>
      <c r="B82" t="s">
        <v>198</v>
      </c>
      <c r="D82">
        <v>1924</v>
      </c>
      <c r="E82">
        <v>2100</v>
      </c>
      <c r="F82">
        <v>14569</v>
      </c>
      <c r="G82">
        <v>50589</v>
      </c>
      <c r="H82">
        <v>0</v>
      </c>
      <c r="I82">
        <v>0</v>
      </c>
      <c r="J82">
        <v>0</v>
      </c>
      <c r="K82">
        <v>0</v>
      </c>
      <c r="L82">
        <v>0</v>
      </c>
      <c r="M82">
        <v>1062998</v>
      </c>
      <c r="N82">
        <v>11903</v>
      </c>
      <c r="O82">
        <v>125159</v>
      </c>
      <c r="P82">
        <v>0</v>
      </c>
      <c r="Q82">
        <v>3221477</v>
      </c>
      <c r="R82">
        <v>17941</v>
      </c>
      <c r="S82">
        <v>0</v>
      </c>
      <c r="T82">
        <v>9010433</v>
      </c>
      <c r="U82">
        <v>8841788</v>
      </c>
      <c r="V82">
        <v>1405433</v>
      </c>
      <c r="W82">
        <v>3079639</v>
      </c>
      <c r="Y82">
        <v>45232</v>
      </c>
      <c r="Z82">
        <v>0</v>
      </c>
      <c r="AA82">
        <v>1403629</v>
      </c>
      <c r="AB82">
        <v>74834</v>
      </c>
      <c r="AC82">
        <v>103947</v>
      </c>
      <c r="AD82">
        <v>0</v>
      </c>
      <c r="AE82">
        <v>110978</v>
      </c>
      <c r="AF82">
        <v>4066078</v>
      </c>
      <c r="AG82">
        <v>65051</v>
      </c>
      <c r="AH82">
        <v>8654</v>
      </c>
      <c r="AI82">
        <v>2248446</v>
      </c>
      <c r="AJ82">
        <v>0</v>
      </c>
      <c r="AK82">
        <v>0</v>
      </c>
      <c r="AM82">
        <v>1368641</v>
      </c>
      <c r="AN82">
        <v>0</v>
      </c>
      <c r="AO82">
        <v>29831</v>
      </c>
      <c r="AP82">
        <v>0</v>
      </c>
      <c r="AQ82">
        <v>100183</v>
      </c>
      <c r="AR82">
        <v>803025</v>
      </c>
      <c r="AS82">
        <v>0</v>
      </c>
      <c r="AT82">
        <v>116874</v>
      </c>
      <c r="AU82">
        <v>0</v>
      </c>
      <c r="AV82">
        <v>0</v>
      </c>
      <c r="AW82">
        <v>255600</v>
      </c>
      <c r="AX82">
        <v>0</v>
      </c>
      <c r="AY82">
        <v>938170</v>
      </c>
      <c r="AZ82">
        <v>24067</v>
      </c>
      <c r="BA82">
        <v>0</v>
      </c>
      <c r="BB82">
        <v>0</v>
      </c>
      <c r="BC82">
        <v>0</v>
      </c>
      <c r="BD82">
        <v>211122</v>
      </c>
      <c r="BE82">
        <v>0</v>
      </c>
      <c r="BF82">
        <v>0</v>
      </c>
      <c r="BG82">
        <v>93395</v>
      </c>
      <c r="BH82">
        <v>0</v>
      </c>
      <c r="BI82">
        <v>0</v>
      </c>
      <c r="BJ82">
        <v>18940</v>
      </c>
      <c r="BK82">
        <v>270809</v>
      </c>
      <c r="BL82">
        <v>0</v>
      </c>
      <c r="BM82">
        <v>37175</v>
      </c>
      <c r="BN82">
        <v>162274</v>
      </c>
      <c r="BO82">
        <v>45967</v>
      </c>
      <c r="BP82">
        <v>578145</v>
      </c>
      <c r="BQ82">
        <v>11343</v>
      </c>
      <c r="BR82">
        <v>24653</v>
      </c>
      <c r="BS82">
        <v>325961</v>
      </c>
      <c r="BT82">
        <v>20544</v>
      </c>
      <c r="BU82">
        <v>124155</v>
      </c>
      <c r="BV82">
        <v>0</v>
      </c>
      <c r="BW82">
        <v>112023</v>
      </c>
      <c r="BX82">
        <v>10188</v>
      </c>
      <c r="BY82">
        <v>0</v>
      </c>
      <c r="BZ82">
        <v>281994</v>
      </c>
      <c r="CA82">
        <v>0</v>
      </c>
      <c r="CB82">
        <v>75518</v>
      </c>
      <c r="CD82">
        <v>0</v>
      </c>
    </row>
    <row r="83" spans="1:82" x14ac:dyDescent="0.3">
      <c r="A83">
        <v>371</v>
      </c>
      <c r="B83" t="s">
        <v>248</v>
      </c>
      <c r="D83">
        <v>0</v>
      </c>
      <c r="E83">
        <v>0</v>
      </c>
      <c r="F83">
        <v>0</v>
      </c>
      <c r="G83">
        <v>0</v>
      </c>
      <c r="H83">
        <v>0</v>
      </c>
      <c r="I83">
        <v>0</v>
      </c>
      <c r="J83">
        <v>0</v>
      </c>
      <c r="K83">
        <v>0</v>
      </c>
      <c r="L83">
        <v>0</v>
      </c>
      <c r="M83">
        <v>0</v>
      </c>
      <c r="N83">
        <v>0</v>
      </c>
      <c r="O83">
        <v>0</v>
      </c>
      <c r="P83">
        <v>0</v>
      </c>
      <c r="Q83">
        <v>0</v>
      </c>
      <c r="R83">
        <v>0</v>
      </c>
      <c r="S83">
        <v>0</v>
      </c>
      <c r="T83">
        <v>0</v>
      </c>
      <c r="U83">
        <v>0</v>
      </c>
      <c r="V83">
        <v>0</v>
      </c>
      <c r="W83">
        <v>0</v>
      </c>
      <c r="Y83">
        <v>0</v>
      </c>
      <c r="Z83">
        <v>0</v>
      </c>
      <c r="AA83">
        <v>0</v>
      </c>
      <c r="AB83">
        <v>0</v>
      </c>
      <c r="AC83">
        <v>0</v>
      </c>
      <c r="AD83">
        <v>0</v>
      </c>
      <c r="AE83">
        <v>0</v>
      </c>
      <c r="AF83">
        <v>0</v>
      </c>
      <c r="AG83">
        <v>0</v>
      </c>
      <c r="AH83">
        <v>0</v>
      </c>
      <c r="AI83">
        <v>0</v>
      </c>
      <c r="AJ83">
        <v>0</v>
      </c>
      <c r="AK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D83">
        <v>0</v>
      </c>
    </row>
    <row r="84" spans="1:82" x14ac:dyDescent="0.3">
      <c r="A84">
        <v>373</v>
      </c>
      <c r="B84" t="s">
        <v>302</v>
      </c>
      <c r="D84">
        <v>374283</v>
      </c>
      <c r="E84">
        <v>90348</v>
      </c>
      <c r="F84">
        <v>1174798</v>
      </c>
      <c r="G84">
        <v>2409196</v>
      </c>
      <c r="H84">
        <v>621999</v>
      </c>
      <c r="I84">
        <v>1864336</v>
      </c>
      <c r="J84">
        <v>59154</v>
      </c>
      <c r="K84">
        <v>323260</v>
      </c>
      <c r="L84">
        <v>366239</v>
      </c>
      <c r="M84">
        <v>28956061</v>
      </c>
      <c r="N84">
        <v>396339</v>
      </c>
      <c r="O84">
        <v>8585199</v>
      </c>
      <c r="P84">
        <v>94439</v>
      </c>
      <c r="Q84">
        <v>92273919</v>
      </c>
      <c r="R84">
        <v>1604004</v>
      </c>
      <c r="S84">
        <v>202017</v>
      </c>
      <c r="T84">
        <v>96210993</v>
      </c>
      <c r="U84">
        <v>16843871</v>
      </c>
      <c r="V84">
        <v>84437960</v>
      </c>
      <c r="W84">
        <v>53894725</v>
      </c>
      <c r="Y84">
        <v>34216905</v>
      </c>
      <c r="Z84">
        <v>1774759</v>
      </c>
      <c r="AA84">
        <v>12988102</v>
      </c>
      <c r="AB84">
        <v>8651808</v>
      </c>
      <c r="AC84">
        <v>3061305</v>
      </c>
      <c r="AD84">
        <v>3799312</v>
      </c>
      <c r="AE84">
        <v>3826092</v>
      </c>
      <c r="AF84">
        <v>88021874</v>
      </c>
      <c r="AG84">
        <v>6886006</v>
      </c>
      <c r="AH84">
        <v>1283337</v>
      </c>
      <c r="AI84">
        <v>41822680</v>
      </c>
      <c r="AJ84">
        <v>1315332</v>
      </c>
      <c r="AK84">
        <v>1286024</v>
      </c>
      <c r="AM84">
        <v>24700403</v>
      </c>
      <c r="AN84">
        <v>509992</v>
      </c>
      <c r="AO84">
        <v>603212</v>
      </c>
      <c r="AP84">
        <v>116151</v>
      </c>
      <c r="AQ84">
        <v>13474950</v>
      </c>
      <c r="AR84">
        <v>14207087</v>
      </c>
      <c r="AS84">
        <v>410900</v>
      </c>
      <c r="AT84">
        <v>2697018</v>
      </c>
      <c r="AU84">
        <v>259142</v>
      </c>
      <c r="AV84">
        <v>16576578</v>
      </c>
      <c r="AW84">
        <v>2747202</v>
      </c>
      <c r="AX84">
        <v>2948611</v>
      </c>
      <c r="AY84">
        <v>5330970</v>
      </c>
      <c r="AZ84">
        <v>1788861</v>
      </c>
      <c r="BA84">
        <v>703405</v>
      </c>
      <c r="BB84">
        <v>0</v>
      </c>
      <c r="BC84">
        <v>22798</v>
      </c>
      <c r="BD84">
        <v>12902535</v>
      </c>
      <c r="BE84">
        <v>22546</v>
      </c>
      <c r="BF84">
        <v>288428</v>
      </c>
      <c r="BG84">
        <v>235142</v>
      </c>
      <c r="BH84">
        <v>134275</v>
      </c>
      <c r="BI84">
        <v>369546</v>
      </c>
      <c r="BJ84">
        <v>41596</v>
      </c>
      <c r="BK84">
        <v>4834326</v>
      </c>
      <c r="BL84">
        <v>378495</v>
      </c>
      <c r="BM84">
        <v>1849107</v>
      </c>
      <c r="BN84">
        <v>5284748</v>
      </c>
      <c r="BO84">
        <v>1710786</v>
      </c>
      <c r="BP84">
        <v>2799726</v>
      </c>
      <c r="BQ84">
        <v>27328096</v>
      </c>
      <c r="BR84">
        <v>1600251</v>
      </c>
      <c r="BS84">
        <v>19855990</v>
      </c>
      <c r="BT84">
        <v>1798653</v>
      </c>
      <c r="BU84">
        <v>3961557</v>
      </c>
      <c r="BV84">
        <v>1210491</v>
      </c>
      <c r="BW84">
        <v>4539083</v>
      </c>
      <c r="BX84">
        <v>659263</v>
      </c>
      <c r="BY84">
        <v>79872</v>
      </c>
      <c r="BZ84">
        <v>261134</v>
      </c>
      <c r="CA84">
        <v>64002</v>
      </c>
      <c r="CB84">
        <v>1571232</v>
      </c>
      <c r="CD84">
        <v>141097</v>
      </c>
    </row>
    <row r="85" spans="1:82" x14ac:dyDescent="0.3">
      <c r="A85">
        <v>375</v>
      </c>
      <c r="B85" t="s">
        <v>213</v>
      </c>
      <c r="D85">
        <v>121979</v>
      </c>
      <c r="E85">
        <v>0</v>
      </c>
      <c r="F85">
        <v>731377</v>
      </c>
      <c r="G85">
        <v>0</v>
      </c>
      <c r="H85">
        <v>0</v>
      </c>
      <c r="I85">
        <v>0</v>
      </c>
      <c r="J85">
        <v>61473</v>
      </c>
      <c r="K85">
        <v>0</v>
      </c>
      <c r="L85">
        <v>0</v>
      </c>
      <c r="M85">
        <v>0</v>
      </c>
      <c r="N85">
        <v>0</v>
      </c>
      <c r="O85">
        <v>724335</v>
      </c>
      <c r="P85">
        <v>0</v>
      </c>
      <c r="Q85">
        <v>48750836</v>
      </c>
      <c r="R85">
        <v>906983</v>
      </c>
      <c r="S85">
        <v>0</v>
      </c>
      <c r="T85">
        <v>49427077</v>
      </c>
      <c r="U85">
        <v>7923212</v>
      </c>
      <c r="V85">
        <v>17890567</v>
      </c>
      <c r="W85">
        <v>0</v>
      </c>
      <c r="Y85">
        <v>6461237</v>
      </c>
      <c r="Z85">
        <v>1749223</v>
      </c>
      <c r="AA85">
        <v>14666998</v>
      </c>
      <c r="AB85">
        <v>0</v>
      </c>
      <c r="AC85">
        <v>1345657</v>
      </c>
      <c r="AD85">
        <v>1138844</v>
      </c>
      <c r="AE85">
        <v>1965144</v>
      </c>
      <c r="AF85">
        <v>3522990</v>
      </c>
      <c r="AG85">
        <v>623765</v>
      </c>
      <c r="AH85">
        <v>0</v>
      </c>
      <c r="AI85">
        <v>23053759</v>
      </c>
      <c r="AJ85">
        <v>358718</v>
      </c>
      <c r="AK85">
        <v>684593</v>
      </c>
      <c r="AM85">
        <v>3095657</v>
      </c>
      <c r="AN85">
        <v>25506</v>
      </c>
      <c r="AO85">
        <v>12788</v>
      </c>
      <c r="AP85">
        <v>0</v>
      </c>
      <c r="AQ85">
        <v>0</v>
      </c>
      <c r="AR85">
        <v>4987230</v>
      </c>
      <c r="AS85">
        <v>0</v>
      </c>
      <c r="AT85">
        <v>1244631</v>
      </c>
      <c r="AU85">
        <v>0</v>
      </c>
      <c r="AV85">
        <v>33563978</v>
      </c>
      <c r="AW85">
        <v>0</v>
      </c>
      <c r="AX85">
        <v>3134641</v>
      </c>
      <c r="AY85">
        <v>17760143</v>
      </c>
      <c r="AZ85">
        <v>1017346</v>
      </c>
      <c r="BA85">
        <v>180039</v>
      </c>
      <c r="BB85">
        <v>0</v>
      </c>
      <c r="BC85">
        <v>-32488</v>
      </c>
      <c r="BD85">
        <v>7742625</v>
      </c>
      <c r="BE85">
        <v>0</v>
      </c>
      <c r="BF85">
        <v>66044</v>
      </c>
      <c r="BG85">
        <v>132118</v>
      </c>
      <c r="BH85">
        <v>0</v>
      </c>
      <c r="BI85">
        <v>352632</v>
      </c>
      <c r="BJ85">
        <v>0</v>
      </c>
      <c r="BK85">
        <v>250856</v>
      </c>
      <c r="BL85">
        <v>616483</v>
      </c>
      <c r="BM85">
        <v>454924</v>
      </c>
      <c r="BN85">
        <v>1002881</v>
      </c>
      <c r="BO85">
        <v>675312</v>
      </c>
      <c r="BP85">
        <v>1185330</v>
      </c>
      <c r="BQ85">
        <v>0</v>
      </c>
      <c r="BR85">
        <v>819177</v>
      </c>
      <c r="BS85">
        <v>0</v>
      </c>
      <c r="BT85">
        <v>623255</v>
      </c>
      <c r="BU85">
        <v>1730689</v>
      </c>
      <c r="BV85">
        <v>0</v>
      </c>
      <c r="BW85">
        <v>717360</v>
      </c>
      <c r="BX85">
        <v>1298225</v>
      </c>
      <c r="BY85">
        <v>989</v>
      </c>
      <c r="BZ85">
        <v>-209197</v>
      </c>
      <c r="CA85">
        <v>56305</v>
      </c>
      <c r="CB85">
        <v>1472268</v>
      </c>
      <c r="CD85">
        <v>35503</v>
      </c>
    </row>
    <row r="86" spans="1:82" x14ac:dyDescent="0.3">
      <c r="A86">
        <v>376</v>
      </c>
      <c r="B86" t="s">
        <v>100</v>
      </c>
      <c r="D86">
        <v>39923</v>
      </c>
      <c r="E86">
        <v>0</v>
      </c>
      <c r="F86">
        <v>0</v>
      </c>
      <c r="G86">
        <v>0</v>
      </c>
      <c r="H86">
        <v>0</v>
      </c>
      <c r="I86">
        <v>0</v>
      </c>
      <c r="J86">
        <v>1</v>
      </c>
      <c r="K86">
        <v>0</v>
      </c>
      <c r="L86">
        <v>0</v>
      </c>
      <c r="M86">
        <v>0</v>
      </c>
      <c r="N86">
        <v>0</v>
      </c>
      <c r="O86">
        <v>-1</v>
      </c>
      <c r="P86">
        <v>0</v>
      </c>
      <c r="Q86">
        <v>0</v>
      </c>
      <c r="R86">
        <v>0</v>
      </c>
      <c r="S86">
        <v>0</v>
      </c>
      <c r="T86">
        <v>0</v>
      </c>
      <c r="U86">
        <v>0</v>
      </c>
      <c r="V86">
        <v>807118</v>
      </c>
      <c r="W86">
        <v>0</v>
      </c>
      <c r="Y86">
        <v>0</v>
      </c>
      <c r="Z86">
        <v>0</v>
      </c>
      <c r="AA86">
        <v>0</v>
      </c>
      <c r="AB86">
        <v>0</v>
      </c>
      <c r="AC86">
        <v>1</v>
      </c>
      <c r="AD86">
        <v>-11319</v>
      </c>
      <c r="AE86">
        <v>7415</v>
      </c>
      <c r="AF86">
        <v>0</v>
      </c>
      <c r="AG86">
        <v>0</v>
      </c>
      <c r="AH86">
        <v>70161</v>
      </c>
      <c r="AI86">
        <v>0</v>
      </c>
      <c r="AJ86">
        <v>-112916</v>
      </c>
      <c r="AK86">
        <v>0</v>
      </c>
      <c r="AM86">
        <v>0</v>
      </c>
      <c r="AN86">
        <v>0</v>
      </c>
      <c r="AO86">
        <v>0</v>
      </c>
      <c r="AP86">
        <v>0</v>
      </c>
      <c r="AQ86">
        <v>0</v>
      </c>
      <c r="AR86">
        <v>0</v>
      </c>
      <c r="AS86">
        <v>1789</v>
      </c>
      <c r="AT86">
        <v>0</v>
      </c>
      <c r="AU86">
        <v>0</v>
      </c>
      <c r="AV86">
        <v>-96535</v>
      </c>
      <c r="AW86">
        <v>0</v>
      </c>
      <c r="AX86">
        <v>-1</v>
      </c>
      <c r="AY86">
        <v>0</v>
      </c>
      <c r="AZ86">
        <v>0</v>
      </c>
      <c r="BA86">
        <v>0</v>
      </c>
      <c r="BB86">
        <v>0</v>
      </c>
      <c r="BC86">
        <v>2</v>
      </c>
      <c r="BD86">
        <v>0</v>
      </c>
      <c r="BE86">
        <v>0</v>
      </c>
      <c r="BF86">
        <v>0</v>
      </c>
      <c r="BG86">
        <v>0</v>
      </c>
      <c r="BH86">
        <v>0</v>
      </c>
      <c r="BI86">
        <v>0</v>
      </c>
      <c r="BJ86">
        <v>0</v>
      </c>
      <c r="BK86">
        <v>-449032</v>
      </c>
      <c r="BL86">
        <v>-52934</v>
      </c>
      <c r="BM86">
        <v>0</v>
      </c>
      <c r="BN86">
        <v>0</v>
      </c>
      <c r="BO86">
        <v>0</v>
      </c>
      <c r="BP86">
        <v>0</v>
      </c>
      <c r="BQ86">
        <v>0</v>
      </c>
      <c r="BR86">
        <v>0</v>
      </c>
      <c r="BS86">
        <v>0</v>
      </c>
      <c r="BT86">
        <v>0</v>
      </c>
      <c r="BU86">
        <v>0</v>
      </c>
      <c r="BV86">
        <v>0</v>
      </c>
      <c r="BW86">
        <v>0</v>
      </c>
      <c r="BX86">
        <v>0</v>
      </c>
      <c r="BY86">
        <v>0</v>
      </c>
      <c r="BZ86">
        <v>0</v>
      </c>
      <c r="CA86">
        <v>0</v>
      </c>
      <c r="CB86">
        <v>0</v>
      </c>
      <c r="CD86">
        <v>0</v>
      </c>
    </row>
    <row r="87" spans="1:82" x14ac:dyDescent="0.3">
      <c r="A87">
        <v>377</v>
      </c>
      <c r="B87" t="s">
        <v>101</v>
      </c>
      <c r="D87">
        <v>0</v>
      </c>
      <c r="E87">
        <v>0</v>
      </c>
      <c r="F87">
        <v>0</v>
      </c>
      <c r="G87">
        <v>0</v>
      </c>
      <c r="H87">
        <v>0</v>
      </c>
      <c r="I87">
        <v>0</v>
      </c>
      <c r="J87">
        <v>15001</v>
      </c>
      <c r="K87">
        <v>0</v>
      </c>
      <c r="L87">
        <v>0</v>
      </c>
      <c r="M87">
        <v>0</v>
      </c>
      <c r="N87">
        <v>0</v>
      </c>
      <c r="O87">
        <v>1</v>
      </c>
      <c r="P87">
        <v>0</v>
      </c>
      <c r="Q87">
        <v>0</v>
      </c>
      <c r="R87">
        <v>0</v>
      </c>
      <c r="S87">
        <v>0</v>
      </c>
      <c r="T87">
        <v>0</v>
      </c>
      <c r="U87">
        <v>0</v>
      </c>
      <c r="V87">
        <v>1</v>
      </c>
      <c r="W87">
        <v>0</v>
      </c>
      <c r="Y87">
        <v>0</v>
      </c>
      <c r="Z87">
        <v>0</v>
      </c>
      <c r="AA87">
        <v>0</v>
      </c>
      <c r="AB87">
        <v>0</v>
      </c>
      <c r="AC87">
        <v>351073</v>
      </c>
      <c r="AD87">
        <v>-22864</v>
      </c>
      <c r="AE87">
        <v>0</v>
      </c>
      <c r="AF87">
        <v>0</v>
      </c>
      <c r="AG87">
        <v>0</v>
      </c>
      <c r="AH87">
        <v>0</v>
      </c>
      <c r="AI87">
        <v>0</v>
      </c>
      <c r="AJ87">
        <v>0</v>
      </c>
      <c r="AK87">
        <v>-1</v>
      </c>
      <c r="AM87">
        <v>0</v>
      </c>
      <c r="AN87">
        <v>0</v>
      </c>
      <c r="AO87">
        <v>0</v>
      </c>
      <c r="AP87">
        <v>0</v>
      </c>
      <c r="AQ87">
        <v>0</v>
      </c>
      <c r="AR87">
        <v>0</v>
      </c>
      <c r="AS87">
        <v>0</v>
      </c>
      <c r="AT87">
        <v>0</v>
      </c>
      <c r="AU87">
        <v>0</v>
      </c>
      <c r="AV87">
        <v>0</v>
      </c>
      <c r="AW87">
        <v>0</v>
      </c>
      <c r="AX87">
        <v>4593727</v>
      </c>
      <c r="AY87">
        <v>0</v>
      </c>
      <c r="AZ87">
        <v>1</v>
      </c>
      <c r="BA87">
        <v>0</v>
      </c>
      <c r="BB87">
        <v>0</v>
      </c>
      <c r="BC87">
        <v>16193</v>
      </c>
      <c r="BD87">
        <v>0</v>
      </c>
      <c r="BE87">
        <v>0</v>
      </c>
      <c r="BF87">
        <v>0</v>
      </c>
      <c r="BG87">
        <v>0</v>
      </c>
      <c r="BH87">
        <v>0</v>
      </c>
      <c r="BI87">
        <v>0</v>
      </c>
      <c r="BJ87">
        <v>0</v>
      </c>
      <c r="BK87">
        <v>449032</v>
      </c>
      <c r="BL87">
        <v>-60433</v>
      </c>
      <c r="BM87">
        <v>0</v>
      </c>
      <c r="BN87">
        <v>0</v>
      </c>
      <c r="BO87">
        <v>0</v>
      </c>
      <c r="BP87">
        <v>0</v>
      </c>
      <c r="BQ87">
        <v>0</v>
      </c>
      <c r="BR87">
        <v>0</v>
      </c>
      <c r="BS87">
        <v>0</v>
      </c>
      <c r="BT87">
        <v>0</v>
      </c>
      <c r="BU87">
        <v>0</v>
      </c>
      <c r="BV87">
        <v>0</v>
      </c>
      <c r="BW87">
        <v>0</v>
      </c>
      <c r="BX87">
        <v>0</v>
      </c>
      <c r="BY87">
        <v>0</v>
      </c>
      <c r="BZ87">
        <v>0</v>
      </c>
      <c r="CA87">
        <v>0</v>
      </c>
      <c r="CB87">
        <v>0</v>
      </c>
      <c r="CD87">
        <v>0</v>
      </c>
    </row>
    <row r="88" spans="1:82" x14ac:dyDescent="0.3">
      <c r="A88">
        <v>378</v>
      </c>
      <c r="B88" t="s">
        <v>102</v>
      </c>
      <c r="D88">
        <v>0</v>
      </c>
      <c r="E88">
        <v>0</v>
      </c>
      <c r="F88">
        <v>0</v>
      </c>
      <c r="G88">
        <v>0</v>
      </c>
      <c r="H88">
        <v>0</v>
      </c>
      <c r="I88">
        <v>0</v>
      </c>
      <c r="J88">
        <v>0</v>
      </c>
      <c r="K88">
        <v>0</v>
      </c>
      <c r="L88">
        <v>0</v>
      </c>
      <c r="M88">
        <v>0</v>
      </c>
      <c r="N88">
        <v>0</v>
      </c>
      <c r="O88">
        <v>0</v>
      </c>
      <c r="P88">
        <v>0</v>
      </c>
      <c r="Q88">
        <v>0</v>
      </c>
      <c r="R88">
        <v>0</v>
      </c>
      <c r="S88">
        <v>0</v>
      </c>
      <c r="T88">
        <v>0</v>
      </c>
      <c r="U88">
        <v>0</v>
      </c>
      <c r="V88">
        <v>2</v>
      </c>
      <c r="W88">
        <v>0</v>
      </c>
      <c r="Y88">
        <v>0</v>
      </c>
      <c r="Z88">
        <v>0</v>
      </c>
      <c r="AA88">
        <v>0</v>
      </c>
      <c r="AB88">
        <v>0</v>
      </c>
      <c r="AC88">
        <v>0</v>
      </c>
      <c r="AD88">
        <v>0</v>
      </c>
      <c r="AE88">
        <v>0</v>
      </c>
      <c r="AF88">
        <v>0</v>
      </c>
      <c r="AG88">
        <v>0</v>
      </c>
      <c r="AH88">
        <v>0</v>
      </c>
      <c r="AI88">
        <v>0</v>
      </c>
      <c r="AJ88">
        <v>0</v>
      </c>
      <c r="AK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31657</v>
      </c>
      <c r="BM88">
        <v>0</v>
      </c>
      <c r="BN88">
        <v>0</v>
      </c>
      <c r="BO88">
        <v>0</v>
      </c>
      <c r="BP88">
        <v>0</v>
      </c>
      <c r="BQ88">
        <v>0</v>
      </c>
      <c r="BR88">
        <v>0</v>
      </c>
      <c r="BS88">
        <v>0</v>
      </c>
      <c r="BT88">
        <v>0</v>
      </c>
      <c r="BU88">
        <v>0</v>
      </c>
      <c r="BV88">
        <v>0</v>
      </c>
      <c r="BW88">
        <v>0</v>
      </c>
      <c r="BX88">
        <v>0</v>
      </c>
      <c r="BY88">
        <v>0</v>
      </c>
      <c r="BZ88">
        <v>0</v>
      </c>
      <c r="CA88">
        <v>0</v>
      </c>
      <c r="CB88">
        <v>0</v>
      </c>
      <c r="CD88">
        <v>0</v>
      </c>
    </row>
    <row r="89" spans="1:82" x14ac:dyDescent="0.3">
      <c r="A89">
        <v>379</v>
      </c>
      <c r="B89" t="s">
        <v>110</v>
      </c>
      <c r="D89">
        <v>218188</v>
      </c>
      <c r="E89">
        <v>257044</v>
      </c>
      <c r="F89">
        <v>1231086</v>
      </c>
      <c r="G89">
        <v>6056875</v>
      </c>
      <c r="H89">
        <v>6901490</v>
      </c>
      <c r="I89">
        <v>6515920</v>
      </c>
      <c r="J89">
        <v>152138</v>
      </c>
      <c r="K89">
        <v>1126547</v>
      </c>
      <c r="L89">
        <v>982613</v>
      </c>
      <c r="M89">
        <v>13360925</v>
      </c>
      <c r="N89">
        <v>921118</v>
      </c>
      <c r="O89">
        <v>8638785</v>
      </c>
      <c r="P89">
        <v>351795</v>
      </c>
      <c r="Q89">
        <v>40403366</v>
      </c>
      <c r="R89">
        <v>1179033</v>
      </c>
      <c r="S89">
        <v>176494</v>
      </c>
      <c r="T89">
        <v>91647364</v>
      </c>
      <c r="U89">
        <v>12230443</v>
      </c>
      <c r="V89">
        <v>33102684</v>
      </c>
      <c r="W89">
        <v>34531599</v>
      </c>
      <c r="Y89">
        <v>18434847</v>
      </c>
      <c r="Z89">
        <v>1425403</v>
      </c>
      <c r="AA89">
        <v>21374346</v>
      </c>
      <c r="AB89">
        <v>2770342</v>
      </c>
      <c r="AC89">
        <v>2662955</v>
      </c>
      <c r="AD89">
        <v>2226872</v>
      </c>
      <c r="AE89">
        <v>4023680</v>
      </c>
      <c r="AF89">
        <v>21604752</v>
      </c>
      <c r="AG89">
        <v>6096018</v>
      </c>
      <c r="AH89">
        <v>1818997</v>
      </c>
      <c r="AI89">
        <v>29045353</v>
      </c>
      <c r="AJ89">
        <v>3901426</v>
      </c>
      <c r="AK89">
        <v>1021705</v>
      </c>
      <c r="AM89">
        <v>15100225</v>
      </c>
      <c r="AN89">
        <v>806415</v>
      </c>
      <c r="AO89">
        <v>947846</v>
      </c>
      <c r="AP89">
        <v>128654</v>
      </c>
      <c r="AQ89">
        <v>5222825</v>
      </c>
      <c r="AR89">
        <v>52691963</v>
      </c>
      <c r="AS89">
        <v>927195</v>
      </c>
      <c r="AT89">
        <v>2480503</v>
      </c>
      <c r="AU89">
        <v>343688</v>
      </c>
      <c r="AV89">
        <v>22339033</v>
      </c>
      <c r="AW89">
        <v>4777044</v>
      </c>
      <c r="AX89">
        <v>1294597</v>
      </c>
      <c r="AY89">
        <v>10036590</v>
      </c>
      <c r="AZ89">
        <v>2476952</v>
      </c>
      <c r="BA89">
        <v>1409328</v>
      </c>
      <c r="BB89">
        <v>127262</v>
      </c>
      <c r="BC89">
        <v>649849</v>
      </c>
      <c r="BD89">
        <v>11471394</v>
      </c>
      <c r="BE89">
        <v>731080</v>
      </c>
      <c r="BF89">
        <v>989879</v>
      </c>
      <c r="BG89">
        <v>359271</v>
      </c>
      <c r="BH89">
        <v>306748</v>
      </c>
      <c r="BI89">
        <v>540342</v>
      </c>
      <c r="BJ89">
        <v>393011</v>
      </c>
      <c r="BK89">
        <v>2740388</v>
      </c>
      <c r="BL89">
        <v>878110</v>
      </c>
      <c r="BM89">
        <v>784911</v>
      </c>
      <c r="BN89">
        <v>4024281</v>
      </c>
      <c r="BO89">
        <v>1781815</v>
      </c>
      <c r="BP89">
        <v>2521122</v>
      </c>
      <c r="BQ89">
        <v>17282352</v>
      </c>
      <c r="BR89">
        <v>1078517</v>
      </c>
      <c r="BS89">
        <v>25131048</v>
      </c>
      <c r="BT89">
        <v>859709</v>
      </c>
      <c r="BU89">
        <v>7251411</v>
      </c>
      <c r="BV89">
        <v>3220596</v>
      </c>
      <c r="BW89">
        <v>1990610</v>
      </c>
      <c r="BX89">
        <v>2390043</v>
      </c>
      <c r="BY89">
        <v>387708</v>
      </c>
      <c r="BZ89">
        <v>1157151</v>
      </c>
      <c r="CA89">
        <v>197265</v>
      </c>
      <c r="CB89">
        <v>676107</v>
      </c>
      <c r="CD89">
        <v>439532</v>
      </c>
    </row>
    <row r="90" spans="1:82" x14ac:dyDescent="0.3">
      <c r="A90">
        <v>380</v>
      </c>
      <c r="B90" t="s">
        <v>113</v>
      </c>
      <c r="D90">
        <v>2870</v>
      </c>
      <c r="E90">
        <v>34402</v>
      </c>
      <c r="F90">
        <v>0</v>
      </c>
      <c r="G90">
        <v>20199</v>
      </c>
      <c r="H90">
        <v>10888</v>
      </c>
      <c r="I90">
        <v>50641</v>
      </c>
      <c r="J90">
        <v>3245</v>
      </c>
      <c r="K90">
        <v>503</v>
      </c>
      <c r="L90">
        <v>876</v>
      </c>
      <c r="M90">
        <v>133171</v>
      </c>
      <c r="N90">
        <v>1446</v>
      </c>
      <c r="O90">
        <v>56161</v>
      </c>
      <c r="P90">
        <v>687</v>
      </c>
      <c r="Q90">
        <v>829375</v>
      </c>
      <c r="R90">
        <v>296</v>
      </c>
      <c r="S90">
        <v>0</v>
      </c>
      <c r="T90">
        <v>0</v>
      </c>
      <c r="U90">
        <v>0</v>
      </c>
      <c r="V90">
        <v>286742</v>
      </c>
      <c r="W90">
        <v>895140</v>
      </c>
      <c r="Y90">
        <v>209181</v>
      </c>
      <c r="Z90">
        <v>40520</v>
      </c>
      <c r="AA90">
        <v>863112</v>
      </c>
      <c r="AB90">
        <v>438805</v>
      </c>
      <c r="AC90">
        <v>6585</v>
      </c>
      <c r="AD90">
        <v>74643</v>
      </c>
      <c r="AE90">
        <v>95842</v>
      </c>
      <c r="AF90">
        <v>1585234</v>
      </c>
      <c r="AG90">
        <v>190139</v>
      </c>
      <c r="AH90">
        <v>20392</v>
      </c>
      <c r="AI90">
        <v>306466</v>
      </c>
      <c r="AJ90">
        <v>1444</v>
      </c>
      <c r="AK90">
        <v>5127</v>
      </c>
      <c r="AM90">
        <v>332738</v>
      </c>
      <c r="AN90">
        <v>24199</v>
      </c>
      <c r="AO90">
        <v>32107</v>
      </c>
      <c r="AP90">
        <v>0</v>
      </c>
      <c r="AQ90">
        <v>41602</v>
      </c>
      <c r="AR90">
        <v>32865302</v>
      </c>
      <c r="AS90">
        <v>7062</v>
      </c>
      <c r="AT90">
        <v>34232</v>
      </c>
      <c r="AU90">
        <v>36538</v>
      </c>
      <c r="AV90">
        <v>178744</v>
      </c>
      <c r="AW90">
        <v>6987</v>
      </c>
      <c r="AX90">
        <v>36348</v>
      </c>
      <c r="AY90">
        <v>1354</v>
      </c>
      <c r="AZ90">
        <v>5882</v>
      </c>
      <c r="BA90">
        <v>48960</v>
      </c>
      <c r="BB90">
        <v>0</v>
      </c>
      <c r="BC90">
        <v>832</v>
      </c>
      <c r="BD90">
        <v>1924377</v>
      </c>
      <c r="BE90">
        <v>0</v>
      </c>
      <c r="BF90">
        <v>68340</v>
      </c>
      <c r="BG90">
        <v>54347</v>
      </c>
      <c r="BH90">
        <v>567</v>
      </c>
      <c r="BI90">
        <v>16036</v>
      </c>
      <c r="BJ90">
        <v>4155</v>
      </c>
      <c r="BK90">
        <v>108940</v>
      </c>
      <c r="BL90">
        <v>8788</v>
      </c>
      <c r="BM90">
        <v>11534</v>
      </c>
      <c r="BN90">
        <v>323436</v>
      </c>
      <c r="BO90">
        <v>817</v>
      </c>
      <c r="BP90">
        <v>4320</v>
      </c>
      <c r="BQ90">
        <v>19575</v>
      </c>
      <c r="BR90">
        <v>19254</v>
      </c>
      <c r="BS90">
        <v>656482</v>
      </c>
      <c r="BT90">
        <v>11845</v>
      </c>
      <c r="BU90">
        <v>79424</v>
      </c>
      <c r="BV90">
        <v>8022</v>
      </c>
      <c r="BW90">
        <v>339217</v>
      </c>
      <c r="BX90">
        <v>43890</v>
      </c>
      <c r="BY90">
        <v>178</v>
      </c>
      <c r="BZ90">
        <v>15630</v>
      </c>
      <c r="CA90">
        <v>1383</v>
      </c>
      <c r="CB90">
        <v>6691</v>
      </c>
      <c r="CD90">
        <v>1525</v>
      </c>
    </row>
    <row r="91" spans="1:82" x14ac:dyDescent="0.3">
      <c r="A91">
        <v>381</v>
      </c>
      <c r="B91" t="s">
        <v>105</v>
      </c>
      <c r="D91">
        <v>2435380</v>
      </c>
      <c r="E91">
        <v>0</v>
      </c>
      <c r="F91">
        <v>6238810</v>
      </c>
      <c r="G91">
        <v>0</v>
      </c>
      <c r="H91">
        <v>0</v>
      </c>
      <c r="I91">
        <v>0</v>
      </c>
      <c r="J91">
        <v>2329267</v>
      </c>
      <c r="K91">
        <v>0</v>
      </c>
      <c r="L91">
        <v>0</v>
      </c>
      <c r="M91">
        <v>0</v>
      </c>
      <c r="N91">
        <v>0</v>
      </c>
      <c r="O91">
        <v>21011168</v>
      </c>
      <c r="P91">
        <v>0</v>
      </c>
      <c r="Q91">
        <v>166432250</v>
      </c>
      <c r="R91">
        <v>2307725</v>
      </c>
      <c r="S91">
        <v>0</v>
      </c>
      <c r="T91">
        <v>215013931</v>
      </c>
      <c r="U91">
        <v>62267497</v>
      </c>
      <c r="V91">
        <v>82461201</v>
      </c>
      <c r="W91">
        <v>0</v>
      </c>
      <c r="Y91">
        <v>50447159</v>
      </c>
      <c r="Z91">
        <v>13672037</v>
      </c>
      <c r="AA91">
        <v>50278403</v>
      </c>
      <c r="AB91">
        <v>30044390</v>
      </c>
      <c r="AC91">
        <v>5145090</v>
      </c>
      <c r="AD91">
        <v>8011798</v>
      </c>
      <c r="AE91">
        <v>14306183</v>
      </c>
      <c r="AF91">
        <v>11623041</v>
      </c>
      <c r="AG91">
        <v>8993194</v>
      </c>
      <c r="AH91">
        <v>0</v>
      </c>
      <c r="AI91">
        <v>134927610</v>
      </c>
      <c r="AJ91">
        <v>1850576</v>
      </c>
      <c r="AK91">
        <v>4604072</v>
      </c>
      <c r="AM91">
        <v>36305298</v>
      </c>
      <c r="AN91">
        <v>1031701</v>
      </c>
      <c r="AO91">
        <v>2613298</v>
      </c>
      <c r="AP91">
        <v>0</v>
      </c>
      <c r="AQ91">
        <v>0</v>
      </c>
      <c r="AR91">
        <v>23882624</v>
      </c>
      <c r="AS91">
        <v>0</v>
      </c>
      <c r="AT91">
        <v>17707434</v>
      </c>
      <c r="AU91">
        <v>0</v>
      </c>
      <c r="AV91">
        <v>131297829</v>
      </c>
      <c r="AW91">
        <v>0</v>
      </c>
      <c r="AX91">
        <v>15219447</v>
      </c>
      <c r="AY91">
        <v>23643819</v>
      </c>
      <c r="AZ91">
        <v>6603048</v>
      </c>
      <c r="BA91">
        <v>1414282</v>
      </c>
      <c r="BB91">
        <v>0</v>
      </c>
      <c r="BC91">
        <v>677389</v>
      </c>
      <c r="BD91">
        <v>62738341</v>
      </c>
      <c r="BE91">
        <v>0</v>
      </c>
      <c r="BF91">
        <v>3161430</v>
      </c>
      <c r="BG91">
        <v>4197576</v>
      </c>
      <c r="BH91">
        <v>0</v>
      </c>
      <c r="BI91">
        <v>3136588</v>
      </c>
      <c r="BJ91">
        <v>0</v>
      </c>
      <c r="BK91">
        <v>19300376</v>
      </c>
      <c r="BL91">
        <v>10687528</v>
      </c>
      <c r="BM91">
        <v>12862572</v>
      </c>
      <c r="BN91">
        <v>4555553</v>
      </c>
      <c r="BO91">
        <v>5719260</v>
      </c>
      <c r="BP91">
        <v>1802842</v>
      </c>
      <c r="BQ91">
        <v>0</v>
      </c>
      <c r="BR91">
        <v>6930342</v>
      </c>
      <c r="BS91">
        <v>0</v>
      </c>
      <c r="BT91">
        <v>6963129</v>
      </c>
      <c r="BU91">
        <v>20493891</v>
      </c>
      <c r="BV91">
        <v>0</v>
      </c>
      <c r="BW91">
        <v>14541586</v>
      </c>
      <c r="BX91">
        <v>3507612</v>
      </c>
      <c r="BY91">
        <v>630987</v>
      </c>
      <c r="BZ91">
        <v>5227889</v>
      </c>
      <c r="CA91">
        <v>4455950</v>
      </c>
      <c r="CB91">
        <v>5143379</v>
      </c>
      <c r="CD91">
        <v>767808</v>
      </c>
    </row>
    <row r="92" spans="1:82" x14ac:dyDescent="0.3">
      <c r="A92">
        <v>382</v>
      </c>
      <c r="B92" t="s">
        <v>106</v>
      </c>
      <c r="D92">
        <v>0</v>
      </c>
      <c r="E92">
        <v>0</v>
      </c>
      <c r="F92">
        <v>0</v>
      </c>
      <c r="G92">
        <v>0</v>
      </c>
      <c r="H92">
        <v>0</v>
      </c>
      <c r="I92">
        <v>0</v>
      </c>
      <c r="J92">
        <v>0</v>
      </c>
      <c r="K92">
        <v>0</v>
      </c>
      <c r="L92">
        <v>0</v>
      </c>
      <c r="M92">
        <v>0</v>
      </c>
      <c r="N92">
        <v>0</v>
      </c>
      <c r="O92">
        <v>0</v>
      </c>
      <c r="P92">
        <v>0</v>
      </c>
      <c r="Q92">
        <v>186446441</v>
      </c>
      <c r="R92">
        <v>0</v>
      </c>
      <c r="S92">
        <v>0</v>
      </c>
      <c r="T92">
        <v>0</v>
      </c>
      <c r="U92">
        <v>0</v>
      </c>
      <c r="V92">
        <v>38306661</v>
      </c>
      <c r="W92">
        <v>0</v>
      </c>
      <c r="Y92">
        <v>0</v>
      </c>
      <c r="Z92">
        <v>0</v>
      </c>
      <c r="AA92">
        <v>0</v>
      </c>
      <c r="AB92">
        <v>0</v>
      </c>
      <c r="AC92">
        <v>0</v>
      </c>
      <c r="AD92">
        <v>0</v>
      </c>
      <c r="AE92">
        <v>0</v>
      </c>
      <c r="AF92">
        <v>0</v>
      </c>
      <c r="AG92">
        <v>0</v>
      </c>
      <c r="AH92">
        <v>0</v>
      </c>
      <c r="AI92">
        <v>67005573</v>
      </c>
      <c r="AJ92">
        <v>0</v>
      </c>
      <c r="AK92">
        <v>0</v>
      </c>
      <c r="AM92">
        <v>27487760</v>
      </c>
      <c r="AN92">
        <v>0</v>
      </c>
      <c r="AO92">
        <v>0</v>
      </c>
      <c r="AP92">
        <v>0</v>
      </c>
      <c r="AQ92">
        <v>0</v>
      </c>
      <c r="AR92">
        <v>0</v>
      </c>
      <c r="AS92">
        <v>0</v>
      </c>
      <c r="AT92">
        <v>0</v>
      </c>
      <c r="AU92">
        <v>845560</v>
      </c>
      <c r="AV92">
        <v>0</v>
      </c>
      <c r="AW92">
        <v>0</v>
      </c>
      <c r="AX92">
        <v>0</v>
      </c>
      <c r="AY92">
        <v>0</v>
      </c>
      <c r="AZ92">
        <v>0</v>
      </c>
      <c r="BA92">
        <v>0</v>
      </c>
      <c r="BB92">
        <v>0</v>
      </c>
      <c r="BC92">
        <v>0</v>
      </c>
      <c r="BD92">
        <v>0</v>
      </c>
      <c r="BE92">
        <v>0</v>
      </c>
      <c r="BF92">
        <v>0</v>
      </c>
      <c r="BG92">
        <v>0</v>
      </c>
      <c r="BH92">
        <v>0</v>
      </c>
      <c r="BI92">
        <v>0</v>
      </c>
      <c r="BJ92">
        <v>0</v>
      </c>
      <c r="BK92">
        <v>0</v>
      </c>
      <c r="BL92">
        <v>2173345</v>
      </c>
      <c r="BM92">
        <v>0</v>
      </c>
      <c r="BN92">
        <v>0</v>
      </c>
      <c r="BO92">
        <v>0</v>
      </c>
      <c r="BP92">
        <v>0</v>
      </c>
      <c r="BQ92">
        <v>0</v>
      </c>
      <c r="BR92">
        <v>2448861</v>
      </c>
      <c r="BS92">
        <v>24622449</v>
      </c>
      <c r="BT92">
        <v>0</v>
      </c>
      <c r="BU92">
        <v>0</v>
      </c>
      <c r="BV92">
        <v>0</v>
      </c>
      <c r="BW92">
        <v>0</v>
      </c>
      <c r="BX92">
        <v>0</v>
      </c>
      <c r="BY92">
        <v>0</v>
      </c>
      <c r="BZ92">
        <v>0</v>
      </c>
      <c r="CA92">
        <v>0</v>
      </c>
      <c r="CB92">
        <v>0</v>
      </c>
      <c r="CD92">
        <v>0</v>
      </c>
    </row>
    <row r="93" spans="1:82" x14ac:dyDescent="0.3">
      <c r="A93">
        <v>383</v>
      </c>
      <c r="B93" t="s">
        <v>212</v>
      </c>
      <c r="D93">
        <v>0</v>
      </c>
      <c r="E93">
        <v>0</v>
      </c>
      <c r="F93">
        <v>0</v>
      </c>
      <c r="G93">
        <v>0</v>
      </c>
      <c r="H93">
        <v>0</v>
      </c>
      <c r="I93">
        <v>0</v>
      </c>
      <c r="J93">
        <v>0</v>
      </c>
      <c r="K93">
        <v>0</v>
      </c>
      <c r="L93">
        <v>0</v>
      </c>
      <c r="M93">
        <v>0</v>
      </c>
      <c r="N93">
        <v>0</v>
      </c>
      <c r="O93">
        <v>0</v>
      </c>
      <c r="P93">
        <v>0</v>
      </c>
      <c r="Q93">
        <v>0</v>
      </c>
      <c r="R93">
        <v>0</v>
      </c>
      <c r="S93">
        <v>0</v>
      </c>
      <c r="T93">
        <v>0</v>
      </c>
      <c r="U93">
        <v>0</v>
      </c>
      <c r="V93">
        <v>0</v>
      </c>
      <c r="W93">
        <v>0</v>
      </c>
      <c r="Y93">
        <v>35550</v>
      </c>
      <c r="Z93">
        <v>3456</v>
      </c>
      <c r="AA93">
        <v>0</v>
      </c>
      <c r="AB93">
        <v>0</v>
      </c>
      <c r="AC93">
        <v>0</v>
      </c>
      <c r="AD93">
        <v>0</v>
      </c>
      <c r="AE93">
        <v>0</v>
      </c>
      <c r="AF93">
        <v>0</v>
      </c>
      <c r="AG93">
        <v>0</v>
      </c>
      <c r="AH93">
        <v>0</v>
      </c>
      <c r="AI93">
        <v>0</v>
      </c>
      <c r="AJ93">
        <v>0</v>
      </c>
      <c r="AK93">
        <v>0</v>
      </c>
      <c r="AM93">
        <v>0</v>
      </c>
      <c r="AN93">
        <v>0</v>
      </c>
      <c r="AO93">
        <v>0</v>
      </c>
      <c r="AP93">
        <v>0</v>
      </c>
      <c r="AQ93">
        <v>0</v>
      </c>
      <c r="AR93">
        <v>0</v>
      </c>
      <c r="AS93">
        <v>0</v>
      </c>
      <c r="AT93">
        <v>54612</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1921</v>
      </c>
      <c r="BP93">
        <v>14605</v>
      </c>
      <c r="BQ93">
        <v>0</v>
      </c>
      <c r="BR93">
        <v>0</v>
      </c>
      <c r="BS93">
        <v>0</v>
      </c>
      <c r="BT93">
        <v>0</v>
      </c>
      <c r="BU93">
        <v>0</v>
      </c>
      <c r="BV93">
        <v>0</v>
      </c>
      <c r="BW93">
        <v>0</v>
      </c>
      <c r="BX93">
        <v>0</v>
      </c>
      <c r="BY93">
        <v>0</v>
      </c>
      <c r="BZ93">
        <v>0</v>
      </c>
      <c r="CA93">
        <v>4865</v>
      </c>
      <c r="CB93">
        <v>0</v>
      </c>
      <c r="CD93">
        <v>0</v>
      </c>
    </row>
    <row r="94" spans="1:82" x14ac:dyDescent="0.3">
      <c r="A94">
        <v>384</v>
      </c>
      <c r="B94" t="s">
        <v>116</v>
      </c>
      <c r="D94">
        <v>0</v>
      </c>
      <c r="E94">
        <v>0</v>
      </c>
      <c r="F94">
        <v>0</v>
      </c>
      <c r="G94">
        <v>0</v>
      </c>
      <c r="H94">
        <v>0</v>
      </c>
      <c r="I94">
        <v>0</v>
      </c>
      <c r="J94">
        <v>0</v>
      </c>
      <c r="K94">
        <v>0</v>
      </c>
      <c r="L94">
        <v>0</v>
      </c>
      <c r="M94">
        <v>0</v>
      </c>
      <c r="N94">
        <v>0</v>
      </c>
      <c r="O94">
        <v>0</v>
      </c>
      <c r="P94">
        <v>0</v>
      </c>
      <c r="Q94">
        <v>0</v>
      </c>
      <c r="R94">
        <v>0</v>
      </c>
      <c r="S94">
        <v>0</v>
      </c>
      <c r="T94">
        <v>0</v>
      </c>
      <c r="U94">
        <v>0</v>
      </c>
      <c r="V94">
        <v>0</v>
      </c>
      <c r="W94">
        <v>0</v>
      </c>
      <c r="Y94">
        <v>0</v>
      </c>
      <c r="Z94">
        <v>0</v>
      </c>
      <c r="AA94">
        <v>0</v>
      </c>
      <c r="AB94">
        <v>0</v>
      </c>
      <c r="AC94">
        <v>0</v>
      </c>
      <c r="AD94">
        <v>0</v>
      </c>
      <c r="AE94">
        <v>0</v>
      </c>
      <c r="AF94">
        <v>0</v>
      </c>
      <c r="AG94">
        <v>0</v>
      </c>
      <c r="AH94">
        <v>0</v>
      </c>
      <c r="AI94">
        <v>0</v>
      </c>
      <c r="AJ94">
        <v>0</v>
      </c>
      <c r="AK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D94">
        <v>0</v>
      </c>
    </row>
    <row r="95" spans="1:82" x14ac:dyDescent="0.3">
      <c r="A95">
        <v>385</v>
      </c>
      <c r="B95" t="s">
        <v>107</v>
      </c>
      <c r="D95">
        <v>378368</v>
      </c>
      <c r="E95">
        <v>423150</v>
      </c>
      <c r="F95">
        <v>2484651</v>
      </c>
      <c r="G95">
        <v>13901532</v>
      </c>
      <c r="H95">
        <v>11247950</v>
      </c>
      <c r="I95">
        <v>13620709</v>
      </c>
      <c r="J95">
        <v>189054</v>
      </c>
      <c r="K95">
        <v>2946102</v>
      </c>
      <c r="L95">
        <v>1504900</v>
      </c>
      <c r="M95">
        <v>98163699</v>
      </c>
      <c r="N95">
        <v>1473564</v>
      </c>
      <c r="O95">
        <v>17061463</v>
      </c>
      <c r="P95">
        <v>532254</v>
      </c>
      <c r="Q95">
        <v>187602170</v>
      </c>
      <c r="R95">
        <v>7920067</v>
      </c>
      <c r="S95">
        <v>314737</v>
      </c>
      <c r="T95">
        <v>314826199</v>
      </c>
      <c r="U95">
        <v>77535764</v>
      </c>
      <c r="V95">
        <v>81477689</v>
      </c>
      <c r="W95">
        <v>256433643</v>
      </c>
      <c r="Y95">
        <v>49999038</v>
      </c>
      <c r="Z95">
        <v>3810096</v>
      </c>
      <c r="AA95">
        <v>58479028</v>
      </c>
      <c r="AB95">
        <v>8876033</v>
      </c>
      <c r="AC95">
        <v>7054043</v>
      </c>
      <c r="AD95">
        <v>3827311</v>
      </c>
      <c r="AE95">
        <v>8624127</v>
      </c>
      <c r="AF95">
        <v>74116505</v>
      </c>
      <c r="AG95">
        <v>15842965</v>
      </c>
      <c r="AH95">
        <v>4453081</v>
      </c>
      <c r="AI95">
        <v>125103532</v>
      </c>
      <c r="AJ95">
        <v>8719869</v>
      </c>
      <c r="AK95">
        <v>3759453</v>
      </c>
      <c r="AM95">
        <v>42130408</v>
      </c>
      <c r="AN95">
        <v>1267705</v>
      </c>
      <c r="AO95">
        <v>1478121</v>
      </c>
      <c r="AP95">
        <v>186342</v>
      </c>
      <c r="AQ95">
        <v>44815885</v>
      </c>
      <c r="AR95">
        <v>95885615</v>
      </c>
      <c r="AS95">
        <v>1284497</v>
      </c>
      <c r="AT95">
        <v>6126143</v>
      </c>
      <c r="AU95">
        <v>597115</v>
      </c>
      <c r="AV95">
        <v>64197882</v>
      </c>
      <c r="AW95">
        <v>13385298</v>
      </c>
      <c r="AX95">
        <v>5113796</v>
      </c>
      <c r="AY95">
        <v>33307914</v>
      </c>
      <c r="AZ95">
        <v>4856557</v>
      </c>
      <c r="BA95">
        <v>4400032</v>
      </c>
      <c r="BB95">
        <v>175737</v>
      </c>
      <c r="BC95">
        <v>1033771</v>
      </c>
      <c r="BD95">
        <v>21344305</v>
      </c>
      <c r="BE95">
        <v>824997</v>
      </c>
      <c r="BF95">
        <v>1144438</v>
      </c>
      <c r="BG95">
        <v>502024</v>
      </c>
      <c r="BH95">
        <v>455879</v>
      </c>
      <c r="BI95">
        <v>869867</v>
      </c>
      <c r="BJ95">
        <v>794640</v>
      </c>
      <c r="BK95">
        <v>11828317</v>
      </c>
      <c r="BL95">
        <v>1361577</v>
      </c>
      <c r="BM95">
        <v>4073347</v>
      </c>
      <c r="BN95">
        <v>16698718</v>
      </c>
      <c r="BO95">
        <v>3321380</v>
      </c>
      <c r="BP95">
        <v>5693385</v>
      </c>
      <c r="BQ95">
        <v>52162411</v>
      </c>
      <c r="BR95">
        <v>1949837</v>
      </c>
      <c r="BS95">
        <v>86590869</v>
      </c>
      <c r="BT95">
        <v>2240942</v>
      </c>
      <c r="BU95">
        <v>14929504</v>
      </c>
      <c r="BV95">
        <v>6442240</v>
      </c>
      <c r="BW95">
        <v>5758780</v>
      </c>
      <c r="BX95">
        <v>3390403</v>
      </c>
      <c r="BY95">
        <v>723583</v>
      </c>
      <c r="BZ95">
        <v>2738092</v>
      </c>
      <c r="CA95">
        <v>299039</v>
      </c>
      <c r="CB95">
        <v>4061675</v>
      </c>
      <c r="CD95">
        <v>497810</v>
      </c>
    </row>
    <row r="96" spans="1:82" x14ac:dyDescent="0.3">
      <c r="A96">
        <v>386</v>
      </c>
      <c r="B96" t="s">
        <v>185</v>
      </c>
      <c r="D96">
        <v>0</v>
      </c>
      <c r="E96">
        <v>0</v>
      </c>
      <c r="F96">
        <v>0</v>
      </c>
      <c r="G96">
        <v>0</v>
      </c>
      <c r="H96">
        <v>0</v>
      </c>
      <c r="I96">
        <v>0</v>
      </c>
      <c r="J96">
        <v>0</v>
      </c>
      <c r="K96">
        <v>0</v>
      </c>
      <c r="L96">
        <v>0</v>
      </c>
      <c r="M96">
        <v>0</v>
      </c>
      <c r="N96">
        <v>0</v>
      </c>
      <c r="O96">
        <v>0</v>
      </c>
      <c r="P96">
        <v>0</v>
      </c>
      <c r="Q96">
        <v>21655451</v>
      </c>
      <c r="R96">
        <v>0</v>
      </c>
      <c r="S96">
        <v>0</v>
      </c>
      <c r="T96">
        <v>236000</v>
      </c>
      <c r="U96">
        <v>0</v>
      </c>
      <c r="V96">
        <v>794458</v>
      </c>
      <c r="W96">
        <v>0</v>
      </c>
      <c r="Y96">
        <v>0</v>
      </c>
      <c r="Z96">
        <v>29795</v>
      </c>
      <c r="AA96">
        <v>0</v>
      </c>
      <c r="AB96">
        <v>0</v>
      </c>
      <c r="AC96">
        <v>0</v>
      </c>
      <c r="AD96">
        <v>0</v>
      </c>
      <c r="AE96">
        <v>0</v>
      </c>
      <c r="AF96">
        <v>0</v>
      </c>
      <c r="AG96">
        <v>849169</v>
      </c>
      <c r="AH96">
        <v>0</v>
      </c>
      <c r="AI96">
        <v>5462019</v>
      </c>
      <c r="AJ96">
        <v>0</v>
      </c>
      <c r="AK96">
        <v>0</v>
      </c>
      <c r="AM96">
        <v>0</v>
      </c>
      <c r="AN96">
        <v>0</v>
      </c>
      <c r="AO96">
        <v>0</v>
      </c>
      <c r="AP96">
        <v>0</v>
      </c>
      <c r="AQ96">
        <v>0</v>
      </c>
      <c r="AR96">
        <v>1030998</v>
      </c>
      <c r="AS96">
        <v>0</v>
      </c>
      <c r="AT96">
        <v>0</v>
      </c>
      <c r="AU96">
        <v>0</v>
      </c>
      <c r="AV96">
        <v>34690</v>
      </c>
      <c r="AW96">
        <v>0</v>
      </c>
      <c r="AX96">
        <v>0</v>
      </c>
      <c r="AY96">
        <v>0</v>
      </c>
      <c r="AZ96">
        <v>0</v>
      </c>
      <c r="BA96">
        <v>0</v>
      </c>
      <c r="BB96">
        <v>0</v>
      </c>
      <c r="BC96">
        <v>0</v>
      </c>
      <c r="BD96">
        <v>225975</v>
      </c>
      <c r="BE96">
        <v>0</v>
      </c>
      <c r="BF96">
        <v>0</v>
      </c>
      <c r="BG96">
        <v>0</v>
      </c>
      <c r="BH96">
        <v>0</v>
      </c>
      <c r="BI96">
        <v>0</v>
      </c>
      <c r="BJ96">
        <v>0</v>
      </c>
      <c r="BK96">
        <v>0</v>
      </c>
      <c r="BL96">
        <v>0</v>
      </c>
      <c r="BM96">
        <v>0</v>
      </c>
      <c r="BN96">
        <v>0</v>
      </c>
      <c r="BO96">
        <v>0</v>
      </c>
      <c r="BP96">
        <v>0</v>
      </c>
      <c r="BQ96">
        <v>0</v>
      </c>
      <c r="BR96">
        <v>344778</v>
      </c>
      <c r="BS96">
        <v>42717</v>
      </c>
      <c r="BT96">
        <v>27650</v>
      </c>
      <c r="BU96">
        <v>0</v>
      </c>
      <c r="BV96">
        <v>0</v>
      </c>
      <c r="BW96">
        <v>0</v>
      </c>
      <c r="BX96">
        <v>0</v>
      </c>
      <c r="BY96">
        <v>0</v>
      </c>
      <c r="BZ96">
        <v>0</v>
      </c>
      <c r="CA96">
        <v>0</v>
      </c>
      <c r="CB96">
        <v>0</v>
      </c>
      <c r="CD96">
        <v>0</v>
      </c>
    </row>
    <row r="97" spans="1:82" x14ac:dyDescent="0.3">
      <c r="A97">
        <v>387</v>
      </c>
      <c r="B97" t="s">
        <v>186</v>
      </c>
      <c r="D97">
        <v>0</v>
      </c>
      <c r="E97">
        <v>0</v>
      </c>
      <c r="F97">
        <v>0</v>
      </c>
      <c r="G97">
        <v>0</v>
      </c>
      <c r="H97">
        <v>0</v>
      </c>
      <c r="I97">
        <v>0</v>
      </c>
      <c r="J97">
        <v>15000</v>
      </c>
      <c r="K97">
        <v>0</v>
      </c>
      <c r="L97">
        <v>0</v>
      </c>
      <c r="M97">
        <v>0</v>
      </c>
      <c r="N97">
        <v>0</v>
      </c>
      <c r="O97">
        <v>0</v>
      </c>
      <c r="P97">
        <v>0</v>
      </c>
      <c r="Q97">
        <v>22118773</v>
      </c>
      <c r="R97">
        <v>0</v>
      </c>
      <c r="S97">
        <v>0</v>
      </c>
      <c r="T97">
        <v>0</v>
      </c>
      <c r="U97">
        <v>39620</v>
      </c>
      <c r="V97">
        <v>0</v>
      </c>
      <c r="W97">
        <v>0</v>
      </c>
      <c r="Y97">
        <v>0</v>
      </c>
      <c r="Z97">
        <v>29063</v>
      </c>
      <c r="AA97">
        <v>0</v>
      </c>
      <c r="AB97">
        <v>629498</v>
      </c>
      <c r="AC97">
        <v>351073</v>
      </c>
      <c r="AD97">
        <v>0</v>
      </c>
      <c r="AE97">
        <v>0</v>
      </c>
      <c r="AF97">
        <v>0</v>
      </c>
      <c r="AG97">
        <v>0</v>
      </c>
      <c r="AH97">
        <v>0</v>
      </c>
      <c r="AI97">
        <v>2849468</v>
      </c>
      <c r="AJ97">
        <v>0</v>
      </c>
      <c r="AK97">
        <v>0</v>
      </c>
      <c r="AM97">
        <v>0</v>
      </c>
      <c r="AN97">
        <v>76267</v>
      </c>
      <c r="AO97">
        <v>0</v>
      </c>
      <c r="AP97">
        <v>0</v>
      </c>
      <c r="AQ97">
        <v>0</v>
      </c>
      <c r="AR97">
        <v>1582264</v>
      </c>
      <c r="AS97">
        <v>0</v>
      </c>
      <c r="AT97">
        <v>0</v>
      </c>
      <c r="AU97">
        <v>0</v>
      </c>
      <c r="AV97">
        <v>0</v>
      </c>
      <c r="AW97">
        <v>0</v>
      </c>
      <c r="AX97">
        <v>0</v>
      </c>
      <c r="AY97">
        <v>0</v>
      </c>
      <c r="AZ97">
        <v>0</v>
      </c>
      <c r="BA97">
        <v>0</v>
      </c>
      <c r="BB97">
        <v>0</v>
      </c>
      <c r="BC97">
        <v>16194</v>
      </c>
      <c r="BD97">
        <v>0</v>
      </c>
      <c r="BE97">
        <v>0</v>
      </c>
      <c r="BF97">
        <v>0</v>
      </c>
      <c r="BG97">
        <v>0</v>
      </c>
      <c r="BH97">
        <v>0</v>
      </c>
      <c r="BI97">
        <v>1850</v>
      </c>
      <c r="BJ97">
        <v>0</v>
      </c>
      <c r="BK97">
        <v>0</v>
      </c>
      <c r="BL97">
        <v>0</v>
      </c>
      <c r="BM97">
        <v>0</v>
      </c>
      <c r="BN97">
        <v>9128</v>
      </c>
      <c r="BO97">
        <v>0</v>
      </c>
      <c r="BP97">
        <v>0</v>
      </c>
      <c r="BQ97">
        <v>0</v>
      </c>
      <c r="BR97">
        <v>0</v>
      </c>
      <c r="BS97">
        <v>0</v>
      </c>
      <c r="BT97">
        <v>0</v>
      </c>
      <c r="BU97">
        <v>0</v>
      </c>
      <c r="BV97">
        <v>0</v>
      </c>
      <c r="BW97">
        <v>0</v>
      </c>
      <c r="BX97">
        <v>0</v>
      </c>
      <c r="BY97">
        <v>0</v>
      </c>
      <c r="BZ97">
        <v>141415</v>
      </c>
      <c r="CA97">
        <v>0</v>
      </c>
      <c r="CB97">
        <v>0</v>
      </c>
      <c r="CD97">
        <v>0</v>
      </c>
    </row>
    <row r="98" spans="1:82" x14ac:dyDescent="0.3">
      <c r="A98">
        <v>388</v>
      </c>
      <c r="B98" t="s">
        <v>180</v>
      </c>
      <c r="D98">
        <v>365954</v>
      </c>
      <c r="E98">
        <v>52883</v>
      </c>
      <c r="F98">
        <v>942356</v>
      </c>
      <c r="G98">
        <v>2037743</v>
      </c>
      <c r="H98">
        <v>1023482</v>
      </c>
      <c r="I98">
        <v>4081736</v>
      </c>
      <c r="J98">
        <v>83166</v>
      </c>
      <c r="K98">
        <v>336740</v>
      </c>
      <c r="L98">
        <v>246761</v>
      </c>
      <c r="M98">
        <v>20000529</v>
      </c>
      <c r="N98">
        <v>580731</v>
      </c>
      <c r="O98">
        <v>4643906</v>
      </c>
      <c r="P98">
        <v>93036</v>
      </c>
      <c r="Q98">
        <v>50702659</v>
      </c>
      <c r="R98">
        <v>1732081</v>
      </c>
      <c r="S98">
        <v>42091</v>
      </c>
      <c r="T98">
        <v>69723441</v>
      </c>
      <c r="U98">
        <v>21541872</v>
      </c>
      <c r="V98">
        <v>22911813</v>
      </c>
      <c r="W98">
        <v>40143984</v>
      </c>
      <c r="Y98">
        <v>15662827</v>
      </c>
      <c r="Z98">
        <v>1449808</v>
      </c>
      <c r="AA98">
        <v>13819733</v>
      </c>
      <c r="AB98">
        <v>4867334</v>
      </c>
      <c r="AC98">
        <v>2044464</v>
      </c>
      <c r="AD98">
        <v>2293779</v>
      </c>
      <c r="AE98">
        <v>2847124</v>
      </c>
      <c r="AF98">
        <v>25784386</v>
      </c>
      <c r="AG98">
        <v>7082125</v>
      </c>
      <c r="AH98">
        <v>797093</v>
      </c>
      <c r="AI98">
        <v>41160744</v>
      </c>
      <c r="AJ98">
        <v>506080</v>
      </c>
      <c r="AK98">
        <v>1128274</v>
      </c>
      <c r="AM98">
        <v>14408606</v>
      </c>
      <c r="AN98">
        <v>624184</v>
      </c>
      <c r="AO98">
        <v>690340</v>
      </c>
      <c r="AP98">
        <v>42738</v>
      </c>
      <c r="AQ98">
        <v>13034320</v>
      </c>
      <c r="AR98">
        <v>7192778</v>
      </c>
      <c r="AS98">
        <v>730251</v>
      </c>
      <c r="AT98">
        <v>2872597</v>
      </c>
      <c r="AU98">
        <v>189043</v>
      </c>
      <c r="AV98">
        <v>28774400</v>
      </c>
      <c r="AW98">
        <v>1587140</v>
      </c>
      <c r="AX98">
        <v>2150081</v>
      </c>
      <c r="AY98">
        <v>23685965</v>
      </c>
      <c r="AZ98">
        <v>903590</v>
      </c>
      <c r="BA98">
        <v>1172628</v>
      </c>
      <c r="BB98">
        <v>32351</v>
      </c>
      <c r="BC98">
        <v>212201</v>
      </c>
      <c r="BD98">
        <v>10125794</v>
      </c>
      <c r="BE98">
        <v>75355</v>
      </c>
      <c r="BF98">
        <v>483117</v>
      </c>
      <c r="BG98">
        <v>137541</v>
      </c>
      <c r="BH98">
        <v>97240</v>
      </c>
      <c r="BI98">
        <v>286634</v>
      </c>
      <c r="BJ98">
        <v>132886</v>
      </c>
      <c r="BK98">
        <v>3832195</v>
      </c>
      <c r="BL98">
        <v>763480</v>
      </c>
      <c r="BM98">
        <v>2699409</v>
      </c>
      <c r="BN98">
        <v>4808583</v>
      </c>
      <c r="BO98">
        <v>1218217</v>
      </c>
      <c r="BP98">
        <v>1557347</v>
      </c>
      <c r="BQ98">
        <v>20177349</v>
      </c>
      <c r="BR98">
        <v>1223012</v>
      </c>
      <c r="BS98">
        <v>14021008</v>
      </c>
      <c r="BT98">
        <v>643984</v>
      </c>
      <c r="BU98">
        <v>5866449</v>
      </c>
      <c r="BV98">
        <v>756680</v>
      </c>
      <c r="BW98">
        <v>2120703</v>
      </c>
      <c r="BX98">
        <v>846496</v>
      </c>
      <c r="BY98">
        <v>74540</v>
      </c>
      <c r="BZ98">
        <v>415874</v>
      </c>
      <c r="CA98">
        <v>128631</v>
      </c>
      <c r="CB98">
        <v>1205031</v>
      </c>
      <c r="CD98">
        <v>70430</v>
      </c>
    </row>
    <row r="99" spans="1:82" x14ac:dyDescent="0.3">
      <c r="A99">
        <v>389</v>
      </c>
      <c r="B99" t="s">
        <v>187</v>
      </c>
      <c r="D99">
        <v>0</v>
      </c>
      <c r="E99">
        <v>0</v>
      </c>
      <c r="F99">
        <v>0</v>
      </c>
      <c r="G99">
        <v>0</v>
      </c>
      <c r="H99">
        <v>0</v>
      </c>
      <c r="I99">
        <v>0</v>
      </c>
      <c r="J99">
        <v>0</v>
      </c>
      <c r="K99">
        <v>0</v>
      </c>
      <c r="L99">
        <v>0</v>
      </c>
      <c r="M99">
        <v>0</v>
      </c>
      <c r="N99">
        <v>0</v>
      </c>
      <c r="O99">
        <v>0</v>
      </c>
      <c r="P99">
        <v>0</v>
      </c>
      <c r="Q99">
        <v>0</v>
      </c>
      <c r="R99">
        <v>0</v>
      </c>
      <c r="S99">
        <v>0</v>
      </c>
      <c r="T99">
        <v>803668</v>
      </c>
      <c r="U99">
        <v>0</v>
      </c>
      <c r="V99">
        <v>0</v>
      </c>
      <c r="W99">
        <v>0</v>
      </c>
      <c r="Y99">
        <v>0</v>
      </c>
      <c r="Z99">
        <v>0</v>
      </c>
      <c r="AA99">
        <v>0</v>
      </c>
      <c r="AB99">
        <v>0</v>
      </c>
      <c r="AC99">
        <v>0</v>
      </c>
      <c r="AD99">
        <v>0</v>
      </c>
      <c r="AE99">
        <v>0</v>
      </c>
      <c r="AF99">
        <v>0</v>
      </c>
      <c r="AG99">
        <v>0</v>
      </c>
      <c r="AH99">
        <v>0</v>
      </c>
      <c r="AI99">
        <v>0</v>
      </c>
      <c r="AJ99">
        <v>0</v>
      </c>
      <c r="AK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2218</v>
      </c>
      <c r="BM99">
        <v>0</v>
      </c>
      <c r="BN99">
        <v>0</v>
      </c>
      <c r="BO99">
        <v>0</v>
      </c>
      <c r="BP99">
        <v>0</v>
      </c>
      <c r="BQ99">
        <v>0</v>
      </c>
      <c r="BR99">
        <v>0</v>
      </c>
      <c r="BS99">
        <v>0</v>
      </c>
      <c r="BT99">
        <v>0</v>
      </c>
      <c r="BU99">
        <v>0</v>
      </c>
      <c r="BV99">
        <v>0</v>
      </c>
      <c r="BW99">
        <v>0</v>
      </c>
      <c r="BX99">
        <v>0</v>
      </c>
      <c r="BY99">
        <v>0</v>
      </c>
      <c r="BZ99">
        <v>0</v>
      </c>
      <c r="CA99">
        <v>0</v>
      </c>
      <c r="CB99">
        <v>0</v>
      </c>
      <c r="CD99">
        <v>0</v>
      </c>
    </row>
    <row r="100" spans="1:82" x14ac:dyDescent="0.3">
      <c r="A100">
        <v>391</v>
      </c>
      <c r="B100" t="s">
        <v>192</v>
      </c>
      <c r="D100">
        <v>17649</v>
      </c>
      <c r="E100">
        <v>4515</v>
      </c>
      <c r="F100">
        <v>119588</v>
      </c>
      <c r="G100">
        <v>679172</v>
      </c>
      <c r="H100">
        <v>281694</v>
      </c>
      <c r="I100">
        <v>453970</v>
      </c>
      <c r="J100">
        <v>10963</v>
      </c>
      <c r="K100">
        <v>64075</v>
      </c>
      <c r="L100">
        <v>20115</v>
      </c>
      <c r="M100">
        <v>2996499</v>
      </c>
      <c r="N100">
        <v>64370</v>
      </c>
      <c r="O100">
        <v>2045737</v>
      </c>
      <c r="P100">
        <v>18717</v>
      </c>
      <c r="Q100">
        <v>9484228</v>
      </c>
      <c r="R100">
        <v>186980</v>
      </c>
      <c r="S100">
        <v>4202</v>
      </c>
      <c r="T100">
        <v>13814678</v>
      </c>
      <c r="U100">
        <v>2902019</v>
      </c>
      <c r="V100">
        <v>4573924</v>
      </c>
      <c r="W100">
        <v>4442732</v>
      </c>
      <c r="Y100">
        <v>3561121</v>
      </c>
      <c r="Z100">
        <v>176325</v>
      </c>
      <c r="AA100">
        <v>1553513</v>
      </c>
      <c r="AB100">
        <v>819306</v>
      </c>
      <c r="AC100">
        <v>434317</v>
      </c>
      <c r="AD100">
        <v>218242</v>
      </c>
      <c r="AE100">
        <v>27187</v>
      </c>
      <c r="AF100">
        <v>3922259</v>
      </c>
      <c r="AG100">
        <v>918395</v>
      </c>
      <c r="AH100">
        <v>144831</v>
      </c>
      <c r="AI100">
        <v>11404785</v>
      </c>
      <c r="AJ100">
        <v>231418</v>
      </c>
      <c r="AK100">
        <v>93200</v>
      </c>
      <c r="AM100">
        <v>2695845</v>
      </c>
      <c r="AN100">
        <v>65255</v>
      </c>
      <c r="AO100">
        <v>125669</v>
      </c>
      <c r="AP100">
        <v>2512</v>
      </c>
      <c r="AQ100">
        <v>713711</v>
      </c>
      <c r="AR100">
        <v>1236604</v>
      </c>
      <c r="AS100">
        <v>83012</v>
      </c>
      <c r="AT100">
        <v>242597</v>
      </c>
      <c r="AU100">
        <v>12005</v>
      </c>
      <c r="AV100">
        <v>378110</v>
      </c>
      <c r="AW100">
        <v>250469</v>
      </c>
      <c r="AX100">
        <v>198390</v>
      </c>
      <c r="AY100">
        <v>271422</v>
      </c>
      <c r="AZ100">
        <v>71404</v>
      </c>
      <c r="BA100">
        <v>55214</v>
      </c>
      <c r="BB100">
        <v>0</v>
      </c>
      <c r="BC100">
        <v>152675</v>
      </c>
      <c r="BD100">
        <v>941603</v>
      </c>
      <c r="BE100">
        <v>5995</v>
      </c>
      <c r="BF100">
        <v>112861</v>
      </c>
      <c r="BG100">
        <v>0</v>
      </c>
      <c r="BH100">
        <v>7379</v>
      </c>
      <c r="BI100">
        <v>32548</v>
      </c>
      <c r="BJ100">
        <v>16586</v>
      </c>
      <c r="BK100">
        <v>403067</v>
      </c>
      <c r="BL100">
        <v>75452</v>
      </c>
      <c r="BM100">
        <v>374613</v>
      </c>
      <c r="BN100">
        <v>569928</v>
      </c>
      <c r="BO100">
        <v>148629</v>
      </c>
      <c r="BP100">
        <v>212816</v>
      </c>
      <c r="BQ100">
        <v>2893797</v>
      </c>
      <c r="BR100">
        <v>138345</v>
      </c>
      <c r="BS100">
        <v>1741151</v>
      </c>
      <c r="BT100">
        <v>70468</v>
      </c>
      <c r="BU100">
        <v>576225</v>
      </c>
      <c r="BV100">
        <v>107451</v>
      </c>
      <c r="BW100">
        <v>297400</v>
      </c>
      <c r="BX100">
        <v>148038</v>
      </c>
      <c r="BY100">
        <v>23461</v>
      </c>
      <c r="BZ100">
        <v>613317</v>
      </c>
      <c r="CA100">
        <v>7327</v>
      </c>
      <c r="CB100">
        <v>381395</v>
      </c>
      <c r="CD100">
        <v>2879</v>
      </c>
    </row>
    <row r="101" spans="1:82" x14ac:dyDescent="0.3">
      <c r="A101">
        <v>500</v>
      </c>
      <c r="B101" t="s">
        <v>175</v>
      </c>
      <c r="D101">
        <v>72817</v>
      </c>
      <c r="E101">
        <v>62879</v>
      </c>
      <c r="F101">
        <v>257009</v>
      </c>
      <c r="G101">
        <v>1062892</v>
      </c>
      <c r="H101">
        <v>782721</v>
      </c>
      <c r="I101">
        <v>406835</v>
      </c>
      <c r="J101">
        <v>0</v>
      </c>
      <c r="K101">
        <v>135337</v>
      </c>
      <c r="L101">
        <v>33033</v>
      </c>
      <c r="M101">
        <v>5396160</v>
      </c>
      <c r="N101">
        <v>121365</v>
      </c>
      <c r="O101">
        <v>1423057</v>
      </c>
      <c r="P101">
        <v>18780</v>
      </c>
      <c r="Q101">
        <v>13429770</v>
      </c>
      <c r="R101">
        <v>131072</v>
      </c>
      <c r="S101">
        <v>15094</v>
      </c>
      <c r="T101">
        <v>48905698</v>
      </c>
      <c r="U101">
        <v>1670476</v>
      </c>
      <c r="V101">
        <v>9208617</v>
      </c>
      <c r="W101">
        <v>30785949</v>
      </c>
      <c r="Y101">
        <v>3559989</v>
      </c>
      <c r="Z101">
        <v>250707</v>
      </c>
      <c r="AA101">
        <v>4868334</v>
      </c>
      <c r="AB101">
        <v>324159</v>
      </c>
      <c r="AC101">
        <v>376271</v>
      </c>
      <c r="AD101">
        <v>600236</v>
      </c>
      <c r="AE101">
        <v>262406</v>
      </c>
      <c r="AF101">
        <v>5480809</v>
      </c>
      <c r="AG101">
        <v>694692</v>
      </c>
      <c r="AH101">
        <v>141653</v>
      </c>
      <c r="AI101">
        <v>7634209</v>
      </c>
      <c r="AJ101">
        <v>248048</v>
      </c>
      <c r="AK101">
        <v>28219</v>
      </c>
      <c r="AM101">
        <v>4031082</v>
      </c>
      <c r="AN101">
        <v>149145</v>
      </c>
      <c r="AO101">
        <v>68008</v>
      </c>
      <c r="AP101">
        <v>0</v>
      </c>
      <c r="AQ101">
        <v>397301</v>
      </c>
      <c r="AR101">
        <v>305805</v>
      </c>
      <c r="AS101">
        <v>386655</v>
      </c>
      <c r="AT101">
        <v>579880</v>
      </c>
      <c r="AU101">
        <v>95961</v>
      </c>
      <c r="AV101">
        <v>5896305</v>
      </c>
      <c r="AW101">
        <v>843063</v>
      </c>
      <c r="AX101">
        <v>114159</v>
      </c>
      <c r="AY101">
        <v>251904</v>
      </c>
      <c r="AZ101">
        <v>51368</v>
      </c>
      <c r="BA101">
        <v>531751</v>
      </c>
      <c r="BB101">
        <v>0</v>
      </c>
      <c r="BC101">
        <v>338719</v>
      </c>
      <c r="BD101">
        <v>1699239</v>
      </c>
      <c r="BE101">
        <v>64519</v>
      </c>
      <c r="BF101">
        <v>317</v>
      </c>
      <c r="BG101">
        <v>76034</v>
      </c>
      <c r="BH101">
        <v>35336</v>
      </c>
      <c r="BI101">
        <v>101535</v>
      </c>
      <c r="BJ101">
        <v>26632</v>
      </c>
      <c r="BK101">
        <v>94956</v>
      </c>
      <c r="BL101">
        <v>186551</v>
      </c>
      <c r="BM101">
        <v>108445</v>
      </c>
      <c r="BN101">
        <v>222053</v>
      </c>
      <c r="BO101">
        <v>552059</v>
      </c>
      <c r="BP101">
        <v>538277</v>
      </c>
      <c r="BQ101">
        <v>2652592</v>
      </c>
      <c r="BR101">
        <v>309739</v>
      </c>
      <c r="BS101">
        <v>5931723</v>
      </c>
      <c r="BT101">
        <v>469363</v>
      </c>
      <c r="BU101">
        <v>222537</v>
      </c>
      <c r="BV101">
        <v>662693</v>
      </c>
      <c r="BW101">
        <v>16255</v>
      </c>
      <c r="BX101">
        <v>611532</v>
      </c>
      <c r="BY101">
        <v>166457</v>
      </c>
      <c r="BZ101">
        <v>36181</v>
      </c>
      <c r="CA101">
        <v>53637</v>
      </c>
      <c r="CB101">
        <v>480457</v>
      </c>
      <c r="CD101">
        <v>18800</v>
      </c>
    </row>
    <row r="102" spans="1:82" x14ac:dyDescent="0.3">
      <c r="A102">
        <v>502</v>
      </c>
      <c r="B102" t="s">
        <v>177</v>
      </c>
      <c r="D102">
        <v>77824</v>
      </c>
      <c r="E102">
        <v>0</v>
      </c>
      <c r="F102">
        <v>729395</v>
      </c>
      <c r="G102">
        <v>0</v>
      </c>
      <c r="H102">
        <v>0</v>
      </c>
      <c r="I102">
        <v>0</v>
      </c>
      <c r="J102">
        <v>18259</v>
      </c>
      <c r="K102">
        <v>0</v>
      </c>
      <c r="L102">
        <v>0</v>
      </c>
      <c r="M102">
        <v>0</v>
      </c>
      <c r="N102">
        <v>0</v>
      </c>
      <c r="O102">
        <v>1754560</v>
      </c>
      <c r="P102">
        <v>0</v>
      </c>
      <c r="Q102">
        <v>184399390</v>
      </c>
      <c r="R102">
        <v>880436</v>
      </c>
      <c r="S102">
        <v>0</v>
      </c>
      <c r="T102">
        <v>22060045</v>
      </c>
      <c r="U102">
        <v>9021216</v>
      </c>
      <c r="V102">
        <v>39710688</v>
      </c>
      <c r="W102">
        <v>2036958</v>
      </c>
      <c r="Y102">
        <v>5917843</v>
      </c>
      <c r="Z102">
        <v>1488329</v>
      </c>
      <c r="AA102">
        <v>14947278</v>
      </c>
      <c r="AB102">
        <v>1873828</v>
      </c>
      <c r="AC102">
        <v>1371965</v>
      </c>
      <c r="AD102">
        <v>1059027</v>
      </c>
      <c r="AE102">
        <v>2591059</v>
      </c>
      <c r="AF102">
        <v>3933212</v>
      </c>
      <c r="AG102">
        <v>2018170</v>
      </c>
      <c r="AH102">
        <v>0</v>
      </c>
      <c r="AI102">
        <v>38997068</v>
      </c>
      <c r="AJ102">
        <v>378161</v>
      </c>
      <c r="AK102">
        <v>660572</v>
      </c>
      <c r="AM102">
        <v>13005009</v>
      </c>
      <c r="AN102">
        <v>-25119</v>
      </c>
      <c r="AO102">
        <v>47818</v>
      </c>
      <c r="AP102">
        <v>0</v>
      </c>
      <c r="AQ102">
        <v>0</v>
      </c>
      <c r="AR102">
        <v>5128263</v>
      </c>
      <c r="AS102">
        <v>0</v>
      </c>
      <c r="AT102">
        <v>1270850</v>
      </c>
      <c r="AU102">
        <v>695714</v>
      </c>
      <c r="AV102">
        <v>32284057</v>
      </c>
      <c r="AW102">
        <v>0</v>
      </c>
      <c r="AX102">
        <v>2752670</v>
      </c>
      <c r="AY102">
        <v>17354515</v>
      </c>
      <c r="AZ102">
        <v>935562</v>
      </c>
      <c r="BA102">
        <v>194504</v>
      </c>
      <c r="BB102">
        <v>0</v>
      </c>
      <c r="BC102">
        <v>65290</v>
      </c>
      <c r="BD102">
        <v>10065092</v>
      </c>
      <c r="BE102">
        <v>0</v>
      </c>
      <c r="BF102">
        <v>258798</v>
      </c>
      <c r="BG102">
        <v>112468</v>
      </c>
      <c r="BH102">
        <v>0</v>
      </c>
      <c r="BI102">
        <v>336687</v>
      </c>
      <c r="BJ102">
        <v>0</v>
      </c>
      <c r="BK102">
        <v>1720826</v>
      </c>
      <c r="BL102">
        <v>2005776</v>
      </c>
      <c r="BM102">
        <v>416697</v>
      </c>
      <c r="BN102">
        <v>883272</v>
      </c>
      <c r="BO102">
        <v>822154</v>
      </c>
      <c r="BP102">
        <v>1201953</v>
      </c>
      <c r="BQ102">
        <v>0</v>
      </c>
      <c r="BR102">
        <v>2508462</v>
      </c>
      <c r="BS102">
        <v>5752631</v>
      </c>
      <c r="BT102">
        <v>541542</v>
      </c>
      <c r="BU102">
        <v>6171313</v>
      </c>
      <c r="BV102">
        <v>0</v>
      </c>
      <c r="BW102">
        <v>575744</v>
      </c>
      <c r="BX102">
        <v>1369118</v>
      </c>
      <c r="BY102">
        <v>3129</v>
      </c>
      <c r="BZ102">
        <v>367066</v>
      </c>
      <c r="CA102">
        <v>50849</v>
      </c>
      <c r="CB102">
        <v>1354338</v>
      </c>
      <c r="CD102">
        <v>1499</v>
      </c>
    </row>
    <row r="103" spans="1:82" x14ac:dyDescent="0.3">
      <c r="A103">
        <v>503</v>
      </c>
      <c r="B103" t="s">
        <v>178</v>
      </c>
      <c r="D103">
        <v>43067</v>
      </c>
      <c r="E103">
        <v>0</v>
      </c>
      <c r="F103">
        <v>71277</v>
      </c>
      <c r="G103">
        <v>0</v>
      </c>
      <c r="H103">
        <v>0</v>
      </c>
      <c r="I103">
        <v>0</v>
      </c>
      <c r="J103">
        <v>10518</v>
      </c>
      <c r="K103">
        <v>0</v>
      </c>
      <c r="L103">
        <v>0</v>
      </c>
      <c r="M103">
        <v>0</v>
      </c>
      <c r="N103">
        <v>0</v>
      </c>
      <c r="O103">
        <v>124155</v>
      </c>
      <c r="P103">
        <v>0</v>
      </c>
      <c r="Q103">
        <v>198919</v>
      </c>
      <c r="R103">
        <v>7386</v>
      </c>
      <c r="S103">
        <v>0</v>
      </c>
      <c r="T103">
        <v>41049171</v>
      </c>
      <c r="U103">
        <v>213760</v>
      </c>
      <c r="V103">
        <v>912372</v>
      </c>
      <c r="W103">
        <v>0</v>
      </c>
      <c r="Y103">
        <v>64459</v>
      </c>
      <c r="Z103">
        <v>160000</v>
      </c>
      <c r="AA103">
        <v>5184364</v>
      </c>
      <c r="AB103">
        <v>194915</v>
      </c>
      <c r="AC103">
        <v>205766</v>
      </c>
      <c r="AD103">
        <v>143655</v>
      </c>
      <c r="AE103">
        <v>161597</v>
      </c>
      <c r="AF103">
        <v>465321</v>
      </c>
      <c r="AG103">
        <v>164908</v>
      </c>
      <c r="AH103">
        <v>0</v>
      </c>
      <c r="AI103">
        <v>2634889</v>
      </c>
      <c r="AJ103">
        <v>13360</v>
      </c>
      <c r="AK103">
        <v>14655</v>
      </c>
      <c r="AM103">
        <v>1752640</v>
      </c>
      <c r="AN103">
        <v>25340</v>
      </c>
      <c r="AO103">
        <v>89154</v>
      </c>
      <c r="AP103">
        <v>0</v>
      </c>
      <c r="AQ103">
        <v>0</v>
      </c>
      <c r="AR103">
        <v>73126</v>
      </c>
      <c r="AS103">
        <v>0</v>
      </c>
      <c r="AT103">
        <v>42369</v>
      </c>
      <c r="AU103">
        <v>33338</v>
      </c>
      <c r="AV103">
        <v>6428765</v>
      </c>
      <c r="AW103">
        <v>0</v>
      </c>
      <c r="AX103">
        <v>27357</v>
      </c>
      <c r="AY103">
        <v>227029</v>
      </c>
      <c r="AZ103">
        <v>36495</v>
      </c>
      <c r="BA103">
        <v>52099</v>
      </c>
      <c r="BB103">
        <v>0</v>
      </c>
      <c r="BC103">
        <v>9535</v>
      </c>
      <c r="BD103">
        <v>143287</v>
      </c>
      <c r="BE103">
        <v>0</v>
      </c>
      <c r="BF103">
        <v>2217</v>
      </c>
      <c r="BG103">
        <v>5856</v>
      </c>
      <c r="BH103">
        <v>0</v>
      </c>
      <c r="BI103">
        <v>21180</v>
      </c>
      <c r="BJ103">
        <v>0</v>
      </c>
      <c r="BK103">
        <v>470238</v>
      </c>
      <c r="BL103">
        <v>124393</v>
      </c>
      <c r="BM103">
        <v>10088</v>
      </c>
      <c r="BN103">
        <v>4856</v>
      </c>
      <c r="BO103">
        <v>67704</v>
      </c>
      <c r="BP103">
        <v>91722</v>
      </c>
      <c r="BQ103">
        <v>0</v>
      </c>
      <c r="BR103">
        <v>127677</v>
      </c>
      <c r="BS103">
        <v>268836</v>
      </c>
      <c r="BT103">
        <v>65242</v>
      </c>
      <c r="BU103">
        <v>123247</v>
      </c>
      <c r="BV103">
        <v>0</v>
      </c>
      <c r="BW103">
        <v>196619</v>
      </c>
      <c r="BX103">
        <v>39071</v>
      </c>
      <c r="BY103">
        <v>0</v>
      </c>
      <c r="BZ103">
        <v>47362</v>
      </c>
      <c r="CA103">
        <v>12375</v>
      </c>
      <c r="CB103">
        <v>106818</v>
      </c>
      <c r="CD103">
        <v>0</v>
      </c>
    </row>
    <row r="104" spans="1:82" x14ac:dyDescent="0.3">
      <c r="A104">
        <v>504</v>
      </c>
      <c r="B104" t="s">
        <v>182</v>
      </c>
      <c r="D104">
        <v>15083</v>
      </c>
      <c r="E104">
        <v>6302</v>
      </c>
      <c r="F104">
        <v>61704</v>
      </c>
      <c r="G104">
        <v>1329796</v>
      </c>
      <c r="H104">
        <v>0</v>
      </c>
      <c r="I104">
        <v>932150</v>
      </c>
      <c r="J104">
        <v>0</v>
      </c>
      <c r="K104">
        <v>0</v>
      </c>
      <c r="L104">
        <v>55648</v>
      </c>
      <c r="M104">
        <v>2755294</v>
      </c>
      <c r="N104">
        <v>120468</v>
      </c>
      <c r="O104">
        <v>672700</v>
      </c>
      <c r="P104">
        <v>0</v>
      </c>
      <c r="Q104">
        <v>8673881</v>
      </c>
      <c r="R104">
        <v>195269</v>
      </c>
      <c r="S104">
        <v>5125</v>
      </c>
      <c r="T104">
        <v>18568892</v>
      </c>
      <c r="U104">
        <v>1995860</v>
      </c>
      <c r="V104">
        <v>1144037</v>
      </c>
      <c r="W104">
        <v>2141609</v>
      </c>
      <c r="Y104">
        <v>1472250</v>
      </c>
      <c r="Z104">
        <v>86376</v>
      </c>
      <c r="AA104">
        <v>872601</v>
      </c>
      <c r="AB104">
        <v>869980</v>
      </c>
      <c r="AC104">
        <v>1439144</v>
      </c>
      <c r="AD104">
        <v>809103</v>
      </c>
      <c r="AE104">
        <v>226338</v>
      </c>
      <c r="AF104">
        <v>959030</v>
      </c>
      <c r="AG104">
        <v>701507</v>
      </c>
      <c r="AH104">
        <v>93619</v>
      </c>
      <c r="AI104">
        <v>9029257</v>
      </c>
      <c r="AJ104">
        <v>136581</v>
      </c>
      <c r="AK104">
        <v>137152</v>
      </c>
      <c r="AM104">
        <v>1025505</v>
      </c>
      <c r="AN104">
        <v>103932</v>
      </c>
      <c r="AO104">
        <v>0</v>
      </c>
      <c r="AP104">
        <v>30270</v>
      </c>
      <c r="AQ104">
        <v>5335723</v>
      </c>
      <c r="AR104">
        <v>228422</v>
      </c>
      <c r="AS104">
        <v>70621</v>
      </c>
      <c r="AT104">
        <v>101156</v>
      </c>
      <c r="AU104">
        <v>16842</v>
      </c>
      <c r="AV104">
        <v>4210987</v>
      </c>
      <c r="AW104">
        <v>67563</v>
      </c>
      <c r="AX104">
        <v>92284</v>
      </c>
      <c r="AY104">
        <v>624572</v>
      </c>
      <c r="AZ104">
        <v>213339</v>
      </c>
      <c r="BA104">
        <v>66648</v>
      </c>
      <c r="BB104">
        <v>7214</v>
      </c>
      <c r="BC104">
        <v>16194</v>
      </c>
      <c r="BD104">
        <v>608439</v>
      </c>
      <c r="BE104">
        <v>6775</v>
      </c>
      <c r="BF104">
        <v>43822</v>
      </c>
      <c r="BG104">
        <v>9369</v>
      </c>
      <c r="BH104">
        <v>8069</v>
      </c>
      <c r="BI104">
        <v>23576</v>
      </c>
      <c r="BJ104">
        <v>75664</v>
      </c>
      <c r="BK104">
        <v>1224921</v>
      </c>
      <c r="BL104">
        <v>73016</v>
      </c>
      <c r="BM104">
        <v>1048218</v>
      </c>
      <c r="BN104">
        <v>307005</v>
      </c>
      <c r="BO104">
        <v>137150</v>
      </c>
      <c r="BP104">
        <v>218620</v>
      </c>
      <c r="BQ104">
        <v>608559</v>
      </c>
      <c r="BR104">
        <v>161527</v>
      </c>
      <c r="BS104">
        <v>2123619</v>
      </c>
      <c r="BT104">
        <v>179925</v>
      </c>
      <c r="BU104">
        <v>257208</v>
      </c>
      <c r="BV104">
        <v>0</v>
      </c>
      <c r="BW104">
        <v>110501</v>
      </c>
      <c r="BX104">
        <v>71737</v>
      </c>
      <c r="BY104">
        <v>40714</v>
      </c>
      <c r="BZ104">
        <v>348364</v>
      </c>
      <c r="CA104">
        <v>6444</v>
      </c>
      <c r="CB104">
        <v>124721</v>
      </c>
      <c r="CD104">
        <v>4610</v>
      </c>
    </row>
    <row r="105" spans="1:82" x14ac:dyDescent="0.3">
      <c r="A105">
        <v>505</v>
      </c>
      <c r="B105" t="s">
        <v>183</v>
      </c>
      <c r="D105">
        <v>0</v>
      </c>
      <c r="E105">
        <v>0</v>
      </c>
      <c r="F105">
        <v>74461</v>
      </c>
      <c r="G105">
        <v>0</v>
      </c>
      <c r="H105">
        <v>350000</v>
      </c>
      <c r="I105">
        <v>75000</v>
      </c>
      <c r="J105">
        <v>0</v>
      </c>
      <c r="K105">
        <v>0</v>
      </c>
      <c r="L105">
        <v>0</v>
      </c>
      <c r="M105">
        <v>4732000</v>
      </c>
      <c r="N105">
        <v>14531</v>
      </c>
      <c r="O105">
        <v>25625</v>
      </c>
      <c r="P105">
        <v>9955</v>
      </c>
      <c r="Q105">
        <v>779234</v>
      </c>
      <c r="R105">
        <v>19</v>
      </c>
      <c r="S105">
        <v>0</v>
      </c>
      <c r="T105">
        <v>0</v>
      </c>
      <c r="U105">
        <v>3013836</v>
      </c>
      <c r="V105">
        <v>4202885</v>
      </c>
      <c r="W105">
        <v>9235319</v>
      </c>
      <c r="Y105">
        <v>0</v>
      </c>
      <c r="Z105">
        <v>74352</v>
      </c>
      <c r="AA105">
        <v>506588</v>
      </c>
      <c r="AB105">
        <v>1026251</v>
      </c>
      <c r="AC105">
        <v>43923</v>
      </c>
      <c r="AD105">
        <v>0</v>
      </c>
      <c r="AE105">
        <v>0</v>
      </c>
      <c r="AF105">
        <v>786266</v>
      </c>
      <c r="AG105">
        <v>0</v>
      </c>
      <c r="AH105">
        <v>0</v>
      </c>
      <c r="AI105">
        <v>475000</v>
      </c>
      <c r="AJ105">
        <v>0</v>
      </c>
      <c r="AK105">
        <v>0</v>
      </c>
      <c r="AM105">
        <v>1000</v>
      </c>
      <c r="AN105">
        <v>0</v>
      </c>
      <c r="AO105">
        <v>36594</v>
      </c>
      <c r="AP105">
        <v>0</v>
      </c>
      <c r="AQ105">
        <v>0</v>
      </c>
      <c r="AR105">
        <v>312521</v>
      </c>
      <c r="AS105">
        <v>0</v>
      </c>
      <c r="AT105">
        <v>123550</v>
      </c>
      <c r="AU105">
        <v>0</v>
      </c>
      <c r="AV105">
        <v>0</v>
      </c>
      <c r="AW105">
        <v>50000</v>
      </c>
      <c r="AX105">
        <v>0</v>
      </c>
      <c r="AY105">
        <v>1562400</v>
      </c>
      <c r="AZ105">
        <v>260000</v>
      </c>
      <c r="BA105">
        <v>0</v>
      </c>
      <c r="BB105">
        <v>0</v>
      </c>
      <c r="BC105">
        <v>0</v>
      </c>
      <c r="BD105">
        <v>0</v>
      </c>
      <c r="BE105">
        <v>0</v>
      </c>
      <c r="BF105">
        <v>0</v>
      </c>
      <c r="BG105">
        <v>0</v>
      </c>
      <c r="BH105">
        <v>0</v>
      </c>
      <c r="BI105">
        <v>0</v>
      </c>
      <c r="BJ105">
        <v>0</v>
      </c>
      <c r="BK105">
        <v>0</v>
      </c>
      <c r="BL105">
        <v>0</v>
      </c>
      <c r="BM105">
        <v>225762</v>
      </c>
      <c r="BN105">
        <v>109518</v>
      </c>
      <c r="BO105">
        <v>0</v>
      </c>
      <c r="BP105">
        <v>0</v>
      </c>
      <c r="BQ105">
        <v>940150</v>
      </c>
      <c r="BR105">
        <v>0</v>
      </c>
      <c r="BS105">
        <v>73104</v>
      </c>
      <c r="BT105">
        <v>0</v>
      </c>
      <c r="BU105">
        <v>0</v>
      </c>
      <c r="BV105">
        <v>50000</v>
      </c>
      <c r="BW105">
        <v>26552</v>
      </c>
      <c r="BX105">
        <v>1321</v>
      </c>
      <c r="BY105">
        <v>0</v>
      </c>
      <c r="BZ105">
        <v>140247</v>
      </c>
      <c r="CA105">
        <v>0</v>
      </c>
      <c r="CB105">
        <v>1843350</v>
      </c>
      <c r="CD105">
        <v>0</v>
      </c>
    </row>
    <row r="106" spans="1:82" x14ac:dyDescent="0.3">
      <c r="A106">
        <v>506</v>
      </c>
      <c r="B106" t="s">
        <v>189</v>
      </c>
      <c r="D106">
        <v>124852</v>
      </c>
      <c r="E106">
        <v>154776</v>
      </c>
      <c r="F106">
        <v>911313</v>
      </c>
      <c r="G106">
        <v>4901219</v>
      </c>
      <c r="H106">
        <v>6608909</v>
      </c>
      <c r="I106">
        <v>5982878</v>
      </c>
      <c r="J106">
        <v>137929</v>
      </c>
      <c r="K106">
        <v>1061969</v>
      </c>
      <c r="L106">
        <v>961622</v>
      </c>
      <c r="M106">
        <v>8890216</v>
      </c>
      <c r="N106">
        <v>733937</v>
      </c>
      <c r="O106">
        <v>5951880</v>
      </c>
      <c r="P106">
        <v>332391</v>
      </c>
      <c r="Q106">
        <v>31180522</v>
      </c>
      <c r="R106">
        <v>943913</v>
      </c>
      <c r="S106">
        <v>162249</v>
      </c>
      <c r="T106">
        <v>68398173</v>
      </c>
      <c r="U106">
        <v>9119002</v>
      </c>
      <c r="V106">
        <v>26880331</v>
      </c>
      <c r="W106">
        <v>26895751</v>
      </c>
      <c r="Y106">
        <v>14912067</v>
      </c>
      <c r="Z106">
        <v>1137159</v>
      </c>
      <c r="AA106">
        <v>16581226</v>
      </c>
      <c r="AB106">
        <v>1166684</v>
      </c>
      <c r="AC106">
        <v>2106939</v>
      </c>
      <c r="AD106">
        <v>1621093</v>
      </c>
      <c r="AE106">
        <v>3626050</v>
      </c>
      <c r="AF106">
        <v>11657725</v>
      </c>
      <c r="AG106">
        <v>5344755</v>
      </c>
      <c r="AH106">
        <v>1512121</v>
      </c>
      <c r="AI106">
        <v>17890893</v>
      </c>
      <c r="AJ106">
        <v>3606819</v>
      </c>
      <c r="AK106">
        <v>895159</v>
      </c>
      <c r="AM106">
        <v>11655637</v>
      </c>
      <c r="AN106">
        <v>614706</v>
      </c>
      <c r="AO106">
        <v>754169</v>
      </c>
      <c r="AP106">
        <v>102234</v>
      </c>
      <c r="AQ106">
        <v>4433141</v>
      </c>
      <c r="AR106">
        <v>18284252</v>
      </c>
      <c r="AS106">
        <v>555186</v>
      </c>
      <c r="AT106">
        <v>1398101</v>
      </c>
      <c r="AU106">
        <v>244917</v>
      </c>
      <c r="AV106">
        <v>17637740</v>
      </c>
      <c r="AW106">
        <v>3676525</v>
      </c>
      <c r="AX106">
        <v>945700</v>
      </c>
      <c r="AY106">
        <v>9542421</v>
      </c>
      <c r="AZ106">
        <v>2348298</v>
      </c>
      <c r="BA106">
        <v>773403</v>
      </c>
      <c r="BB106">
        <v>127262</v>
      </c>
      <c r="BC106">
        <v>490191</v>
      </c>
      <c r="BD106">
        <v>8206891</v>
      </c>
      <c r="BE106">
        <v>660566</v>
      </c>
      <c r="BF106">
        <v>855966</v>
      </c>
      <c r="BG106">
        <v>233365</v>
      </c>
      <c r="BH106">
        <v>298802</v>
      </c>
      <c r="BI106">
        <v>448296</v>
      </c>
      <c r="BJ106">
        <v>336897</v>
      </c>
      <c r="BK106">
        <v>2139160</v>
      </c>
      <c r="BL106">
        <v>607319</v>
      </c>
      <c r="BM106">
        <v>318291</v>
      </c>
      <c r="BN106">
        <v>2910599</v>
      </c>
      <c r="BO106">
        <v>1430389</v>
      </c>
      <c r="BP106">
        <v>2023695</v>
      </c>
      <c r="BQ106">
        <v>14802605</v>
      </c>
      <c r="BR106">
        <v>611179</v>
      </c>
      <c r="BS106">
        <v>22143384</v>
      </c>
      <c r="BT106">
        <v>579903</v>
      </c>
      <c r="BU106">
        <v>6372946</v>
      </c>
      <c r="BV106">
        <v>2472095</v>
      </c>
      <c r="BW106">
        <v>1337738</v>
      </c>
      <c r="BX106">
        <v>1994675</v>
      </c>
      <c r="BY106">
        <v>218798</v>
      </c>
      <c r="BZ106">
        <v>492023</v>
      </c>
      <c r="CA106">
        <v>173799</v>
      </c>
      <c r="CB106">
        <v>157754</v>
      </c>
      <c r="CD106">
        <v>416328</v>
      </c>
    </row>
    <row r="107" spans="1:82" x14ac:dyDescent="0.3">
      <c r="A107">
        <v>507</v>
      </c>
      <c r="B107" t="s">
        <v>886</v>
      </c>
      <c r="D107">
        <v>39923</v>
      </c>
      <c r="E107">
        <v>0</v>
      </c>
      <c r="F107">
        <v>0</v>
      </c>
      <c r="G107">
        <v>0</v>
      </c>
      <c r="H107">
        <v>0</v>
      </c>
      <c r="I107">
        <v>0</v>
      </c>
      <c r="J107">
        <v>1</v>
      </c>
      <c r="K107">
        <v>0</v>
      </c>
      <c r="L107">
        <v>0</v>
      </c>
      <c r="M107">
        <v>0</v>
      </c>
      <c r="N107">
        <v>0</v>
      </c>
      <c r="O107">
        <v>-1</v>
      </c>
      <c r="P107">
        <v>0</v>
      </c>
      <c r="Q107">
        <v>0</v>
      </c>
      <c r="R107">
        <v>0</v>
      </c>
      <c r="S107">
        <v>0</v>
      </c>
      <c r="T107">
        <v>0</v>
      </c>
      <c r="U107">
        <v>0</v>
      </c>
      <c r="V107">
        <v>925370</v>
      </c>
      <c r="W107">
        <v>0</v>
      </c>
      <c r="Y107">
        <v>0</v>
      </c>
      <c r="Z107">
        <v>0</v>
      </c>
      <c r="AA107">
        <v>0</v>
      </c>
      <c r="AB107">
        <v>0</v>
      </c>
      <c r="AC107">
        <v>0</v>
      </c>
      <c r="AD107">
        <v>-11319</v>
      </c>
      <c r="AE107">
        <v>7415</v>
      </c>
      <c r="AF107">
        <v>0</v>
      </c>
      <c r="AG107">
        <v>0</v>
      </c>
      <c r="AH107">
        <v>57584</v>
      </c>
      <c r="AI107">
        <v>0</v>
      </c>
      <c r="AJ107">
        <v>-112916</v>
      </c>
      <c r="AK107">
        <v>0</v>
      </c>
      <c r="AM107">
        <v>0</v>
      </c>
      <c r="AN107">
        <v>0</v>
      </c>
      <c r="AO107">
        <v>0</v>
      </c>
      <c r="AP107">
        <v>0</v>
      </c>
      <c r="AQ107">
        <v>0</v>
      </c>
      <c r="AR107">
        <v>0</v>
      </c>
      <c r="AS107">
        <v>0</v>
      </c>
      <c r="AT107">
        <v>0</v>
      </c>
      <c r="AU107">
        <v>0</v>
      </c>
      <c r="AV107">
        <v>0</v>
      </c>
      <c r="AW107">
        <v>0</v>
      </c>
      <c r="AX107">
        <v>1</v>
      </c>
      <c r="AY107">
        <v>0</v>
      </c>
      <c r="AZ107">
        <v>0</v>
      </c>
      <c r="BA107">
        <v>0</v>
      </c>
      <c r="BB107">
        <v>0</v>
      </c>
      <c r="BC107">
        <v>0</v>
      </c>
      <c r="BD107">
        <v>0</v>
      </c>
      <c r="BE107">
        <v>0</v>
      </c>
      <c r="BF107">
        <v>0</v>
      </c>
      <c r="BG107">
        <v>0</v>
      </c>
      <c r="BH107">
        <v>0</v>
      </c>
      <c r="BI107">
        <v>0</v>
      </c>
      <c r="BJ107">
        <v>0</v>
      </c>
      <c r="BK107">
        <v>0</v>
      </c>
      <c r="BL107">
        <v>-50098</v>
      </c>
      <c r="BM107">
        <v>0</v>
      </c>
      <c r="BN107">
        <v>0</v>
      </c>
      <c r="BO107">
        <v>0</v>
      </c>
      <c r="BP107">
        <v>0</v>
      </c>
      <c r="BQ107">
        <v>0</v>
      </c>
      <c r="BR107">
        <v>0</v>
      </c>
      <c r="BS107">
        <v>0</v>
      </c>
      <c r="BT107">
        <v>0</v>
      </c>
      <c r="BU107">
        <v>0</v>
      </c>
      <c r="BV107">
        <v>0</v>
      </c>
      <c r="BW107">
        <v>0</v>
      </c>
      <c r="BX107">
        <v>0</v>
      </c>
      <c r="BY107">
        <v>0</v>
      </c>
      <c r="BZ107">
        <v>0</v>
      </c>
      <c r="CA107">
        <v>0</v>
      </c>
      <c r="CB107">
        <v>0</v>
      </c>
      <c r="CD107">
        <v>0</v>
      </c>
    </row>
    <row r="108" spans="1:82" x14ac:dyDescent="0.3">
      <c r="A108">
        <v>508</v>
      </c>
      <c r="B108" t="s">
        <v>204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Y108">
        <v>0</v>
      </c>
      <c r="Z108">
        <v>0</v>
      </c>
      <c r="AA108">
        <v>0</v>
      </c>
      <c r="AB108">
        <v>0</v>
      </c>
      <c r="AC108">
        <v>0</v>
      </c>
      <c r="AD108">
        <v>0</v>
      </c>
      <c r="AE108">
        <v>0</v>
      </c>
      <c r="AF108">
        <v>0</v>
      </c>
      <c r="AG108">
        <v>0</v>
      </c>
      <c r="AH108">
        <v>0</v>
      </c>
      <c r="AI108">
        <v>0</v>
      </c>
      <c r="AJ108">
        <v>0</v>
      </c>
      <c r="AK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D108">
        <v>0</v>
      </c>
    </row>
    <row r="109" spans="1:82" x14ac:dyDescent="0.3">
      <c r="A109">
        <v>509</v>
      </c>
      <c r="B109" t="s">
        <v>205</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Y109">
        <v>0</v>
      </c>
      <c r="Z109">
        <v>0</v>
      </c>
      <c r="AA109">
        <v>0</v>
      </c>
      <c r="AB109">
        <v>0</v>
      </c>
      <c r="AC109">
        <v>0</v>
      </c>
      <c r="AD109">
        <v>0</v>
      </c>
      <c r="AE109">
        <v>0</v>
      </c>
      <c r="AF109">
        <v>0</v>
      </c>
      <c r="AG109">
        <v>0</v>
      </c>
      <c r="AH109">
        <v>0</v>
      </c>
      <c r="AI109">
        <v>0</v>
      </c>
      <c r="AJ109">
        <v>0</v>
      </c>
      <c r="AK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D109">
        <v>0</v>
      </c>
    </row>
    <row r="110" spans="1:82" x14ac:dyDescent="0.3">
      <c r="A110">
        <v>510</v>
      </c>
      <c r="B110" t="s">
        <v>211</v>
      </c>
      <c r="D110">
        <v>2046</v>
      </c>
      <c r="E110">
        <v>0</v>
      </c>
      <c r="F110">
        <v>0</v>
      </c>
      <c r="G110">
        <v>0</v>
      </c>
      <c r="H110">
        <v>0</v>
      </c>
      <c r="I110">
        <v>0</v>
      </c>
      <c r="J110">
        <v>23927</v>
      </c>
      <c r="K110">
        <v>0</v>
      </c>
      <c r="L110">
        <v>0</v>
      </c>
      <c r="M110">
        <v>0</v>
      </c>
      <c r="N110">
        <v>0</v>
      </c>
      <c r="O110">
        <v>68157</v>
      </c>
      <c r="P110">
        <v>0</v>
      </c>
      <c r="Q110">
        <v>441379</v>
      </c>
      <c r="R110">
        <v>16540</v>
      </c>
      <c r="S110">
        <v>0</v>
      </c>
      <c r="T110">
        <v>389778</v>
      </c>
      <c r="U110">
        <v>234532</v>
      </c>
      <c r="V110">
        <v>45284</v>
      </c>
      <c r="W110">
        <v>0</v>
      </c>
      <c r="Y110">
        <v>235107</v>
      </c>
      <c r="Z110">
        <v>26411</v>
      </c>
      <c r="AA110">
        <v>92139</v>
      </c>
      <c r="AB110">
        <v>0</v>
      </c>
      <c r="AC110">
        <v>0</v>
      </c>
      <c r="AD110">
        <v>0</v>
      </c>
      <c r="AE110">
        <v>1341</v>
      </c>
      <c r="AF110">
        <v>81701</v>
      </c>
      <c r="AG110">
        <v>208793</v>
      </c>
      <c r="AH110">
        <v>0</v>
      </c>
      <c r="AI110">
        <v>107605</v>
      </c>
      <c r="AJ110">
        <v>0</v>
      </c>
      <c r="AK110">
        <v>0</v>
      </c>
      <c r="AM110">
        <v>193450</v>
      </c>
      <c r="AN110">
        <v>994</v>
      </c>
      <c r="AO110">
        <v>0</v>
      </c>
      <c r="AP110">
        <v>0</v>
      </c>
      <c r="AQ110">
        <v>0</v>
      </c>
      <c r="AR110">
        <v>29679</v>
      </c>
      <c r="AS110">
        <v>0</v>
      </c>
      <c r="AT110">
        <v>220148</v>
      </c>
      <c r="AU110">
        <v>0</v>
      </c>
      <c r="AV110">
        <v>878761</v>
      </c>
      <c r="AW110">
        <v>0</v>
      </c>
      <c r="AX110">
        <v>44333</v>
      </c>
      <c r="AY110">
        <v>33944</v>
      </c>
      <c r="AZ110">
        <v>9857</v>
      </c>
      <c r="BA110">
        <v>42544</v>
      </c>
      <c r="BB110">
        <v>0</v>
      </c>
      <c r="BC110">
        <v>606</v>
      </c>
      <c r="BD110">
        <v>143072</v>
      </c>
      <c r="BE110">
        <v>0</v>
      </c>
      <c r="BF110">
        <v>0</v>
      </c>
      <c r="BG110">
        <v>2992</v>
      </c>
      <c r="BH110">
        <v>0</v>
      </c>
      <c r="BI110">
        <v>0</v>
      </c>
      <c r="BJ110">
        <v>0</v>
      </c>
      <c r="BK110">
        <v>52669</v>
      </c>
      <c r="BL110">
        <v>0</v>
      </c>
      <c r="BM110">
        <v>0</v>
      </c>
      <c r="BN110">
        <v>0</v>
      </c>
      <c r="BO110">
        <v>3641</v>
      </c>
      <c r="BP110">
        <v>0</v>
      </c>
      <c r="BQ110">
        <v>0</v>
      </c>
      <c r="BR110">
        <v>73792</v>
      </c>
      <c r="BS110">
        <v>0</v>
      </c>
      <c r="BT110">
        <v>6540</v>
      </c>
      <c r="BU110">
        <v>0</v>
      </c>
      <c r="BV110">
        <v>0</v>
      </c>
      <c r="BW110">
        <v>9062</v>
      </c>
      <c r="BX110">
        <v>34278</v>
      </c>
      <c r="BY110">
        <v>12353</v>
      </c>
      <c r="BZ110">
        <v>0</v>
      </c>
      <c r="CA110">
        <v>0</v>
      </c>
      <c r="CB110">
        <v>20308</v>
      </c>
      <c r="CD110">
        <v>0</v>
      </c>
    </row>
    <row r="111" spans="1:82" x14ac:dyDescent="0.3">
      <c r="A111">
        <v>511</v>
      </c>
      <c r="B111" t="s">
        <v>216</v>
      </c>
      <c r="D111">
        <v>0</v>
      </c>
      <c r="E111">
        <v>0</v>
      </c>
      <c r="F111">
        <v>0</v>
      </c>
      <c r="G111">
        <v>0</v>
      </c>
      <c r="H111">
        <v>0</v>
      </c>
      <c r="I111">
        <v>0</v>
      </c>
      <c r="J111">
        <v>0</v>
      </c>
      <c r="K111">
        <v>0</v>
      </c>
      <c r="L111">
        <v>0</v>
      </c>
      <c r="M111">
        <v>0</v>
      </c>
      <c r="N111">
        <v>0</v>
      </c>
      <c r="O111">
        <v>0</v>
      </c>
      <c r="P111">
        <v>0</v>
      </c>
      <c r="Q111">
        <v>6071093</v>
      </c>
      <c r="R111">
        <v>0</v>
      </c>
      <c r="S111">
        <v>0</v>
      </c>
      <c r="T111">
        <v>0</v>
      </c>
      <c r="U111">
        <v>0</v>
      </c>
      <c r="V111">
        <v>28444</v>
      </c>
      <c r="W111">
        <v>0</v>
      </c>
      <c r="Y111">
        <v>0</v>
      </c>
      <c r="Z111">
        <v>0</v>
      </c>
      <c r="AA111">
        <v>0</v>
      </c>
      <c r="AB111">
        <v>0</v>
      </c>
      <c r="AC111">
        <v>0</v>
      </c>
      <c r="AD111">
        <v>0</v>
      </c>
      <c r="AE111">
        <v>0</v>
      </c>
      <c r="AF111">
        <v>0</v>
      </c>
      <c r="AG111">
        <v>0</v>
      </c>
      <c r="AH111">
        <v>0</v>
      </c>
      <c r="AI111">
        <v>2925422</v>
      </c>
      <c r="AJ111">
        <v>0</v>
      </c>
      <c r="AK111">
        <v>0</v>
      </c>
      <c r="AM111">
        <v>906993</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29136</v>
      </c>
      <c r="BS111">
        <v>474703</v>
      </c>
      <c r="BT111">
        <v>0</v>
      </c>
      <c r="BU111">
        <v>0</v>
      </c>
      <c r="BV111">
        <v>0</v>
      </c>
      <c r="BW111">
        <v>0</v>
      </c>
      <c r="BX111">
        <v>0</v>
      </c>
      <c r="BY111">
        <v>0</v>
      </c>
      <c r="BZ111">
        <v>0</v>
      </c>
      <c r="CA111">
        <v>0</v>
      </c>
      <c r="CB111">
        <v>0</v>
      </c>
      <c r="CD111">
        <v>0</v>
      </c>
    </row>
    <row r="112" spans="1:82" x14ac:dyDescent="0.3">
      <c r="A112">
        <v>512</v>
      </c>
      <c r="B112" t="s">
        <v>243</v>
      </c>
      <c r="D112">
        <v>0</v>
      </c>
      <c r="E112">
        <v>0</v>
      </c>
      <c r="F112">
        <v>0</v>
      </c>
      <c r="G112">
        <v>0</v>
      </c>
      <c r="H112">
        <v>0</v>
      </c>
      <c r="I112">
        <v>0</v>
      </c>
      <c r="J112">
        <v>0</v>
      </c>
      <c r="K112">
        <v>0</v>
      </c>
      <c r="L112">
        <v>0</v>
      </c>
      <c r="M112">
        <v>38571</v>
      </c>
      <c r="N112">
        <v>0</v>
      </c>
      <c r="O112">
        <v>0</v>
      </c>
      <c r="P112">
        <v>0</v>
      </c>
      <c r="Q112">
        <v>0</v>
      </c>
      <c r="R112">
        <v>0</v>
      </c>
      <c r="S112">
        <v>0</v>
      </c>
      <c r="T112">
        <v>219354</v>
      </c>
      <c r="U112">
        <v>0</v>
      </c>
      <c r="V112">
        <v>229342</v>
      </c>
      <c r="W112">
        <v>0</v>
      </c>
      <c r="Y112">
        <v>10283</v>
      </c>
      <c r="Z112">
        <v>0</v>
      </c>
      <c r="AA112">
        <v>0</v>
      </c>
      <c r="AB112">
        <v>0</v>
      </c>
      <c r="AC112">
        <v>0</v>
      </c>
      <c r="AD112">
        <v>0</v>
      </c>
      <c r="AE112">
        <v>0</v>
      </c>
      <c r="AF112">
        <v>0</v>
      </c>
      <c r="AG112">
        <v>0</v>
      </c>
      <c r="AH112">
        <v>0</v>
      </c>
      <c r="AI112">
        <v>0</v>
      </c>
      <c r="AJ112">
        <v>0</v>
      </c>
      <c r="AK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2480</v>
      </c>
      <c r="BO112">
        <v>0</v>
      </c>
      <c r="BP112">
        <v>0</v>
      </c>
      <c r="BQ112">
        <v>0</v>
      </c>
      <c r="BR112">
        <v>0</v>
      </c>
      <c r="BS112">
        <v>173018</v>
      </c>
      <c r="BT112">
        <v>0</v>
      </c>
      <c r="BU112">
        <v>0</v>
      </c>
      <c r="BV112">
        <v>0</v>
      </c>
      <c r="BW112">
        <v>0</v>
      </c>
      <c r="BX112">
        <v>0</v>
      </c>
      <c r="BY112">
        <v>0</v>
      </c>
      <c r="BZ112">
        <v>0</v>
      </c>
      <c r="CA112">
        <v>0</v>
      </c>
      <c r="CB112">
        <v>0</v>
      </c>
      <c r="CD112">
        <v>0</v>
      </c>
    </row>
    <row r="113" spans="1:82" x14ac:dyDescent="0.3">
      <c r="A113">
        <v>513</v>
      </c>
      <c r="B113" t="s">
        <v>249</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Y113">
        <v>0</v>
      </c>
      <c r="Z113">
        <v>0</v>
      </c>
      <c r="AA113">
        <v>0</v>
      </c>
      <c r="AB113">
        <v>0</v>
      </c>
      <c r="AC113">
        <v>0</v>
      </c>
      <c r="AD113">
        <v>0</v>
      </c>
      <c r="AE113">
        <v>0</v>
      </c>
      <c r="AF113">
        <v>0</v>
      </c>
      <c r="AG113">
        <v>0</v>
      </c>
      <c r="AH113">
        <v>0</v>
      </c>
      <c r="AI113">
        <v>0</v>
      </c>
      <c r="AJ113">
        <v>0</v>
      </c>
      <c r="AK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D113">
        <v>0</v>
      </c>
    </row>
    <row r="114" spans="1:82" x14ac:dyDescent="0.3">
      <c r="A114">
        <v>514</v>
      </c>
      <c r="B114" t="s">
        <v>250</v>
      </c>
      <c r="D114">
        <v>0</v>
      </c>
      <c r="E114">
        <v>0</v>
      </c>
      <c r="F114">
        <v>0</v>
      </c>
      <c r="G114">
        <v>0</v>
      </c>
      <c r="H114">
        <v>0</v>
      </c>
      <c r="I114">
        <v>0</v>
      </c>
      <c r="J114">
        <v>0</v>
      </c>
      <c r="K114">
        <v>0</v>
      </c>
      <c r="L114">
        <v>0</v>
      </c>
      <c r="M114">
        <v>0</v>
      </c>
      <c r="N114">
        <v>0</v>
      </c>
      <c r="O114">
        <v>0</v>
      </c>
      <c r="P114">
        <v>0</v>
      </c>
      <c r="Q114">
        <v>444696</v>
      </c>
      <c r="R114">
        <v>0</v>
      </c>
      <c r="S114">
        <v>0</v>
      </c>
      <c r="T114">
        <v>0</v>
      </c>
      <c r="U114">
        <v>0</v>
      </c>
      <c r="V114">
        <v>945405</v>
      </c>
      <c r="W114">
        <v>0</v>
      </c>
      <c r="Y114">
        <v>0</v>
      </c>
      <c r="Z114">
        <v>0</v>
      </c>
      <c r="AA114">
        <v>0</v>
      </c>
      <c r="AB114">
        <v>0</v>
      </c>
      <c r="AC114">
        <v>0</v>
      </c>
      <c r="AD114">
        <v>0</v>
      </c>
      <c r="AE114">
        <v>0</v>
      </c>
      <c r="AF114">
        <v>0</v>
      </c>
      <c r="AG114">
        <v>0</v>
      </c>
      <c r="AH114">
        <v>0</v>
      </c>
      <c r="AI114">
        <v>2572550</v>
      </c>
      <c r="AJ114">
        <v>0</v>
      </c>
      <c r="AK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344778</v>
      </c>
      <c r="BS114">
        <v>28929</v>
      </c>
      <c r="BT114">
        <v>0</v>
      </c>
      <c r="BU114">
        <v>0</v>
      </c>
      <c r="BV114">
        <v>0</v>
      </c>
      <c r="BW114">
        <v>0</v>
      </c>
      <c r="BX114">
        <v>0</v>
      </c>
      <c r="BY114">
        <v>0</v>
      </c>
      <c r="BZ114">
        <v>0</v>
      </c>
      <c r="CA114">
        <v>0</v>
      </c>
      <c r="CB114">
        <v>0</v>
      </c>
      <c r="CD114">
        <v>0</v>
      </c>
    </row>
    <row r="115" spans="1:82" x14ac:dyDescent="0.3">
      <c r="A115">
        <v>515</v>
      </c>
      <c r="B115" t="s">
        <v>262</v>
      </c>
      <c r="D115">
        <v>0</v>
      </c>
      <c r="E115">
        <v>0</v>
      </c>
      <c r="F115">
        <v>0</v>
      </c>
      <c r="G115">
        <v>0</v>
      </c>
      <c r="H115">
        <v>0</v>
      </c>
      <c r="I115">
        <v>0</v>
      </c>
      <c r="J115">
        <v>0</v>
      </c>
      <c r="K115">
        <v>0</v>
      </c>
      <c r="L115">
        <v>0</v>
      </c>
      <c r="M115">
        <v>0</v>
      </c>
      <c r="N115">
        <v>0</v>
      </c>
      <c r="O115">
        <v>0</v>
      </c>
      <c r="P115">
        <v>0</v>
      </c>
      <c r="Q115">
        <v>40468848</v>
      </c>
      <c r="R115">
        <v>142110</v>
      </c>
      <c r="S115">
        <v>0</v>
      </c>
      <c r="T115">
        <v>0</v>
      </c>
      <c r="U115">
        <v>6813928</v>
      </c>
      <c r="V115">
        <v>14430367</v>
      </c>
      <c r="W115">
        <v>0</v>
      </c>
      <c r="Y115">
        <v>0</v>
      </c>
      <c r="Z115">
        <v>0</v>
      </c>
      <c r="AA115">
        <v>18725158</v>
      </c>
      <c r="AB115">
        <v>5119437</v>
      </c>
      <c r="AC115">
        <v>613604</v>
      </c>
      <c r="AD115">
        <v>0</v>
      </c>
      <c r="AE115">
        <v>0</v>
      </c>
      <c r="AF115">
        <v>3283693</v>
      </c>
      <c r="AG115">
        <v>0</v>
      </c>
      <c r="AH115">
        <v>0</v>
      </c>
      <c r="AI115">
        <v>76578759</v>
      </c>
      <c r="AJ115">
        <v>0</v>
      </c>
      <c r="AK115">
        <v>0</v>
      </c>
      <c r="AM115">
        <v>24455676</v>
      </c>
      <c r="AN115">
        <v>0</v>
      </c>
      <c r="AO115">
        <v>0</v>
      </c>
      <c r="AP115">
        <v>0</v>
      </c>
      <c r="AQ115">
        <v>0</v>
      </c>
      <c r="AR115">
        <v>0</v>
      </c>
      <c r="AS115">
        <v>0</v>
      </c>
      <c r="AT115">
        <v>0</v>
      </c>
      <c r="AU115">
        <v>0</v>
      </c>
      <c r="AV115">
        <v>13430340</v>
      </c>
      <c r="AW115">
        <v>0</v>
      </c>
      <c r="AX115">
        <v>0</v>
      </c>
      <c r="AY115">
        <v>181893</v>
      </c>
      <c r="AZ115">
        <v>340690</v>
      </c>
      <c r="BA115">
        <v>0</v>
      </c>
      <c r="BB115">
        <v>0</v>
      </c>
      <c r="BC115">
        <v>22408</v>
      </c>
      <c r="BD115">
        <v>0</v>
      </c>
      <c r="BE115">
        <v>0</v>
      </c>
      <c r="BF115">
        <v>0</v>
      </c>
      <c r="BG115">
        <v>0</v>
      </c>
      <c r="BH115">
        <v>0</v>
      </c>
      <c r="BI115">
        <v>0</v>
      </c>
      <c r="BJ115">
        <v>0</v>
      </c>
      <c r="BK115">
        <v>0</v>
      </c>
      <c r="BL115">
        <v>0</v>
      </c>
      <c r="BM115">
        <v>0</v>
      </c>
      <c r="BN115">
        <v>0</v>
      </c>
      <c r="BO115">
        <v>0</v>
      </c>
      <c r="BP115">
        <v>92954</v>
      </c>
      <c r="BQ115">
        <v>0</v>
      </c>
      <c r="BR115">
        <v>0</v>
      </c>
      <c r="BS115">
        <v>0</v>
      </c>
      <c r="BT115">
        <v>21428</v>
      </c>
      <c r="BU115">
        <v>163682</v>
      </c>
      <c r="BV115">
        <v>0</v>
      </c>
      <c r="BW115">
        <v>0</v>
      </c>
      <c r="BX115">
        <v>121104</v>
      </c>
      <c r="BY115">
        <v>0</v>
      </c>
      <c r="BZ115">
        <v>0</v>
      </c>
      <c r="CA115">
        <v>0</v>
      </c>
      <c r="CB115">
        <v>0</v>
      </c>
      <c r="CD115">
        <v>0</v>
      </c>
    </row>
    <row r="116" spans="1:82" x14ac:dyDescent="0.3">
      <c r="A116">
        <v>516</v>
      </c>
      <c r="B116" t="s">
        <v>263</v>
      </c>
      <c r="D116">
        <v>3385406</v>
      </c>
      <c r="E116">
        <v>0</v>
      </c>
      <c r="F116">
        <v>9247655</v>
      </c>
      <c r="G116">
        <v>0</v>
      </c>
      <c r="H116">
        <v>0</v>
      </c>
      <c r="I116">
        <v>0</v>
      </c>
      <c r="J116">
        <v>3251767</v>
      </c>
      <c r="K116">
        <v>0</v>
      </c>
      <c r="L116">
        <v>0</v>
      </c>
      <c r="M116">
        <v>0</v>
      </c>
      <c r="N116">
        <v>0</v>
      </c>
      <c r="O116">
        <v>27590587</v>
      </c>
      <c r="P116">
        <v>0</v>
      </c>
      <c r="Q116">
        <v>0</v>
      </c>
      <c r="R116">
        <v>2064611</v>
      </c>
      <c r="S116">
        <v>0</v>
      </c>
      <c r="T116">
        <v>203526969</v>
      </c>
      <c r="U116">
        <v>68322805</v>
      </c>
      <c r="V116">
        <v>59754954</v>
      </c>
      <c r="W116">
        <v>0</v>
      </c>
      <c r="Y116">
        <v>83677242</v>
      </c>
      <c r="Z116">
        <v>20085895</v>
      </c>
      <c r="AA116">
        <v>26863028</v>
      </c>
      <c r="AB116">
        <v>29048439</v>
      </c>
      <c r="AC116">
        <v>4637476</v>
      </c>
      <c r="AD116">
        <v>9134292</v>
      </c>
      <c r="AE116">
        <v>22747250</v>
      </c>
      <c r="AF116">
        <v>0</v>
      </c>
      <c r="AG116">
        <v>12688904</v>
      </c>
      <c r="AH116">
        <v>0</v>
      </c>
      <c r="AI116">
        <v>69648436</v>
      </c>
      <c r="AJ116">
        <v>2706632</v>
      </c>
      <c r="AK116">
        <v>8224132</v>
      </c>
      <c r="AM116">
        <v>45499728</v>
      </c>
      <c r="AN116">
        <v>3427731</v>
      </c>
      <c r="AO116">
        <v>3850744</v>
      </c>
      <c r="AP116">
        <v>0</v>
      </c>
      <c r="AQ116">
        <v>0</v>
      </c>
      <c r="AR116">
        <v>32672818</v>
      </c>
      <c r="AS116">
        <v>0</v>
      </c>
      <c r="AT116">
        <v>17045235</v>
      </c>
      <c r="AU116">
        <v>0</v>
      </c>
      <c r="AV116">
        <v>91938905</v>
      </c>
      <c r="AW116">
        <v>0</v>
      </c>
      <c r="AX116">
        <v>6457488</v>
      </c>
      <c r="AY116">
        <v>5953681</v>
      </c>
      <c r="AZ116">
        <v>9985824</v>
      </c>
      <c r="BA116">
        <v>2403227</v>
      </c>
      <c r="BB116">
        <v>0</v>
      </c>
      <c r="BC116">
        <v>1121052</v>
      </c>
      <c r="BD116">
        <v>37967806</v>
      </c>
      <c r="BE116">
        <v>0</v>
      </c>
      <c r="BF116">
        <v>4679155</v>
      </c>
      <c r="BG116">
        <v>3562489</v>
      </c>
      <c r="BH116">
        <v>0</v>
      </c>
      <c r="BI116">
        <v>4513697</v>
      </c>
      <c r="BJ116">
        <v>0</v>
      </c>
      <c r="BK116">
        <v>22470075</v>
      </c>
      <c r="BL116">
        <v>12502945</v>
      </c>
      <c r="BM116">
        <v>15405944</v>
      </c>
      <c r="BN116">
        <v>4962659</v>
      </c>
      <c r="BO116">
        <v>4636862</v>
      </c>
      <c r="BP116">
        <v>1224602</v>
      </c>
      <c r="BQ116">
        <v>0</v>
      </c>
      <c r="BR116">
        <v>10097389</v>
      </c>
      <c r="BS116">
        <v>0</v>
      </c>
      <c r="BT116">
        <v>10167726</v>
      </c>
      <c r="BU116">
        <v>20163428</v>
      </c>
      <c r="BV116">
        <v>0</v>
      </c>
      <c r="BW116">
        <v>19120946</v>
      </c>
      <c r="BX116">
        <v>3126018</v>
      </c>
      <c r="BY116">
        <v>833000</v>
      </c>
      <c r="BZ116">
        <v>7958135</v>
      </c>
      <c r="CA116">
        <v>6282078</v>
      </c>
      <c r="CB116">
        <v>6876057</v>
      </c>
      <c r="CD116">
        <v>1200807</v>
      </c>
    </row>
    <row r="117" spans="1:82" x14ac:dyDescent="0.3">
      <c r="A117">
        <v>517</v>
      </c>
      <c r="B117" t="s">
        <v>264</v>
      </c>
      <c r="D117">
        <v>0</v>
      </c>
      <c r="E117">
        <v>0</v>
      </c>
      <c r="F117">
        <v>0</v>
      </c>
      <c r="G117">
        <v>0</v>
      </c>
      <c r="H117">
        <v>0</v>
      </c>
      <c r="I117">
        <v>0</v>
      </c>
      <c r="J117">
        <v>0</v>
      </c>
      <c r="K117">
        <v>0</v>
      </c>
      <c r="L117">
        <v>0</v>
      </c>
      <c r="M117">
        <v>0</v>
      </c>
      <c r="N117">
        <v>0</v>
      </c>
      <c r="O117">
        <v>0</v>
      </c>
      <c r="P117">
        <v>0</v>
      </c>
      <c r="Q117">
        <v>101214685</v>
      </c>
      <c r="R117">
        <v>0</v>
      </c>
      <c r="S117">
        <v>0</v>
      </c>
      <c r="T117">
        <v>0</v>
      </c>
      <c r="U117">
        <v>0</v>
      </c>
      <c r="V117">
        <v>0</v>
      </c>
      <c r="W117">
        <v>0</v>
      </c>
      <c r="Y117">
        <v>0</v>
      </c>
      <c r="Z117">
        <v>0</v>
      </c>
      <c r="AA117">
        <v>0</v>
      </c>
      <c r="AB117">
        <v>0</v>
      </c>
      <c r="AC117">
        <v>0</v>
      </c>
      <c r="AD117">
        <v>0</v>
      </c>
      <c r="AE117">
        <v>0</v>
      </c>
      <c r="AF117">
        <v>3581404</v>
      </c>
      <c r="AG117">
        <v>0</v>
      </c>
      <c r="AH117">
        <v>0</v>
      </c>
      <c r="AI117">
        <v>0</v>
      </c>
      <c r="AJ117">
        <v>0</v>
      </c>
      <c r="AK117">
        <v>0</v>
      </c>
      <c r="AM117">
        <v>0</v>
      </c>
      <c r="AN117">
        <v>0</v>
      </c>
      <c r="AO117">
        <v>0</v>
      </c>
      <c r="AP117">
        <v>0</v>
      </c>
      <c r="AQ117">
        <v>0</v>
      </c>
      <c r="AR117">
        <v>0</v>
      </c>
      <c r="AS117">
        <v>0</v>
      </c>
      <c r="AT117">
        <v>0</v>
      </c>
      <c r="AU117">
        <v>0</v>
      </c>
      <c r="AV117">
        <v>0</v>
      </c>
      <c r="AW117">
        <v>0</v>
      </c>
      <c r="AX117">
        <v>0</v>
      </c>
      <c r="AY117">
        <v>0</v>
      </c>
      <c r="AZ117">
        <v>0</v>
      </c>
      <c r="BA117">
        <v>0</v>
      </c>
      <c r="BB117">
        <v>0</v>
      </c>
      <c r="BC117">
        <v>0</v>
      </c>
      <c r="BD117">
        <v>984426</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D117">
        <v>0</v>
      </c>
    </row>
    <row r="118" spans="1:82" x14ac:dyDescent="0.3">
      <c r="A118">
        <v>518</v>
      </c>
      <c r="B118" t="s">
        <v>265</v>
      </c>
      <c r="D118">
        <v>218981</v>
      </c>
      <c r="E118">
        <v>0</v>
      </c>
      <c r="F118">
        <v>421926</v>
      </c>
      <c r="G118">
        <v>0</v>
      </c>
      <c r="H118">
        <v>0</v>
      </c>
      <c r="I118">
        <v>0</v>
      </c>
      <c r="J118">
        <v>10116</v>
      </c>
      <c r="K118">
        <v>0</v>
      </c>
      <c r="L118">
        <v>0</v>
      </c>
      <c r="M118">
        <v>0</v>
      </c>
      <c r="N118">
        <v>0</v>
      </c>
      <c r="O118">
        <v>2438550</v>
      </c>
      <c r="P118">
        <v>0</v>
      </c>
      <c r="Q118">
        <v>15052617</v>
      </c>
      <c r="R118">
        <v>773757</v>
      </c>
      <c r="S118">
        <v>0</v>
      </c>
      <c r="T118">
        <v>7553913</v>
      </c>
      <c r="U118">
        <v>4882698</v>
      </c>
      <c r="V118">
        <v>22383277</v>
      </c>
      <c r="W118">
        <v>0</v>
      </c>
      <c r="Y118">
        <v>3629398</v>
      </c>
      <c r="Z118">
        <v>0</v>
      </c>
      <c r="AA118">
        <v>8844256</v>
      </c>
      <c r="AB118">
        <v>1304628</v>
      </c>
      <c r="AC118">
        <v>277027</v>
      </c>
      <c r="AD118">
        <v>899863</v>
      </c>
      <c r="AE118">
        <v>1244330</v>
      </c>
      <c r="AF118">
        <v>6597382</v>
      </c>
      <c r="AG118">
        <v>1562866</v>
      </c>
      <c r="AH118">
        <v>0</v>
      </c>
      <c r="AI118">
        <v>14226145</v>
      </c>
      <c r="AJ118">
        <v>0</v>
      </c>
      <c r="AK118">
        <v>420740</v>
      </c>
      <c r="AM118">
        <v>3748195</v>
      </c>
      <c r="AN118">
        <v>120492</v>
      </c>
      <c r="AO118">
        <v>144751</v>
      </c>
      <c r="AP118">
        <v>0</v>
      </c>
      <c r="AQ118">
        <v>0</v>
      </c>
      <c r="AR118">
        <v>1766077</v>
      </c>
      <c r="AS118">
        <v>0</v>
      </c>
      <c r="AT118">
        <v>1013331</v>
      </c>
      <c r="AU118">
        <v>0</v>
      </c>
      <c r="AV118">
        <v>25898879</v>
      </c>
      <c r="AW118">
        <v>0</v>
      </c>
      <c r="AX118">
        <v>1582807</v>
      </c>
      <c r="AY118">
        <v>1535058</v>
      </c>
      <c r="AZ118">
        <v>540114</v>
      </c>
      <c r="BA118">
        <v>97644</v>
      </c>
      <c r="BB118">
        <v>0</v>
      </c>
      <c r="BC118">
        <v>0</v>
      </c>
      <c r="BD118">
        <v>3343552</v>
      </c>
      <c r="BE118">
        <v>0</v>
      </c>
      <c r="BF118">
        <v>107941</v>
      </c>
      <c r="BG118">
        <v>41477</v>
      </c>
      <c r="BH118">
        <v>0</v>
      </c>
      <c r="BI118">
        <v>11126</v>
      </c>
      <c r="BJ118">
        <v>0</v>
      </c>
      <c r="BK118">
        <v>3921024</v>
      </c>
      <c r="BL118">
        <v>22903</v>
      </c>
      <c r="BM118">
        <v>304329</v>
      </c>
      <c r="BN118">
        <v>264687</v>
      </c>
      <c r="BO118">
        <v>277075</v>
      </c>
      <c r="BP118">
        <v>358736</v>
      </c>
      <c r="BQ118">
        <v>0</v>
      </c>
      <c r="BR118">
        <v>123583</v>
      </c>
      <c r="BS118">
        <v>0</v>
      </c>
      <c r="BT118">
        <v>717592</v>
      </c>
      <c r="BU118">
        <v>618039</v>
      </c>
      <c r="BV118">
        <v>0</v>
      </c>
      <c r="BW118">
        <v>1467427</v>
      </c>
      <c r="BX118">
        <v>83229</v>
      </c>
      <c r="BY118">
        <v>0</v>
      </c>
      <c r="BZ118">
        <v>134463</v>
      </c>
      <c r="CA118">
        <v>8823</v>
      </c>
      <c r="CB118">
        <v>272755</v>
      </c>
      <c r="CD118">
        <v>0</v>
      </c>
    </row>
    <row r="119" spans="1:82" x14ac:dyDescent="0.3">
      <c r="A119">
        <v>519</v>
      </c>
      <c r="B119" t="s">
        <v>266</v>
      </c>
      <c r="D119">
        <v>0</v>
      </c>
      <c r="E119">
        <v>0</v>
      </c>
      <c r="F119">
        <v>0</v>
      </c>
      <c r="G119">
        <v>0</v>
      </c>
      <c r="H119">
        <v>0</v>
      </c>
      <c r="I119">
        <v>0</v>
      </c>
      <c r="J119">
        <v>0</v>
      </c>
      <c r="K119">
        <v>0</v>
      </c>
      <c r="L119">
        <v>0</v>
      </c>
      <c r="M119">
        <v>0</v>
      </c>
      <c r="N119">
        <v>0</v>
      </c>
      <c r="O119">
        <v>0</v>
      </c>
      <c r="P119">
        <v>0</v>
      </c>
      <c r="Q119">
        <v>832573</v>
      </c>
      <c r="R119">
        <v>3553</v>
      </c>
      <c r="S119">
        <v>0</v>
      </c>
      <c r="T119">
        <v>2305747</v>
      </c>
      <c r="U119">
        <v>173407</v>
      </c>
      <c r="V119">
        <v>232413</v>
      </c>
      <c r="W119">
        <v>0</v>
      </c>
      <c r="Y119">
        <v>0</v>
      </c>
      <c r="Z119">
        <v>0</v>
      </c>
      <c r="AA119">
        <v>374015</v>
      </c>
      <c r="AB119">
        <v>127986</v>
      </c>
      <c r="AC119">
        <v>14545</v>
      </c>
      <c r="AD119">
        <v>0</v>
      </c>
      <c r="AE119">
        <v>0</v>
      </c>
      <c r="AF119">
        <v>41983</v>
      </c>
      <c r="AG119">
        <v>0</v>
      </c>
      <c r="AH119">
        <v>0</v>
      </c>
      <c r="AI119">
        <v>2080787</v>
      </c>
      <c r="AJ119">
        <v>0</v>
      </c>
      <c r="AK119">
        <v>0</v>
      </c>
      <c r="AM119">
        <v>463021</v>
      </c>
      <c r="AN119">
        <v>0</v>
      </c>
      <c r="AO119">
        <v>0</v>
      </c>
      <c r="AP119">
        <v>0</v>
      </c>
      <c r="AQ119">
        <v>0</v>
      </c>
      <c r="AR119">
        <v>0</v>
      </c>
      <c r="AS119">
        <v>0</v>
      </c>
      <c r="AT119">
        <v>0</v>
      </c>
      <c r="AU119">
        <v>0</v>
      </c>
      <c r="AV119">
        <v>355325</v>
      </c>
      <c r="AW119">
        <v>0</v>
      </c>
      <c r="AX119">
        <v>0</v>
      </c>
      <c r="AY119">
        <v>89550</v>
      </c>
      <c r="AZ119">
        <v>390</v>
      </c>
      <c r="BA119">
        <v>0</v>
      </c>
      <c r="BB119">
        <v>0</v>
      </c>
      <c r="BC119">
        <v>0</v>
      </c>
      <c r="BD119">
        <v>0</v>
      </c>
      <c r="BE119">
        <v>0</v>
      </c>
      <c r="BF119">
        <v>0</v>
      </c>
      <c r="BG119">
        <v>0</v>
      </c>
      <c r="BH119">
        <v>0</v>
      </c>
      <c r="BI119">
        <v>0</v>
      </c>
      <c r="BJ119">
        <v>0</v>
      </c>
      <c r="BK119">
        <v>0</v>
      </c>
      <c r="BL119">
        <v>0</v>
      </c>
      <c r="BM119">
        <v>0</v>
      </c>
      <c r="BN119">
        <v>0</v>
      </c>
      <c r="BO119">
        <v>0</v>
      </c>
      <c r="BP119">
        <v>2324</v>
      </c>
      <c r="BQ119">
        <v>0</v>
      </c>
      <c r="BR119">
        <v>0</v>
      </c>
      <c r="BS119">
        <v>0</v>
      </c>
      <c r="BT119">
        <v>0</v>
      </c>
      <c r="BU119">
        <v>3399</v>
      </c>
      <c r="BV119">
        <v>0</v>
      </c>
      <c r="BW119">
        <v>0</v>
      </c>
      <c r="BX119">
        <v>4037</v>
      </c>
      <c r="BY119">
        <v>0</v>
      </c>
      <c r="BZ119">
        <v>0</v>
      </c>
      <c r="CA119">
        <v>0</v>
      </c>
      <c r="CB119">
        <v>0</v>
      </c>
      <c r="CD119">
        <v>0</v>
      </c>
    </row>
    <row r="120" spans="1:82" x14ac:dyDescent="0.3">
      <c r="A120">
        <v>520</v>
      </c>
      <c r="B120" t="s">
        <v>267</v>
      </c>
      <c r="D120">
        <v>67765</v>
      </c>
      <c r="E120">
        <v>0</v>
      </c>
      <c r="F120">
        <v>224860</v>
      </c>
      <c r="G120">
        <v>0</v>
      </c>
      <c r="H120">
        <v>0</v>
      </c>
      <c r="I120">
        <v>0</v>
      </c>
      <c r="J120">
        <v>64319</v>
      </c>
      <c r="K120">
        <v>0</v>
      </c>
      <c r="L120">
        <v>0</v>
      </c>
      <c r="M120">
        <v>0</v>
      </c>
      <c r="N120">
        <v>0</v>
      </c>
      <c r="O120">
        <v>605689</v>
      </c>
      <c r="P120">
        <v>0</v>
      </c>
      <c r="Q120">
        <v>0</v>
      </c>
      <c r="R120">
        <v>55146</v>
      </c>
      <c r="S120">
        <v>0</v>
      </c>
      <c r="T120">
        <v>2006954</v>
      </c>
      <c r="U120">
        <v>1474471</v>
      </c>
      <c r="V120">
        <v>1559732</v>
      </c>
      <c r="W120">
        <v>0</v>
      </c>
      <c r="Y120">
        <v>1843624</v>
      </c>
      <c r="Z120">
        <v>499363</v>
      </c>
      <c r="AA120">
        <v>586869</v>
      </c>
      <c r="AB120">
        <v>481575</v>
      </c>
      <c r="AC120">
        <v>92082</v>
      </c>
      <c r="AD120">
        <v>165311</v>
      </c>
      <c r="AE120">
        <v>731666</v>
      </c>
      <c r="AF120">
        <v>0</v>
      </c>
      <c r="AG120">
        <v>240186</v>
      </c>
      <c r="AH120">
        <v>0</v>
      </c>
      <c r="AI120">
        <v>1426260</v>
      </c>
      <c r="AJ120">
        <v>130028</v>
      </c>
      <c r="AK120">
        <v>217164</v>
      </c>
      <c r="AM120">
        <v>1392267</v>
      </c>
      <c r="AN120">
        <v>72035</v>
      </c>
      <c r="AO120">
        <v>82088</v>
      </c>
      <c r="AP120">
        <v>0</v>
      </c>
      <c r="AQ120">
        <v>0</v>
      </c>
      <c r="AR120">
        <v>712457</v>
      </c>
      <c r="AS120">
        <v>0</v>
      </c>
      <c r="AT120">
        <v>322536</v>
      </c>
      <c r="AU120">
        <v>0</v>
      </c>
      <c r="AV120">
        <v>2335383</v>
      </c>
      <c r="AW120">
        <v>0</v>
      </c>
      <c r="AX120">
        <v>172958</v>
      </c>
      <c r="AY120">
        <v>2416</v>
      </c>
      <c r="AZ120">
        <v>198881</v>
      </c>
      <c r="BA120">
        <v>38496</v>
      </c>
      <c r="BB120">
        <v>0</v>
      </c>
      <c r="BC120">
        <v>26499</v>
      </c>
      <c r="BD120">
        <v>833912</v>
      </c>
      <c r="BE120">
        <v>0</v>
      </c>
      <c r="BF120">
        <v>59920</v>
      </c>
      <c r="BG120">
        <v>71250</v>
      </c>
      <c r="BH120">
        <v>0</v>
      </c>
      <c r="BI120">
        <v>89654</v>
      </c>
      <c r="BJ120">
        <v>0</v>
      </c>
      <c r="BK120">
        <v>501268</v>
      </c>
      <c r="BL120">
        <v>302728</v>
      </c>
      <c r="BM120">
        <v>335847</v>
      </c>
      <c r="BN120">
        <v>156750</v>
      </c>
      <c r="BO120">
        <v>93759</v>
      </c>
      <c r="BP120">
        <v>24829</v>
      </c>
      <c r="BQ120">
        <v>0</v>
      </c>
      <c r="BR120">
        <v>179343</v>
      </c>
      <c r="BS120">
        <v>0</v>
      </c>
      <c r="BT120">
        <v>228387</v>
      </c>
      <c r="BU120">
        <v>516289</v>
      </c>
      <c r="BV120">
        <v>0</v>
      </c>
      <c r="BW120">
        <v>483490</v>
      </c>
      <c r="BX120">
        <v>62406</v>
      </c>
      <c r="BY120">
        <v>18215</v>
      </c>
      <c r="BZ120">
        <v>187834</v>
      </c>
      <c r="CA120">
        <v>155043</v>
      </c>
      <c r="CB120">
        <v>151397</v>
      </c>
      <c r="CD120">
        <v>30020</v>
      </c>
    </row>
    <row r="121" spans="1:82" x14ac:dyDescent="0.3">
      <c r="A121">
        <v>521</v>
      </c>
      <c r="B121" t="s">
        <v>268</v>
      </c>
      <c r="D121">
        <v>0</v>
      </c>
      <c r="E121">
        <v>0</v>
      </c>
      <c r="F121">
        <v>0</v>
      </c>
      <c r="G121">
        <v>0</v>
      </c>
      <c r="H121">
        <v>0</v>
      </c>
      <c r="I121">
        <v>0</v>
      </c>
      <c r="J121">
        <v>0</v>
      </c>
      <c r="K121">
        <v>0</v>
      </c>
      <c r="L121">
        <v>0</v>
      </c>
      <c r="M121">
        <v>0</v>
      </c>
      <c r="N121">
        <v>0</v>
      </c>
      <c r="O121">
        <v>0</v>
      </c>
      <c r="P121">
        <v>0</v>
      </c>
      <c r="Q121">
        <v>2016544</v>
      </c>
      <c r="R121">
        <v>0</v>
      </c>
      <c r="S121">
        <v>0</v>
      </c>
      <c r="T121">
        <v>0</v>
      </c>
      <c r="U121">
        <v>0</v>
      </c>
      <c r="V121">
        <v>0</v>
      </c>
      <c r="W121">
        <v>0</v>
      </c>
      <c r="Y121">
        <v>0</v>
      </c>
      <c r="Z121">
        <v>0</v>
      </c>
      <c r="AA121">
        <v>0</v>
      </c>
      <c r="AB121">
        <v>0</v>
      </c>
      <c r="AC121">
        <v>0</v>
      </c>
      <c r="AD121">
        <v>0</v>
      </c>
      <c r="AE121">
        <v>0</v>
      </c>
      <c r="AF121">
        <v>128866</v>
      </c>
      <c r="AG121">
        <v>0</v>
      </c>
      <c r="AH121">
        <v>0</v>
      </c>
      <c r="AI121">
        <v>0</v>
      </c>
      <c r="AJ121">
        <v>0</v>
      </c>
      <c r="AK121">
        <v>0</v>
      </c>
      <c r="AM121">
        <v>0</v>
      </c>
      <c r="AN121">
        <v>0</v>
      </c>
      <c r="AO121">
        <v>0</v>
      </c>
      <c r="AP121">
        <v>0</v>
      </c>
      <c r="AQ121">
        <v>0</v>
      </c>
      <c r="AR121">
        <v>0</v>
      </c>
      <c r="AS121">
        <v>0</v>
      </c>
      <c r="AT121">
        <v>0</v>
      </c>
      <c r="AU121">
        <v>0</v>
      </c>
      <c r="AV121">
        <v>0</v>
      </c>
      <c r="AW121">
        <v>0</v>
      </c>
      <c r="AX121">
        <v>0</v>
      </c>
      <c r="AY121">
        <v>0</v>
      </c>
      <c r="AZ121">
        <v>0</v>
      </c>
      <c r="BA121">
        <v>0</v>
      </c>
      <c r="BB121">
        <v>0</v>
      </c>
      <c r="BC121">
        <v>0</v>
      </c>
      <c r="BD121">
        <v>72526</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D121">
        <v>0</v>
      </c>
    </row>
    <row r="122" spans="1:82" x14ac:dyDescent="0.3">
      <c r="A122">
        <v>522</v>
      </c>
      <c r="B122" t="s">
        <v>269</v>
      </c>
      <c r="D122">
        <v>23406</v>
      </c>
      <c r="E122">
        <v>0</v>
      </c>
      <c r="F122">
        <v>29524</v>
      </c>
      <c r="G122">
        <v>0</v>
      </c>
      <c r="H122">
        <v>0</v>
      </c>
      <c r="I122">
        <v>0</v>
      </c>
      <c r="J122">
        <v>674</v>
      </c>
      <c r="K122">
        <v>0</v>
      </c>
      <c r="L122">
        <v>0</v>
      </c>
      <c r="M122">
        <v>0</v>
      </c>
      <c r="N122">
        <v>0</v>
      </c>
      <c r="O122">
        <v>113544</v>
      </c>
      <c r="P122">
        <v>0</v>
      </c>
      <c r="Q122">
        <v>1128892</v>
      </c>
      <c r="R122">
        <v>23298</v>
      </c>
      <c r="S122">
        <v>0</v>
      </c>
      <c r="T122">
        <v>649368</v>
      </c>
      <c r="U122">
        <v>220879</v>
      </c>
      <c r="V122">
        <v>2763401</v>
      </c>
      <c r="W122">
        <v>0</v>
      </c>
      <c r="Y122">
        <v>202970</v>
      </c>
      <c r="Z122">
        <v>0</v>
      </c>
      <c r="AA122">
        <v>207524</v>
      </c>
      <c r="AB122">
        <v>18705</v>
      </c>
      <c r="AC122">
        <v>17975</v>
      </c>
      <c r="AD122">
        <v>57672</v>
      </c>
      <c r="AE122">
        <v>131557</v>
      </c>
      <c r="AF122">
        <v>194690</v>
      </c>
      <c r="AG122">
        <v>77146</v>
      </c>
      <c r="AH122">
        <v>0</v>
      </c>
      <c r="AI122">
        <v>529280</v>
      </c>
      <c r="AJ122">
        <v>0</v>
      </c>
      <c r="AK122">
        <v>28714</v>
      </c>
      <c r="AM122">
        <v>289841</v>
      </c>
      <c r="AN122">
        <v>4749</v>
      </c>
      <c r="AO122">
        <v>0</v>
      </c>
      <c r="AP122">
        <v>0</v>
      </c>
      <c r="AQ122">
        <v>0</v>
      </c>
      <c r="AR122">
        <v>78196</v>
      </c>
      <c r="AS122">
        <v>0</v>
      </c>
      <c r="AT122">
        <v>76459</v>
      </c>
      <c r="AU122">
        <v>0</v>
      </c>
      <c r="AV122">
        <v>869375</v>
      </c>
      <c r="AW122">
        <v>0</v>
      </c>
      <c r="AX122">
        <v>83045</v>
      </c>
      <c r="AY122">
        <v>89100</v>
      </c>
      <c r="AZ122">
        <v>13596</v>
      </c>
      <c r="BA122">
        <v>5079</v>
      </c>
      <c r="BB122">
        <v>0</v>
      </c>
      <c r="BC122">
        <v>0</v>
      </c>
      <c r="BD122">
        <v>164166</v>
      </c>
      <c r="BE122">
        <v>0</v>
      </c>
      <c r="BF122">
        <v>6464</v>
      </c>
      <c r="BG122">
        <v>3516</v>
      </c>
      <c r="BH122">
        <v>0</v>
      </c>
      <c r="BI122">
        <v>1668</v>
      </c>
      <c r="BJ122">
        <v>0</v>
      </c>
      <c r="BK122">
        <v>88731</v>
      </c>
      <c r="BL122">
        <v>4579</v>
      </c>
      <c r="BM122">
        <v>25875</v>
      </c>
      <c r="BN122">
        <v>15081</v>
      </c>
      <c r="BO122">
        <v>14251</v>
      </c>
      <c r="BP122">
        <v>14358</v>
      </c>
      <c r="BQ122">
        <v>0</v>
      </c>
      <c r="BR122">
        <v>601</v>
      </c>
      <c r="BS122">
        <v>0</v>
      </c>
      <c r="BT122">
        <v>45615</v>
      </c>
      <c r="BU122">
        <v>57888</v>
      </c>
      <c r="BV122">
        <v>0</v>
      </c>
      <c r="BW122">
        <v>49381</v>
      </c>
      <c r="BX122">
        <v>13033</v>
      </c>
      <c r="BY122">
        <v>0</v>
      </c>
      <c r="BZ122">
        <v>1595</v>
      </c>
      <c r="CA122">
        <v>0</v>
      </c>
      <c r="CB122">
        <v>7965</v>
      </c>
      <c r="CD122">
        <v>0</v>
      </c>
    </row>
    <row r="123" spans="1:82" x14ac:dyDescent="0.3">
      <c r="A123">
        <v>523</v>
      </c>
      <c r="B123" t="s">
        <v>270</v>
      </c>
      <c r="D123">
        <v>0</v>
      </c>
      <c r="E123">
        <v>0</v>
      </c>
      <c r="F123">
        <v>0</v>
      </c>
      <c r="G123">
        <v>0</v>
      </c>
      <c r="H123">
        <v>0</v>
      </c>
      <c r="I123">
        <v>0</v>
      </c>
      <c r="J123">
        <v>0</v>
      </c>
      <c r="K123">
        <v>0</v>
      </c>
      <c r="L123">
        <v>0</v>
      </c>
      <c r="M123">
        <v>0</v>
      </c>
      <c r="N123">
        <v>0</v>
      </c>
      <c r="O123">
        <v>0</v>
      </c>
      <c r="P123">
        <v>0</v>
      </c>
      <c r="Q123">
        <v>17909527</v>
      </c>
      <c r="R123">
        <v>81695</v>
      </c>
      <c r="S123">
        <v>0</v>
      </c>
      <c r="T123">
        <v>37695173</v>
      </c>
      <c r="U123">
        <v>1382817</v>
      </c>
      <c r="V123">
        <v>11138610</v>
      </c>
      <c r="W123">
        <v>0</v>
      </c>
      <c r="Y123">
        <v>0</v>
      </c>
      <c r="Z123">
        <v>0</v>
      </c>
      <c r="AA123">
        <v>12551312</v>
      </c>
      <c r="AB123">
        <v>5041574</v>
      </c>
      <c r="AC123">
        <v>154732</v>
      </c>
      <c r="AD123">
        <v>0</v>
      </c>
      <c r="AE123">
        <v>0</v>
      </c>
      <c r="AF123">
        <v>2450800</v>
      </c>
      <c r="AG123">
        <v>0</v>
      </c>
      <c r="AH123">
        <v>0</v>
      </c>
      <c r="AI123">
        <v>32761797</v>
      </c>
      <c r="AJ123">
        <v>0</v>
      </c>
      <c r="AK123">
        <v>0</v>
      </c>
      <c r="AM123">
        <v>20140333</v>
      </c>
      <c r="AN123">
        <v>0</v>
      </c>
      <c r="AO123">
        <v>0</v>
      </c>
      <c r="AP123">
        <v>0</v>
      </c>
      <c r="AQ123">
        <v>0</v>
      </c>
      <c r="AR123">
        <v>0</v>
      </c>
      <c r="AS123">
        <v>0</v>
      </c>
      <c r="AT123">
        <v>0</v>
      </c>
      <c r="AU123">
        <v>0</v>
      </c>
      <c r="AV123">
        <v>4003487</v>
      </c>
      <c r="AW123">
        <v>0</v>
      </c>
      <c r="AX123">
        <v>0</v>
      </c>
      <c r="AY123">
        <v>155306</v>
      </c>
      <c r="AZ123">
        <v>321612</v>
      </c>
      <c r="BA123">
        <v>0</v>
      </c>
      <c r="BB123">
        <v>0</v>
      </c>
      <c r="BC123">
        <v>22408</v>
      </c>
      <c r="BD123">
        <v>0</v>
      </c>
      <c r="BE123">
        <v>0</v>
      </c>
      <c r="BF123">
        <v>0</v>
      </c>
      <c r="BG123">
        <v>0</v>
      </c>
      <c r="BH123">
        <v>0</v>
      </c>
      <c r="BI123">
        <v>0</v>
      </c>
      <c r="BJ123">
        <v>0</v>
      </c>
      <c r="BK123">
        <v>0</v>
      </c>
      <c r="BL123">
        <v>0</v>
      </c>
      <c r="BM123">
        <v>0</v>
      </c>
      <c r="BN123">
        <v>0</v>
      </c>
      <c r="BO123">
        <v>0</v>
      </c>
      <c r="BP123">
        <v>82273</v>
      </c>
      <c r="BQ123">
        <v>0</v>
      </c>
      <c r="BR123">
        <v>0</v>
      </c>
      <c r="BS123">
        <v>0</v>
      </c>
      <c r="BT123">
        <v>8494</v>
      </c>
      <c r="BU123">
        <v>144138</v>
      </c>
      <c r="BV123">
        <v>0</v>
      </c>
      <c r="BW123">
        <v>0</v>
      </c>
      <c r="BX123">
        <v>78886</v>
      </c>
      <c r="BY123">
        <v>0</v>
      </c>
      <c r="BZ123">
        <v>0</v>
      </c>
      <c r="CA123">
        <v>0</v>
      </c>
      <c r="CB123">
        <v>0</v>
      </c>
      <c r="CD123">
        <v>0</v>
      </c>
    </row>
    <row r="124" spans="1:82" x14ac:dyDescent="0.3">
      <c r="A124">
        <v>524</v>
      </c>
      <c r="B124" t="s">
        <v>271</v>
      </c>
      <c r="D124">
        <v>1300788</v>
      </c>
      <c r="E124">
        <v>0</v>
      </c>
      <c r="F124">
        <v>4095907</v>
      </c>
      <c r="G124">
        <v>0</v>
      </c>
      <c r="H124">
        <v>0</v>
      </c>
      <c r="I124">
        <v>0</v>
      </c>
      <c r="J124">
        <v>1051649</v>
      </c>
      <c r="K124">
        <v>0</v>
      </c>
      <c r="L124">
        <v>0</v>
      </c>
      <c r="M124">
        <v>0</v>
      </c>
      <c r="N124">
        <v>0</v>
      </c>
      <c r="O124">
        <v>14915346</v>
      </c>
      <c r="P124">
        <v>0</v>
      </c>
      <c r="Q124">
        <v>0</v>
      </c>
      <c r="R124">
        <v>1570405</v>
      </c>
      <c r="S124">
        <v>0</v>
      </c>
      <c r="T124">
        <v>52876154</v>
      </c>
      <c r="U124">
        <v>27013181</v>
      </c>
      <c r="V124">
        <v>29659550</v>
      </c>
      <c r="W124">
        <v>0</v>
      </c>
      <c r="Y124">
        <v>45063263</v>
      </c>
      <c r="Z124">
        <v>11645766</v>
      </c>
      <c r="AA124">
        <v>14791371</v>
      </c>
      <c r="AB124">
        <v>5979725</v>
      </c>
      <c r="AC124">
        <v>2094705</v>
      </c>
      <c r="AD124">
        <v>4089239</v>
      </c>
      <c r="AE124">
        <v>11461580</v>
      </c>
      <c r="AF124">
        <v>0</v>
      </c>
      <c r="AG124">
        <v>5836455</v>
      </c>
      <c r="AH124">
        <v>0</v>
      </c>
      <c r="AI124">
        <v>25886653</v>
      </c>
      <c r="AJ124">
        <v>1286170</v>
      </c>
      <c r="AK124">
        <v>4518500</v>
      </c>
      <c r="AM124">
        <v>24700658</v>
      </c>
      <c r="AN124">
        <v>2596444</v>
      </c>
      <c r="AO124">
        <v>1592858</v>
      </c>
      <c r="AP124">
        <v>0</v>
      </c>
      <c r="AQ124">
        <v>0</v>
      </c>
      <c r="AR124">
        <v>18405892</v>
      </c>
      <c r="AS124">
        <v>0</v>
      </c>
      <c r="AT124">
        <v>7725536</v>
      </c>
      <c r="AU124">
        <v>0</v>
      </c>
      <c r="AV124">
        <v>28293342</v>
      </c>
      <c r="AW124">
        <v>0</v>
      </c>
      <c r="AX124">
        <v>6230029</v>
      </c>
      <c r="AY124">
        <v>1956036</v>
      </c>
      <c r="AZ124">
        <v>4648434</v>
      </c>
      <c r="BA124">
        <v>1415927</v>
      </c>
      <c r="BB124">
        <v>0</v>
      </c>
      <c r="BC124">
        <v>535066</v>
      </c>
      <c r="BD124">
        <v>17396845</v>
      </c>
      <c r="BE124">
        <v>0</v>
      </c>
      <c r="BF124">
        <v>1733848</v>
      </c>
      <c r="BG124">
        <v>1470480</v>
      </c>
      <c r="BH124">
        <v>0</v>
      </c>
      <c r="BI124">
        <v>1814270</v>
      </c>
      <c r="BJ124">
        <v>0</v>
      </c>
      <c r="BK124">
        <v>8271369</v>
      </c>
      <c r="BL124">
        <v>3588054</v>
      </c>
      <c r="BM124">
        <v>10136506</v>
      </c>
      <c r="BN124">
        <v>1935412</v>
      </c>
      <c r="BO124">
        <v>2823363</v>
      </c>
      <c r="BP124">
        <v>788422</v>
      </c>
      <c r="BQ124">
        <v>0</v>
      </c>
      <c r="BR124">
        <v>6003339</v>
      </c>
      <c r="BS124">
        <v>0</v>
      </c>
      <c r="BT124">
        <v>4799449</v>
      </c>
      <c r="BU124">
        <v>10976534</v>
      </c>
      <c r="BV124">
        <v>0</v>
      </c>
      <c r="BW124">
        <v>6993952</v>
      </c>
      <c r="BX124">
        <v>1338408</v>
      </c>
      <c r="BY124">
        <v>238127</v>
      </c>
      <c r="BZ124">
        <v>3265068</v>
      </c>
      <c r="CA124">
        <v>1954688</v>
      </c>
      <c r="CB124">
        <v>3637956</v>
      </c>
      <c r="CD124">
        <v>468502</v>
      </c>
    </row>
    <row r="125" spans="1:82" x14ac:dyDescent="0.3">
      <c r="A125">
        <v>525</v>
      </c>
      <c r="B125" t="s">
        <v>272</v>
      </c>
      <c r="D125">
        <v>0</v>
      </c>
      <c r="E125">
        <v>0</v>
      </c>
      <c r="F125">
        <v>0</v>
      </c>
      <c r="G125">
        <v>0</v>
      </c>
      <c r="H125">
        <v>0</v>
      </c>
      <c r="I125">
        <v>0</v>
      </c>
      <c r="J125">
        <v>0</v>
      </c>
      <c r="K125">
        <v>0</v>
      </c>
      <c r="L125">
        <v>0</v>
      </c>
      <c r="M125">
        <v>0</v>
      </c>
      <c r="N125">
        <v>0</v>
      </c>
      <c r="O125">
        <v>0</v>
      </c>
      <c r="P125">
        <v>0</v>
      </c>
      <c r="Q125">
        <v>26995479</v>
      </c>
      <c r="R125">
        <v>0</v>
      </c>
      <c r="S125">
        <v>0</v>
      </c>
      <c r="T125">
        <v>0</v>
      </c>
      <c r="U125">
        <v>0</v>
      </c>
      <c r="V125">
        <v>0</v>
      </c>
      <c r="W125">
        <v>0</v>
      </c>
      <c r="Y125">
        <v>0</v>
      </c>
      <c r="Z125">
        <v>0</v>
      </c>
      <c r="AA125">
        <v>0</v>
      </c>
      <c r="AB125">
        <v>0</v>
      </c>
      <c r="AC125">
        <v>0</v>
      </c>
      <c r="AD125">
        <v>0</v>
      </c>
      <c r="AE125">
        <v>0</v>
      </c>
      <c r="AF125">
        <v>1212936</v>
      </c>
      <c r="AG125">
        <v>0</v>
      </c>
      <c r="AH125">
        <v>0</v>
      </c>
      <c r="AI125">
        <v>0</v>
      </c>
      <c r="AJ125">
        <v>0</v>
      </c>
      <c r="AK125">
        <v>0</v>
      </c>
      <c r="AM125">
        <v>0</v>
      </c>
      <c r="AN125">
        <v>0</v>
      </c>
      <c r="AO125">
        <v>0</v>
      </c>
      <c r="AP125">
        <v>0</v>
      </c>
      <c r="AQ125">
        <v>0</v>
      </c>
      <c r="AR125">
        <v>0</v>
      </c>
      <c r="AS125">
        <v>0</v>
      </c>
      <c r="AT125">
        <v>0</v>
      </c>
      <c r="AU125">
        <v>0</v>
      </c>
      <c r="AV125">
        <v>0</v>
      </c>
      <c r="AW125">
        <v>0</v>
      </c>
      <c r="AX125">
        <v>0</v>
      </c>
      <c r="AY125">
        <v>0</v>
      </c>
      <c r="AZ125">
        <v>0</v>
      </c>
      <c r="BA125">
        <v>0</v>
      </c>
      <c r="BB125">
        <v>0</v>
      </c>
      <c r="BC125">
        <v>0</v>
      </c>
      <c r="BD125">
        <v>255822</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D125">
        <v>0</v>
      </c>
    </row>
    <row r="126" spans="1:82" x14ac:dyDescent="0.3">
      <c r="A126">
        <v>526</v>
      </c>
      <c r="B126" t="s">
        <v>273</v>
      </c>
      <c r="D126">
        <v>142119</v>
      </c>
      <c r="E126">
        <v>0</v>
      </c>
      <c r="F126">
        <v>218411</v>
      </c>
      <c r="G126">
        <v>0</v>
      </c>
      <c r="H126">
        <v>0</v>
      </c>
      <c r="I126">
        <v>0</v>
      </c>
      <c r="J126">
        <v>7210</v>
      </c>
      <c r="K126">
        <v>0</v>
      </c>
      <c r="L126">
        <v>0</v>
      </c>
      <c r="M126">
        <v>0</v>
      </c>
      <c r="N126">
        <v>0</v>
      </c>
      <c r="O126">
        <v>1937983</v>
      </c>
      <c r="P126">
        <v>0</v>
      </c>
      <c r="Q126">
        <v>10652869</v>
      </c>
      <c r="R126">
        <v>336114</v>
      </c>
      <c r="S126">
        <v>0</v>
      </c>
      <c r="T126">
        <v>5701942</v>
      </c>
      <c r="U126">
        <v>2256962</v>
      </c>
      <c r="V126">
        <v>11523313</v>
      </c>
      <c r="W126">
        <v>0</v>
      </c>
      <c r="Y126">
        <v>2935598</v>
      </c>
      <c r="Z126">
        <v>0</v>
      </c>
      <c r="AA126">
        <v>3432739</v>
      </c>
      <c r="AB126">
        <v>1173262</v>
      </c>
      <c r="AC126">
        <v>158680</v>
      </c>
      <c r="AD126">
        <v>715367</v>
      </c>
      <c r="AE126">
        <v>673943</v>
      </c>
      <c r="AF126">
        <v>5161236</v>
      </c>
      <c r="AG126">
        <v>888892</v>
      </c>
      <c r="AH126">
        <v>0</v>
      </c>
      <c r="AI126">
        <v>8092774</v>
      </c>
      <c r="AJ126">
        <v>0</v>
      </c>
      <c r="AK126">
        <v>325405</v>
      </c>
      <c r="AM126">
        <v>2469963</v>
      </c>
      <c r="AN126">
        <v>79803</v>
      </c>
      <c r="AO126">
        <v>114361</v>
      </c>
      <c r="AP126">
        <v>0</v>
      </c>
      <c r="AQ126">
        <v>0</v>
      </c>
      <c r="AR126">
        <v>1452668</v>
      </c>
      <c r="AS126">
        <v>0</v>
      </c>
      <c r="AT126">
        <v>651497</v>
      </c>
      <c r="AU126">
        <v>0</v>
      </c>
      <c r="AV126">
        <v>14774543</v>
      </c>
      <c r="AW126">
        <v>0</v>
      </c>
      <c r="AX126">
        <v>880629</v>
      </c>
      <c r="AY126">
        <v>1178662</v>
      </c>
      <c r="AZ126">
        <v>392797</v>
      </c>
      <c r="BA126">
        <v>87143</v>
      </c>
      <c r="BB126">
        <v>0</v>
      </c>
      <c r="BC126">
        <v>0</v>
      </c>
      <c r="BD126">
        <v>2789691</v>
      </c>
      <c r="BE126">
        <v>0</v>
      </c>
      <c r="BF126">
        <v>120866</v>
      </c>
      <c r="BG126">
        <v>21078</v>
      </c>
      <c r="BH126">
        <v>0</v>
      </c>
      <c r="BI126">
        <v>7900</v>
      </c>
      <c r="BJ126">
        <v>0</v>
      </c>
      <c r="BK126">
        <v>1912270</v>
      </c>
      <c r="BL126">
        <v>17021</v>
      </c>
      <c r="BM126">
        <v>274700</v>
      </c>
      <c r="BN126">
        <v>196819</v>
      </c>
      <c r="BO126">
        <v>204600</v>
      </c>
      <c r="BP126">
        <v>332788</v>
      </c>
      <c r="BQ126">
        <v>0</v>
      </c>
      <c r="BR126">
        <v>123582</v>
      </c>
      <c r="BS126">
        <v>0</v>
      </c>
      <c r="BT126">
        <v>355785</v>
      </c>
      <c r="BU126">
        <v>419469</v>
      </c>
      <c r="BV126">
        <v>0</v>
      </c>
      <c r="BW126">
        <v>1363658</v>
      </c>
      <c r="BX126">
        <v>33787</v>
      </c>
      <c r="BY126">
        <v>0</v>
      </c>
      <c r="BZ126">
        <v>91661</v>
      </c>
      <c r="CA126">
        <v>8823</v>
      </c>
      <c r="CB126">
        <v>250675</v>
      </c>
      <c r="CD126">
        <v>0</v>
      </c>
    </row>
    <row r="127" spans="1:82" x14ac:dyDescent="0.3">
      <c r="A127">
        <v>527</v>
      </c>
      <c r="B127" t="s">
        <v>274</v>
      </c>
      <c r="D127">
        <v>0</v>
      </c>
      <c r="E127">
        <v>0</v>
      </c>
      <c r="F127">
        <v>0</v>
      </c>
      <c r="G127">
        <v>0</v>
      </c>
      <c r="H127">
        <v>0</v>
      </c>
      <c r="I127">
        <v>0</v>
      </c>
      <c r="J127">
        <v>0</v>
      </c>
      <c r="K127">
        <v>0</v>
      </c>
      <c r="L127">
        <v>0</v>
      </c>
      <c r="M127">
        <v>0</v>
      </c>
      <c r="N127">
        <v>0</v>
      </c>
      <c r="O127">
        <v>0</v>
      </c>
      <c r="P127">
        <v>0</v>
      </c>
      <c r="Q127">
        <v>6731488</v>
      </c>
      <c r="R127">
        <v>0</v>
      </c>
      <c r="S127">
        <v>0</v>
      </c>
      <c r="T127">
        <v>0</v>
      </c>
      <c r="U127">
        <v>0</v>
      </c>
      <c r="V127">
        <v>567368</v>
      </c>
      <c r="W127">
        <v>0</v>
      </c>
      <c r="Y127">
        <v>0</v>
      </c>
      <c r="Z127">
        <v>0</v>
      </c>
      <c r="AA127">
        <v>0</v>
      </c>
      <c r="AB127">
        <v>0</v>
      </c>
      <c r="AC127">
        <v>0</v>
      </c>
      <c r="AD127">
        <v>0</v>
      </c>
      <c r="AE127">
        <v>0</v>
      </c>
      <c r="AF127">
        <v>0</v>
      </c>
      <c r="AG127">
        <v>0</v>
      </c>
      <c r="AH127">
        <v>0</v>
      </c>
      <c r="AI127">
        <v>4413321</v>
      </c>
      <c r="AJ127">
        <v>0</v>
      </c>
      <c r="AK127">
        <v>0</v>
      </c>
      <c r="AM127">
        <v>574308</v>
      </c>
      <c r="AN127">
        <v>0</v>
      </c>
      <c r="AO127">
        <v>0</v>
      </c>
      <c r="AP127">
        <v>0</v>
      </c>
      <c r="AQ127">
        <v>0</v>
      </c>
      <c r="AR127">
        <v>0</v>
      </c>
      <c r="AS127">
        <v>0</v>
      </c>
      <c r="AT127">
        <v>0</v>
      </c>
      <c r="AU127">
        <v>7405</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11600</v>
      </c>
      <c r="BS127">
        <v>7090802</v>
      </c>
      <c r="BT127">
        <v>0</v>
      </c>
      <c r="BU127">
        <v>0</v>
      </c>
      <c r="BV127">
        <v>0</v>
      </c>
      <c r="BW127">
        <v>0</v>
      </c>
      <c r="BX127">
        <v>0</v>
      </c>
      <c r="BY127">
        <v>0</v>
      </c>
      <c r="BZ127">
        <v>0</v>
      </c>
      <c r="CA127">
        <v>0</v>
      </c>
      <c r="CB127">
        <v>0</v>
      </c>
      <c r="CD127">
        <v>0</v>
      </c>
    </row>
    <row r="128" spans="1:82" x14ac:dyDescent="0.3">
      <c r="A128">
        <v>528</v>
      </c>
      <c r="B128" t="s">
        <v>257</v>
      </c>
      <c r="D128">
        <v>134083</v>
      </c>
      <c r="E128">
        <v>22535</v>
      </c>
      <c r="F128">
        <v>329940</v>
      </c>
      <c r="G128">
        <v>1220890</v>
      </c>
      <c r="H128">
        <v>181776</v>
      </c>
      <c r="I128">
        <v>2771408</v>
      </c>
      <c r="J128">
        <v>47670</v>
      </c>
      <c r="K128">
        <v>80028</v>
      </c>
      <c r="L128">
        <v>126008</v>
      </c>
      <c r="M128">
        <v>8804158</v>
      </c>
      <c r="N128">
        <v>29923</v>
      </c>
      <c r="O128">
        <v>2976605</v>
      </c>
      <c r="P128">
        <v>14595</v>
      </c>
      <c r="Q128">
        <v>22550699</v>
      </c>
      <c r="R128">
        <v>1217555</v>
      </c>
      <c r="S128">
        <v>0</v>
      </c>
      <c r="T128">
        <v>45934158</v>
      </c>
      <c r="U128">
        <v>8409925</v>
      </c>
      <c r="V128">
        <v>10214770</v>
      </c>
      <c r="W128">
        <v>21771603</v>
      </c>
      <c r="Y128">
        <v>6971011</v>
      </c>
      <c r="Z128">
        <v>520799</v>
      </c>
      <c r="AA128">
        <v>8573501</v>
      </c>
      <c r="AB128">
        <v>1679040</v>
      </c>
      <c r="AC128">
        <v>863240</v>
      </c>
      <c r="AD128">
        <v>793715</v>
      </c>
      <c r="AE128">
        <v>1034780</v>
      </c>
      <c r="AF128">
        <v>8781194</v>
      </c>
      <c r="AG128">
        <v>2281317</v>
      </c>
      <c r="AH128">
        <v>263606</v>
      </c>
      <c r="AI128">
        <v>15009417</v>
      </c>
      <c r="AJ128">
        <v>237800</v>
      </c>
      <c r="AK128">
        <v>320938</v>
      </c>
      <c r="AM128">
        <v>5970344</v>
      </c>
      <c r="AN128">
        <v>248398</v>
      </c>
      <c r="AO128">
        <v>244462</v>
      </c>
      <c r="AP128">
        <v>0</v>
      </c>
      <c r="AQ128">
        <v>4484673</v>
      </c>
      <c r="AR128">
        <v>2274591</v>
      </c>
      <c r="AS128">
        <v>143071</v>
      </c>
      <c r="AT128">
        <v>1296055</v>
      </c>
      <c r="AU128">
        <v>67957</v>
      </c>
      <c r="AV128">
        <v>9147486</v>
      </c>
      <c r="AW128">
        <v>804424</v>
      </c>
      <c r="AX128">
        <v>761718</v>
      </c>
      <c r="AY128">
        <v>3265696</v>
      </c>
      <c r="AZ128">
        <v>419252</v>
      </c>
      <c r="BA128">
        <v>559801</v>
      </c>
      <c r="BB128">
        <v>0</v>
      </c>
      <c r="BC128">
        <v>45962</v>
      </c>
      <c r="BD128">
        <v>3226039</v>
      </c>
      <c r="BE128">
        <v>19039</v>
      </c>
      <c r="BF128">
        <v>153919</v>
      </c>
      <c r="BG128">
        <v>74168</v>
      </c>
      <c r="BH128">
        <v>32168</v>
      </c>
      <c r="BI128">
        <v>51015</v>
      </c>
      <c r="BJ128">
        <v>56109</v>
      </c>
      <c r="BK128">
        <v>1303915</v>
      </c>
      <c r="BL128">
        <v>300862</v>
      </c>
      <c r="BM128">
        <v>877644</v>
      </c>
      <c r="BN128">
        <v>2056886</v>
      </c>
      <c r="BO128">
        <v>574006</v>
      </c>
      <c r="BP128">
        <v>486591</v>
      </c>
      <c r="BQ128">
        <v>11402048</v>
      </c>
      <c r="BR128">
        <v>232902</v>
      </c>
      <c r="BS128">
        <v>8208821</v>
      </c>
      <c r="BT128">
        <v>187145</v>
      </c>
      <c r="BU128">
        <v>3205624</v>
      </c>
      <c r="BV128">
        <v>308520</v>
      </c>
      <c r="BW128">
        <v>1039505</v>
      </c>
      <c r="BX128">
        <v>126517</v>
      </c>
      <c r="BY128">
        <v>15421</v>
      </c>
      <c r="BZ128">
        <v>69908</v>
      </c>
      <c r="CA128">
        <v>23147</v>
      </c>
      <c r="CB128">
        <v>519994</v>
      </c>
      <c r="CD128">
        <v>8516</v>
      </c>
    </row>
    <row r="129" spans="1:82" x14ac:dyDescent="0.3">
      <c r="A129">
        <v>529</v>
      </c>
      <c r="B129" t="s">
        <v>258</v>
      </c>
      <c r="D129">
        <v>19178</v>
      </c>
      <c r="E129">
        <v>3208</v>
      </c>
      <c r="F129">
        <v>50186</v>
      </c>
      <c r="G129">
        <v>145650</v>
      </c>
      <c r="H129">
        <v>25100</v>
      </c>
      <c r="I129">
        <v>234537</v>
      </c>
      <c r="J129">
        <v>5396</v>
      </c>
      <c r="K129">
        <v>8211</v>
      </c>
      <c r="L129">
        <v>9696</v>
      </c>
      <c r="M129">
        <v>823713</v>
      </c>
      <c r="N129">
        <v>4991</v>
      </c>
      <c r="O129">
        <v>150045</v>
      </c>
      <c r="P129">
        <v>3787</v>
      </c>
      <c r="Q129">
        <v>1863933</v>
      </c>
      <c r="R129">
        <v>24532</v>
      </c>
      <c r="S129">
        <v>0</v>
      </c>
      <c r="T129">
        <v>3804105</v>
      </c>
      <c r="U129">
        <v>465261</v>
      </c>
      <c r="V129">
        <v>817021</v>
      </c>
      <c r="W129">
        <v>1179070</v>
      </c>
      <c r="Y129">
        <v>671106</v>
      </c>
      <c r="Z129">
        <v>62268</v>
      </c>
      <c r="AA129">
        <v>912309</v>
      </c>
      <c r="AB129">
        <v>173022</v>
      </c>
      <c r="AC129">
        <v>89434</v>
      </c>
      <c r="AD129">
        <v>122286</v>
      </c>
      <c r="AE129">
        <v>42293</v>
      </c>
      <c r="AF129">
        <v>155067</v>
      </c>
      <c r="AG129">
        <v>335757</v>
      </c>
      <c r="AH129">
        <v>35082</v>
      </c>
      <c r="AI129">
        <v>1595261</v>
      </c>
      <c r="AJ129">
        <v>12151</v>
      </c>
      <c r="AK129">
        <v>31223</v>
      </c>
      <c r="AM129">
        <v>607406</v>
      </c>
      <c r="AN129">
        <v>27503</v>
      </c>
      <c r="AO129">
        <v>46208</v>
      </c>
      <c r="AP129">
        <v>0</v>
      </c>
      <c r="AQ129">
        <v>81633</v>
      </c>
      <c r="AR129">
        <v>213304</v>
      </c>
      <c r="AS129">
        <v>14604</v>
      </c>
      <c r="AT129">
        <v>94174</v>
      </c>
      <c r="AU129">
        <v>14916</v>
      </c>
      <c r="AV129">
        <v>434053</v>
      </c>
      <c r="AW129">
        <v>98705</v>
      </c>
      <c r="AX129">
        <v>130776</v>
      </c>
      <c r="AY129">
        <v>56769</v>
      </c>
      <c r="AZ129">
        <v>23789</v>
      </c>
      <c r="BA129">
        <v>32524</v>
      </c>
      <c r="BB129">
        <v>0</v>
      </c>
      <c r="BC129">
        <v>7623</v>
      </c>
      <c r="BD129">
        <v>559622</v>
      </c>
      <c r="BE129">
        <v>7656</v>
      </c>
      <c r="BF129">
        <v>19063</v>
      </c>
      <c r="BG129">
        <v>10158</v>
      </c>
      <c r="BH129">
        <v>3191</v>
      </c>
      <c r="BI129">
        <v>9799</v>
      </c>
      <c r="BJ129">
        <v>5440</v>
      </c>
      <c r="BK129">
        <v>94573</v>
      </c>
      <c r="BL129">
        <v>33694</v>
      </c>
      <c r="BM129">
        <v>91170</v>
      </c>
      <c r="BN129">
        <v>58819</v>
      </c>
      <c r="BO129">
        <v>82999</v>
      </c>
      <c r="BP129">
        <v>63355</v>
      </c>
      <c r="BQ129">
        <v>850711</v>
      </c>
      <c r="BR129">
        <v>39624</v>
      </c>
      <c r="BS129">
        <v>362462</v>
      </c>
      <c r="BT129">
        <v>22394</v>
      </c>
      <c r="BU129">
        <v>314733</v>
      </c>
      <c r="BV129">
        <v>40537</v>
      </c>
      <c r="BW129">
        <v>97150</v>
      </c>
      <c r="BX129">
        <v>19769</v>
      </c>
      <c r="BY129">
        <v>2067</v>
      </c>
      <c r="BZ129">
        <v>9758</v>
      </c>
      <c r="CA129">
        <v>5557</v>
      </c>
      <c r="CB129">
        <v>65741</v>
      </c>
      <c r="CD129">
        <v>2161</v>
      </c>
    </row>
    <row r="130" spans="1:82" x14ac:dyDescent="0.3">
      <c r="A130">
        <v>530</v>
      </c>
      <c r="B130" t="s">
        <v>259</v>
      </c>
      <c r="D130">
        <v>2870</v>
      </c>
      <c r="E130">
        <v>679</v>
      </c>
      <c r="F130">
        <v>5055</v>
      </c>
      <c r="G130">
        <v>9658</v>
      </c>
      <c r="H130">
        <v>2812</v>
      </c>
      <c r="I130">
        <v>22478</v>
      </c>
      <c r="J130">
        <v>1364</v>
      </c>
      <c r="K130">
        <v>200</v>
      </c>
      <c r="L130">
        <v>556</v>
      </c>
      <c r="M130">
        <v>57627</v>
      </c>
      <c r="N130">
        <v>885</v>
      </c>
      <c r="O130">
        <v>22789</v>
      </c>
      <c r="P130">
        <v>289</v>
      </c>
      <c r="Q130">
        <v>148285</v>
      </c>
      <c r="R130">
        <v>296</v>
      </c>
      <c r="S130">
        <v>0</v>
      </c>
      <c r="T130">
        <v>177002</v>
      </c>
      <c r="U130">
        <v>105607</v>
      </c>
      <c r="V130">
        <v>213026</v>
      </c>
      <c r="W130">
        <v>57741</v>
      </c>
      <c r="Y130">
        <v>90183</v>
      </c>
      <c r="Z130">
        <v>22850</v>
      </c>
      <c r="AA130">
        <v>43000</v>
      </c>
      <c r="AB130">
        <v>51813</v>
      </c>
      <c r="AC130">
        <v>5816</v>
      </c>
      <c r="AD130">
        <v>18842</v>
      </c>
      <c r="AE130">
        <v>65472</v>
      </c>
      <c r="AF130">
        <v>881</v>
      </c>
      <c r="AG130">
        <v>33511</v>
      </c>
      <c r="AH130">
        <v>9118</v>
      </c>
      <c r="AI130">
        <v>140368</v>
      </c>
      <c r="AJ130">
        <v>806</v>
      </c>
      <c r="AK130">
        <v>16328</v>
      </c>
      <c r="AM130">
        <v>91846</v>
      </c>
      <c r="AN130">
        <v>11722</v>
      </c>
      <c r="AO130">
        <v>8540</v>
      </c>
      <c r="AP130">
        <v>0</v>
      </c>
      <c r="AQ130">
        <v>31427</v>
      </c>
      <c r="AR130">
        <v>96894</v>
      </c>
      <c r="AS130">
        <v>3227</v>
      </c>
      <c r="AT130">
        <v>20331</v>
      </c>
      <c r="AU130">
        <v>7954</v>
      </c>
      <c r="AV130">
        <v>222273</v>
      </c>
      <c r="AW130">
        <v>3210</v>
      </c>
      <c r="AX130">
        <v>11060</v>
      </c>
      <c r="AY130">
        <v>1354</v>
      </c>
      <c r="AZ130">
        <v>1566</v>
      </c>
      <c r="BA130">
        <v>17673</v>
      </c>
      <c r="BB130">
        <v>0</v>
      </c>
      <c r="BC130">
        <v>283</v>
      </c>
      <c r="BD130">
        <v>41944</v>
      </c>
      <c r="BE130">
        <v>0</v>
      </c>
      <c r="BF130">
        <v>5920</v>
      </c>
      <c r="BG130">
        <v>14156</v>
      </c>
      <c r="BH130">
        <v>498</v>
      </c>
      <c r="BI130">
        <v>6066</v>
      </c>
      <c r="BJ130">
        <v>1878</v>
      </c>
      <c r="BK130">
        <v>40458</v>
      </c>
      <c r="BL130">
        <v>3150</v>
      </c>
      <c r="BM130">
        <v>7751</v>
      </c>
      <c r="BN130">
        <v>5661</v>
      </c>
      <c r="BO130">
        <v>522</v>
      </c>
      <c r="BP130">
        <v>3301</v>
      </c>
      <c r="BQ130">
        <v>9030</v>
      </c>
      <c r="BR130">
        <v>14859</v>
      </c>
      <c r="BS130">
        <v>64979</v>
      </c>
      <c r="BT130">
        <v>4519</v>
      </c>
      <c r="BU130">
        <v>20727</v>
      </c>
      <c r="BV130">
        <v>3634</v>
      </c>
      <c r="BW130">
        <v>181427</v>
      </c>
      <c r="BX130">
        <v>10308</v>
      </c>
      <c r="BY130">
        <v>127</v>
      </c>
      <c r="BZ130">
        <v>4004</v>
      </c>
      <c r="CA130">
        <v>767</v>
      </c>
      <c r="CB130">
        <v>2259</v>
      </c>
      <c r="CD130">
        <v>485</v>
      </c>
    </row>
    <row r="131" spans="1:82" x14ac:dyDescent="0.3">
      <c r="A131">
        <v>531</v>
      </c>
      <c r="B131" t="s">
        <v>260</v>
      </c>
      <c r="D131">
        <v>0</v>
      </c>
      <c r="E131">
        <v>61</v>
      </c>
      <c r="F131">
        <v>0</v>
      </c>
      <c r="G131">
        <v>237</v>
      </c>
      <c r="H131">
        <v>0</v>
      </c>
      <c r="I131">
        <v>0</v>
      </c>
      <c r="J131">
        <v>0</v>
      </c>
      <c r="K131">
        <v>0</v>
      </c>
      <c r="L131">
        <v>0</v>
      </c>
      <c r="M131">
        <v>0</v>
      </c>
      <c r="N131">
        <v>0</v>
      </c>
      <c r="O131">
        <v>0</v>
      </c>
      <c r="P131">
        <v>0</v>
      </c>
      <c r="Q131">
        <v>0</v>
      </c>
      <c r="R131">
        <v>169</v>
      </c>
      <c r="S131">
        <v>0</v>
      </c>
      <c r="T131">
        <v>21257</v>
      </c>
      <c r="U131">
        <v>0</v>
      </c>
      <c r="V131">
        <v>0</v>
      </c>
      <c r="W131">
        <v>0</v>
      </c>
      <c r="Y131">
        <v>3174</v>
      </c>
      <c r="Z131">
        <v>0</v>
      </c>
      <c r="AA131">
        <v>0</v>
      </c>
      <c r="AB131">
        <v>0</v>
      </c>
      <c r="AC131">
        <v>0</v>
      </c>
      <c r="AD131">
        <v>0</v>
      </c>
      <c r="AE131">
        <v>0</v>
      </c>
      <c r="AF131">
        <v>0</v>
      </c>
      <c r="AG131">
        <v>0</v>
      </c>
      <c r="AH131">
        <v>0</v>
      </c>
      <c r="AI131">
        <v>0</v>
      </c>
      <c r="AJ131">
        <v>0</v>
      </c>
      <c r="AK131">
        <v>0</v>
      </c>
      <c r="AM131">
        <v>0</v>
      </c>
      <c r="AN131">
        <v>209</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2366</v>
      </c>
      <c r="BL131">
        <v>0</v>
      </c>
      <c r="BM131">
        <v>0</v>
      </c>
      <c r="BN131">
        <v>75</v>
      </c>
      <c r="BO131">
        <v>0</v>
      </c>
      <c r="BP131">
        <v>0</v>
      </c>
      <c r="BQ131">
        <v>0</v>
      </c>
      <c r="BR131">
        <v>32</v>
      </c>
      <c r="BS131">
        <v>0</v>
      </c>
      <c r="BT131">
        <v>0</v>
      </c>
      <c r="BU131">
        <v>0</v>
      </c>
      <c r="BV131">
        <v>0</v>
      </c>
      <c r="BW131">
        <v>0</v>
      </c>
      <c r="BX131">
        <v>0</v>
      </c>
      <c r="BY131">
        <v>0</v>
      </c>
      <c r="BZ131">
        <v>0</v>
      </c>
      <c r="CA131">
        <v>0</v>
      </c>
      <c r="CB131">
        <v>0</v>
      </c>
      <c r="CD131">
        <v>0</v>
      </c>
    </row>
    <row r="132" spans="1:82" x14ac:dyDescent="0.3">
      <c r="A132">
        <v>532</v>
      </c>
      <c r="B132" t="s">
        <v>887</v>
      </c>
      <c r="D132">
        <v>352050</v>
      </c>
      <c r="E132">
        <v>60248</v>
      </c>
      <c r="F132">
        <v>937633</v>
      </c>
      <c r="G132">
        <v>1928778</v>
      </c>
      <c r="H132">
        <v>1733358</v>
      </c>
      <c r="I132">
        <v>4115995</v>
      </c>
      <c r="J132">
        <v>87981</v>
      </c>
      <c r="K132">
        <v>322463</v>
      </c>
      <c r="L132">
        <v>401995</v>
      </c>
      <c r="M132">
        <v>16521236</v>
      </c>
      <c r="N132">
        <v>557395</v>
      </c>
      <c r="O132">
        <v>5499632</v>
      </c>
      <c r="P132">
        <v>86501</v>
      </c>
      <c r="Q132">
        <v>39306787</v>
      </c>
      <c r="R132">
        <v>1473390</v>
      </c>
      <c r="S132">
        <v>41956</v>
      </c>
      <c r="T132">
        <v>69511502</v>
      </c>
      <c r="U132">
        <v>24241832</v>
      </c>
      <c r="V132">
        <v>22959781</v>
      </c>
      <c r="W132">
        <v>37730100</v>
      </c>
      <c r="Y132">
        <v>14038233</v>
      </c>
      <c r="Z132">
        <v>1759519</v>
      </c>
      <c r="AA132">
        <v>16108398</v>
      </c>
      <c r="AB132">
        <v>6257917</v>
      </c>
      <c r="AC132">
        <v>2429154</v>
      </c>
      <c r="AD132">
        <v>1985592</v>
      </c>
      <c r="AE132">
        <v>2863183</v>
      </c>
      <c r="AF132">
        <v>24060555</v>
      </c>
      <c r="AG132">
        <v>7079852</v>
      </c>
      <c r="AH132">
        <v>811685</v>
      </c>
      <c r="AI132">
        <v>33985204</v>
      </c>
      <c r="AJ132">
        <v>588086</v>
      </c>
      <c r="AK132">
        <v>1112713</v>
      </c>
      <c r="AM132">
        <v>15494593</v>
      </c>
      <c r="AN132">
        <v>615375</v>
      </c>
      <c r="AO132">
        <v>754688</v>
      </c>
      <c r="AP132">
        <v>37303</v>
      </c>
      <c r="AQ132">
        <v>5699029</v>
      </c>
      <c r="AR132">
        <v>7157181</v>
      </c>
      <c r="AS132">
        <v>774275</v>
      </c>
      <c r="AT132">
        <v>3261949</v>
      </c>
      <c r="AU132">
        <v>178903</v>
      </c>
      <c r="AV132">
        <v>13490447</v>
      </c>
      <c r="AW132">
        <v>2155580</v>
      </c>
      <c r="AX132">
        <v>2031654</v>
      </c>
      <c r="AY132">
        <v>22750637</v>
      </c>
      <c r="AZ132">
        <v>973128</v>
      </c>
      <c r="BA132">
        <v>1151509</v>
      </c>
      <c r="BB132">
        <v>30895</v>
      </c>
      <c r="BC132">
        <v>218510</v>
      </c>
      <c r="BD132">
        <v>8920042</v>
      </c>
      <c r="BE132">
        <v>99236</v>
      </c>
      <c r="BF132">
        <v>473708</v>
      </c>
      <c r="BG132">
        <v>228155</v>
      </c>
      <c r="BH132">
        <v>120718</v>
      </c>
      <c r="BI132">
        <v>276139</v>
      </c>
      <c r="BJ132">
        <v>146282</v>
      </c>
      <c r="BK132">
        <v>3775473</v>
      </c>
      <c r="BL132">
        <v>703044</v>
      </c>
      <c r="BM132">
        <v>2284621</v>
      </c>
      <c r="BN132">
        <v>4996703</v>
      </c>
      <c r="BO132">
        <v>1211809</v>
      </c>
      <c r="BP132">
        <v>1914656</v>
      </c>
      <c r="BQ132">
        <v>20743506</v>
      </c>
      <c r="BR132">
        <v>1311243</v>
      </c>
      <c r="BS132">
        <v>13400533</v>
      </c>
      <c r="BT132">
        <v>923867</v>
      </c>
      <c r="BU132">
        <v>5602177</v>
      </c>
      <c r="BV132">
        <v>616769</v>
      </c>
      <c r="BW132">
        <v>2145863</v>
      </c>
      <c r="BX132">
        <v>802239</v>
      </c>
      <c r="BY132">
        <v>66600</v>
      </c>
      <c r="BZ132">
        <v>542395</v>
      </c>
      <c r="CA132">
        <v>131238</v>
      </c>
      <c r="CB132">
        <v>1238092</v>
      </c>
      <c r="CD132">
        <v>66708</v>
      </c>
    </row>
    <row r="133" spans="1:82" x14ac:dyDescent="0.3">
      <c r="A133">
        <v>533</v>
      </c>
      <c r="B133" t="s">
        <v>888</v>
      </c>
      <c r="D133">
        <v>0</v>
      </c>
      <c r="E133">
        <v>0</v>
      </c>
      <c r="F133">
        <v>11690</v>
      </c>
      <c r="G133">
        <v>0</v>
      </c>
      <c r="H133">
        <v>0</v>
      </c>
      <c r="I133">
        <v>0</v>
      </c>
      <c r="J133">
        <v>0</v>
      </c>
      <c r="K133">
        <v>0</v>
      </c>
      <c r="L133">
        <v>0</v>
      </c>
      <c r="M133">
        <v>969522</v>
      </c>
      <c r="N133">
        <v>0</v>
      </c>
      <c r="O133">
        <v>0</v>
      </c>
      <c r="P133">
        <v>0</v>
      </c>
      <c r="Q133">
        <v>254589</v>
      </c>
      <c r="R133">
        <v>0</v>
      </c>
      <c r="S133">
        <v>0</v>
      </c>
      <c r="T133">
        <v>0</v>
      </c>
      <c r="U133">
        <v>7045072</v>
      </c>
      <c r="V133">
        <v>2081889</v>
      </c>
      <c r="W133">
        <v>0</v>
      </c>
      <c r="Y133">
        <v>27373</v>
      </c>
      <c r="Z133">
        <v>0</v>
      </c>
      <c r="AA133">
        <v>67215</v>
      </c>
      <c r="AB133">
        <v>874528</v>
      </c>
      <c r="AC133">
        <v>0</v>
      </c>
      <c r="AD133">
        <v>0</v>
      </c>
      <c r="AE133">
        <v>0</v>
      </c>
      <c r="AF133">
        <v>3028313</v>
      </c>
      <c r="AG133">
        <v>-297590</v>
      </c>
      <c r="AH133">
        <v>0</v>
      </c>
      <c r="AI133">
        <v>674926</v>
      </c>
      <c r="AJ133">
        <v>0</v>
      </c>
      <c r="AK133">
        <v>0</v>
      </c>
      <c r="AM133">
        <v>362147</v>
      </c>
      <c r="AN133">
        <v>0</v>
      </c>
      <c r="AO133">
        <v>0</v>
      </c>
      <c r="AP133">
        <v>0</v>
      </c>
      <c r="AQ133">
        <v>0</v>
      </c>
      <c r="AR133">
        <v>0</v>
      </c>
      <c r="AS133">
        <v>0</v>
      </c>
      <c r="AT133">
        <v>163405</v>
      </c>
      <c r="AU133">
        <v>0</v>
      </c>
      <c r="AV133">
        <v>0</v>
      </c>
      <c r="AW133">
        <v>0</v>
      </c>
      <c r="AX133">
        <v>0</v>
      </c>
      <c r="AY133">
        <v>0</v>
      </c>
      <c r="AZ133">
        <v>0</v>
      </c>
      <c r="BA133">
        <v>0</v>
      </c>
      <c r="BB133">
        <v>0</v>
      </c>
      <c r="BC133">
        <v>0</v>
      </c>
      <c r="BD133">
        <v>0</v>
      </c>
      <c r="BE133">
        <v>0</v>
      </c>
      <c r="BF133">
        <v>0</v>
      </c>
      <c r="BG133">
        <v>80991</v>
      </c>
      <c r="BH133">
        <v>0</v>
      </c>
      <c r="BI133">
        <v>0</v>
      </c>
      <c r="BJ133">
        <v>0</v>
      </c>
      <c r="BK133">
        <v>0</v>
      </c>
      <c r="BL133">
        <v>0</v>
      </c>
      <c r="BM133">
        <v>106000</v>
      </c>
      <c r="BN133">
        <v>287090</v>
      </c>
      <c r="BO133">
        <v>0</v>
      </c>
      <c r="BP133">
        <v>0</v>
      </c>
      <c r="BQ133">
        <v>0</v>
      </c>
      <c r="BR133">
        <v>71000</v>
      </c>
      <c r="BS133">
        <v>0</v>
      </c>
      <c r="BT133">
        <v>75000</v>
      </c>
      <c r="BU133">
        <v>0</v>
      </c>
      <c r="BV133">
        <v>0</v>
      </c>
      <c r="BW133">
        <v>67662</v>
      </c>
      <c r="BX133">
        <v>0</v>
      </c>
      <c r="BY133">
        <v>0</v>
      </c>
      <c r="BZ133">
        <v>794000</v>
      </c>
      <c r="CA133">
        <v>0</v>
      </c>
      <c r="CB133">
        <v>0</v>
      </c>
      <c r="CD133">
        <v>0</v>
      </c>
    </row>
    <row r="134" spans="1:82" x14ac:dyDescent="0.3">
      <c r="A134">
        <v>535</v>
      </c>
      <c r="B134" t="s">
        <v>244</v>
      </c>
      <c r="D134">
        <v>0</v>
      </c>
      <c r="E134">
        <v>0</v>
      </c>
      <c r="F134">
        <v>0</v>
      </c>
      <c r="G134">
        <v>0</v>
      </c>
      <c r="H134">
        <v>0</v>
      </c>
      <c r="I134">
        <v>0</v>
      </c>
      <c r="J134">
        <v>0</v>
      </c>
      <c r="K134">
        <v>0</v>
      </c>
      <c r="L134">
        <v>0</v>
      </c>
      <c r="M134">
        <v>0</v>
      </c>
      <c r="N134">
        <v>0</v>
      </c>
      <c r="O134">
        <v>0</v>
      </c>
      <c r="P134">
        <v>0</v>
      </c>
      <c r="Q134">
        <v>10699142</v>
      </c>
      <c r="R134">
        <v>0</v>
      </c>
      <c r="S134">
        <v>0</v>
      </c>
      <c r="T134">
        <v>11634677</v>
      </c>
      <c r="U134">
        <v>0</v>
      </c>
      <c r="V134">
        <v>0</v>
      </c>
      <c r="W134">
        <v>19658764</v>
      </c>
      <c r="Y134">
        <v>0</v>
      </c>
      <c r="Z134">
        <v>0</v>
      </c>
      <c r="AA134">
        <v>0</v>
      </c>
      <c r="AB134">
        <v>0</v>
      </c>
      <c r="AC134">
        <v>0</v>
      </c>
      <c r="AD134">
        <v>0</v>
      </c>
      <c r="AE134">
        <v>0</v>
      </c>
      <c r="AF134">
        <v>0</v>
      </c>
      <c r="AG134">
        <v>0</v>
      </c>
      <c r="AH134">
        <v>0</v>
      </c>
      <c r="AI134">
        <v>0</v>
      </c>
      <c r="AJ134">
        <v>0</v>
      </c>
      <c r="AK134">
        <v>0</v>
      </c>
      <c r="AM134">
        <v>2745107</v>
      </c>
      <c r="AN134">
        <v>0</v>
      </c>
      <c r="AO134">
        <v>0</v>
      </c>
      <c r="AP134">
        <v>0</v>
      </c>
      <c r="AQ134">
        <v>0</v>
      </c>
      <c r="AR134">
        <v>0</v>
      </c>
      <c r="AS134">
        <v>0</v>
      </c>
      <c r="AT134">
        <v>0</v>
      </c>
      <c r="AU134">
        <v>0</v>
      </c>
      <c r="AV134">
        <v>6345936</v>
      </c>
      <c r="AW134">
        <v>0</v>
      </c>
      <c r="AX134">
        <v>0</v>
      </c>
      <c r="AY134">
        <v>0</v>
      </c>
      <c r="AZ134">
        <v>0</v>
      </c>
      <c r="BA134">
        <v>0</v>
      </c>
      <c r="BB134">
        <v>1</v>
      </c>
      <c r="BC134">
        <v>0</v>
      </c>
      <c r="BD134">
        <v>0</v>
      </c>
      <c r="BE134">
        <v>0</v>
      </c>
      <c r="BF134">
        <v>1</v>
      </c>
      <c r="BG134">
        <v>0</v>
      </c>
      <c r="BH134">
        <v>0</v>
      </c>
      <c r="BI134">
        <v>0</v>
      </c>
      <c r="BJ134">
        <v>0</v>
      </c>
      <c r="BK134">
        <v>1</v>
      </c>
      <c r="BL134">
        <v>0</v>
      </c>
      <c r="BM134">
        <v>0</v>
      </c>
      <c r="BN134">
        <v>0</v>
      </c>
      <c r="BO134">
        <v>0</v>
      </c>
      <c r="BP134">
        <v>0</v>
      </c>
      <c r="BQ134">
        <v>0</v>
      </c>
      <c r="BR134">
        <v>23199</v>
      </c>
      <c r="BS134">
        <v>4023475</v>
      </c>
      <c r="BT134">
        <v>0</v>
      </c>
      <c r="BU134">
        <v>19500</v>
      </c>
      <c r="BV134">
        <v>0</v>
      </c>
      <c r="BW134">
        <v>0</v>
      </c>
      <c r="BX134">
        <v>0</v>
      </c>
      <c r="BY134">
        <v>0</v>
      </c>
      <c r="BZ134">
        <v>0</v>
      </c>
      <c r="CA134">
        <v>0</v>
      </c>
      <c r="CB134">
        <v>0</v>
      </c>
      <c r="CD134">
        <v>0</v>
      </c>
    </row>
    <row r="135" spans="1:82" x14ac:dyDescent="0.3">
      <c r="A135">
        <v>536</v>
      </c>
      <c r="B135" t="s">
        <v>190</v>
      </c>
      <c r="D135">
        <v>72817</v>
      </c>
      <c r="E135">
        <v>62879</v>
      </c>
      <c r="F135">
        <v>179414</v>
      </c>
      <c r="G135">
        <v>456285</v>
      </c>
      <c r="H135">
        <v>0</v>
      </c>
      <c r="I135">
        <v>0</v>
      </c>
      <c r="J135">
        <v>0</v>
      </c>
      <c r="K135">
        <v>0</v>
      </c>
      <c r="L135">
        <v>0</v>
      </c>
      <c r="M135">
        <v>1302136</v>
      </c>
      <c r="N135">
        <v>121365</v>
      </c>
      <c r="O135">
        <v>585007</v>
      </c>
      <c r="P135">
        <v>0</v>
      </c>
      <c r="Q135">
        <v>1965444</v>
      </c>
      <c r="R135">
        <v>47844</v>
      </c>
      <c r="S135">
        <v>0</v>
      </c>
      <c r="T135">
        <v>12673997</v>
      </c>
      <c r="U135">
        <v>143433</v>
      </c>
      <c r="V135">
        <v>2063312</v>
      </c>
      <c r="W135">
        <v>3090998</v>
      </c>
      <c r="Y135">
        <v>1227005</v>
      </c>
      <c r="Z135">
        <v>68731</v>
      </c>
      <c r="AA135">
        <v>2277802</v>
      </c>
      <c r="AB135">
        <v>324159</v>
      </c>
      <c r="AC135">
        <v>85114</v>
      </c>
      <c r="AD135">
        <v>247308</v>
      </c>
      <c r="AE135">
        <v>262406</v>
      </c>
      <c r="AF135">
        <v>5480809</v>
      </c>
      <c r="AG135">
        <v>0</v>
      </c>
      <c r="AH135">
        <v>141653</v>
      </c>
      <c r="AI135">
        <v>929858</v>
      </c>
      <c r="AJ135">
        <v>174660</v>
      </c>
      <c r="AK135">
        <v>28219</v>
      </c>
      <c r="AM135">
        <v>1089520</v>
      </c>
      <c r="AN135">
        <v>102255</v>
      </c>
      <c r="AO135">
        <v>68008</v>
      </c>
      <c r="AP135">
        <v>0</v>
      </c>
      <c r="AQ135">
        <v>34371</v>
      </c>
      <c r="AR135">
        <v>305805</v>
      </c>
      <c r="AS135">
        <v>281935</v>
      </c>
      <c r="AT135">
        <v>805573</v>
      </c>
      <c r="AU135">
        <v>50228</v>
      </c>
      <c r="AV135">
        <v>3876152</v>
      </c>
      <c r="AW135">
        <v>843063</v>
      </c>
      <c r="AX135">
        <v>114159</v>
      </c>
      <c r="AY135">
        <v>221393</v>
      </c>
      <c r="AZ135">
        <v>51368</v>
      </c>
      <c r="BA135">
        <v>531751</v>
      </c>
      <c r="BB135">
        <v>0</v>
      </c>
      <c r="BC135">
        <v>3100</v>
      </c>
      <c r="BD135">
        <v>283324</v>
      </c>
      <c r="BE135">
        <v>64519</v>
      </c>
      <c r="BF135">
        <v>317</v>
      </c>
      <c r="BG135">
        <v>76034</v>
      </c>
      <c r="BH135">
        <v>0</v>
      </c>
      <c r="BI135">
        <v>43462</v>
      </c>
      <c r="BJ135">
        <v>26632</v>
      </c>
      <c r="BK135">
        <v>73203</v>
      </c>
      <c r="BL135">
        <v>186551</v>
      </c>
      <c r="BM135">
        <v>107627</v>
      </c>
      <c r="BN135">
        <v>178244</v>
      </c>
      <c r="BO135">
        <v>201980</v>
      </c>
      <c r="BP135">
        <v>280291</v>
      </c>
      <c r="BQ135">
        <v>0</v>
      </c>
      <c r="BR135">
        <v>309739</v>
      </c>
      <c r="BS135">
        <v>469648</v>
      </c>
      <c r="BT135">
        <v>197493</v>
      </c>
      <c r="BU135">
        <v>556338</v>
      </c>
      <c r="BV135">
        <v>632678</v>
      </c>
      <c r="BW135">
        <v>16255</v>
      </c>
      <c r="BX135">
        <v>203440</v>
      </c>
      <c r="BY135">
        <v>145271</v>
      </c>
      <c r="BZ135">
        <v>36181</v>
      </c>
      <c r="CA135">
        <v>14756</v>
      </c>
      <c r="CB135">
        <v>102413</v>
      </c>
      <c r="CD135">
        <v>18800</v>
      </c>
    </row>
    <row r="136" spans="1:82" x14ac:dyDescent="0.3">
      <c r="A136">
        <v>537</v>
      </c>
      <c r="B136" t="s">
        <v>280</v>
      </c>
      <c r="D136">
        <v>2</v>
      </c>
      <c r="E136">
        <v>2</v>
      </c>
      <c r="F136">
        <v>2</v>
      </c>
      <c r="G136">
        <v>0</v>
      </c>
      <c r="H136">
        <v>2</v>
      </c>
      <c r="I136">
        <v>0</v>
      </c>
      <c r="J136">
        <v>1</v>
      </c>
      <c r="K136">
        <v>0</v>
      </c>
      <c r="L136">
        <v>0</v>
      </c>
      <c r="M136">
        <v>0</v>
      </c>
      <c r="N136">
        <v>0</v>
      </c>
      <c r="O136">
        <v>2</v>
      </c>
      <c r="P136">
        <v>2</v>
      </c>
      <c r="Q136">
        <v>1</v>
      </c>
      <c r="R136">
        <v>2</v>
      </c>
      <c r="S136">
        <v>0</v>
      </c>
      <c r="T136">
        <v>2</v>
      </c>
      <c r="U136">
        <v>2</v>
      </c>
      <c r="V136">
        <v>2</v>
      </c>
      <c r="W136">
        <v>0</v>
      </c>
      <c r="Y136">
        <v>2</v>
      </c>
      <c r="Z136">
        <v>2</v>
      </c>
      <c r="AA136">
        <v>1</v>
      </c>
      <c r="AB136">
        <v>2</v>
      </c>
      <c r="AC136">
        <v>2</v>
      </c>
      <c r="AD136">
        <v>2</v>
      </c>
      <c r="AE136">
        <v>1</v>
      </c>
      <c r="AF136">
        <v>2</v>
      </c>
      <c r="AG136">
        <v>2</v>
      </c>
      <c r="AH136">
        <v>0</v>
      </c>
      <c r="AI136">
        <v>2</v>
      </c>
      <c r="AJ136">
        <v>2</v>
      </c>
      <c r="AK136">
        <v>2</v>
      </c>
      <c r="AM136">
        <v>1</v>
      </c>
      <c r="AN136">
        <v>2</v>
      </c>
      <c r="AO136">
        <v>2</v>
      </c>
      <c r="AP136">
        <v>0</v>
      </c>
      <c r="AQ136">
        <v>2</v>
      </c>
      <c r="AR136">
        <v>2</v>
      </c>
      <c r="AS136">
        <v>0</v>
      </c>
      <c r="AT136">
        <v>1</v>
      </c>
      <c r="AU136">
        <v>0</v>
      </c>
      <c r="AV136">
        <v>2</v>
      </c>
      <c r="AW136">
        <v>2</v>
      </c>
      <c r="AX136">
        <v>2</v>
      </c>
      <c r="AY136">
        <v>2</v>
      </c>
      <c r="AZ136">
        <v>1</v>
      </c>
      <c r="BA136">
        <v>2</v>
      </c>
      <c r="BB136">
        <v>2</v>
      </c>
      <c r="BC136">
        <v>2</v>
      </c>
      <c r="BD136">
        <v>2</v>
      </c>
      <c r="BE136">
        <v>2</v>
      </c>
      <c r="BF136">
        <v>2</v>
      </c>
      <c r="BG136">
        <v>2</v>
      </c>
      <c r="BH136">
        <v>0</v>
      </c>
      <c r="BI136">
        <v>1</v>
      </c>
      <c r="BJ136">
        <v>0</v>
      </c>
      <c r="BK136">
        <v>2</v>
      </c>
      <c r="BL136">
        <v>2</v>
      </c>
      <c r="BM136">
        <v>1</v>
      </c>
      <c r="BN136">
        <v>2</v>
      </c>
      <c r="BO136">
        <v>2</v>
      </c>
      <c r="BP136">
        <v>1</v>
      </c>
      <c r="BQ136">
        <v>2</v>
      </c>
      <c r="BR136">
        <v>2</v>
      </c>
      <c r="BS136">
        <v>2</v>
      </c>
      <c r="BT136">
        <v>2</v>
      </c>
      <c r="BU136">
        <v>2</v>
      </c>
      <c r="BV136">
        <v>0</v>
      </c>
      <c r="BW136">
        <v>2</v>
      </c>
      <c r="BX136">
        <v>1</v>
      </c>
      <c r="BY136">
        <v>2</v>
      </c>
      <c r="BZ136">
        <v>1</v>
      </c>
      <c r="CA136">
        <v>1</v>
      </c>
      <c r="CB136">
        <v>1</v>
      </c>
      <c r="CD136">
        <v>2</v>
      </c>
    </row>
    <row r="137" spans="1:82" x14ac:dyDescent="0.3">
      <c r="A137">
        <v>538</v>
      </c>
      <c r="B137" t="s">
        <v>279</v>
      </c>
      <c r="D137">
        <v>2</v>
      </c>
      <c r="E137">
        <v>2</v>
      </c>
      <c r="F137">
        <v>0</v>
      </c>
      <c r="G137">
        <v>0</v>
      </c>
      <c r="H137">
        <v>2</v>
      </c>
      <c r="I137">
        <v>0</v>
      </c>
      <c r="J137">
        <v>1</v>
      </c>
      <c r="K137">
        <v>0</v>
      </c>
      <c r="L137">
        <v>0</v>
      </c>
      <c r="M137">
        <v>0</v>
      </c>
      <c r="N137">
        <v>0</v>
      </c>
      <c r="O137">
        <v>2</v>
      </c>
      <c r="P137">
        <v>2</v>
      </c>
      <c r="Q137">
        <v>1</v>
      </c>
      <c r="R137">
        <v>1</v>
      </c>
      <c r="S137">
        <v>0</v>
      </c>
      <c r="T137">
        <v>2</v>
      </c>
      <c r="U137">
        <v>2</v>
      </c>
      <c r="V137">
        <v>2</v>
      </c>
      <c r="W137">
        <v>0</v>
      </c>
      <c r="Y137">
        <v>2</v>
      </c>
      <c r="Z137">
        <v>1</v>
      </c>
      <c r="AA137">
        <v>1</v>
      </c>
      <c r="AB137">
        <v>2</v>
      </c>
      <c r="AC137">
        <v>2</v>
      </c>
      <c r="AD137">
        <v>2</v>
      </c>
      <c r="AE137">
        <v>2</v>
      </c>
      <c r="AF137">
        <v>2</v>
      </c>
      <c r="AG137">
        <v>2</v>
      </c>
      <c r="AH137">
        <v>0</v>
      </c>
      <c r="AI137">
        <v>2</v>
      </c>
      <c r="AJ137">
        <v>2</v>
      </c>
      <c r="AK137">
        <v>2</v>
      </c>
      <c r="AM137">
        <v>2</v>
      </c>
      <c r="AN137">
        <v>2</v>
      </c>
      <c r="AO137">
        <v>2</v>
      </c>
      <c r="AP137">
        <v>0</v>
      </c>
      <c r="AQ137">
        <v>2</v>
      </c>
      <c r="AR137">
        <v>2</v>
      </c>
      <c r="AS137">
        <v>0</v>
      </c>
      <c r="AT137">
        <v>2</v>
      </c>
      <c r="AU137">
        <v>0</v>
      </c>
      <c r="AV137">
        <v>2</v>
      </c>
      <c r="AW137">
        <v>2</v>
      </c>
      <c r="AX137">
        <v>2</v>
      </c>
      <c r="AY137">
        <v>2</v>
      </c>
      <c r="AZ137">
        <v>1</v>
      </c>
      <c r="BA137">
        <v>1</v>
      </c>
      <c r="BB137">
        <v>2</v>
      </c>
      <c r="BC137">
        <v>2</v>
      </c>
      <c r="BD137">
        <v>2</v>
      </c>
      <c r="BE137">
        <v>2</v>
      </c>
      <c r="BF137">
        <v>2</v>
      </c>
      <c r="BG137">
        <v>2</v>
      </c>
      <c r="BH137">
        <v>0</v>
      </c>
      <c r="BI137">
        <v>1</v>
      </c>
      <c r="BJ137">
        <v>0</v>
      </c>
      <c r="BK137">
        <v>2</v>
      </c>
      <c r="BL137">
        <v>2</v>
      </c>
      <c r="BM137">
        <v>1</v>
      </c>
      <c r="BN137">
        <v>1</v>
      </c>
      <c r="BO137">
        <v>2</v>
      </c>
      <c r="BP137">
        <v>2</v>
      </c>
      <c r="BQ137">
        <v>2</v>
      </c>
      <c r="BR137">
        <v>2</v>
      </c>
      <c r="BS137">
        <v>2</v>
      </c>
      <c r="BT137">
        <v>2</v>
      </c>
      <c r="BU137">
        <v>2</v>
      </c>
      <c r="BV137">
        <v>0</v>
      </c>
      <c r="BW137">
        <v>2</v>
      </c>
      <c r="BX137">
        <v>1</v>
      </c>
      <c r="BY137">
        <v>2</v>
      </c>
      <c r="BZ137">
        <v>1</v>
      </c>
      <c r="CA137">
        <v>2</v>
      </c>
      <c r="CB137">
        <v>2</v>
      </c>
      <c r="CD137">
        <v>2</v>
      </c>
    </row>
    <row r="138" spans="1:82" x14ac:dyDescent="0.3">
      <c r="A138">
        <v>540</v>
      </c>
      <c r="B138" t="s">
        <v>253</v>
      </c>
      <c r="D138">
        <v>0</v>
      </c>
      <c r="E138">
        <v>0</v>
      </c>
      <c r="F138">
        <v>0</v>
      </c>
      <c r="G138">
        <v>0</v>
      </c>
      <c r="H138">
        <v>2803960</v>
      </c>
      <c r="I138">
        <v>0</v>
      </c>
      <c r="J138">
        <v>0</v>
      </c>
      <c r="K138">
        <v>0</v>
      </c>
      <c r="L138">
        <v>217593</v>
      </c>
      <c r="M138">
        <v>2369788</v>
      </c>
      <c r="N138">
        <v>0</v>
      </c>
      <c r="O138">
        <v>0</v>
      </c>
      <c r="P138">
        <v>0</v>
      </c>
      <c r="Q138">
        <v>3884073</v>
      </c>
      <c r="R138">
        <v>0</v>
      </c>
      <c r="S138">
        <v>0</v>
      </c>
      <c r="T138">
        <v>2315000</v>
      </c>
      <c r="U138">
        <v>1305293</v>
      </c>
      <c r="V138">
        <v>0</v>
      </c>
      <c r="W138">
        <v>1841400</v>
      </c>
      <c r="Y138">
        <v>915000</v>
      </c>
      <c r="Z138">
        <v>381043</v>
      </c>
      <c r="AA138">
        <v>731000</v>
      </c>
      <c r="AB138">
        <v>0</v>
      </c>
      <c r="AC138">
        <v>50215</v>
      </c>
      <c r="AD138">
        <v>0</v>
      </c>
      <c r="AE138">
        <v>237100</v>
      </c>
      <c r="AF138">
        <v>3275000</v>
      </c>
      <c r="AG138">
        <v>0</v>
      </c>
      <c r="AH138">
        <v>0</v>
      </c>
      <c r="AI138">
        <v>0</v>
      </c>
      <c r="AJ138">
        <v>0</v>
      </c>
      <c r="AK138">
        <v>0</v>
      </c>
      <c r="AM138">
        <v>869140</v>
      </c>
      <c r="AN138">
        <v>0</v>
      </c>
      <c r="AO138">
        <v>0</v>
      </c>
      <c r="AP138">
        <v>0</v>
      </c>
      <c r="AQ138">
        <v>0</v>
      </c>
      <c r="AR138">
        <v>0</v>
      </c>
      <c r="AS138">
        <v>0</v>
      </c>
      <c r="AT138">
        <v>301710</v>
      </c>
      <c r="AU138">
        <v>13334</v>
      </c>
      <c r="AV138">
        <v>0</v>
      </c>
      <c r="AW138">
        <v>1473565</v>
      </c>
      <c r="AX138">
        <v>0</v>
      </c>
      <c r="AY138">
        <v>0</v>
      </c>
      <c r="AZ138">
        <v>0</v>
      </c>
      <c r="BA138">
        <v>0</v>
      </c>
      <c r="BB138">
        <v>0</v>
      </c>
      <c r="BC138">
        <v>0</v>
      </c>
      <c r="BD138">
        <v>230955</v>
      </c>
      <c r="BE138">
        <v>0</v>
      </c>
      <c r="BF138">
        <v>0</v>
      </c>
      <c r="BG138">
        <v>0</v>
      </c>
      <c r="BH138">
        <v>0</v>
      </c>
      <c r="BI138">
        <v>110028</v>
      </c>
      <c r="BJ138">
        <v>10789</v>
      </c>
      <c r="BK138">
        <v>210000</v>
      </c>
      <c r="BL138">
        <v>0</v>
      </c>
      <c r="BM138">
        <v>0</v>
      </c>
      <c r="BN138">
        <v>177000</v>
      </c>
      <c r="BO138">
        <v>0</v>
      </c>
      <c r="BP138">
        <v>365314</v>
      </c>
      <c r="BQ138">
        <v>0</v>
      </c>
      <c r="BR138">
        <v>0</v>
      </c>
      <c r="BS138">
        <v>0</v>
      </c>
      <c r="BT138">
        <v>69296</v>
      </c>
      <c r="BU138">
        <v>0</v>
      </c>
      <c r="BV138">
        <v>0</v>
      </c>
      <c r="BW138">
        <v>194177</v>
      </c>
      <c r="BX138">
        <v>0</v>
      </c>
      <c r="BY138">
        <v>0</v>
      </c>
      <c r="BZ138">
        <v>23215</v>
      </c>
      <c r="CA138">
        <v>0</v>
      </c>
      <c r="CB138">
        <v>0</v>
      </c>
      <c r="CD138">
        <v>0</v>
      </c>
    </row>
    <row r="139" spans="1:82" x14ac:dyDescent="0.3">
      <c r="A139">
        <v>541</v>
      </c>
      <c r="B139" t="s">
        <v>308</v>
      </c>
      <c r="D139">
        <v>-89692</v>
      </c>
      <c r="E139">
        <v>0</v>
      </c>
      <c r="F139">
        <v>63421</v>
      </c>
      <c r="G139">
        <v>0</v>
      </c>
      <c r="H139">
        <v>0</v>
      </c>
      <c r="I139">
        <v>0</v>
      </c>
      <c r="J139">
        <v>6281</v>
      </c>
      <c r="K139">
        <v>0</v>
      </c>
      <c r="L139">
        <v>0</v>
      </c>
      <c r="M139">
        <v>0</v>
      </c>
      <c r="N139">
        <v>0</v>
      </c>
      <c r="O139">
        <v>1178782</v>
      </c>
      <c r="P139">
        <v>0</v>
      </c>
      <c r="Q139">
        <v>9714167</v>
      </c>
      <c r="R139">
        <v>16733</v>
      </c>
      <c r="S139">
        <v>0</v>
      </c>
      <c r="T139">
        <v>7189182</v>
      </c>
      <c r="U139">
        <v>906025</v>
      </c>
      <c r="V139">
        <v>1460221</v>
      </c>
      <c r="W139">
        <v>0</v>
      </c>
      <c r="Y139">
        <v>1197607</v>
      </c>
      <c r="Z139">
        <v>130567</v>
      </c>
      <c r="AA139">
        <v>989627</v>
      </c>
      <c r="AB139">
        <v>709758</v>
      </c>
      <c r="AC139">
        <v>544831</v>
      </c>
      <c r="AD139">
        <v>14132</v>
      </c>
      <c r="AE139">
        <v>0</v>
      </c>
      <c r="AF139">
        <v>-556815</v>
      </c>
      <c r="AG139">
        <v>1841802</v>
      </c>
      <c r="AH139">
        <v>0</v>
      </c>
      <c r="AI139">
        <v>4266887</v>
      </c>
      <c r="AJ139">
        <v>2383</v>
      </c>
      <c r="AK139">
        <v>170940</v>
      </c>
      <c r="AM139">
        <v>1303223</v>
      </c>
      <c r="AN139">
        <v>-61743</v>
      </c>
      <c r="AO139">
        <v>37368</v>
      </c>
      <c r="AP139">
        <v>0</v>
      </c>
      <c r="AQ139">
        <v>0</v>
      </c>
      <c r="AR139">
        <v>596778</v>
      </c>
      <c r="AS139">
        <v>0</v>
      </c>
      <c r="AT139">
        <v>565360</v>
      </c>
      <c r="AU139">
        <v>0</v>
      </c>
      <c r="AV139">
        <v>1746247</v>
      </c>
      <c r="AW139">
        <v>0</v>
      </c>
      <c r="AX139">
        <v>688900</v>
      </c>
      <c r="AY139">
        <v>540171</v>
      </c>
      <c r="AZ139">
        <v>37871</v>
      </c>
      <c r="BA139">
        <v>36242</v>
      </c>
      <c r="BB139">
        <v>0</v>
      </c>
      <c r="BC139">
        <v>12450</v>
      </c>
      <c r="BD139">
        <v>2375503</v>
      </c>
      <c r="BE139">
        <v>0</v>
      </c>
      <c r="BF139">
        <v>-33438</v>
      </c>
      <c r="BG139">
        <v>54361</v>
      </c>
      <c r="BH139">
        <v>0</v>
      </c>
      <c r="BI139">
        <v>43555</v>
      </c>
      <c r="BJ139">
        <v>0</v>
      </c>
      <c r="BK139">
        <v>-74770</v>
      </c>
      <c r="BL139">
        <v>123664</v>
      </c>
      <c r="BM139">
        <v>-132484</v>
      </c>
      <c r="BN139">
        <v>122465</v>
      </c>
      <c r="BO139">
        <v>167013</v>
      </c>
      <c r="BP139">
        <v>140303</v>
      </c>
      <c r="BQ139">
        <v>0</v>
      </c>
      <c r="BR139">
        <v>245684</v>
      </c>
      <c r="BS139">
        <v>0</v>
      </c>
      <c r="BT139">
        <v>-11239</v>
      </c>
      <c r="BU139">
        <v>2382637</v>
      </c>
      <c r="BV139">
        <v>0</v>
      </c>
      <c r="BW139">
        <v>15484</v>
      </c>
      <c r="BX139">
        <v>135845</v>
      </c>
      <c r="BY139">
        <v>107</v>
      </c>
      <c r="BZ139">
        <v>-26990</v>
      </c>
      <c r="CA139">
        <v>16369</v>
      </c>
      <c r="CB139">
        <v>182784</v>
      </c>
      <c r="CD139">
        <v>0</v>
      </c>
    </row>
    <row r="140" spans="1:82" x14ac:dyDescent="0.3">
      <c r="A140">
        <v>542</v>
      </c>
      <c r="B140" t="s">
        <v>889</v>
      </c>
      <c r="D140">
        <v>0</v>
      </c>
      <c r="E140">
        <v>0</v>
      </c>
      <c r="F140">
        <v>0</v>
      </c>
      <c r="G140">
        <v>0</v>
      </c>
      <c r="H140">
        <v>0</v>
      </c>
      <c r="I140">
        <v>0</v>
      </c>
      <c r="J140">
        <v>0</v>
      </c>
      <c r="K140">
        <v>0</v>
      </c>
      <c r="L140">
        <v>0</v>
      </c>
      <c r="M140">
        <v>0</v>
      </c>
      <c r="N140">
        <v>0</v>
      </c>
      <c r="O140">
        <v>0</v>
      </c>
      <c r="P140">
        <v>0</v>
      </c>
      <c r="Q140">
        <v>2495000</v>
      </c>
      <c r="R140">
        <v>0</v>
      </c>
      <c r="S140">
        <v>0</v>
      </c>
      <c r="T140">
        <v>4340984</v>
      </c>
      <c r="U140">
        <v>0</v>
      </c>
      <c r="V140">
        <v>0</v>
      </c>
      <c r="W140">
        <v>0</v>
      </c>
      <c r="Y140">
        <v>1075750</v>
      </c>
      <c r="Z140">
        <v>270654</v>
      </c>
      <c r="AA140">
        <v>3295179</v>
      </c>
      <c r="AB140">
        <v>0</v>
      </c>
      <c r="AC140">
        <v>0</v>
      </c>
      <c r="AD140">
        <v>0</v>
      </c>
      <c r="AE140">
        <v>447900</v>
      </c>
      <c r="AF140">
        <v>312206</v>
      </c>
      <c r="AG140">
        <v>0</v>
      </c>
      <c r="AH140">
        <v>0</v>
      </c>
      <c r="AI140">
        <v>0</v>
      </c>
      <c r="AJ140">
        <v>0</v>
      </c>
      <c r="AK140">
        <v>0</v>
      </c>
      <c r="AM140">
        <v>54300</v>
      </c>
      <c r="AN140">
        <v>0</v>
      </c>
      <c r="AO140">
        <v>0</v>
      </c>
      <c r="AP140">
        <v>0</v>
      </c>
      <c r="AQ140">
        <v>0</v>
      </c>
      <c r="AR140">
        <v>0</v>
      </c>
      <c r="AS140">
        <v>0</v>
      </c>
      <c r="AT140">
        <v>0</v>
      </c>
      <c r="AU140">
        <v>0</v>
      </c>
      <c r="AV140">
        <v>2213895</v>
      </c>
      <c r="AW140">
        <v>0</v>
      </c>
      <c r="AX140">
        <v>0</v>
      </c>
      <c r="AY140">
        <v>0</v>
      </c>
      <c r="AZ140">
        <v>0</v>
      </c>
      <c r="BA140">
        <v>0</v>
      </c>
      <c r="BB140">
        <v>0</v>
      </c>
      <c r="BC140">
        <v>0</v>
      </c>
      <c r="BD140">
        <v>0</v>
      </c>
      <c r="BE140">
        <v>0</v>
      </c>
      <c r="BF140">
        <v>0</v>
      </c>
      <c r="BG140">
        <v>0</v>
      </c>
      <c r="BH140">
        <v>0</v>
      </c>
      <c r="BI140">
        <v>9445</v>
      </c>
      <c r="BJ140">
        <v>0</v>
      </c>
      <c r="BK140">
        <v>100000</v>
      </c>
      <c r="BL140">
        <v>0</v>
      </c>
      <c r="BM140">
        <v>0</v>
      </c>
      <c r="BN140">
        <v>175000</v>
      </c>
      <c r="BO140">
        <v>0</v>
      </c>
      <c r="BP140">
        <v>169378</v>
      </c>
      <c r="BQ140">
        <v>0</v>
      </c>
      <c r="BR140">
        <v>0</v>
      </c>
      <c r="BS140">
        <v>0</v>
      </c>
      <c r="BT140">
        <v>0</v>
      </c>
      <c r="BU140">
        <v>0</v>
      </c>
      <c r="BV140">
        <v>0</v>
      </c>
      <c r="BW140">
        <v>137254</v>
      </c>
      <c r="BX140">
        <v>0</v>
      </c>
      <c r="BY140">
        <v>0</v>
      </c>
      <c r="BZ140">
        <v>0</v>
      </c>
      <c r="CA140">
        <v>0</v>
      </c>
      <c r="CB140">
        <v>0</v>
      </c>
      <c r="CD140">
        <v>0</v>
      </c>
    </row>
    <row r="141" spans="1:82" x14ac:dyDescent="0.3">
      <c r="A141">
        <v>544</v>
      </c>
      <c r="B141" t="s">
        <v>52</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Y141">
        <v>0</v>
      </c>
      <c r="Z141">
        <v>0</v>
      </c>
      <c r="AA141">
        <v>0</v>
      </c>
      <c r="AB141">
        <v>0</v>
      </c>
      <c r="AC141">
        <v>0</v>
      </c>
      <c r="AD141">
        <v>0</v>
      </c>
      <c r="AE141">
        <v>0</v>
      </c>
      <c r="AF141">
        <v>2.2499999999999999E-2</v>
      </c>
      <c r="AG141">
        <v>0</v>
      </c>
      <c r="AH141">
        <v>0</v>
      </c>
      <c r="AI141">
        <v>0</v>
      </c>
      <c r="AJ141">
        <v>0</v>
      </c>
      <c r="AK141">
        <v>0</v>
      </c>
      <c r="AM141">
        <v>0</v>
      </c>
      <c r="AN141">
        <v>0</v>
      </c>
      <c r="AO141">
        <v>0.02</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0.02</v>
      </c>
      <c r="BP141">
        <v>0</v>
      </c>
      <c r="BQ141">
        <v>0</v>
      </c>
      <c r="BR141">
        <v>0</v>
      </c>
      <c r="BS141">
        <v>0</v>
      </c>
      <c r="BT141">
        <v>0</v>
      </c>
      <c r="BU141">
        <v>0</v>
      </c>
      <c r="BV141">
        <v>0</v>
      </c>
      <c r="BW141">
        <v>0</v>
      </c>
      <c r="BX141">
        <v>0</v>
      </c>
      <c r="BY141">
        <v>0</v>
      </c>
      <c r="BZ141">
        <v>0</v>
      </c>
      <c r="CA141">
        <v>0</v>
      </c>
      <c r="CB141">
        <v>0</v>
      </c>
      <c r="CD141">
        <v>0</v>
      </c>
    </row>
    <row r="142" spans="1:82" x14ac:dyDescent="0.3">
      <c r="A142">
        <v>545</v>
      </c>
      <c r="B142" t="s">
        <v>53</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Y142">
        <v>0</v>
      </c>
      <c r="Z142">
        <v>0</v>
      </c>
      <c r="AA142">
        <v>0</v>
      </c>
      <c r="AB142">
        <v>0</v>
      </c>
      <c r="AC142">
        <v>0</v>
      </c>
      <c r="AD142">
        <v>0</v>
      </c>
      <c r="AE142">
        <v>0.04</v>
      </c>
      <c r="AF142">
        <v>0</v>
      </c>
      <c r="AG142">
        <v>0</v>
      </c>
      <c r="AH142">
        <v>0</v>
      </c>
      <c r="AI142">
        <v>0</v>
      </c>
      <c r="AJ142">
        <v>0</v>
      </c>
      <c r="AK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3.3</v>
      </c>
      <c r="BO142">
        <v>0</v>
      </c>
      <c r="BP142">
        <v>0</v>
      </c>
      <c r="BQ142">
        <v>1.4999999999999999E-2</v>
      </c>
      <c r="BR142">
        <v>0</v>
      </c>
      <c r="BS142">
        <v>0</v>
      </c>
      <c r="BT142">
        <v>0</v>
      </c>
      <c r="BU142">
        <v>0</v>
      </c>
      <c r="BV142">
        <v>0</v>
      </c>
      <c r="BW142">
        <v>0</v>
      </c>
      <c r="BX142">
        <v>0</v>
      </c>
      <c r="BY142">
        <v>0</v>
      </c>
      <c r="BZ142">
        <v>0</v>
      </c>
      <c r="CA142">
        <v>0</v>
      </c>
      <c r="CB142">
        <v>0</v>
      </c>
      <c r="CD142">
        <v>0</v>
      </c>
    </row>
    <row r="143" spans="1:82" x14ac:dyDescent="0.3">
      <c r="A143">
        <v>547</v>
      </c>
      <c r="B143" t="s">
        <v>890</v>
      </c>
      <c r="D143">
        <v>2</v>
      </c>
      <c r="E143">
        <v>2</v>
      </c>
      <c r="F143">
        <v>2</v>
      </c>
      <c r="G143">
        <v>2</v>
      </c>
      <c r="H143">
        <v>2</v>
      </c>
      <c r="I143">
        <v>2</v>
      </c>
      <c r="J143">
        <v>2</v>
      </c>
      <c r="K143">
        <v>2</v>
      </c>
      <c r="L143">
        <v>2</v>
      </c>
      <c r="M143">
        <v>3</v>
      </c>
      <c r="N143">
        <v>2</v>
      </c>
      <c r="O143">
        <v>3</v>
      </c>
      <c r="P143">
        <v>2</v>
      </c>
      <c r="Q143">
        <v>3</v>
      </c>
      <c r="R143">
        <v>2</v>
      </c>
      <c r="S143">
        <v>2</v>
      </c>
      <c r="T143">
        <v>3</v>
      </c>
      <c r="U143">
        <v>3</v>
      </c>
      <c r="V143">
        <v>3</v>
      </c>
      <c r="W143">
        <v>3</v>
      </c>
      <c r="Y143">
        <v>0</v>
      </c>
      <c r="Z143">
        <v>2</v>
      </c>
      <c r="AA143">
        <v>3</v>
      </c>
      <c r="AB143">
        <v>2</v>
      </c>
      <c r="AC143">
        <v>3</v>
      </c>
      <c r="AD143">
        <v>2</v>
      </c>
      <c r="AE143">
        <v>2</v>
      </c>
      <c r="AF143">
        <v>3</v>
      </c>
      <c r="AG143">
        <v>3</v>
      </c>
      <c r="AH143">
        <v>2</v>
      </c>
      <c r="AI143">
        <v>1</v>
      </c>
      <c r="AJ143">
        <v>2</v>
      </c>
      <c r="AK143">
        <v>2</v>
      </c>
      <c r="AM143">
        <v>3</v>
      </c>
      <c r="AN143">
        <v>2</v>
      </c>
      <c r="AO143">
        <v>2</v>
      </c>
      <c r="AP143">
        <v>2</v>
      </c>
      <c r="AQ143">
        <v>2</v>
      </c>
      <c r="AR143">
        <v>3</v>
      </c>
      <c r="AS143">
        <v>2</v>
      </c>
      <c r="AT143">
        <v>3</v>
      </c>
      <c r="AU143">
        <v>2</v>
      </c>
      <c r="AV143">
        <v>3</v>
      </c>
      <c r="AW143">
        <v>2</v>
      </c>
      <c r="AX143">
        <v>2</v>
      </c>
      <c r="AY143">
        <v>2</v>
      </c>
      <c r="AZ143">
        <v>2</v>
      </c>
      <c r="BA143">
        <v>2</v>
      </c>
      <c r="BB143">
        <v>2</v>
      </c>
      <c r="BC143">
        <v>2</v>
      </c>
      <c r="BD143">
        <v>3</v>
      </c>
      <c r="BE143">
        <v>2</v>
      </c>
      <c r="BF143">
        <v>2</v>
      </c>
      <c r="BG143">
        <v>0</v>
      </c>
      <c r="BH143">
        <v>2</v>
      </c>
      <c r="BI143">
        <v>2</v>
      </c>
      <c r="BJ143">
        <v>2</v>
      </c>
      <c r="BK143">
        <v>3</v>
      </c>
      <c r="BL143">
        <v>2</v>
      </c>
      <c r="BM143">
        <v>2</v>
      </c>
      <c r="BN143">
        <v>2</v>
      </c>
      <c r="BO143">
        <v>2</v>
      </c>
      <c r="BP143">
        <v>2</v>
      </c>
      <c r="BQ143">
        <v>2</v>
      </c>
      <c r="BR143">
        <v>3</v>
      </c>
      <c r="BS143">
        <v>3</v>
      </c>
      <c r="BT143">
        <v>3</v>
      </c>
      <c r="BU143">
        <v>3</v>
      </c>
      <c r="BV143">
        <v>0</v>
      </c>
      <c r="BW143">
        <v>0</v>
      </c>
      <c r="BX143">
        <v>3</v>
      </c>
      <c r="BY143">
        <v>2</v>
      </c>
      <c r="BZ143">
        <v>2</v>
      </c>
      <c r="CA143">
        <v>2</v>
      </c>
      <c r="CB143">
        <v>2</v>
      </c>
      <c r="CD143">
        <v>2</v>
      </c>
    </row>
    <row r="144" spans="1:82" x14ac:dyDescent="0.3">
      <c r="A144">
        <v>554</v>
      </c>
      <c r="B144" t="s">
        <v>318</v>
      </c>
      <c r="M144">
        <v>351245</v>
      </c>
      <c r="O144">
        <v>736868</v>
      </c>
      <c r="Q144">
        <v>6754071</v>
      </c>
      <c r="T144">
        <v>4716396</v>
      </c>
      <c r="U144">
        <v>966878</v>
      </c>
      <c r="V144">
        <v>1683055</v>
      </c>
      <c r="W144">
        <v>4210429</v>
      </c>
      <c r="Y144">
        <v>39787</v>
      </c>
      <c r="AA144">
        <v>2773385</v>
      </c>
      <c r="AB144">
        <v>2227774</v>
      </c>
      <c r="AF144">
        <v>935385</v>
      </c>
      <c r="AI144">
        <v>2789671</v>
      </c>
      <c r="AM144">
        <v>1295264</v>
      </c>
      <c r="AQ144">
        <v>3707522</v>
      </c>
      <c r="AR144">
        <v>2682654</v>
      </c>
      <c r="AT144">
        <v>1309050</v>
      </c>
      <c r="AV144">
        <v>7622749</v>
      </c>
      <c r="AY144">
        <v>420150</v>
      </c>
      <c r="BD144">
        <v>852311</v>
      </c>
      <c r="BG144">
        <v>1286818</v>
      </c>
      <c r="BK144">
        <v>671740</v>
      </c>
      <c r="BM144">
        <v>224342</v>
      </c>
      <c r="BQ144">
        <v>19132</v>
      </c>
      <c r="BR144">
        <v>11000</v>
      </c>
      <c r="BZ144">
        <v>346112</v>
      </c>
      <c r="CB144">
        <v>1779</v>
      </c>
    </row>
    <row r="145" spans="1:82" x14ac:dyDescent="0.3">
      <c r="A145">
        <v>555</v>
      </c>
      <c r="B145" t="s">
        <v>319</v>
      </c>
      <c r="M145">
        <v>0</v>
      </c>
      <c r="O145">
        <v>484397</v>
      </c>
      <c r="Q145">
        <v>5663254</v>
      </c>
      <c r="T145">
        <v>3980749</v>
      </c>
      <c r="U145">
        <v>449523</v>
      </c>
      <c r="V145">
        <v>1003654</v>
      </c>
      <c r="W145">
        <v>4210429</v>
      </c>
      <c r="Y145">
        <v>0</v>
      </c>
      <c r="AA145">
        <v>2768953</v>
      </c>
      <c r="AB145">
        <v>1929998</v>
      </c>
      <c r="AF145">
        <v>474062</v>
      </c>
      <c r="AI145">
        <v>2048150</v>
      </c>
      <c r="AM145">
        <v>776101</v>
      </c>
      <c r="AQ145">
        <v>3656713</v>
      </c>
      <c r="AR145">
        <v>2102654</v>
      </c>
      <c r="AT145">
        <v>1309050</v>
      </c>
      <c r="AV145">
        <v>7545971</v>
      </c>
      <c r="AY145">
        <v>0</v>
      </c>
      <c r="BD145">
        <v>462040</v>
      </c>
      <c r="BG145">
        <v>955637</v>
      </c>
      <c r="BK145">
        <v>0</v>
      </c>
      <c r="BM145">
        <v>0</v>
      </c>
      <c r="BQ145">
        <v>0</v>
      </c>
      <c r="BR145">
        <v>0</v>
      </c>
      <c r="BZ145">
        <v>0</v>
      </c>
      <c r="CB145">
        <v>0</v>
      </c>
    </row>
    <row r="146" spans="1:82" x14ac:dyDescent="0.3">
      <c r="A146">
        <v>556</v>
      </c>
      <c r="B146" t="s">
        <v>320</v>
      </c>
      <c r="M146">
        <v>602216</v>
      </c>
      <c r="O146">
        <v>170308</v>
      </c>
      <c r="Q146">
        <v>879861</v>
      </c>
      <c r="T146">
        <v>1130644</v>
      </c>
      <c r="U146">
        <v>38652</v>
      </c>
      <c r="V146">
        <v>410828</v>
      </c>
      <c r="W146">
        <v>1369163</v>
      </c>
      <c r="Y146">
        <v>1219897</v>
      </c>
      <c r="AA146">
        <v>1230118</v>
      </c>
      <c r="AB146">
        <v>3031163</v>
      </c>
      <c r="AF146">
        <v>144434</v>
      </c>
      <c r="AI146">
        <v>2385250</v>
      </c>
      <c r="AM146">
        <v>1378796</v>
      </c>
      <c r="AQ146">
        <v>1745271</v>
      </c>
      <c r="AR146">
        <v>172195</v>
      </c>
      <c r="AT146">
        <v>3040764</v>
      </c>
      <c r="AV146">
        <v>3552689</v>
      </c>
      <c r="AY146">
        <v>15114858</v>
      </c>
      <c r="BD146">
        <v>8012271</v>
      </c>
      <c r="BG146">
        <v>330881</v>
      </c>
      <c r="BK146">
        <v>1073084</v>
      </c>
      <c r="BM146">
        <v>4160641</v>
      </c>
      <c r="BQ146">
        <v>570182</v>
      </c>
      <c r="BR146">
        <v>624329</v>
      </c>
      <c r="BZ146">
        <v>1084246</v>
      </c>
      <c r="CB146">
        <v>1333149</v>
      </c>
    </row>
    <row r="147" spans="1:82" x14ac:dyDescent="0.3">
      <c r="A147">
        <v>557</v>
      </c>
      <c r="B147" t="s">
        <v>321</v>
      </c>
      <c r="M147">
        <v>602216</v>
      </c>
      <c r="O147">
        <v>0</v>
      </c>
      <c r="Q147">
        <v>410063</v>
      </c>
      <c r="T147">
        <v>635389</v>
      </c>
      <c r="U147">
        <v>0</v>
      </c>
      <c r="V147">
        <v>0</v>
      </c>
      <c r="W147">
        <v>1360403</v>
      </c>
      <c r="Y147">
        <v>545000</v>
      </c>
      <c r="AA147">
        <v>800000</v>
      </c>
      <c r="AB147">
        <v>2934617</v>
      </c>
      <c r="AF147">
        <v>0</v>
      </c>
      <c r="AI147">
        <v>1791141</v>
      </c>
      <c r="AM147">
        <v>1100208</v>
      </c>
      <c r="AQ147">
        <v>1218904</v>
      </c>
      <c r="AR147">
        <v>0</v>
      </c>
      <c r="AT147">
        <v>2924984</v>
      </c>
      <c r="AV147">
        <v>2515324</v>
      </c>
      <c r="AY147">
        <v>14919687</v>
      </c>
      <c r="BD147">
        <v>7814842</v>
      </c>
      <c r="BG147">
        <v>0</v>
      </c>
      <c r="BK147">
        <v>600000</v>
      </c>
      <c r="BM147">
        <v>3816683</v>
      </c>
      <c r="BQ147">
        <v>568939</v>
      </c>
      <c r="BR147">
        <v>519373</v>
      </c>
      <c r="BZ147">
        <v>964537</v>
      </c>
      <c r="CB147">
        <v>1239951</v>
      </c>
    </row>
    <row r="148" spans="1:82" x14ac:dyDescent="0.3">
      <c r="A148">
        <v>575</v>
      </c>
      <c r="B148" t="s">
        <v>300</v>
      </c>
      <c r="D148">
        <v>0</v>
      </c>
      <c r="E148">
        <v>0</v>
      </c>
      <c r="F148">
        <v>0</v>
      </c>
      <c r="G148">
        <v>0</v>
      </c>
      <c r="H148">
        <v>0</v>
      </c>
      <c r="I148">
        <v>0</v>
      </c>
      <c r="J148">
        <v>0</v>
      </c>
      <c r="K148">
        <v>0</v>
      </c>
      <c r="L148">
        <v>0</v>
      </c>
      <c r="M148">
        <v>0</v>
      </c>
      <c r="N148">
        <v>0</v>
      </c>
      <c r="O148">
        <v>50000</v>
      </c>
      <c r="P148">
        <v>0</v>
      </c>
      <c r="Q148">
        <v>0</v>
      </c>
      <c r="R148">
        <v>0</v>
      </c>
      <c r="S148">
        <v>0</v>
      </c>
      <c r="T148">
        <v>0</v>
      </c>
      <c r="U148">
        <v>0</v>
      </c>
      <c r="V148">
        <v>0</v>
      </c>
      <c r="W148">
        <v>0</v>
      </c>
      <c r="Y148">
        <v>0</v>
      </c>
      <c r="Z148">
        <v>0</v>
      </c>
      <c r="AA148">
        <v>0</v>
      </c>
      <c r="AB148">
        <v>281887</v>
      </c>
      <c r="AC148">
        <v>177722</v>
      </c>
      <c r="AD148">
        <v>0</v>
      </c>
      <c r="AE148">
        <v>0</v>
      </c>
      <c r="AF148">
        <v>0</v>
      </c>
      <c r="AG148">
        <v>263560</v>
      </c>
      <c r="AH148">
        <v>0</v>
      </c>
      <c r="AI148">
        <v>0</v>
      </c>
      <c r="AJ148">
        <v>29371</v>
      </c>
      <c r="AK148">
        <v>0</v>
      </c>
      <c r="AM148">
        <v>0</v>
      </c>
      <c r="AN148">
        <v>0</v>
      </c>
      <c r="AO148">
        <v>4195</v>
      </c>
      <c r="AP148">
        <v>0</v>
      </c>
      <c r="AQ148">
        <v>0</v>
      </c>
      <c r="AR148">
        <v>0</v>
      </c>
      <c r="AS148">
        <v>0</v>
      </c>
      <c r="AT148">
        <v>0</v>
      </c>
      <c r="AU148">
        <v>0</v>
      </c>
      <c r="AV148">
        <v>0</v>
      </c>
      <c r="AW148">
        <v>0</v>
      </c>
      <c r="AX148">
        <v>0</v>
      </c>
      <c r="AY148">
        <v>67034</v>
      </c>
      <c r="AZ148">
        <v>0</v>
      </c>
      <c r="BA148">
        <v>25950</v>
      </c>
      <c r="BB148">
        <v>0</v>
      </c>
      <c r="BC148">
        <v>4217</v>
      </c>
      <c r="BD148">
        <v>0</v>
      </c>
      <c r="BE148">
        <v>0</v>
      </c>
      <c r="BF148">
        <v>72744</v>
      </c>
      <c r="BG148">
        <v>0</v>
      </c>
      <c r="BH148">
        <v>0</v>
      </c>
      <c r="BI148">
        <v>0</v>
      </c>
      <c r="BJ148">
        <v>0</v>
      </c>
      <c r="BK148">
        <v>0</v>
      </c>
      <c r="BL148">
        <v>0</v>
      </c>
      <c r="BM148">
        <v>58804</v>
      </c>
      <c r="BN148">
        <v>0</v>
      </c>
      <c r="BO148">
        <v>0</v>
      </c>
      <c r="BP148">
        <v>0</v>
      </c>
      <c r="BQ148">
        <v>0</v>
      </c>
      <c r="BR148">
        <v>0</v>
      </c>
      <c r="BS148">
        <v>0</v>
      </c>
      <c r="BT148">
        <v>3759</v>
      </c>
      <c r="BU148">
        <v>0</v>
      </c>
      <c r="BV148">
        <v>0</v>
      </c>
      <c r="BW148">
        <v>45437</v>
      </c>
      <c r="BX148">
        <v>0</v>
      </c>
      <c r="BY148">
        <v>17470</v>
      </c>
      <c r="BZ148">
        <v>586520</v>
      </c>
      <c r="CA148">
        <v>0</v>
      </c>
      <c r="CB148">
        <v>0</v>
      </c>
      <c r="CD148">
        <v>0</v>
      </c>
    </row>
    <row r="149" spans="1:82" x14ac:dyDescent="0.3">
      <c r="A149">
        <v>576</v>
      </c>
      <c r="B149" t="s">
        <v>301</v>
      </c>
      <c r="D149">
        <v>0</v>
      </c>
      <c r="E149">
        <v>0</v>
      </c>
      <c r="F149">
        <v>0</v>
      </c>
      <c r="G149">
        <v>0</v>
      </c>
      <c r="H149">
        <v>0</v>
      </c>
      <c r="I149">
        <v>0</v>
      </c>
      <c r="J149">
        <v>0</v>
      </c>
      <c r="K149">
        <v>0</v>
      </c>
      <c r="L149">
        <v>0</v>
      </c>
      <c r="M149">
        <v>0</v>
      </c>
      <c r="N149">
        <v>0</v>
      </c>
      <c r="O149">
        <v>0</v>
      </c>
      <c r="P149">
        <v>0</v>
      </c>
      <c r="Q149">
        <v>796323</v>
      </c>
      <c r="R149">
        <v>0</v>
      </c>
      <c r="S149">
        <v>0</v>
      </c>
      <c r="T149">
        <v>0</v>
      </c>
      <c r="U149">
        <v>0</v>
      </c>
      <c r="V149">
        <v>0</v>
      </c>
      <c r="W149">
        <v>0</v>
      </c>
      <c r="Y149">
        <v>113952</v>
      </c>
      <c r="Z149">
        <v>0</v>
      </c>
      <c r="AA149">
        <v>0</v>
      </c>
      <c r="AB149">
        <v>0</v>
      </c>
      <c r="AC149">
        <v>0</v>
      </c>
      <c r="AD149">
        <v>0</v>
      </c>
      <c r="AE149">
        <v>0</v>
      </c>
      <c r="AF149">
        <v>0</v>
      </c>
      <c r="AG149">
        <v>0</v>
      </c>
      <c r="AH149">
        <v>0</v>
      </c>
      <c r="AI149">
        <v>1258523</v>
      </c>
      <c r="AJ149">
        <v>0</v>
      </c>
      <c r="AK149">
        <v>0</v>
      </c>
      <c r="AM149">
        <v>25271</v>
      </c>
      <c r="AN149">
        <v>15695</v>
      </c>
      <c r="AO149">
        <v>0</v>
      </c>
      <c r="AP149">
        <v>0</v>
      </c>
      <c r="AQ149">
        <v>0</v>
      </c>
      <c r="AR149">
        <v>0</v>
      </c>
      <c r="AS149">
        <v>0</v>
      </c>
      <c r="AT149">
        <v>0</v>
      </c>
      <c r="AU149">
        <v>4046</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24089</v>
      </c>
      <c r="BP149">
        <v>0</v>
      </c>
      <c r="BQ149">
        <v>0</v>
      </c>
      <c r="BR149">
        <v>32063</v>
      </c>
      <c r="BS149">
        <v>0</v>
      </c>
      <c r="BT149">
        <v>0</v>
      </c>
      <c r="BU149">
        <v>0</v>
      </c>
      <c r="BV149">
        <v>0</v>
      </c>
      <c r="BW149">
        <v>0</v>
      </c>
      <c r="BX149">
        <v>0</v>
      </c>
      <c r="BY149">
        <v>0</v>
      </c>
      <c r="BZ149">
        <v>0</v>
      </c>
      <c r="CA149">
        <v>3988</v>
      </c>
      <c r="CB149">
        <v>0</v>
      </c>
      <c r="CD149">
        <v>23558</v>
      </c>
    </row>
    <row r="150" spans="1:82" x14ac:dyDescent="0.3">
      <c r="A150">
        <v>577</v>
      </c>
      <c r="B150" t="s">
        <v>891</v>
      </c>
      <c r="D150">
        <v>2</v>
      </c>
      <c r="E150">
        <v>2</v>
      </c>
      <c r="F150">
        <v>0</v>
      </c>
      <c r="G150">
        <v>2</v>
      </c>
      <c r="H150">
        <v>0</v>
      </c>
      <c r="I150">
        <v>2</v>
      </c>
      <c r="J150">
        <v>2</v>
      </c>
      <c r="K150">
        <v>0</v>
      </c>
      <c r="L150">
        <v>2</v>
      </c>
      <c r="M150">
        <v>2</v>
      </c>
      <c r="N150">
        <v>2</v>
      </c>
      <c r="O150">
        <v>2</v>
      </c>
      <c r="P150">
        <v>2</v>
      </c>
      <c r="Q150">
        <v>2</v>
      </c>
      <c r="R150">
        <v>2</v>
      </c>
      <c r="S150">
        <v>0</v>
      </c>
      <c r="T150">
        <v>2</v>
      </c>
      <c r="U150">
        <v>2</v>
      </c>
      <c r="V150">
        <v>2</v>
      </c>
      <c r="W150">
        <v>2</v>
      </c>
      <c r="Y150">
        <v>1</v>
      </c>
      <c r="Z150">
        <v>2</v>
      </c>
      <c r="AA150">
        <v>2</v>
      </c>
      <c r="AB150">
        <v>2</v>
      </c>
      <c r="AC150">
        <v>2</v>
      </c>
      <c r="AD150">
        <v>2</v>
      </c>
      <c r="AE150">
        <v>2</v>
      </c>
      <c r="AF150">
        <v>2</v>
      </c>
      <c r="AG150">
        <v>2</v>
      </c>
      <c r="AH150">
        <v>2</v>
      </c>
      <c r="AI150">
        <v>2</v>
      </c>
      <c r="AJ150">
        <v>2</v>
      </c>
      <c r="AK150">
        <v>2</v>
      </c>
      <c r="AM150">
        <v>2</v>
      </c>
      <c r="AN150">
        <v>2</v>
      </c>
      <c r="AO150">
        <v>2</v>
      </c>
      <c r="AP150">
        <v>2</v>
      </c>
      <c r="AQ150">
        <v>0</v>
      </c>
      <c r="AR150">
        <v>2</v>
      </c>
      <c r="AS150">
        <v>2</v>
      </c>
      <c r="AT150">
        <v>2</v>
      </c>
      <c r="AU150">
        <v>2</v>
      </c>
      <c r="AV150">
        <v>2</v>
      </c>
      <c r="AW150">
        <v>2</v>
      </c>
      <c r="AX150">
        <v>1</v>
      </c>
      <c r="AY150">
        <v>2</v>
      </c>
      <c r="AZ150">
        <v>2</v>
      </c>
      <c r="BA150">
        <v>2</v>
      </c>
      <c r="BB150">
        <v>2</v>
      </c>
      <c r="BC150">
        <v>0</v>
      </c>
      <c r="BD150">
        <v>2</v>
      </c>
      <c r="BE150">
        <v>0</v>
      </c>
      <c r="BF150">
        <v>2</v>
      </c>
      <c r="BG150">
        <v>0</v>
      </c>
      <c r="BH150">
        <v>0</v>
      </c>
      <c r="BI150">
        <v>2</v>
      </c>
      <c r="BJ150">
        <v>2</v>
      </c>
      <c r="BK150">
        <v>2</v>
      </c>
      <c r="BL150">
        <v>2</v>
      </c>
      <c r="BM150">
        <v>2</v>
      </c>
      <c r="BN150">
        <v>0</v>
      </c>
      <c r="BO150">
        <v>2</v>
      </c>
      <c r="BP150">
        <v>2</v>
      </c>
      <c r="BQ150">
        <v>2</v>
      </c>
      <c r="BR150">
        <v>2</v>
      </c>
      <c r="BS150">
        <v>2</v>
      </c>
      <c r="BT150">
        <v>2</v>
      </c>
      <c r="BU150">
        <v>2</v>
      </c>
      <c r="BV150">
        <v>0</v>
      </c>
      <c r="BW150">
        <v>2</v>
      </c>
      <c r="BX150">
        <v>2</v>
      </c>
      <c r="BY150">
        <v>0</v>
      </c>
      <c r="BZ150">
        <v>2</v>
      </c>
      <c r="CA150">
        <v>2</v>
      </c>
      <c r="CB150">
        <v>2</v>
      </c>
      <c r="CD150">
        <v>2</v>
      </c>
    </row>
    <row r="151" spans="1:82" x14ac:dyDescent="0.3">
      <c r="A151">
        <v>578</v>
      </c>
      <c r="B151" t="s">
        <v>892</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Y151">
        <v>0</v>
      </c>
      <c r="Z151">
        <v>0</v>
      </c>
      <c r="AA151">
        <v>0</v>
      </c>
      <c r="AB151">
        <v>0</v>
      </c>
      <c r="AC151">
        <v>0</v>
      </c>
      <c r="AD151">
        <v>0</v>
      </c>
      <c r="AE151">
        <v>0</v>
      </c>
      <c r="AF151">
        <v>0</v>
      </c>
      <c r="AG151">
        <v>0</v>
      </c>
      <c r="AH151">
        <v>0</v>
      </c>
      <c r="AI151">
        <v>0</v>
      </c>
      <c r="AJ151">
        <v>0</v>
      </c>
      <c r="AK151">
        <v>0</v>
      </c>
      <c r="AM151">
        <v>0</v>
      </c>
      <c r="AN151">
        <v>0</v>
      </c>
      <c r="AO151">
        <v>0</v>
      </c>
      <c r="AP151">
        <v>0</v>
      </c>
      <c r="AQ151">
        <v>0</v>
      </c>
      <c r="AR151">
        <v>0</v>
      </c>
      <c r="AS151">
        <v>0</v>
      </c>
      <c r="AT151">
        <v>0</v>
      </c>
      <c r="AU151">
        <v>0</v>
      </c>
      <c r="AV151">
        <v>0</v>
      </c>
      <c r="AW151">
        <v>0</v>
      </c>
      <c r="AX151">
        <v>0</v>
      </c>
      <c r="AY151">
        <v>0</v>
      </c>
      <c r="AZ151">
        <v>0</v>
      </c>
      <c r="BA151">
        <v>25950</v>
      </c>
      <c r="BB151">
        <v>0</v>
      </c>
      <c r="BC151">
        <v>105340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D151">
        <v>0</v>
      </c>
    </row>
    <row r="152" spans="1:82" x14ac:dyDescent="0.3">
      <c r="A152">
        <v>579</v>
      </c>
      <c r="B152" t="s">
        <v>893</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Y152">
        <v>0</v>
      </c>
      <c r="Z152">
        <v>0</v>
      </c>
      <c r="AA152">
        <v>0</v>
      </c>
      <c r="AB152">
        <v>0</v>
      </c>
      <c r="AC152">
        <v>0</v>
      </c>
      <c r="AD152">
        <v>0</v>
      </c>
      <c r="AE152">
        <v>0</v>
      </c>
      <c r="AF152">
        <v>0</v>
      </c>
      <c r="AG152">
        <v>0</v>
      </c>
      <c r="AH152">
        <v>0</v>
      </c>
      <c r="AI152">
        <v>0</v>
      </c>
      <c r="AJ152">
        <v>0</v>
      </c>
      <c r="AK152">
        <v>0</v>
      </c>
      <c r="AM152">
        <v>0</v>
      </c>
      <c r="AN152">
        <v>15695</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D152">
        <v>0</v>
      </c>
    </row>
    <row r="153" spans="1:82" x14ac:dyDescent="0.3">
      <c r="A153">
        <v>580</v>
      </c>
      <c r="B153" t="s">
        <v>894</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Y153">
        <v>0</v>
      </c>
      <c r="Z153">
        <v>0</v>
      </c>
      <c r="AA153">
        <v>0</v>
      </c>
      <c r="AB153">
        <v>0</v>
      </c>
      <c r="AC153">
        <v>0</v>
      </c>
      <c r="AD153">
        <v>0</v>
      </c>
      <c r="AE153">
        <v>0</v>
      </c>
      <c r="AF153">
        <v>0</v>
      </c>
      <c r="AG153">
        <v>0</v>
      </c>
      <c r="AH153">
        <v>0</v>
      </c>
      <c r="AI153">
        <v>0</v>
      </c>
      <c r="AJ153">
        <v>0</v>
      </c>
      <c r="AK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D153">
        <v>0</v>
      </c>
    </row>
    <row r="154" spans="1:82" x14ac:dyDescent="0.3">
      <c r="A154">
        <v>581</v>
      </c>
      <c r="B154" t="s">
        <v>895</v>
      </c>
      <c r="D154">
        <v>0</v>
      </c>
      <c r="E154">
        <v>0</v>
      </c>
      <c r="F154">
        <v>0</v>
      </c>
      <c r="G154">
        <v>0</v>
      </c>
      <c r="H154">
        <v>0</v>
      </c>
      <c r="I154">
        <v>0</v>
      </c>
      <c r="J154">
        <v>0</v>
      </c>
      <c r="K154">
        <v>0</v>
      </c>
      <c r="L154">
        <v>0</v>
      </c>
      <c r="M154">
        <v>0</v>
      </c>
      <c r="N154">
        <v>0</v>
      </c>
      <c r="O154">
        <v>0</v>
      </c>
      <c r="P154">
        <v>0</v>
      </c>
      <c r="Q154">
        <v>108841</v>
      </c>
      <c r="R154">
        <v>0</v>
      </c>
      <c r="S154">
        <v>0</v>
      </c>
      <c r="T154">
        <v>0</v>
      </c>
      <c r="U154">
        <v>0</v>
      </c>
      <c r="V154">
        <v>0</v>
      </c>
      <c r="W154">
        <v>0</v>
      </c>
      <c r="Y154">
        <v>0</v>
      </c>
      <c r="Z154">
        <v>0</v>
      </c>
      <c r="AA154">
        <v>0</v>
      </c>
      <c r="AB154">
        <v>0</v>
      </c>
      <c r="AC154">
        <v>0</v>
      </c>
      <c r="AD154">
        <v>0</v>
      </c>
      <c r="AE154">
        <v>0</v>
      </c>
      <c r="AF154">
        <v>0</v>
      </c>
      <c r="AG154">
        <v>0</v>
      </c>
      <c r="AH154">
        <v>0</v>
      </c>
      <c r="AI154">
        <v>0</v>
      </c>
      <c r="AJ154">
        <v>0</v>
      </c>
      <c r="AK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D154">
        <v>0</v>
      </c>
    </row>
    <row r="155" spans="1:82" x14ac:dyDescent="0.3">
      <c r="A155">
        <v>586</v>
      </c>
      <c r="B155" t="s">
        <v>896</v>
      </c>
      <c r="D155">
        <v>0</v>
      </c>
      <c r="E155">
        <v>0</v>
      </c>
      <c r="F155">
        <v>0</v>
      </c>
      <c r="G155">
        <v>0</v>
      </c>
      <c r="H155">
        <v>0</v>
      </c>
      <c r="I155">
        <v>0</v>
      </c>
      <c r="J155">
        <v>0</v>
      </c>
      <c r="K155">
        <v>0</v>
      </c>
      <c r="L155">
        <v>0</v>
      </c>
      <c r="M155">
        <v>0</v>
      </c>
      <c r="N155">
        <v>0</v>
      </c>
      <c r="O155">
        <v>1716425</v>
      </c>
      <c r="P155">
        <v>0</v>
      </c>
      <c r="Q155">
        <v>0</v>
      </c>
      <c r="R155">
        <v>0</v>
      </c>
      <c r="S155">
        <v>0</v>
      </c>
      <c r="T155">
        <v>0</v>
      </c>
      <c r="U155">
        <v>0</v>
      </c>
      <c r="V155">
        <v>0</v>
      </c>
      <c r="W155">
        <v>0</v>
      </c>
      <c r="Y155">
        <v>0</v>
      </c>
      <c r="Z155">
        <v>0</v>
      </c>
      <c r="AA155">
        <v>0</v>
      </c>
      <c r="AB155">
        <v>0</v>
      </c>
      <c r="AC155">
        <v>0</v>
      </c>
      <c r="AD155">
        <v>0</v>
      </c>
      <c r="AE155">
        <v>0</v>
      </c>
      <c r="AF155">
        <v>0</v>
      </c>
      <c r="AG155">
        <v>0</v>
      </c>
      <c r="AH155">
        <v>0</v>
      </c>
      <c r="AI155">
        <v>0</v>
      </c>
      <c r="AJ155">
        <v>29371</v>
      </c>
      <c r="AK155">
        <v>0</v>
      </c>
      <c r="AM155">
        <v>0</v>
      </c>
      <c r="AN155">
        <v>0</v>
      </c>
      <c r="AO155">
        <v>0</v>
      </c>
      <c r="AP155">
        <v>0</v>
      </c>
      <c r="AQ155">
        <v>0</v>
      </c>
      <c r="AR155">
        <v>0</v>
      </c>
      <c r="AS155">
        <v>0</v>
      </c>
      <c r="AT155">
        <v>0</v>
      </c>
      <c r="AU155">
        <v>0</v>
      </c>
      <c r="AV155">
        <v>0</v>
      </c>
      <c r="AW155">
        <v>0</v>
      </c>
      <c r="AX155">
        <v>0</v>
      </c>
      <c r="AY155">
        <v>0</v>
      </c>
      <c r="AZ155">
        <v>0</v>
      </c>
      <c r="BA155">
        <v>0</v>
      </c>
      <c r="BB155">
        <v>0</v>
      </c>
      <c r="BC155">
        <v>113840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D155">
        <v>0</v>
      </c>
    </row>
    <row r="156" spans="1:82" x14ac:dyDescent="0.3">
      <c r="A156">
        <v>590</v>
      </c>
      <c r="B156" t="s">
        <v>1584</v>
      </c>
      <c r="L156" t="s">
        <v>1585</v>
      </c>
      <c r="Q156" t="s">
        <v>2070</v>
      </c>
      <c r="S156" t="s">
        <v>1585</v>
      </c>
      <c r="W156" t="s">
        <v>2071</v>
      </c>
      <c r="Z156" t="s">
        <v>2072</v>
      </c>
      <c r="AE156" t="s">
        <v>2073</v>
      </c>
      <c r="AS156" t="s">
        <v>1585</v>
      </c>
      <c r="AT156" t="s">
        <v>2074</v>
      </c>
      <c r="AU156" t="s">
        <v>1585</v>
      </c>
      <c r="AW156" t="s">
        <v>1585</v>
      </c>
      <c r="BH156" t="s">
        <v>1585</v>
      </c>
      <c r="BP156" t="s">
        <v>2075</v>
      </c>
      <c r="BZ156" t="s">
        <v>1585</v>
      </c>
    </row>
    <row r="157" spans="1:82" x14ac:dyDescent="0.3">
      <c r="A157">
        <v>591</v>
      </c>
      <c r="B157" t="s">
        <v>327</v>
      </c>
      <c r="D157">
        <v>509549</v>
      </c>
      <c r="E157">
        <v>0</v>
      </c>
      <c r="F157">
        <v>780910</v>
      </c>
      <c r="G157">
        <v>0</v>
      </c>
      <c r="H157">
        <v>0</v>
      </c>
      <c r="I157">
        <v>0</v>
      </c>
      <c r="J157">
        <v>196023</v>
      </c>
      <c r="K157">
        <v>0</v>
      </c>
      <c r="L157">
        <v>0</v>
      </c>
      <c r="M157">
        <v>0</v>
      </c>
      <c r="N157">
        <v>0</v>
      </c>
      <c r="O157">
        <v>6867433</v>
      </c>
      <c r="P157">
        <v>0</v>
      </c>
      <c r="Q157">
        <v>0</v>
      </c>
      <c r="R157">
        <v>330856</v>
      </c>
      <c r="S157">
        <v>0</v>
      </c>
      <c r="T157">
        <v>22190473</v>
      </c>
      <c r="U157">
        <v>9356051</v>
      </c>
      <c r="V157">
        <v>42796958</v>
      </c>
      <c r="W157">
        <v>488990</v>
      </c>
      <c r="Y157">
        <v>5993905</v>
      </c>
      <c r="Z157">
        <v>1438500</v>
      </c>
      <c r="AA157">
        <v>7815528</v>
      </c>
      <c r="AB157">
        <v>3577081</v>
      </c>
      <c r="AC157">
        <v>1136093</v>
      </c>
      <c r="AD157">
        <v>1354777</v>
      </c>
      <c r="AE157">
        <v>3447501</v>
      </c>
      <c r="AF157">
        <v>3401302</v>
      </c>
      <c r="AG157">
        <v>5053788</v>
      </c>
      <c r="AH157">
        <v>0</v>
      </c>
      <c r="AI157">
        <v>73282172</v>
      </c>
      <c r="AJ157">
        <v>359810</v>
      </c>
      <c r="AK157">
        <v>504752</v>
      </c>
      <c r="AM157">
        <v>25345732</v>
      </c>
      <c r="AN157">
        <v>472901</v>
      </c>
      <c r="AO157">
        <v>811859</v>
      </c>
      <c r="AP157">
        <v>0</v>
      </c>
      <c r="AQ157">
        <v>0</v>
      </c>
      <c r="AR157">
        <v>2827668</v>
      </c>
      <c r="AS157">
        <v>0</v>
      </c>
      <c r="AT157">
        <v>1811684</v>
      </c>
      <c r="AU157">
        <v>401320</v>
      </c>
      <c r="AV157">
        <v>20558465</v>
      </c>
      <c r="AW157">
        <v>0</v>
      </c>
      <c r="AX157">
        <v>1319557</v>
      </c>
      <c r="AY157">
        <v>3135450</v>
      </c>
      <c r="AZ157">
        <v>652409</v>
      </c>
      <c r="BA157">
        <v>499680</v>
      </c>
      <c r="BB157">
        <v>0</v>
      </c>
      <c r="BC157">
        <v>147610</v>
      </c>
      <c r="BD157">
        <v>3795482</v>
      </c>
      <c r="BE157">
        <v>0</v>
      </c>
      <c r="BF157">
        <v>311024</v>
      </c>
      <c r="BG157">
        <v>150438</v>
      </c>
      <c r="BH157">
        <v>0</v>
      </c>
      <c r="BI157">
        <v>210324</v>
      </c>
      <c r="BJ157">
        <v>0</v>
      </c>
      <c r="BK157">
        <v>2988720</v>
      </c>
      <c r="BL157">
        <v>1886812</v>
      </c>
      <c r="BM157">
        <v>1648404</v>
      </c>
      <c r="BN157">
        <v>809741</v>
      </c>
      <c r="BO157">
        <v>971295</v>
      </c>
      <c r="BP157">
        <v>381197</v>
      </c>
      <c r="BQ157">
        <v>0</v>
      </c>
      <c r="BR157">
        <v>2814833</v>
      </c>
      <c r="BS157">
        <v>13358356</v>
      </c>
      <c r="BT157">
        <v>756665</v>
      </c>
      <c r="BU157">
        <v>3986303</v>
      </c>
      <c r="BV157">
        <v>0</v>
      </c>
      <c r="BW157">
        <v>2954156</v>
      </c>
      <c r="BX157">
        <v>365945</v>
      </c>
      <c r="BY157">
        <v>50950</v>
      </c>
      <c r="BZ157">
        <v>398891</v>
      </c>
      <c r="CA157">
        <v>333950</v>
      </c>
      <c r="CB157">
        <v>748223</v>
      </c>
      <c r="CD157">
        <v>53386</v>
      </c>
    </row>
    <row r="158" spans="1:82" x14ac:dyDescent="0.3">
      <c r="A158">
        <v>592</v>
      </c>
      <c r="B158" t="s">
        <v>328</v>
      </c>
      <c r="D158">
        <v>-133424</v>
      </c>
      <c r="E158">
        <v>0</v>
      </c>
      <c r="F158">
        <v>-129610</v>
      </c>
      <c r="G158">
        <v>0</v>
      </c>
      <c r="H158">
        <v>0</v>
      </c>
      <c r="I158">
        <v>0</v>
      </c>
      <c r="J158">
        <v>-51811</v>
      </c>
      <c r="K158">
        <v>0</v>
      </c>
      <c r="L158">
        <v>0</v>
      </c>
      <c r="M158">
        <v>0</v>
      </c>
      <c r="N158">
        <v>0</v>
      </c>
      <c r="O158">
        <v>1551135</v>
      </c>
      <c r="P158">
        <v>0</v>
      </c>
      <c r="Q158">
        <v>20812173</v>
      </c>
      <c r="R158">
        <v>16733</v>
      </c>
      <c r="S158">
        <v>0</v>
      </c>
      <c r="T158">
        <v>12335284</v>
      </c>
      <c r="U158">
        <v>532981</v>
      </c>
      <c r="V158">
        <v>4345813</v>
      </c>
      <c r="W158">
        <v>708752</v>
      </c>
      <c r="Y158">
        <v>592900</v>
      </c>
      <c r="Z158">
        <v>-136906</v>
      </c>
      <c r="AA158">
        <v>4855075</v>
      </c>
      <c r="AB158">
        <v>4033091</v>
      </c>
      <c r="AC158">
        <v>583003</v>
      </c>
      <c r="AD158">
        <v>529497</v>
      </c>
      <c r="AE158">
        <v>-651228</v>
      </c>
      <c r="AF158">
        <v>-291371</v>
      </c>
      <c r="AG158">
        <v>8368</v>
      </c>
      <c r="AH158">
        <v>0</v>
      </c>
      <c r="AI158">
        <v>6302017</v>
      </c>
      <c r="AJ158">
        <v>-10819</v>
      </c>
      <c r="AK158">
        <v>-2187</v>
      </c>
      <c r="AM158">
        <v>1391757</v>
      </c>
      <c r="AN158">
        <v>1019</v>
      </c>
      <c r="AO158">
        <v>-14990</v>
      </c>
      <c r="AP158">
        <v>0</v>
      </c>
      <c r="AQ158">
        <v>0</v>
      </c>
      <c r="AR158">
        <v>552394</v>
      </c>
      <c r="AS158">
        <v>0</v>
      </c>
      <c r="AT158">
        <v>1914084</v>
      </c>
      <c r="AU158">
        <v>39407</v>
      </c>
      <c r="AV158">
        <v>1283186</v>
      </c>
      <c r="AW158">
        <v>0</v>
      </c>
      <c r="AX158">
        <v>4643684</v>
      </c>
      <c r="AY158">
        <v>10735354</v>
      </c>
      <c r="AZ158">
        <v>-65800</v>
      </c>
      <c r="BA158">
        <v>-17857</v>
      </c>
      <c r="BB158">
        <v>0</v>
      </c>
      <c r="BC158">
        <v>-14049</v>
      </c>
      <c r="BD158">
        <v>4741376</v>
      </c>
      <c r="BE158">
        <v>0</v>
      </c>
      <c r="BF158">
        <v>-70004</v>
      </c>
      <c r="BG158">
        <v>1232260</v>
      </c>
      <c r="BH158">
        <v>0</v>
      </c>
      <c r="BI158">
        <v>-40359</v>
      </c>
      <c r="BJ158">
        <v>0</v>
      </c>
      <c r="BK158">
        <v>-173142</v>
      </c>
      <c r="BL158">
        <v>320980</v>
      </c>
      <c r="BM158">
        <v>2138567</v>
      </c>
      <c r="BN158">
        <v>119254</v>
      </c>
      <c r="BO158">
        <v>209490</v>
      </c>
      <c r="BP158">
        <v>100483</v>
      </c>
      <c r="BQ158">
        <v>0</v>
      </c>
      <c r="BR158">
        <v>725381</v>
      </c>
      <c r="BS158">
        <v>1057715</v>
      </c>
      <c r="BT158">
        <v>-151914</v>
      </c>
      <c r="BU158">
        <v>2614038</v>
      </c>
      <c r="BV158">
        <v>0</v>
      </c>
      <c r="BW158">
        <v>261508</v>
      </c>
      <c r="BX158">
        <v>40975</v>
      </c>
      <c r="BY158">
        <v>-18108</v>
      </c>
      <c r="BZ158">
        <v>181699</v>
      </c>
      <c r="CA158">
        <v>-130674</v>
      </c>
      <c r="CB158">
        <v>1075291</v>
      </c>
      <c r="CD158">
        <v>-21866</v>
      </c>
    </row>
    <row r="159" spans="1:82" x14ac:dyDescent="0.3">
      <c r="A159">
        <v>596</v>
      </c>
      <c r="B159" t="s">
        <v>333</v>
      </c>
      <c r="D159">
        <v>52</v>
      </c>
      <c r="E159">
        <v>52</v>
      </c>
      <c r="F159">
        <v>52</v>
      </c>
      <c r="G159">
        <v>52</v>
      </c>
      <c r="H159">
        <v>0</v>
      </c>
      <c r="I159">
        <v>52</v>
      </c>
      <c r="J159">
        <v>52</v>
      </c>
      <c r="K159">
        <v>52</v>
      </c>
      <c r="L159">
        <v>52</v>
      </c>
      <c r="M159">
        <v>52</v>
      </c>
      <c r="N159">
        <v>52</v>
      </c>
      <c r="O159">
        <v>52</v>
      </c>
      <c r="P159">
        <v>52</v>
      </c>
      <c r="Q159">
        <v>52</v>
      </c>
      <c r="R159">
        <v>52</v>
      </c>
      <c r="S159">
        <v>0</v>
      </c>
      <c r="T159">
        <v>52</v>
      </c>
      <c r="U159">
        <v>52</v>
      </c>
      <c r="V159">
        <v>52</v>
      </c>
      <c r="W159">
        <v>52</v>
      </c>
      <c r="Y159">
        <v>52</v>
      </c>
      <c r="Z159">
        <v>52</v>
      </c>
      <c r="AA159">
        <v>52</v>
      </c>
      <c r="AB159">
        <v>52</v>
      </c>
      <c r="AC159">
        <v>52</v>
      </c>
      <c r="AD159">
        <v>52</v>
      </c>
      <c r="AE159">
        <v>52</v>
      </c>
      <c r="AF159">
        <v>52</v>
      </c>
      <c r="AG159">
        <v>52</v>
      </c>
      <c r="AH159">
        <v>0</v>
      </c>
      <c r="AI159">
        <v>52</v>
      </c>
      <c r="AJ159">
        <v>52</v>
      </c>
      <c r="AK159">
        <v>52</v>
      </c>
      <c r="AM159">
        <v>52</v>
      </c>
      <c r="AN159">
        <v>52</v>
      </c>
      <c r="AO159">
        <v>52</v>
      </c>
      <c r="AP159">
        <v>52</v>
      </c>
      <c r="AQ159">
        <v>52</v>
      </c>
      <c r="AR159">
        <v>52</v>
      </c>
      <c r="AS159">
        <v>0</v>
      </c>
      <c r="AT159">
        <v>52</v>
      </c>
      <c r="AU159">
        <v>52</v>
      </c>
      <c r="AV159">
        <v>52</v>
      </c>
      <c r="AW159">
        <v>52</v>
      </c>
      <c r="AX159">
        <v>52</v>
      </c>
      <c r="AY159">
        <v>52</v>
      </c>
      <c r="AZ159">
        <v>52</v>
      </c>
      <c r="BA159">
        <v>52</v>
      </c>
      <c r="BB159">
        <v>0</v>
      </c>
      <c r="BC159">
        <v>52</v>
      </c>
      <c r="BD159">
        <v>52</v>
      </c>
      <c r="BE159">
        <v>52</v>
      </c>
      <c r="BF159">
        <v>52</v>
      </c>
      <c r="BG159">
        <v>52</v>
      </c>
      <c r="BH159">
        <v>0</v>
      </c>
      <c r="BI159">
        <v>52</v>
      </c>
      <c r="BJ159">
        <v>52</v>
      </c>
      <c r="BK159">
        <v>52</v>
      </c>
      <c r="BL159">
        <v>52</v>
      </c>
      <c r="BM159">
        <v>52</v>
      </c>
      <c r="BN159">
        <v>52</v>
      </c>
      <c r="BO159">
        <v>52</v>
      </c>
      <c r="BP159">
        <v>52</v>
      </c>
      <c r="BQ159">
        <v>0</v>
      </c>
      <c r="BR159">
        <v>52</v>
      </c>
      <c r="BS159">
        <v>52</v>
      </c>
      <c r="BT159">
        <v>52</v>
      </c>
      <c r="BU159">
        <v>52</v>
      </c>
      <c r="BV159">
        <v>0</v>
      </c>
      <c r="BW159">
        <v>52</v>
      </c>
      <c r="BX159">
        <v>52</v>
      </c>
      <c r="BY159">
        <v>52</v>
      </c>
      <c r="BZ159">
        <v>52</v>
      </c>
      <c r="CA159">
        <v>52</v>
      </c>
      <c r="CB159">
        <v>52</v>
      </c>
      <c r="CD159">
        <v>52</v>
      </c>
    </row>
    <row r="160" spans="1:82" x14ac:dyDescent="0.3">
      <c r="A160">
        <v>597</v>
      </c>
      <c r="B160" t="s">
        <v>336</v>
      </c>
      <c r="D160">
        <v>1102</v>
      </c>
      <c r="E160">
        <v>0</v>
      </c>
      <c r="F160">
        <v>216</v>
      </c>
      <c r="G160">
        <v>7886</v>
      </c>
      <c r="H160">
        <v>32844</v>
      </c>
      <c r="I160">
        <v>10259</v>
      </c>
      <c r="J160">
        <v>209</v>
      </c>
      <c r="K160">
        <v>0</v>
      </c>
      <c r="L160">
        <v>1205</v>
      </c>
      <c r="M160">
        <v>17540</v>
      </c>
      <c r="N160">
        <v>0</v>
      </c>
      <c r="O160">
        <v>9025</v>
      </c>
      <c r="P160">
        <v>0</v>
      </c>
      <c r="Q160">
        <v>-664703</v>
      </c>
      <c r="R160">
        <v>841</v>
      </c>
      <c r="S160">
        <v>408</v>
      </c>
      <c r="T160">
        <v>302604</v>
      </c>
      <c r="U160">
        <v>29679</v>
      </c>
      <c r="V160">
        <v>111008</v>
      </c>
      <c r="W160">
        <v>0</v>
      </c>
      <c r="Y160">
        <v>60845</v>
      </c>
      <c r="Z160">
        <v>1341</v>
      </c>
      <c r="AA160">
        <v>30748</v>
      </c>
      <c r="AB160">
        <v>0</v>
      </c>
      <c r="AC160">
        <v>4943</v>
      </c>
      <c r="AD160">
        <v>2322</v>
      </c>
      <c r="AE160">
        <v>1020</v>
      </c>
      <c r="AF160">
        <v>-1941819</v>
      </c>
      <c r="AG160">
        <v>21808</v>
      </c>
      <c r="AH160">
        <v>398</v>
      </c>
      <c r="AI160">
        <v>112799</v>
      </c>
      <c r="AJ160">
        <v>10001</v>
      </c>
      <c r="AK160">
        <v>1371</v>
      </c>
      <c r="AM160">
        <v>89596</v>
      </c>
      <c r="AN160">
        <v>150</v>
      </c>
      <c r="AO160">
        <v>0</v>
      </c>
      <c r="AP160">
        <v>0</v>
      </c>
      <c r="AQ160">
        <v>35008</v>
      </c>
      <c r="AR160">
        <v>255630</v>
      </c>
      <c r="AS160">
        <v>238</v>
      </c>
      <c r="AT160">
        <v>3628</v>
      </c>
      <c r="AU160">
        <v>904</v>
      </c>
      <c r="AV160">
        <v>42949</v>
      </c>
      <c r="AW160">
        <v>20252</v>
      </c>
      <c r="AX160">
        <v>9002</v>
      </c>
      <c r="AY160">
        <v>54026</v>
      </c>
      <c r="AZ160">
        <v>3340</v>
      </c>
      <c r="BA160">
        <v>895</v>
      </c>
      <c r="BB160">
        <v>0</v>
      </c>
      <c r="BC160">
        <v>3524</v>
      </c>
      <c r="BD160">
        <v>9215</v>
      </c>
      <c r="BE160">
        <v>2089</v>
      </c>
      <c r="BF160">
        <v>1989</v>
      </c>
      <c r="BG160">
        <v>0</v>
      </c>
      <c r="BH160">
        <v>635</v>
      </c>
      <c r="BI160">
        <v>1110</v>
      </c>
      <c r="BJ160">
        <v>40</v>
      </c>
      <c r="BK160">
        <v>10724</v>
      </c>
      <c r="BL160">
        <v>1335</v>
      </c>
      <c r="BM160">
        <v>0</v>
      </c>
      <c r="BN160">
        <v>15755</v>
      </c>
      <c r="BO160">
        <v>1713</v>
      </c>
      <c r="BP160">
        <v>4083</v>
      </c>
      <c r="BQ160">
        <v>24651</v>
      </c>
      <c r="BR160">
        <v>0</v>
      </c>
      <c r="BS160">
        <v>61944</v>
      </c>
      <c r="BT160">
        <v>234</v>
      </c>
      <c r="BU160">
        <v>0</v>
      </c>
      <c r="BV160">
        <v>1418</v>
      </c>
      <c r="BW160">
        <v>3207</v>
      </c>
      <c r="BX160">
        <v>0</v>
      </c>
      <c r="BY160">
        <v>0</v>
      </c>
      <c r="BZ160">
        <v>3935</v>
      </c>
      <c r="CA160">
        <v>559</v>
      </c>
      <c r="CB160">
        <v>1632</v>
      </c>
      <c r="CD160">
        <v>11180</v>
      </c>
    </row>
    <row r="161" spans="1:82" x14ac:dyDescent="0.3">
      <c r="A161">
        <v>598</v>
      </c>
      <c r="B161" t="s">
        <v>341</v>
      </c>
      <c r="D161">
        <v>1126</v>
      </c>
      <c r="E161">
        <v>0</v>
      </c>
      <c r="F161">
        <v>0</v>
      </c>
      <c r="G161">
        <v>0</v>
      </c>
      <c r="H161">
        <v>0</v>
      </c>
      <c r="I161">
        <v>0</v>
      </c>
      <c r="J161">
        <v>0</v>
      </c>
      <c r="K161">
        <v>0</v>
      </c>
      <c r="L161">
        <v>0</v>
      </c>
      <c r="M161">
        <v>0</v>
      </c>
      <c r="N161">
        <v>0</v>
      </c>
      <c r="O161">
        <v>23616</v>
      </c>
      <c r="P161">
        <v>0</v>
      </c>
      <c r="Q161">
        <v>324282</v>
      </c>
      <c r="R161">
        <v>33430</v>
      </c>
      <c r="S161">
        <v>0</v>
      </c>
      <c r="T161">
        <v>83406</v>
      </c>
      <c r="U161">
        <v>59542</v>
      </c>
      <c r="V161">
        <v>235889</v>
      </c>
      <c r="W161">
        <v>90853</v>
      </c>
      <c r="Y161">
        <v>104228</v>
      </c>
      <c r="Z161">
        <v>0</v>
      </c>
      <c r="AA161">
        <v>82818</v>
      </c>
      <c r="AB161">
        <v>0</v>
      </c>
      <c r="AC161">
        <v>0</v>
      </c>
      <c r="AD161">
        <v>44290</v>
      </c>
      <c r="AE161">
        <v>0</v>
      </c>
      <c r="AF161">
        <v>64113</v>
      </c>
      <c r="AG161">
        <v>16348</v>
      </c>
      <c r="AH161">
        <v>0</v>
      </c>
      <c r="AI161">
        <v>99206</v>
      </c>
      <c r="AJ161">
        <v>0</v>
      </c>
      <c r="AK161">
        <v>0</v>
      </c>
      <c r="AM161">
        <v>52168</v>
      </c>
      <c r="AN161">
        <v>0</v>
      </c>
      <c r="AO161">
        <v>0</v>
      </c>
      <c r="AP161">
        <v>0</v>
      </c>
      <c r="AQ161">
        <v>15903</v>
      </c>
      <c r="AR161">
        <v>60181</v>
      </c>
      <c r="AS161">
        <v>0</v>
      </c>
      <c r="AT161">
        <v>9345</v>
      </c>
      <c r="AU161">
        <v>0</v>
      </c>
      <c r="AV161">
        <v>35909</v>
      </c>
      <c r="AW161">
        <v>0</v>
      </c>
      <c r="AX161">
        <v>0</v>
      </c>
      <c r="AY161">
        <v>0</v>
      </c>
      <c r="AZ161">
        <v>0</v>
      </c>
      <c r="BA161">
        <v>0</v>
      </c>
      <c r="BB161">
        <v>0</v>
      </c>
      <c r="BC161">
        <v>0</v>
      </c>
      <c r="BD161">
        <v>76643</v>
      </c>
      <c r="BE161">
        <v>0</v>
      </c>
      <c r="BF161">
        <v>0</v>
      </c>
      <c r="BG161">
        <v>0</v>
      </c>
      <c r="BH161">
        <v>0</v>
      </c>
      <c r="BI161">
        <v>0</v>
      </c>
      <c r="BJ161">
        <v>0</v>
      </c>
      <c r="BK161">
        <v>10272</v>
      </c>
      <c r="BL161">
        <v>1830</v>
      </c>
      <c r="BM161">
        <v>17264</v>
      </c>
      <c r="BN161">
        <v>0</v>
      </c>
      <c r="BO161">
        <v>0</v>
      </c>
      <c r="BP161">
        <v>0</v>
      </c>
      <c r="BQ161">
        <v>143714</v>
      </c>
      <c r="BR161">
        <v>0</v>
      </c>
      <c r="BS161">
        <v>100276</v>
      </c>
      <c r="BT161">
        <v>0</v>
      </c>
      <c r="BU161">
        <v>42174</v>
      </c>
      <c r="BV161">
        <v>0</v>
      </c>
      <c r="BW161">
        <v>0</v>
      </c>
      <c r="BX161">
        <v>0</v>
      </c>
      <c r="BY161">
        <v>0</v>
      </c>
      <c r="BZ161">
        <v>0</v>
      </c>
      <c r="CA161">
        <v>0</v>
      </c>
      <c r="CB161">
        <v>0</v>
      </c>
      <c r="CD161">
        <v>0</v>
      </c>
    </row>
    <row r="162" spans="1:82" x14ac:dyDescent="0.3">
      <c r="A162">
        <v>599</v>
      </c>
      <c r="B162" t="s">
        <v>340</v>
      </c>
      <c r="D162">
        <v>20388</v>
      </c>
      <c r="E162">
        <v>0</v>
      </c>
      <c r="F162">
        <v>78249</v>
      </c>
      <c r="G162">
        <v>0</v>
      </c>
      <c r="H162">
        <v>0</v>
      </c>
      <c r="I162">
        <v>0</v>
      </c>
      <c r="J162">
        <v>0</v>
      </c>
      <c r="K162">
        <v>0</v>
      </c>
      <c r="L162">
        <v>0</v>
      </c>
      <c r="M162">
        <v>1417570</v>
      </c>
      <c r="N162">
        <v>94268</v>
      </c>
      <c r="O162">
        <v>211503</v>
      </c>
      <c r="P162">
        <v>0</v>
      </c>
      <c r="Q162">
        <v>4585539</v>
      </c>
      <c r="R162">
        <v>119706</v>
      </c>
      <c r="S162">
        <v>0</v>
      </c>
      <c r="T162">
        <v>5126948</v>
      </c>
      <c r="U162">
        <v>2128357</v>
      </c>
      <c r="V162">
        <v>3237498</v>
      </c>
      <c r="W162">
        <v>2495620</v>
      </c>
      <c r="Y162">
        <v>1866417</v>
      </c>
      <c r="Z162">
        <v>93550</v>
      </c>
      <c r="AA162">
        <v>1633775</v>
      </c>
      <c r="AB162">
        <v>571216</v>
      </c>
      <c r="AC162">
        <v>0</v>
      </c>
      <c r="AD162">
        <v>463334</v>
      </c>
      <c r="AE162">
        <v>334884</v>
      </c>
      <c r="AF162">
        <v>1363416</v>
      </c>
      <c r="AG162">
        <v>514135</v>
      </c>
      <c r="AH162">
        <v>2644</v>
      </c>
      <c r="AI162">
        <v>3858372</v>
      </c>
      <c r="AJ162">
        <v>0</v>
      </c>
      <c r="AK162">
        <v>150160</v>
      </c>
      <c r="AM162">
        <v>1437896</v>
      </c>
      <c r="AN162">
        <v>110005</v>
      </c>
      <c r="AO162">
        <v>28803</v>
      </c>
      <c r="AP162">
        <v>0</v>
      </c>
      <c r="AQ162">
        <v>292764</v>
      </c>
      <c r="AR162">
        <v>814356</v>
      </c>
      <c r="AS162">
        <v>12113</v>
      </c>
      <c r="AT162">
        <v>218884</v>
      </c>
      <c r="AU162">
        <v>0</v>
      </c>
      <c r="AV162">
        <v>1160835</v>
      </c>
      <c r="AW162">
        <v>0</v>
      </c>
      <c r="AX162">
        <v>135403</v>
      </c>
      <c r="AY162">
        <v>357772</v>
      </c>
      <c r="AZ162">
        <v>112727</v>
      </c>
      <c r="BA162">
        <v>0</v>
      </c>
      <c r="BB162">
        <v>0</v>
      </c>
      <c r="BC162">
        <v>0</v>
      </c>
      <c r="BD162">
        <v>924581</v>
      </c>
      <c r="BE162">
        <v>0</v>
      </c>
      <c r="BF162">
        <v>8924</v>
      </c>
      <c r="BG162">
        <v>0</v>
      </c>
      <c r="BH162">
        <v>0</v>
      </c>
      <c r="BI162">
        <v>0</v>
      </c>
      <c r="BJ162">
        <v>0</v>
      </c>
      <c r="BK162">
        <v>440128</v>
      </c>
      <c r="BL162">
        <v>144768</v>
      </c>
      <c r="BM162">
        <v>157085</v>
      </c>
      <c r="BN162">
        <v>307814</v>
      </c>
      <c r="BO162">
        <v>195856</v>
      </c>
      <c r="BP162">
        <v>140690</v>
      </c>
      <c r="BQ162">
        <v>1635856</v>
      </c>
      <c r="BR162">
        <v>164625</v>
      </c>
      <c r="BS162">
        <v>2069165</v>
      </c>
      <c r="BT162">
        <v>45084</v>
      </c>
      <c r="BU162">
        <v>667951</v>
      </c>
      <c r="BV162">
        <v>0</v>
      </c>
      <c r="BW162">
        <v>163337</v>
      </c>
      <c r="BX162">
        <v>18512</v>
      </c>
      <c r="BY162">
        <v>0</v>
      </c>
      <c r="BZ162">
        <v>0</v>
      </c>
      <c r="CA162">
        <v>0</v>
      </c>
      <c r="CB162">
        <v>57681</v>
      </c>
      <c r="CD162">
        <v>0</v>
      </c>
    </row>
    <row r="163" spans="1:82" x14ac:dyDescent="0.3">
      <c r="A163">
        <v>602</v>
      </c>
      <c r="B163" t="s">
        <v>342</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Y163">
        <v>0</v>
      </c>
      <c r="Z163">
        <v>0</v>
      </c>
      <c r="AA163">
        <v>0</v>
      </c>
      <c r="AB163">
        <v>0</v>
      </c>
      <c r="AC163">
        <v>0</v>
      </c>
      <c r="AD163">
        <v>0</v>
      </c>
      <c r="AE163">
        <v>0</v>
      </c>
      <c r="AF163">
        <v>0</v>
      </c>
      <c r="AG163">
        <v>0</v>
      </c>
      <c r="AH163">
        <v>0</v>
      </c>
      <c r="AI163">
        <v>0</v>
      </c>
      <c r="AJ163">
        <v>0</v>
      </c>
      <c r="AK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D163">
        <v>0</v>
      </c>
    </row>
    <row r="164" spans="1:82" x14ac:dyDescent="0.3">
      <c r="A164">
        <v>606</v>
      </c>
      <c r="B164" t="s">
        <v>897</v>
      </c>
      <c r="M164">
        <v>1</v>
      </c>
      <c r="O164">
        <v>1</v>
      </c>
      <c r="Q164">
        <v>1</v>
      </c>
      <c r="T164">
        <v>1</v>
      </c>
      <c r="U164">
        <v>1</v>
      </c>
      <c r="V164">
        <v>1</v>
      </c>
      <c r="W164">
        <v>1</v>
      </c>
      <c r="Y164">
        <v>1</v>
      </c>
      <c r="AA164">
        <v>1</v>
      </c>
      <c r="AB164">
        <v>1</v>
      </c>
      <c r="AF164">
        <v>1</v>
      </c>
      <c r="AI164">
        <v>1</v>
      </c>
      <c r="AM164">
        <v>1</v>
      </c>
      <c r="AQ164">
        <v>1</v>
      </c>
      <c r="AR164">
        <v>1</v>
      </c>
      <c r="AT164">
        <v>1</v>
      </c>
      <c r="AV164">
        <v>1</v>
      </c>
      <c r="AY164">
        <v>1</v>
      </c>
      <c r="BD164">
        <v>1</v>
      </c>
      <c r="BG164">
        <v>1</v>
      </c>
      <c r="BK164">
        <v>1</v>
      </c>
      <c r="BM164">
        <v>1</v>
      </c>
      <c r="BQ164">
        <v>1</v>
      </c>
      <c r="BR164">
        <v>1</v>
      </c>
      <c r="BZ164">
        <v>1</v>
      </c>
      <c r="CB164">
        <v>1</v>
      </c>
    </row>
    <row r="165" spans="1:82" x14ac:dyDescent="0.3">
      <c r="A165">
        <v>619</v>
      </c>
      <c r="B165" t="s">
        <v>898</v>
      </c>
      <c r="D165">
        <v>0</v>
      </c>
      <c r="E165">
        <v>0</v>
      </c>
      <c r="F165">
        <v>91.6</v>
      </c>
      <c r="G165">
        <v>0</v>
      </c>
      <c r="H165">
        <v>0</v>
      </c>
      <c r="I165">
        <v>0</v>
      </c>
      <c r="J165">
        <v>0</v>
      </c>
      <c r="K165">
        <v>0</v>
      </c>
      <c r="L165">
        <v>0</v>
      </c>
      <c r="M165">
        <v>0</v>
      </c>
      <c r="N165">
        <v>0</v>
      </c>
      <c r="O165">
        <v>0</v>
      </c>
      <c r="P165">
        <v>0</v>
      </c>
      <c r="Q165">
        <v>0</v>
      </c>
      <c r="R165">
        <v>0</v>
      </c>
      <c r="S165">
        <v>0</v>
      </c>
      <c r="T165">
        <v>0</v>
      </c>
      <c r="U165">
        <v>0</v>
      </c>
      <c r="V165">
        <v>0</v>
      </c>
      <c r="W165">
        <v>0</v>
      </c>
      <c r="Y165">
        <v>0</v>
      </c>
      <c r="Z165">
        <v>0</v>
      </c>
      <c r="AA165">
        <v>0</v>
      </c>
      <c r="AB165">
        <v>0</v>
      </c>
      <c r="AC165">
        <v>0</v>
      </c>
      <c r="AD165">
        <v>0</v>
      </c>
      <c r="AE165">
        <v>0</v>
      </c>
      <c r="AF165">
        <v>0</v>
      </c>
      <c r="AG165">
        <v>0</v>
      </c>
      <c r="AH165">
        <v>0</v>
      </c>
      <c r="AI165">
        <v>0</v>
      </c>
      <c r="AJ165">
        <v>0</v>
      </c>
      <c r="AK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D165">
        <v>0</v>
      </c>
    </row>
    <row r="166" spans="1:82" x14ac:dyDescent="0.3">
      <c r="A166">
        <v>620</v>
      </c>
      <c r="B166" t="s">
        <v>899</v>
      </c>
      <c r="D166">
        <v>2</v>
      </c>
      <c r="E166">
        <v>2</v>
      </c>
      <c r="F166">
        <v>1</v>
      </c>
      <c r="G166">
        <v>2</v>
      </c>
      <c r="H166">
        <v>1</v>
      </c>
      <c r="I166">
        <v>1</v>
      </c>
      <c r="J166">
        <v>1</v>
      </c>
      <c r="K166">
        <v>2</v>
      </c>
      <c r="L166">
        <v>2</v>
      </c>
      <c r="M166">
        <v>0</v>
      </c>
      <c r="N166">
        <v>2</v>
      </c>
      <c r="O166">
        <v>1</v>
      </c>
      <c r="P166">
        <v>2</v>
      </c>
      <c r="Q166">
        <v>2</v>
      </c>
      <c r="R166">
        <v>2</v>
      </c>
      <c r="S166">
        <v>2</v>
      </c>
      <c r="T166">
        <v>1</v>
      </c>
      <c r="U166">
        <v>2</v>
      </c>
      <c r="V166">
        <v>2</v>
      </c>
      <c r="W166">
        <v>2</v>
      </c>
      <c r="Y166">
        <v>2</v>
      </c>
      <c r="Z166">
        <v>2</v>
      </c>
      <c r="AA166">
        <v>1</v>
      </c>
      <c r="AB166">
        <v>2</v>
      </c>
      <c r="AC166">
        <v>1</v>
      </c>
      <c r="AD166">
        <v>2</v>
      </c>
      <c r="AE166">
        <v>1</v>
      </c>
      <c r="AF166">
        <v>1</v>
      </c>
      <c r="AG166">
        <v>1</v>
      </c>
      <c r="AH166">
        <v>2</v>
      </c>
      <c r="AI166">
        <v>1</v>
      </c>
      <c r="AJ166">
        <v>2</v>
      </c>
      <c r="AK166">
        <v>2</v>
      </c>
      <c r="AM166">
        <v>1</v>
      </c>
      <c r="AN166">
        <v>2</v>
      </c>
      <c r="AO166">
        <v>2</v>
      </c>
      <c r="AP166">
        <v>2</v>
      </c>
      <c r="AQ166">
        <v>1</v>
      </c>
      <c r="AR166">
        <v>2</v>
      </c>
      <c r="AS166">
        <v>2</v>
      </c>
      <c r="AT166">
        <v>2</v>
      </c>
      <c r="AU166">
        <v>2</v>
      </c>
      <c r="AV166">
        <v>2</v>
      </c>
      <c r="AW166">
        <v>1</v>
      </c>
      <c r="AX166">
        <v>1</v>
      </c>
      <c r="AY166">
        <v>2</v>
      </c>
      <c r="AZ166">
        <v>2</v>
      </c>
      <c r="BA166">
        <v>2</v>
      </c>
      <c r="BB166">
        <v>2</v>
      </c>
      <c r="BC166">
        <v>1</v>
      </c>
      <c r="BD166">
        <v>1</v>
      </c>
      <c r="BE166">
        <v>2</v>
      </c>
      <c r="BF166">
        <v>2</v>
      </c>
      <c r="BG166">
        <v>2</v>
      </c>
      <c r="BH166">
        <v>2</v>
      </c>
      <c r="BI166">
        <v>2</v>
      </c>
      <c r="BJ166">
        <v>2</v>
      </c>
      <c r="BK166">
        <v>2</v>
      </c>
      <c r="BL166">
        <v>2</v>
      </c>
      <c r="BM166">
        <v>1</v>
      </c>
      <c r="BN166">
        <v>2</v>
      </c>
      <c r="BO166">
        <v>2</v>
      </c>
      <c r="BP166">
        <v>2</v>
      </c>
      <c r="BQ166">
        <v>2</v>
      </c>
      <c r="BR166">
        <v>2</v>
      </c>
      <c r="BS166">
        <v>1</v>
      </c>
      <c r="BT166">
        <v>2</v>
      </c>
      <c r="BU166">
        <v>2</v>
      </c>
      <c r="BV166">
        <v>2</v>
      </c>
      <c r="BW166">
        <v>2</v>
      </c>
      <c r="BX166">
        <v>2</v>
      </c>
      <c r="BY166">
        <v>2</v>
      </c>
      <c r="BZ166">
        <v>2</v>
      </c>
      <c r="CA166">
        <v>2</v>
      </c>
      <c r="CB166">
        <v>2</v>
      </c>
      <c r="CD166">
        <v>2</v>
      </c>
    </row>
    <row r="167" spans="1:82" x14ac:dyDescent="0.3">
      <c r="A167">
        <v>621</v>
      </c>
      <c r="B167" t="s">
        <v>900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Y167">
        <v>0</v>
      </c>
      <c r="Z167">
        <v>0</v>
      </c>
      <c r="AA167">
        <v>0</v>
      </c>
      <c r="AB167">
        <v>0</v>
      </c>
      <c r="AC167">
        <v>0</v>
      </c>
      <c r="AD167">
        <v>0</v>
      </c>
      <c r="AE167">
        <v>0</v>
      </c>
      <c r="AF167">
        <v>0</v>
      </c>
      <c r="AG167">
        <v>0</v>
      </c>
      <c r="AH167">
        <v>0</v>
      </c>
      <c r="AI167">
        <v>0</v>
      </c>
      <c r="AJ167">
        <v>0</v>
      </c>
      <c r="AK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52566</v>
      </c>
      <c r="BS167">
        <v>0</v>
      </c>
      <c r="BT167">
        <v>0</v>
      </c>
      <c r="BU167">
        <v>0</v>
      </c>
      <c r="BV167">
        <v>0</v>
      </c>
      <c r="BW167">
        <v>0</v>
      </c>
      <c r="BX167">
        <v>0</v>
      </c>
      <c r="BY167">
        <v>0</v>
      </c>
      <c r="BZ167">
        <v>0</v>
      </c>
      <c r="CA167">
        <v>0</v>
      </c>
      <c r="CB167">
        <v>0</v>
      </c>
      <c r="CD167">
        <v>0</v>
      </c>
    </row>
    <row r="168" spans="1:82" x14ac:dyDescent="0.3">
      <c r="A168">
        <v>622</v>
      </c>
      <c r="B168" t="s">
        <v>901</v>
      </c>
      <c r="D168">
        <v>35886</v>
      </c>
      <c r="E168">
        <v>0</v>
      </c>
      <c r="F168">
        <v>95653</v>
      </c>
      <c r="G168">
        <v>52909</v>
      </c>
      <c r="H168">
        <v>6901</v>
      </c>
      <c r="I168">
        <v>77908</v>
      </c>
      <c r="J168">
        <v>0</v>
      </c>
      <c r="K168">
        <v>0</v>
      </c>
      <c r="L168">
        <v>0</v>
      </c>
      <c r="M168">
        <v>1220642</v>
      </c>
      <c r="N168">
        <v>60884</v>
      </c>
      <c r="O168">
        <v>430788</v>
      </c>
      <c r="P168">
        <v>0</v>
      </c>
      <c r="Q168">
        <v>5950508</v>
      </c>
      <c r="R168">
        <v>145998</v>
      </c>
      <c r="S168">
        <v>0</v>
      </c>
      <c r="T168">
        <v>6242656</v>
      </c>
      <c r="U168">
        <v>2040296</v>
      </c>
      <c r="V168">
        <v>2848655</v>
      </c>
      <c r="W168">
        <v>3062591</v>
      </c>
      <c r="Y168">
        <v>1309691</v>
      </c>
      <c r="Z168">
        <v>158574</v>
      </c>
      <c r="AA168">
        <v>1520560</v>
      </c>
      <c r="AB168">
        <v>511761</v>
      </c>
      <c r="AC168">
        <v>101217</v>
      </c>
      <c r="AD168">
        <v>170536</v>
      </c>
      <c r="AE168">
        <v>306106</v>
      </c>
      <c r="AF168">
        <v>1427778</v>
      </c>
      <c r="AG168">
        <v>1402501</v>
      </c>
      <c r="AH168">
        <v>48002</v>
      </c>
      <c r="AI168">
        <v>5131412</v>
      </c>
      <c r="AJ168">
        <v>12882</v>
      </c>
      <c r="AK168">
        <v>83274</v>
      </c>
      <c r="AM168">
        <v>1955181</v>
      </c>
      <c r="AN168">
        <v>0</v>
      </c>
      <c r="AO168">
        <v>87108</v>
      </c>
      <c r="AP168">
        <v>0</v>
      </c>
      <c r="AQ168">
        <v>504093</v>
      </c>
      <c r="AR168">
        <v>607457</v>
      </c>
      <c r="AS168">
        <v>21317</v>
      </c>
      <c r="AT168">
        <v>161488</v>
      </c>
      <c r="AU168">
        <v>10889</v>
      </c>
      <c r="AV168">
        <v>1440047</v>
      </c>
      <c r="AW168">
        <v>82661</v>
      </c>
      <c r="AX168">
        <v>190933</v>
      </c>
      <c r="AY168">
        <v>574178</v>
      </c>
      <c r="AZ168">
        <v>47353</v>
      </c>
      <c r="BA168">
        <v>111186</v>
      </c>
      <c r="BB168">
        <v>0</v>
      </c>
      <c r="BC168">
        <v>0</v>
      </c>
      <c r="BD168">
        <v>854520</v>
      </c>
      <c r="BE168">
        <v>0</v>
      </c>
      <c r="BF168">
        <v>20704</v>
      </c>
      <c r="BG168">
        <v>0</v>
      </c>
      <c r="BH168">
        <v>0</v>
      </c>
      <c r="BI168">
        <v>7668</v>
      </c>
      <c r="BJ168">
        <v>0</v>
      </c>
      <c r="BK168">
        <v>400575</v>
      </c>
      <c r="BL168">
        <v>82354</v>
      </c>
      <c r="BM168">
        <v>168328</v>
      </c>
      <c r="BN168">
        <v>495965</v>
      </c>
      <c r="BO168">
        <v>104591</v>
      </c>
      <c r="BP168">
        <v>69012</v>
      </c>
      <c r="BQ168">
        <v>1607209</v>
      </c>
      <c r="BR168">
        <v>140631</v>
      </c>
      <c r="BS168">
        <v>1085633</v>
      </c>
      <c r="BT168">
        <v>47388</v>
      </c>
      <c r="BU168">
        <v>579699</v>
      </c>
      <c r="BV168">
        <v>0</v>
      </c>
      <c r="BW168">
        <v>251510</v>
      </c>
      <c r="BX168">
        <v>58277</v>
      </c>
      <c r="BY168">
        <v>0</v>
      </c>
      <c r="BZ168">
        <v>2607</v>
      </c>
      <c r="CA168">
        <v>0</v>
      </c>
      <c r="CB168">
        <v>112873</v>
      </c>
      <c r="CD168">
        <v>0</v>
      </c>
    </row>
    <row r="169" spans="1:82" x14ac:dyDescent="0.3">
      <c r="A169">
        <v>624</v>
      </c>
      <c r="B169" t="s">
        <v>355</v>
      </c>
      <c r="D169">
        <v>2</v>
      </c>
      <c r="E169">
        <v>1</v>
      </c>
      <c r="F169">
        <v>1</v>
      </c>
      <c r="G169">
        <v>1</v>
      </c>
      <c r="H169">
        <v>2</v>
      </c>
      <c r="I169">
        <v>2</v>
      </c>
      <c r="J169">
        <v>1</v>
      </c>
      <c r="K169">
        <v>1</v>
      </c>
      <c r="L169">
        <v>1</v>
      </c>
      <c r="M169">
        <v>1</v>
      </c>
      <c r="N169">
        <v>1</v>
      </c>
      <c r="O169">
        <v>2</v>
      </c>
      <c r="P169">
        <v>1</v>
      </c>
      <c r="Q169">
        <v>2</v>
      </c>
      <c r="R169">
        <v>1</v>
      </c>
      <c r="S169">
        <v>0</v>
      </c>
      <c r="T169">
        <v>1</v>
      </c>
      <c r="U169">
        <v>2</v>
      </c>
      <c r="V169">
        <v>2</v>
      </c>
      <c r="W169">
        <v>1</v>
      </c>
      <c r="Y169">
        <v>2</v>
      </c>
      <c r="Z169">
        <v>1</v>
      </c>
      <c r="AA169">
        <v>2</v>
      </c>
      <c r="AB169">
        <v>1</v>
      </c>
      <c r="AC169">
        <v>2</v>
      </c>
      <c r="AD169">
        <v>1</v>
      </c>
      <c r="AE169">
        <v>1</v>
      </c>
      <c r="AF169">
        <v>2</v>
      </c>
      <c r="AG169">
        <v>1</v>
      </c>
      <c r="AH169">
        <v>1</v>
      </c>
      <c r="AI169">
        <v>1</v>
      </c>
      <c r="AJ169">
        <v>1</v>
      </c>
      <c r="AK169">
        <v>1</v>
      </c>
      <c r="AM169">
        <v>2</v>
      </c>
      <c r="AN169">
        <v>2</v>
      </c>
      <c r="AO169">
        <v>1</v>
      </c>
      <c r="AP169">
        <v>2</v>
      </c>
      <c r="AQ169">
        <v>1</v>
      </c>
      <c r="AR169">
        <v>1</v>
      </c>
      <c r="AS169">
        <v>1</v>
      </c>
      <c r="AT169">
        <v>1</v>
      </c>
      <c r="AU169">
        <v>1</v>
      </c>
      <c r="AV169">
        <v>0</v>
      </c>
      <c r="AW169">
        <v>1</v>
      </c>
      <c r="AX169">
        <v>2</v>
      </c>
      <c r="AY169">
        <v>2</v>
      </c>
      <c r="AZ169">
        <v>2</v>
      </c>
      <c r="BA169">
        <v>1</v>
      </c>
      <c r="BB169">
        <v>2</v>
      </c>
      <c r="BC169">
        <v>2</v>
      </c>
      <c r="BD169">
        <v>1</v>
      </c>
      <c r="BE169">
        <v>2</v>
      </c>
      <c r="BF169">
        <v>1</v>
      </c>
      <c r="BG169">
        <v>1</v>
      </c>
      <c r="BH169">
        <v>1</v>
      </c>
      <c r="BI169">
        <v>1</v>
      </c>
      <c r="BJ169">
        <v>1</v>
      </c>
      <c r="BK169">
        <v>2</v>
      </c>
      <c r="BL169">
        <v>1</v>
      </c>
      <c r="BM169">
        <v>1</v>
      </c>
      <c r="BN169">
        <v>2</v>
      </c>
      <c r="BO169">
        <v>1</v>
      </c>
      <c r="BP169">
        <v>2</v>
      </c>
      <c r="BQ169">
        <v>1</v>
      </c>
      <c r="BR169">
        <v>1</v>
      </c>
      <c r="BS169">
        <v>1</v>
      </c>
      <c r="BT169">
        <v>2</v>
      </c>
      <c r="BU169">
        <v>1</v>
      </c>
      <c r="BV169">
        <v>1</v>
      </c>
      <c r="BW169">
        <v>2</v>
      </c>
      <c r="BX169">
        <v>1</v>
      </c>
      <c r="BY169">
        <v>1</v>
      </c>
      <c r="BZ169">
        <v>1</v>
      </c>
      <c r="CA169">
        <v>1</v>
      </c>
      <c r="CB169">
        <v>2</v>
      </c>
      <c r="CD169">
        <v>1</v>
      </c>
    </row>
    <row r="170" spans="1:82" x14ac:dyDescent="0.3">
      <c r="A170">
        <v>626</v>
      </c>
      <c r="B170" t="s">
        <v>902</v>
      </c>
      <c r="D170">
        <v>45923</v>
      </c>
      <c r="E170">
        <v>22201</v>
      </c>
      <c r="F170">
        <v>127026</v>
      </c>
      <c r="G170">
        <v>311223</v>
      </c>
      <c r="H170">
        <v>42059</v>
      </c>
      <c r="I170">
        <v>508684</v>
      </c>
      <c r="J170">
        <v>377</v>
      </c>
      <c r="K170">
        <v>146585</v>
      </c>
      <c r="L170">
        <v>38980</v>
      </c>
      <c r="M170">
        <v>5651503</v>
      </c>
      <c r="N170">
        <v>38031</v>
      </c>
      <c r="O170">
        <v>270026</v>
      </c>
      <c r="P170">
        <v>1140</v>
      </c>
      <c r="Q170">
        <v>10600936</v>
      </c>
      <c r="R170">
        <v>102761</v>
      </c>
      <c r="S170">
        <v>17577</v>
      </c>
      <c r="T170">
        <v>24848395</v>
      </c>
      <c r="U170">
        <v>3995602</v>
      </c>
      <c r="V170">
        <v>5503762</v>
      </c>
      <c r="W170">
        <v>13876299</v>
      </c>
      <c r="Y170">
        <v>3993158</v>
      </c>
      <c r="Z170">
        <v>261106</v>
      </c>
      <c r="AA170">
        <v>4253189</v>
      </c>
      <c r="AB170">
        <v>354527</v>
      </c>
      <c r="AC170">
        <v>135801</v>
      </c>
      <c r="AD170">
        <v>107741</v>
      </c>
      <c r="AE170">
        <v>250988</v>
      </c>
      <c r="AF170">
        <v>6489831</v>
      </c>
      <c r="AG170">
        <v>525008</v>
      </c>
      <c r="AH170">
        <v>32041</v>
      </c>
      <c r="AI170">
        <v>13940533</v>
      </c>
      <c r="AJ170">
        <v>10579</v>
      </c>
      <c r="AK170">
        <v>11072</v>
      </c>
      <c r="AM170">
        <v>4791187</v>
      </c>
      <c r="AN170">
        <v>72456</v>
      </c>
      <c r="AO170">
        <v>30964</v>
      </c>
      <c r="AP170">
        <v>0</v>
      </c>
      <c r="AQ170">
        <v>2376576</v>
      </c>
      <c r="AR170">
        <v>231135</v>
      </c>
      <c r="AS170">
        <v>29757</v>
      </c>
      <c r="AT170">
        <v>598773</v>
      </c>
      <c r="AU170">
        <v>81258</v>
      </c>
      <c r="AV170">
        <v>460713</v>
      </c>
      <c r="AW170">
        <v>1168152</v>
      </c>
      <c r="AX170">
        <v>67734</v>
      </c>
      <c r="AY170">
        <v>1657971</v>
      </c>
      <c r="AZ170">
        <v>25965</v>
      </c>
      <c r="BA170">
        <v>44408</v>
      </c>
      <c r="BB170">
        <v>0</v>
      </c>
      <c r="BC170">
        <v>14059</v>
      </c>
      <c r="BD170">
        <v>678173</v>
      </c>
      <c r="BE170">
        <v>30798</v>
      </c>
      <c r="BF170">
        <v>13125</v>
      </c>
      <c r="BG170">
        <v>13182</v>
      </c>
      <c r="BH170">
        <v>36116</v>
      </c>
      <c r="BI170">
        <v>60771</v>
      </c>
      <c r="BJ170">
        <v>51967</v>
      </c>
      <c r="BK170">
        <v>1175221</v>
      </c>
      <c r="BL170">
        <v>143055</v>
      </c>
      <c r="BM170">
        <v>135946</v>
      </c>
      <c r="BN170">
        <v>508643</v>
      </c>
      <c r="BO170">
        <v>70887</v>
      </c>
      <c r="BP170">
        <v>31187</v>
      </c>
      <c r="BQ170">
        <v>5163370</v>
      </c>
      <c r="BR170">
        <v>94181</v>
      </c>
      <c r="BS170">
        <v>4703116</v>
      </c>
      <c r="BT170">
        <v>98390</v>
      </c>
      <c r="BU170">
        <v>555102</v>
      </c>
      <c r="BV170">
        <v>675171</v>
      </c>
      <c r="BW170">
        <v>211258</v>
      </c>
      <c r="BX170">
        <v>453163</v>
      </c>
      <c r="BY170">
        <v>39698</v>
      </c>
      <c r="BZ170">
        <v>1250334</v>
      </c>
      <c r="CA170">
        <v>49890</v>
      </c>
      <c r="CB170">
        <v>506306</v>
      </c>
      <c r="CD170">
        <v>24574</v>
      </c>
    </row>
    <row r="171" spans="1:82" x14ac:dyDescent="0.3">
      <c r="A171">
        <v>627</v>
      </c>
      <c r="B171" t="s">
        <v>903</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Y171">
        <v>0</v>
      </c>
      <c r="Z171">
        <v>0</v>
      </c>
      <c r="AA171">
        <v>0</v>
      </c>
      <c r="AB171">
        <v>0</v>
      </c>
      <c r="AC171">
        <v>0</v>
      </c>
      <c r="AD171">
        <v>0</v>
      </c>
      <c r="AE171">
        <v>0</v>
      </c>
      <c r="AF171">
        <v>0</v>
      </c>
      <c r="AG171">
        <v>0</v>
      </c>
      <c r="AH171">
        <v>0</v>
      </c>
      <c r="AI171">
        <v>0</v>
      </c>
      <c r="AJ171">
        <v>0</v>
      </c>
      <c r="AK171">
        <v>0</v>
      </c>
      <c r="AM171">
        <v>0</v>
      </c>
      <c r="AN171">
        <v>0</v>
      </c>
      <c r="AO171">
        <v>0</v>
      </c>
      <c r="AP171">
        <v>0</v>
      </c>
      <c r="AQ171">
        <v>0</v>
      </c>
      <c r="AR171">
        <v>0</v>
      </c>
      <c r="AS171">
        <v>0</v>
      </c>
      <c r="AT171">
        <v>125106</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D171">
        <v>0</v>
      </c>
    </row>
    <row r="172" spans="1:82" x14ac:dyDescent="0.3">
      <c r="A172">
        <v>628</v>
      </c>
      <c r="B172" t="s">
        <v>904</v>
      </c>
      <c r="D172">
        <v>0</v>
      </c>
      <c r="E172">
        <v>0</v>
      </c>
      <c r="F172">
        <v>7753</v>
      </c>
      <c r="G172">
        <v>3013</v>
      </c>
      <c r="H172">
        <v>0</v>
      </c>
      <c r="I172">
        <v>40951</v>
      </c>
      <c r="J172">
        <v>0</v>
      </c>
      <c r="K172">
        <v>0</v>
      </c>
      <c r="L172">
        <v>0</v>
      </c>
      <c r="M172">
        <v>259254</v>
      </c>
      <c r="N172">
        <v>0</v>
      </c>
      <c r="O172">
        <v>0</v>
      </c>
      <c r="P172">
        <v>360</v>
      </c>
      <c r="Q172">
        <v>1873279</v>
      </c>
      <c r="R172">
        <v>0</v>
      </c>
      <c r="S172">
        <v>0</v>
      </c>
      <c r="T172">
        <v>2373933</v>
      </c>
      <c r="U172">
        <v>593869</v>
      </c>
      <c r="V172">
        <v>104619</v>
      </c>
      <c r="W172">
        <v>1279099</v>
      </c>
      <c r="Y172">
        <v>0</v>
      </c>
      <c r="Z172">
        <v>0</v>
      </c>
      <c r="AA172">
        <v>172264</v>
      </c>
      <c r="AB172">
        <v>35000</v>
      </c>
      <c r="AC172">
        <v>0</v>
      </c>
      <c r="AD172">
        <v>44837</v>
      </c>
      <c r="AE172">
        <v>0</v>
      </c>
      <c r="AF172">
        <v>310000</v>
      </c>
      <c r="AG172">
        <v>0</v>
      </c>
      <c r="AH172">
        <v>0</v>
      </c>
      <c r="AI172">
        <v>546588</v>
      </c>
      <c r="AJ172">
        <v>0</v>
      </c>
      <c r="AK172">
        <v>0</v>
      </c>
      <c r="AM172">
        <v>362449</v>
      </c>
      <c r="AN172">
        <v>0</v>
      </c>
      <c r="AO172">
        <v>0</v>
      </c>
      <c r="AP172">
        <v>0</v>
      </c>
      <c r="AQ172">
        <v>0</v>
      </c>
      <c r="AR172">
        <v>70756</v>
      </c>
      <c r="AS172">
        <v>0</v>
      </c>
      <c r="AT172">
        <v>22444</v>
      </c>
      <c r="AU172">
        <v>0</v>
      </c>
      <c r="AV172">
        <v>0</v>
      </c>
      <c r="AW172">
        <v>18365</v>
      </c>
      <c r="AX172">
        <v>0</v>
      </c>
      <c r="AY172">
        <v>137378</v>
      </c>
      <c r="AZ172">
        <v>0</v>
      </c>
      <c r="BA172">
        <v>2752</v>
      </c>
      <c r="BB172">
        <v>0</v>
      </c>
      <c r="BC172">
        <v>0</v>
      </c>
      <c r="BD172">
        <v>0</v>
      </c>
      <c r="BE172">
        <v>0</v>
      </c>
      <c r="BF172">
        <v>0</v>
      </c>
      <c r="BG172">
        <v>0</v>
      </c>
      <c r="BH172">
        <v>0</v>
      </c>
      <c r="BI172">
        <v>0</v>
      </c>
      <c r="BJ172">
        <v>0</v>
      </c>
      <c r="BK172">
        <v>0</v>
      </c>
      <c r="BL172">
        <v>3197</v>
      </c>
      <c r="BM172">
        <v>12703</v>
      </c>
      <c r="BN172">
        <v>90000</v>
      </c>
      <c r="BO172">
        <v>0</v>
      </c>
      <c r="BP172">
        <v>0</v>
      </c>
      <c r="BQ172">
        <v>480092</v>
      </c>
      <c r="BR172">
        <v>0</v>
      </c>
      <c r="BS172">
        <v>35788</v>
      </c>
      <c r="BT172">
        <v>1666</v>
      </c>
      <c r="BU172">
        <v>0</v>
      </c>
      <c r="BV172">
        <v>0</v>
      </c>
      <c r="BW172">
        <v>10596</v>
      </c>
      <c r="BX172">
        <v>0</v>
      </c>
      <c r="BY172">
        <v>0</v>
      </c>
      <c r="BZ172">
        <v>0</v>
      </c>
      <c r="CA172">
        <v>0</v>
      </c>
      <c r="CB172">
        <v>20000</v>
      </c>
      <c r="CD172">
        <v>0</v>
      </c>
    </row>
    <row r="173" spans="1:82" x14ac:dyDescent="0.3">
      <c r="A173">
        <v>629</v>
      </c>
      <c r="B173" t="s">
        <v>905</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Y173">
        <v>0</v>
      </c>
      <c r="Z173">
        <v>0</v>
      </c>
      <c r="AA173">
        <v>0</v>
      </c>
      <c r="AB173">
        <v>0</v>
      </c>
      <c r="AC173">
        <v>0</v>
      </c>
      <c r="AD173">
        <v>0</v>
      </c>
      <c r="AE173">
        <v>0</v>
      </c>
      <c r="AF173">
        <v>0</v>
      </c>
      <c r="AG173">
        <v>0</v>
      </c>
      <c r="AH173">
        <v>0</v>
      </c>
      <c r="AI173">
        <v>0</v>
      </c>
      <c r="AJ173">
        <v>0</v>
      </c>
      <c r="AK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D173">
        <v>0</v>
      </c>
    </row>
    <row r="174" spans="1:82" x14ac:dyDescent="0.3">
      <c r="A174">
        <v>630</v>
      </c>
      <c r="B174" t="s">
        <v>906</v>
      </c>
      <c r="D174">
        <v>0</v>
      </c>
      <c r="E174">
        <v>0</v>
      </c>
      <c r="F174">
        <v>0</v>
      </c>
      <c r="G174">
        <v>0</v>
      </c>
      <c r="H174">
        <v>0</v>
      </c>
      <c r="I174">
        <v>406835</v>
      </c>
      <c r="J174">
        <v>0</v>
      </c>
      <c r="K174">
        <v>0</v>
      </c>
      <c r="L174">
        <v>0</v>
      </c>
      <c r="M174">
        <v>0</v>
      </c>
      <c r="N174">
        <v>0</v>
      </c>
      <c r="O174">
        <v>0</v>
      </c>
      <c r="P174">
        <v>0</v>
      </c>
      <c r="Q174">
        <v>36037</v>
      </c>
      <c r="R174">
        <v>0</v>
      </c>
      <c r="S174">
        <v>15094</v>
      </c>
      <c r="T174">
        <v>7411196</v>
      </c>
      <c r="U174">
        <v>0</v>
      </c>
      <c r="V174">
        <v>0</v>
      </c>
      <c r="W174">
        <v>0</v>
      </c>
      <c r="Y174">
        <v>361274</v>
      </c>
      <c r="Z174">
        <v>181976</v>
      </c>
      <c r="AA174">
        <v>86045</v>
      </c>
      <c r="AB174">
        <v>0</v>
      </c>
      <c r="AC174">
        <v>0</v>
      </c>
      <c r="AD174">
        <v>0</v>
      </c>
      <c r="AE174">
        <v>0</v>
      </c>
      <c r="AF174">
        <v>7710</v>
      </c>
      <c r="AG174">
        <v>0</v>
      </c>
      <c r="AH174">
        <v>0</v>
      </c>
      <c r="AI174">
        <v>0</v>
      </c>
      <c r="AJ174">
        <v>0</v>
      </c>
      <c r="AK174">
        <v>0</v>
      </c>
      <c r="AM174">
        <v>33640</v>
      </c>
      <c r="AN174">
        <v>0</v>
      </c>
      <c r="AO174">
        <v>0</v>
      </c>
      <c r="AP174">
        <v>0</v>
      </c>
      <c r="AQ174">
        <v>0</v>
      </c>
      <c r="AR174">
        <v>0</v>
      </c>
      <c r="AS174">
        <v>0</v>
      </c>
      <c r="AT174">
        <v>0</v>
      </c>
      <c r="AU174">
        <v>73713</v>
      </c>
      <c r="AV174">
        <v>0</v>
      </c>
      <c r="AW174">
        <v>12907</v>
      </c>
      <c r="AX174">
        <v>33000</v>
      </c>
      <c r="AY174">
        <v>0</v>
      </c>
      <c r="AZ174">
        <v>0</v>
      </c>
      <c r="BA174">
        <v>0</v>
      </c>
      <c r="BB174">
        <v>0</v>
      </c>
      <c r="BC174">
        <v>3100</v>
      </c>
      <c r="BD174">
        <v>0</v>
      </c>
      <c r="BE174">
        <v>0</v>
      </c>
      <c r="BF174">
        <v>0</v>
      </c>
      <c r="BG174">
        <v>0</v>
      </c>
      <c r="BH174">
        <v>35336</v>
      </c>
      <c r="BI174">
        <v>58073</v>
      </c>
      <c r="BJ174">
        <v>0</v>
      </c>
      <c r="BK174">
        <v>0</v>
      </c>
      <c r="BL174">
        <v>0</v>
      </c>
      <c r="BM174">
        <v>0</v>
      </c>
      <c r="BN174">
        <v>45437</v>
      </c>
      <c r="BO174">
        <v>0</v>
      </c>
      <c r="BP174">
        <v>0</v>
      </c>
      <c r="BQ174">
        <v>2648376</v>
      </c>
      <c r="BR174">
        <v>0</v>
      </c>
      <c r="BS174">
        <v>0</v>
      </c>
      <c r="BT174">
        <v>0</v>
      </c>
      <c r="BU174">
        <v>0</v>
      </c>
      <c r="BV174">
        <v>632678</v>
      </c>
      <c r="BW174">
        <v>0</v>
      </c>
      <c r="BX174">
        <v>408092</v>
      </c>
      <c r="BY174">
        <v>37915</v>
      </c>
      <c r="BZ174">
        <v>0</v>
      </c>
      <c r="CA174">
        <v>38881</v>
      </c>
      <c r="CB174">
        <v>0</v>
      </c>
      <c r="CD174">
        <v>0</v>
      </c>
    </row>
    <row r="175" spans="1:82" x14ac:dyDescent="0.3">
      <c r="A175">
        <v>631</v>
      </c>
      <c r="B175" t="s">
        <v>907</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Y175">
        <v>0</v>
      </c>
      <c r="Z175">
        <v>0</v>
      </c>
      <c r="AA175">
        <v>0</v>
      </c>
      <c r="AB175">
        <v>0</v>
      </c>
      <c r="AC175">
        <v>0</v>
      </c>
      <c r="AD175">
        <v>0</v>
      </c>
      <c r="AE175">
        <v>0</v>
      </c>
      <c r="AF175">
        <v>0</v>
      </c>
      <c r="AG175">
        <v>0</v>
      </c>
      <c r="AH175">
        <v>0</v>
      </c>
      <c r="AI175">
        <v>0</v>
      </c>
      <c r="AJ175">
        <v>0</v>
      </c>
      <c r="AK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D175">
        <v>0</v>
      </c>
    </row>
    <row r="176" spans="1:82" x14ac:dyDescent="0.3">
      <c r="A176">
        <v>632</v>
      </c>
      <c r="B176" t="s">
        <v>908</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Y176">
        <v>0</v>
      </c>
      <c r="Z176">
        <v>0</v>
      </c>
      <c r="AA176">
        <v>0</v>
      </c>
      <c r="AB176">
        <v>0</v>
      </c>
      <c r="AC176">
        <v>0</v>
      </c>
      <c r="AD176">
        <v>0</v>
      </c>
      <c r="AE176">
        <v>0</v>
      </c>
      <c r="AF176">
        <v>0</v>
      </c>
      <c r="AG176">
        <v>0</v>
      </c>
      <c r="AH176">
        <v>0</v>
      </c>
      <c r="AI176">
        <v>0</v>
      </c>
      <c r="AJ176">
        <v>0</v>
      </c>
      <c r="AK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D176">
        <v>0</v>
      </c>
    </row>
    <row r="177" spans="1:82" x14ac:dyDescent="0.3">
      <c r="A177">
        <v>633</v>
      </c>
      <c r="B177" t="s">
        <v>371</v>
      </c>
      <c r="D177">
        <v>75684</v>
      </c>
      <c r="E177">
        <v>0</v>
      </c>
      <c r="F177">
        <v>129622</v>
      </c>
      <c r="G177">
        <v>0</v>
      </c>
      <c r="H177">
        <v>0</v>
      </c>
      <c r="I177">
        <v>0</v>
      </c>
      <c r="J177">
        <v>19786</v>
      </c>
      <c r="K177">
        <v>0</v>
      </c>
      <c r="L177">
        <v>0</v>
      </c>
      <c r="M177">
        <v>0</v>
      </c>
      <c r="N177">
        <v>0</v>
      </c>
      <c r="O177">
        <v>446051</v>
      </c>
      <c r="P177">
        <v>0</v>
      </c>
      <c r="Q177">
        <v>2841363</v>
      </c>
      <c r="R177">
        <v>51262</v>
      </c>
      <c r="S177">
        <v>0</v>
      </c>
      <c r="T177">
        <v>8254311</v>
      </c>
      <c r="U177">
        <v>2191466</v>
      </c>
      <c r="V177">
        <v>2059911</v>
      </c>
      <c r="W177">
        <v>0</v>
      </c>
      <c r="Y177">
        <v>1125334</v>
      </c>
      <c r="Z177">
        <v>258448</v>
      </c>
      <c r="AA177">
        <v>1060768</v>
      </c>
      <c r="AB177">
        <v>780427</v>
      </c>
      <c r="AC177">
        <v>470574</v>
      </c>
      <c r="AD177">
        <v>462536</v>
      </c>
      <c r="AE177">
        <v>315098</v>
      </c>
      <c r="AF177">
        <v>964397</v>
      </c>
      <c r="AG177">
        <v>425740</v>
      </c>
      <c r="AH177">
        <v>0</v>
      </c>
      <c r="AI177">
        <v>5358836</v>
      </c>
      <c r="AJ177">
        <v>64896</v>
      </c>
      <c r="AK177">
        <v>68390</v>
      </c>
      <c r="AM177">
        <v>1814192</v>
      </c>
      <c r="AN177">
        <v>71575</v>
      </c>
      <c r="AO177">
        <v>155736</v>
      </c>
      <c r="AP177">
        <v>0</v>
      </c>
      <c r="AQ177">
        <v>0</v>
      </c>
      <c r="AR177">
        <v>351708</v>
      </c>
      <c r="AS177">
        <v>0</v>
      </c>
      <c r="AT177">
        <v>1135858</v>
      </c>
      <c r="AU177">
        <v>0</v>
      </c>
      <c r="AV177">
        <v>5282687</v>
      </c>
      <c r="AW177">
        <v>0</v>
      </c>
      <c r="AX177">
        <v>459874</v>
      </c>
      <c r="AY177">
        <v>429571</v>
      </c>
      <c r="AZ177">
        <v>86281</v>
      </c>
      <c r="BA177">
        <v>96780</v>
      </c>
      <c r="BB177">
        <v>0</v>
      </c>
      <c r="BC177">
        <v>123891</v>
      </c>
      <c r="BD177">
        <v>2895408</v>
      </c>
      <c r="BE177">
        <v>0</v>
      </c>
      <c r="BF177">
        <v>262550</v>
      </c>
      <c r="BG177">
        <v>5856</v>
      </c>
      <c r="BH177">
        <v>0</v>
      </c>
      <c r="BI177">
        <v>32386</v>
      </c>
      <c r="BJ177">
        <v>0</v>
      </c>
      <c r="BK177">
        <v>473077</v>
      </c>
      <c r="BL177">
        <v>84760</v>
      </c>
      <c r="BM177">
        <v>354823</v>
      </c>
      <c r="BN177">
        <v>124739</v>
      </c>
      <c r="BO177">
        <v>327858</v>
      </c>
      <c r="BP177">
        <v>110582</v>
      </c>
      <c r="BQ177">
        <v>0</v>
      </c>
      <c r="BR177">
        <v>229727</v>
      </c>
      <c r="BS177">
        <v>0</v>
      </c>
      <c r="BT177">
        <v>89123</v>
      </c>
      <c r="BU177">
        <v>914187</v>
      </c>
      <c r="BV177">
        <v>0</v>
      </c>
      <c r="BW177">
        <v>1312044</v>
      </c>
      <c r="BX177">
        <v>55272</v>
      </c>
      <c r="BY177">
        <v>35125</v>
      </c>
      <c r="BZ177">
        <v>688972</v>
      </c>
      <c r="CA177">
        <v>31256</v>
      </c>
      <c r="CB177">
        <v>144927</v>
      </c>
      <c r="CD177">
        <v>0</v>
      </c>
    </row>
    <row r="178" spans="1:82" x14ac:dyDescent="0.3">
      <c r="A178">
        <v>634</v>
      </c>
      <c r="B178" t="s">
        <v>372</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Y178">
        <v>0</v>
      </c>
      <c r="Z178">
        <v>0</v>
      </c>
      <c r="AA178">
        <v>0</v>
      </c>
      <c r="AB178">
        <v>0</v>
      </c>
      <c r="AC178">
        <v>0</v>
      </c>
      <c r="AD178">
        <v>0</v>
      </c>
      <c r="AE178">
        <v>0</v>
      </c>
      <c r="AF178">
        <v>0</v>
      </c>
      <c r="AG178">
        <v>0</v>
      </c>
      <c r="AH178">
        <v>0</v>
      </c>
      <c r="AI178">
        <v>0</v>
      </c>
      <c r="AJ178">
        <v>0</v>
      </c>
      <c r="AK178">
        <v>0</v>
      </c>
      <c r="AM178">
        <v>0</v>
      </c>
      <c r="AN178">
        <v>0</v>
      </c>
      <c r="AO178">
        <v>0</v>
      </c>
      <c r="AP178">
        <v>0</v>
      </c>
      <c r="AQ178">
        <v>0</v>
      </c>
      <c r="AR178">
        <v>0</v>
      </c>
      <c r="AS178">
        <v>0</v>
      </c>
      <c r="AT178">
        <v>172577</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63483</v>
      </c>
      <c r="BP178">
        <v>0</v>
      </c>
      <c r="BQ178">
        <v>0</v>
      </c>
      <c r="BR178">
        <v>0</v>
      </c>
      <c r="BS178">
        <v>0</v>
      </c>
      <c r="BT178">
        <v>0</v>
      </c>
      <c r="BU178">
        <v>19000</v>
      </c>
      <c r="BV178">
        <v>0</v>
      </c>
      <c r="BW178">
        <v>0</v>
      </c>
      <c r="BX178">
        <v>0</v>
      </c>
      <c r="BY178">
        <v>0</v>
      </c>
      <c r="BZ178">
        <v>0</v>
      </c>
      <c r="CA178">
        <v>0</v>
      </c>
      <c r="CB178">
        <v>500</v>
      </c>
      <c r="CD178">
        <v>0</v>
      </c>
    </row>
    <row r="179" spans="1:82" x14ac:dyDescent="0.3">
      <c r="A179">
        <v>635</v>
      </c>
      <c r="B179" t="s">
        <v>373</v>
      </c>
      <c r="D179">
        <v>0</v>
      </c>
      <c r="E179">
        <v>0</v>
      </c>
      <c r="F179">
        <v>5867</v>
      </c>
      <c r="G179">
        <v>0</v>
      </c>
      <c r="H179">
        <v>0</v>
      </c>
      <c r="I179">
        <v>0</v>
      </c>
      <c r="J179">
        <v>0</v>
      </c>
      <c r="K179">
        <v>0</v>
      </c>
      <c r="L179">
        <v>0</v>
      </c>
      <c r="M179">
        <v>0</v>
      </c>
      <c r="N179">
        <v>0</v>
      </c>
      <c r="O179">
        <v>0</v>
      </c>
      <c r="P179">
        <v>0</v>
      </c>
      <c r="Q179">
        <v>194046</v>
      </c>
      <c r="R179">
        <v>0</v>
      </c>
      <c r="S179">
        <v>0</v>
      </c>
      <c r="T179">
        <v>11659</v>
      </c>
      <c r="U179">
        <v>110790</v>
      </c>
      <c r="V179">
        <v>16711</v>
      </c>
      <c r="W179">
        <v>0</v>
      </c>
      <c r="Y179">
        <v>65316</v>
      </c>
      <c r="Z179">
        <v>0</v>
      </c>
      <c r="AA179">
        <v>34441</v>
      </c>
      <c r="AB179">
        <v>0</v>
      </c>
      <c r="AC179">
        <v>0</v>
      </c>
      <c r="AD179">
        <v>17057</v>
      </c>
      <c r="AE179">
        <v>30000</v>
      </c>
      <c r="AF179">
        <v>20000</v>
      </c>
      <c r="AG179">
        <v>0</v>
      </c>
      <c r="AH179">
        <v>0</v>
      </c>
      <c r="AI179">
        <v>99661</v>
      </c>
      <c r="AJ179">
        <v>0</v>
      </c>
      <c r="AK179">
        <v>0</v>
      </c>
      <c r="AM179">
        <v>64840</v>
      </c>
      <c r="AN179">
        <v>0</v>
      </c>
      <c r="AO179">
        <v>0</v>
      </c>
      <c r="AP179">
        <v>0</v>
      </c>
      <c r="AQ179">
        <v>0</v>
      </c>
      <c r="AR179">
        <v>16152</v>
      </c>
      <c r="AS179">
        <v>0</v>
      </c>
      <c r="AT179">
        <v>2756</v>
      </c>
      <c r="AU179">
        <v>0</v>
      </c>
      <c r="AV179">
        <v>117727</v>
      </c>
      <c r="AW179">
        <v>0</v>
      </c>
      <c r="AX179">
        <v>0</v>
      </c>
      <c r="AY179">
        <v>20486</v>
      </c>
      <c r="AZ179">
        <v>0</v>
      </c>
      <c r="BA179">
        <v>0</v>
      </c>
      <c r="BB179">
        <v>0</v>
      </c>
      <c r="BC179">
        <v>0</v>
      </c>
      <c r="BD179">
        <v>0</v>
      </c>
      <c r="BE179">
        <v>0</v>
      </c>
      <c r="BF179">
        <v>0</v>
      </c>
      <c r="BG179">
        <v>0</v>
      </c>
      <c r="BH179">
        <v>0</v>
      </c>
      <c r="BI179">
        <v>0</v>
      </c>
      <c r="BJ179">
        <v>0</v>
      </c>
      <c r="BK179">
        <v>0</v>
      </c>
      <c r="BL179">
        <v>3197</v>
      </c>
      <c r="BM179">
        <v>81</v>
      </c>
      <c r="BN179">
        <v>9000</v>
      </c>
      <c r="BO179">
        <v>0</v>
      </c>
      <c r="BP179">
        <v>0</v>
      </c>
      <c r="BQ179">
        <v>0</v>
      </c>
      <c r="BR179">
        <v>0</v>
      </c>
      <c r="BS179">
        <v>0</v>
      </c>
      <c r="BT179">
        <v>2278</v>
      </c>
      <c r="BU179">
        <v>0</v>
      </c>
      <c r="BV179">
        <v>0</v>
      </c>
      <c r="BW179">
        <v>8969</v>
      </c>
      <c r="BX179">
        <v>0</v>
      </c>
      <c r="BY179">
        <v>0</v>
      </c>
      <c r="BZ179">
        <v>0</v>
      </c>
      <c r="CA179">
        <v>0</v>
      </c>
      <c r="CB179">
        <v>5000</v>
      </c>
      <c r="CD179">
        <v>0</v>
      </c>
    </row>
    <row r="180" spans="1:82" x14ac:dyDescent="0.3">
      <c r="A180">
        <v>636</v>
      </c>
      <c r="B180" t="s">
        <v>1587</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Y180">
        <v>0</v>
      </c>
      <c r="Z180">
        <v>0</v>
      </c>
      <c r="AA180">
        <v>0</v>
      </c>
      <c r="AB180">
        <v>0</v>
      </c>
      <c r="AC180">
        <v>0</v>
      </c>
      <c r="AD180">
        <v>0</v>
      </c>
      <c r="AE180">
        <v>0</v>
      </c>
      <c r="AF180">
        <v>0</v>
      </c>
      <c r="AG180">
        <v>0</v>
      </c>
      <c r="AH180">
        <v>0</v>
      </c>
      <c r="AI180">
        <v>0</v>
      </c>
      <c r="AJ180">
        <v>0</v>
      </c>
      <c r="AK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D180">
        <v>0</v>
      </c>
    </row>
    <row r="181" spans="1:82" x14ac:dyDescent="0.3">
      <c r="A181">
        <v>637</v>
      </c>
      <c r="B181" t="s">
        <v>1588</v>
      </c>
      <c r="D181">
        <v>33941</v>
      </c>
      <c r="E181">
        <v>0</v>
      </c>
      <c r="F181">
        <v>71277</v>
      </c>
      <c r="G181">
        <v>0</v>
      </c>
      <c r="H181">
        <v>0</v>
      </c>
      <c r="I181">
        <v>0</v>
      </c>
      <c r="J181">
        <v>10518</v>
      </c>
      <c r="K181">
        <v>0</v>
      </c>
      <c r="L181">
        <v>0</v>
      </c>
      <c r="M181">
        <v>0</v>
      </c>
      <c r="N181">
        <v>0</v>
      </c>
      <c r="O181">
        <v>124155</v>
      </c>
      <c r="P181">
        <v>0</v>
      </c>
      <c r="Q181">
        <v>0</v>
      </c>
      <c r="R181">
        <v>7386</v>
      </c>
      <c r="S181">
        <v>0</v>
      </c>
      <c r="T181">
        <v>0</v>
      </c>
      <c r="U181">
        <v>0</v>
      </c>
      <c r="V181">
        <v>0</v>
      </c>
      <c r="W181">
        <v>0</v>
      </c>
      <c r="Y181">
        <v>61125</v>
      </c>
      <c r="Z181">
        <v>0</v>
      </c>
      <c r="AA181">
        <v>286737</v>
      </c>
      <c r="AB181">
        <v>0</v>
      </c>
      <c r="AC181">
        <v>95046</v>
      </c>
      <c r="AD181">
        <v>143655</v>
      </c>
      <c r="AE181">
        <v>127797</v>
      </c>
      <c r="AF181">
        <v>458296</v>
      </c>
      <c r="AG181">
        <v>164908</v>
      </c>
      <c r="AH181">
        <v>0</v>
      </c>
      <c r="AI181">
        <v>0</v>
      </c>
      <c r="AJ181">
        <v>0</v>
      </c>
      <c r="AK181">
        <v>13550</v>
      </c>
      <c r="AM181">
        <v>106768</v>
      </c>
      <c r="AN181">
        <v>25340</v>
      </c>
      <c r="AO181">
        <v>0</v>
      </c>
      <c r="AP181">
        <v>0</v>
      </c>
      <c r="AQ181">
        <v>0</v>
      </c>
      <c r="AR181">
        <v>0</v>
      </c>
      <c r="AS181">
        <v>0</v>
      </c>
      <c r="AT181">
        <v>0</v>
      </c>
      <c r="AU181">
        <v>0</v>
      </c>
      <c r="AV181">
        <v>3642829</v>
      </c>
      <c r="AW181">
        <v>0</v>
      </c>
      <c r="AX181">
        <v>27357</v>
      </c>
      <c r="AY181">
        <v>0</v>
      </c>
      <c r="AZ181">
        <v>36495</v>
      </c>
      <c r="BA181">
        <v>0</v>
      </c>
      <c r="BB181">
        <v>0</v>
      </c>
      <c r="BC181">
        <v>9535</v>
      </c>
      <c r="BD181">
        <v>0</v>
      </c>
      <c r="BE181">
        <v>0</v>
      </c>
      <c r="BF181">
        <v>0</v>
      </c>
      <c r="BG181">
        <v>0</v>
      </c>
      <c r="BH181">
        <v>0</v>
      </c>
      <c r="BI181">
        <v>21180</v>
      </c>
      <c r="BJ181">
        <v>0</v>
      </c>
      <c r="BK181">
        <v>0</v>
      </c>
      <c r="BL181">
        <v>0</v>
      </c>
      <c r="BM181">
        <v>39362</v>
      </c>
      <c r="BN181">
        <v>4856</v>
      </c>
      <c r="BO181">
        <v>67704</v>
      </c>
      <c r="BP181">
        <v>0</v>
      </c>
      <c r="BQ181">
        <v>0</v>
      </c>
      <c r="BR181">
        <v>47956</v>
      </c>
      <c r="BS181">
        <v>0</v>
      </c>
      <c r="BT181">
        <v>0</v>
      </c>
      <c r="BU181">
        <v>103747</v>
      </c>
      <c r="BV181">
        <v>0</v>
      </c>
      <c r="BW181">
        <v>249135</v>
      </c>
      <c r="BX181">
        <v>39071</v>
      </c>
      <c r="BY181">
        <v>0</v>
      </c>
      <c r="BZ181">
        <v>0</v>
      </c>
      <c r="CA181">
        <v>12375</v>
      </c>
      <c r="CB181">
        <v>54310</v>
      </c>
      <c r="CD181">
        <v>0</v>
      </c>
    </row>
    <row r="182" spans="1:82" x14ac:dyDescent="0.3">
      <c r="A182">
        <v>638</v>
      </c>
      <c r="B182" t="s">
        <v>1589</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Y182">
        <v>0</v>
      </c>
      <c r="Z182">
        <v>0</v>
      </c>
      <c r="AA182">
        <v>0</v>
      </c>
      <c r="AB182">
        <v>0</v>
      </c>
      <c r="AC182">
        <v>0</v>
      </c>
      <c r="AD182">
        <v>0</v>
      </c>
      <c r="AE182">
        <v>0</v>
      </c>
      <c r="AF182">
        <v>0</v>
      </c>
      <c r="AG182">
        <v>0</v>
      </c>
      <c r="AH182">
        <v>0</v>
      </c>
      <c r="AI182">
        <v>0</v>
      </c>
      <c r="AJ182">
        <v>0</v>
      </c>
      <c r="AK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D182">
        <v>0</v>
      </c>
    </row>
    <row r="183" spans="1:82" x14ac:dyDescent="0.3">
      <c r="A183">
        <v>639</v>
      </c>
      <c r="B183" t="s">
        <v>1590</v>
      </c>
      <c r="D183">
        <v>0</v>
      </c>
      <c r="E183">
        <v>0</v>
      </c>
      <c r="F183">
        <v>0</v>
      </c>
      <c r="G183">
        <v>0</v>
      </c>
      <c r="H183">
        <v>0</v>
      </c>
      <c r="I183">
        <v>0</v>
      </c>
      <c r="J183">
        <v>0</v>
      </c>
      <c r="K183">
        <v>0</v>
      </c>
      <c r="L183">
        <v>0</v>
      </c>
      <c r="M183">
        <v>0</v>
      </c>
      <c r="N183">
        <v>0</v>
      </c>
      <c r="O183">
        <v>0</v>
      </c>
      <c r="P183">
        <v>0</v>
      </c>
      <c r="Q183">
        <v>7327013</v>
      </c>
      <c r="R183">
        <v>0</v>
      </c>
      <c r="S183">
        <v>0</v>
      </c>
      <c r="T183">
        <v>0</v>
      </c>
      <c r="U183">
        <v>0</v>
      </c>
      <c r="V183">
        <v>2771423</v>
      </c>
      <c r="W183">
        <v>0</v>
      </c>
      <c r="Y183">
        <v>0</v>
      </c>
      <c r="Z183">
        <v>0</v>
      </c>
      <c r="AA183">
        <v>0</v>
      </c>
      <c r="AB183">
        <v>0</v>
      </c>
      <c r="AC183">
        <v>0</v>
      </c>
      <c r="AD183">
        <v>0</v>
      </c>
      <c r="AE183">
        <v>0</v>
      </c>
      <c r="AF183">
        <v>0</v>
      </c>
      <c r="AG183">
        <v>0</v>
      </c>
      <c r="AH183">
        <v>0</v>
      </c>
      <c r="AI183">
        <v>8314696</v>
      </c>
      <c r="AJ183">
        <v>0</v>
      </c>
      <c r="AK183">
        <v>0</v>
      </c>
      <c r="AM183">
        <v>2248655</v>
      </c>
      <c r="AN183">
        <v>0</v>
      </c>
      <c r="AO183">
        <v>0</v>
      </c>
      <c r="AP183">
        <v>0</v>
      </c>
      <c r="AQ183">
        <v>0</v>
      </c>
      <c r="AR183">
        <v>0</v>
      </c>
      <c r="AS183">
        <v>0</v>
      </c>
      <c r="AT183">
        <v>0</v>
      </c>
      <c r="AU183">
        <v>63148</v>
      </c>
      <c r="AV183">
        <v>0</v>
      </c>
      <c r="AW183">
        <v>0</v>
      </c>
      <c r="AX183">
        <v>0</v>
      </c>
      <c r="AY183">
        <v>0</v>
      </c>
      <c r="AZ183">
        <v>0</v>
      </c>
      <c r="BA183">
        <v>0</v>
      </c>
      <c r="BB183">
        <v>0</v>
      </c>
      <c r="BC183">
        <v>0</v>
      </c>
      <c r="BD183">
        <v>0</v>
      </c>
      <c r="BE183">
        <v>0</v>
      </c>
      <c r="BF183">
        <v>0</v>
      </c>
      <c r="BG183">
        <v>0</v>
      </c>
      <c r="BH183">
        <v>0</v>
      </c>
      <c r="BI183">
        <v>0</v>
      </c>
      <c r="BJ183">
        <v>0</v>
      </c>
      <c r="BK183">
        <v>0</v>
      </c>
      <c r="BL183">
        <v>165487</v>
      </c>
      <c r="BM183">
        <v>0</v>
      </c>
      <c r="BN183">
        <v>0</v>
      </c>
      <c r="BO183">
        <v>0</v>
      </c>
      <c r="BP183">
        <v>0</v>
      </c>
      <c r="BQ183">
        <v>0</v>
      </c>
      <c r="BR183">
        <v>400505</v>
      </c>
      <c r="BS183">
        <v>1374716</v>
      </c>
      <c r="BT183">
        <v>0</v>
      </c>
      <c r="BU183">
        <v>0</v>
      </c>
      <c r="BV183">
        <v>0</v>
      </c>
      <c r="BW183">
        <v>0</v>
      </c>
      <c r="BX183">
        <v>0</v>
      </c>
      <c r="BY183">
        <v>0</v>
      </c>
      <c r="BZ183">
        <v>0</v>
      </c>
      <c r="CA183">
        <v>0</v>
      </c>
      <c r="CB183">
        <v>0</v>
      </c>
      <c r="CD183">
        <v>0</v>
      </c>
    </row>
    <row r="184" spans="1:82" x14ac:dyDescent="0.3">
      <c r="A184">
        <v>640</v>
      </c>
      <c r="B184" t="s">
        <v>1591</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Y184">
        <v>0</v>
      </c>
      <c r="Z184">
        <v>0</v>
      </c>
      <c r="AA184">
        <v>0</v>
      </c>
      <c r="AB184">
        <v>0</v>
      </c>
      <c r="AC184">
        <v>0</v>
      </c>
      <c r="AD184">
        <v>0</v>
      </c>
      <c r="AE184">
        <v>0</v>
      </c>
      <c r="AF184">
        <v>0</v>
      </c>
      <c r="AG184">
        <v>0</v>
      </c>
      <c r="AH184">
        <v>0</v>
      </c>
      <c r="AI184">
        <v>0</v>
      </c>
      <c r="AJ184">
        <v>0</v>
      </c>
      <c r="AK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D184">
        <v>0</v>
      </c>
    </row>
    <row r="185" spans="1:82" x14ac:dyDescent="0.3">
      <c r="A185">
        <v>641</v>
      </c>
      <c r="B185" t="s">
        <v>1592</v>
      </c>
      <c r="D185">
        <v>0</v>
      </c>
      <c r="E185">
        <v>0</v>
      </c>
      <c r="F185">
        <v>0</v>
      </c>
      <c r="G185">
        <v>0</v>
      </c>
      <c r="H185">
        <v>0</v>
      </c>
      <c r="I185">
        <v>0</v>
      </c>
      <c r="J185">
        <v>0</v>
      </c>
      <c r="K185">
        <v>0</v>
      </c>
      <c r="L185">
        <v>0</v>
      </c>
      <c r="M185">
        <v>0</v>
      </c>
      <c r="N185">
        <v>0</v>
      </c>
      <c r="O185">
        <v>0</v>
      </c>
      <c r="P185">
        <v>0</v>
      </c>
      <c r="Q185">
        <v>205874</v>
      </c>
      <c r="R185">
        <v>0</v>
      </c>
      <c r="S185">
        <v>0</v>
      </c>
      <c r="T185">
        <v>0</v>
      </c>
      <c r="U185">
        <v>0</v>
      </c>
      <c r="V185">
        <v>11748</v>
      </c>
      <c r="W185">
        <v>0</v>
      </c>
      <c r="Y185">
        <v>0</v>
      </c>
      <c r="Z185">
        <v>0</v>
      </c>
      <c r="AA185">
        <v>0</v>
      </c>
      <c r="AB185">
        <v>0</v>
      </c>
      <c r="AC185">
        <v>0</v>
      </c>
      <c r="AD185">
        <v>0</v>
      </c>
      <c r="AE185">
        <v>0</v>
      </c>
      <c r="AF185">
        <v>0</v>
      </c>
      <c r="AG185">
        <v>0</v>
      </c>
      <c r="AH185">
        <v>0</v>
      </c>
      <c r="AI185">
        <v>120266</v>
      </c>
      <c r="AJ185">
        <v>0</v>
      </c>
      <c r="AK185">
        <v>0</v>
      </c>
      <c r="AM185">
        <v>52728</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3197</v>
      </c>
      <c r="BM185">
        <v>0</v>
      </c>
      <c r="BN185">
        <v>0</v>
      </c>
      <c r="BO185">
        <v>0</v>
      </c>
      <c r="BP185">
        <v>0</v>
      </c>
      <c r="BQ185">
        <v>0</v>
      </c>
      <c r="BR185">
        <v>0</v>
      </c>
      <c r="BS185">
        <v>0</v>
      </c>
      <c r="BT185">
        <v>0</v>
      </c>
      <c r="BU185">
        <v>0</v>
      </c>
      <c r="BV185">
        <v>0</v>
      </c>
      <c r="BW185">
        <v>0</v>
      </c>
      <c r="BX185">
        <v>0</v>
      </c>
      <c r="BY185">
        <v>0</v>
      </c>
      <c r="BZ185">
        <v>0</v>
      </c>
      <c r="CA185">
        <v>0</v>
      </c>
      <c r="CB185">
        <v>0</v>
      </c>
      <c r="CD185">
        <v>0</v>
      </c>
    </row>
    <row r="186" spans="1:82" x14ac:dyDescent="0.3">
      <c r="A186">
        <v>642</v>
      </c>
      <c r="B186" t="s">
        <v>1593</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Y186">
        <v>0</v>
      </c>
      <c r="Z186">
        <v>0</v>
      </c>
      <c r="AA186">
        <v>0</v>
      </c>
      <c r="AB186">
        <v>0</v>
      </c>
      <c r="AC186">
        <v>0</v>
      </c>
      <c r="AD186">
        <v>0</v>
      </c>
      <c r="AE186">
        <v>0</v>
      </c>
      <c r="AF186">
        <v>0</v>
      </c>
      <c r="AG186">
        <v>0</v>
      </c>
      <c r="AH186">
        <v>0</v>
      </c>
      <c r="AI186">
        <v>0</v>
      </c>
      <c r="AJ186">
        <v>0</v>
      </c>
      <c r="AK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D186">
        <v>0</v>
      </c>
    </row>
    <row r="187" spans="1:82" x14ac:dyDescent="0.3">
      <c r="A187">
        <v>643</v>
      </c>
      <c r="B187" t="s">
        <v>1594</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Y187">
        <v>0</v>
      </c>
      <c r="Z187">
        <v>0</v>
      </c>
      <c r="AA187">
        <v>0</v>
      </c>
      <c r="AB187">
        <v>0</v>
      </c>
      <c r="AC187">
        <v>0</v>
      </c>
      <c r="AD187">
        <v>0</v>
      </c>
      <c r="AE187">
        <v>0</v>
      </c>
      <c r="AF187">
        <v>0</v>
      </c>
      <c r="AG187">
        <v>0</v>
      </c>
      <c r="AH187">
        <v>0</v>
      </c>
      <c r="AI187">
        <v>0</v>
      </c>
      <c r="AJ187">
        <v>0</v>
      </c>
      <c r="AK187">
        <v>0</v>
      </c>
      <c r="AM187">
        <v>314094</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56725</v>
      </c>
      <c r="BM187">
        <v>0</v>
      </c>
      <c r="BN187">
        <v>0</v>
      </c>
      <c r="BO187">
        <v>0</v>
      </c>
      <c r="BP187">
        <v>0</v>
      </c>
      <c r="BQ187">
        <v>0</v>
      </c>
      <c r="BR187">
        <v>79721</v>
      </c>
      <c r="BS187">
        <v>268250</v>
      </c>
      <c r="BT187">
        <v>0</v>
      </c>
      <c r="BU187">
        <v>0</v>
      </c>
      <c r="BV187">
        <v>0</v>
      </c>
      <c r="BW187">
        <v>0</v>
      </c>
      <c r="BX187">
        <v>0</v>
      </c>
      <c r="BY187">
        <v>0</v>
      </c>
      <c r="BZ187">
        <v>0</v>
      </c>
      <c r="CA187">
        <v>0</v>
      </c>
      <c r="CB187">
        <v>0</v>
      </c>
      <c r="CD187">
        <v>0</v>
      </c>
    </row>
    <row r="188" spans="1:82" x14ac:dyDescent="0.3">
      <c r="A188">
        <v>644</v>
      </c>
      <c r="B188" t="s">
        <v>1595</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Y188">
        <v>0</v>
      </c>
      <c r="Z188">
        <v>0</v>
      </c>
      <c r="AA188">
        <v>0</v>
      </c>
      <c r="AB188">
        <v>0</v>
      </c>
      <c r="AC188">
        <v>0</v>
      </c>
      <c r="AD188">
        <v>0</v>
      </c>
      <c r="AE188">
        <v>0</v>
      </c>
      <c r="AF188">
        <v>0</v>
      </c>
      <c r="AG188">
        <v>0</v>
      </c>
      <c r="AH188">
        <v>0</v>
      </c>
      <c r="AI188">
        <v>0</v>
      </c>
      <c r="AJ188">
        <v>0</v>
      </c>
      <c r="AK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D188">
        <v>0</v>
      </c>
    </row>
    <row r="189" spans="1:82" x14ac:dyDescent="0.3">
      <c r="A189">
        <v>645</v>
      </c>
      <c r="B189" t="s">
        <v>384</v>
      </c>
      <c r="D189">
        <v>0</v>
      </c>
      <c r="E189">
        <v>0</v>
      </c>
      <c r="F189">
        <v>58514</v>
      </c>
      <c r="G189">
        <v>0</v>
      </c>
      <c r="H189">
        <v>2803960</v>
      </c>
      <c r="I189">
        <v>40869</v>
      </c>
      <c r="J189">
        <v>20231</v>
      </c>
      <c r="K189">
        <v>0</v>
      </c>
      <c r="L189">
        <v>217593</v>
      </c>
      <c r="M189">
        <v>484986</v>
      </c>
      <c r="N189">
        <v>0</v>
      </c>
      <c r="O189">
        <v>171275</v>
      </c>
      <c r="P189">
        <v>0</v>
      </c>
      <c r="Q189">
        <v>19347568</v>
      </c>
      <c r="R189">
        <v>34983</v>
      </c>
      <c r="S189">
        <v>0</v>
      </c>
      <c r="T189">
        <v>2315000</v>
      </c>
      <c r="U189">
        <v>1305293</v>
      </c>
      <c r="V189">
        <v>0</v>
      </c>
      <c r="W189">
        <v>1843887</v>
      </c>
      <c r="Y189">
        <v>915000</v>
      </c>
      <c r="Z189">
        <v>558119</v>
      </c>
      <c r="AA189">
        <v>1530397</v>
      </c>
      <c r="AB189">
        <v>0</v>
      </c>
      <c r="AC189">
        <v>70624</v>
      </c>
      <c r="AD189">
        <v>0</v>
      </c>
      <c r="AE189">
        <v>237100</v>
      </c>
      <c r="AF189">
        <v>3275000</v>
      </c>
      <c r="AG189">
        <v>912579</v>
      </c>
      <c r="AH189">
        <v>0</v>
      </c>
      <c r="AI189">
        <v>0</v>
      </c>
      <c r="AJ189">
        <v>0</v>
      </c>
      <c r="AK189">
        <v>0</v>
      </c>
      <c r="AM189">
        <v>946570</v>
      </c>
      <c r="AN189">
        <v>0</v>
      </c>
      <c r="AO189">
        <v>0</v>
      </c>
      <c r="AP189">
        <v>0</v>
      </c>
      <c r="AQ189">
        <v>0</v>
      </c>
      <c r="AR189">
        <v>0</v>
      </c>
      <c r="AS189">
        <v>0</v>
      </c>
      <c r="AT189">
        <v>301710</v>
      </c>
      <c r="AU189">
        <v>13334</v>
      </c>
      <c r="AV189">
        <v>0</v>
      </c>
      <c r="AW189">
        <v>1473565</v>
      </c>
      <c r="AX189">
        <v>0</v>
      </c>
      <c r="AY189">
        <v>0</v>
      </c>
      <c r="AZ189">
        <v>0</v>
      </c>
      <c r="BA189">
        <v>263998</v>
      </c>
      <c r="BB189">
        <v>0</v>
      </c>
      <c r="BC189">
        <v>0</v>
      </c>
      <c r="BD189">
        <v>230955</v>
      </c>
      <c r="BE189">
        <v>0</v>
      </c>
      <c r="BF189">
        <v>0</v>
      </c>
      <c r="BG189">
        <v>0</v>
      </c>
      <c r="BH189">
        <v>0</v>
      </c>
      <c r="BI189">
        <v>110028</v>
      </c>
      <c r="BJ189">
        <v>85534</v>
      </c>
      <c r="BK189">
        <v>210000</v>
      </c>
      <c r="BL189">
        <v>0</v>
      </c>
      <c r="BM189">
        <v>0</v>
      </c>
      <c r="BN189">
        <v>377000</v>
      </c>
      <c r="BO189">
        <v>0</v>
      </c>
      <c r="BP189">
        <v>365314</v>
      </c>
      <c r="BQ189">
        <v>0</v>
      </c>
      <c r="BR189">
        <v>0</v>
      </c>
      <c r="BS189">
        <v>0</v>
      </c>
      <c r="BT189">
        <v>174267</v>
      </c>
      <c r="BU189">
        <v>57083</v>
      </c>
      <c r="BV189">
        <v>0</v>
      </c>
      <c r="BW189">
        <v>194177</v>
      </c>
      <c r="BX189">
        <v>0</v>
      </c>
      <c r="BY189">
        <v>0</v>
      </c>
      <c r="BZ189">
        <v>23215</v>
      </c>
      <c r="CA189">
        <v>0</v>
      </c>
      <c r="CB189">
        <v>0</v>
      </c>
      <c r="CD189">
        <v>0</v>
      </c>
    </row>
    <row r="190" spans="1:82" x14ac:dyDescent="0.3">
      <c r="A190">
        <v>646</v>
      </c>
      <c r="B190" t="s">
        <v>359</v>
      </c>
      <c r="D190">
        <v>80784</v>
      </c>
      <c r="E190">
        <v>138932</v>
      </c>
      <c r="F190">
        <v>825269</v>
      </c>
      <c r="G190">
        <v>2286997</v>
      </c>
      <c r="H190">
        <v>3762890</v>
      </c>
      <c r="I190">
        <v>5562127</v>
      </c>
      <c r="J190">
        <v>117322</v>
      </c>
      <c r="K190">
        <v>1050691</v>
      </c>
      <c r="L190">
        <v>738077</v>
      </c>
      <c r="M190">
        <v>5576947</v>
      </c>
      <c r="N190">
        <v>725910</v>
      </c>
      <c r="O190">
        <v>5727068</v>
      </c>
      <c r="P190">
        <v>0</v>
      </c>
      <c r="Q190">
        <v>2482625</v>
      </c>
      <c r="R190">
        <v>893598</v>
      </c>
      <c r="S190">
        <v>159766</v>
      </c>
      <c r="T190">
        <v>62220295</v>
      </c>
      <c r="U190">
        <v>5688488</v>
      </c>
      <c r="V190">
        <v>22786499</v>
      </c>
      <c r="W190">
        <v>13711989</v>
      </c>
      <c r="Y190">
        <v>10534305</v>
      </c>
      <c r="Z190">
        <v>497875</v>
      </c>
      <c r="AA190">
        <v>13728521</v>
      </c>
      <c r="AB190">
        <v>968988</v>
      </c>
      <c r="AC190">
        <v>2023253</v>
      </c>
      <c r="AD190">
        <v>1578931</v>
      </c>
      <c r="AE190">
        <v>3316022</v>
      </c>
      <c r="AF190">
        <v>6294383</v>
      </c>
      <c r="AG190">
        <v>3478925</v>
      </c>
      <c r="AH190">
        <v>1493729</v>
      </c>
      <c r="AI190">
        <v>13499590</v>
      </c>
      <c r="AJ190">
        <v>3483325</v>
      </c>
      <c r="AK190">
        <v>901787</v>
      </c>
      <c r="AM190">
        <v>9094080</v>
      </c>
      <c r="AN190">
        <v>587089</v>
      </c>
      <c r="AO190">
        <v>717117</v>
      </c>
      <c r="AP190">
        <v>97797</v>
      </c>
      <c r="AQ190">
        <v>4385429</v>
      </c>
      <c r="AR190">
        <v>5623873</v>
      </c>
      <c r="AS190">
        <v>511978</v>
      </c>
      <c r="AT190">
        <v>986636</v>
      </c>
      <c r="AU190">
        <v>196058</v>
      </c>
      <c r="AV190">
        <v>20894653</v>
      </c>
      <c r="AW190">
        <v>466951</v>
      </c>
      <c r="AX190">
        <v>910966</v>
      </c>
      <c r="AY190">
        <v>5146020</v>
      </c>
      <c r="AZ190">
        <v>2287333</v>
      </c>
      <c r="BA190">
        <v>731747</v>
      </c>
      <c r="BB190">
        <v>127262</v>
      </c>
      <c r="BC190">
        <v>479232</v>
      </c>
      <c r="BD190">
        <v>7505298</v>
      </c>
      <c r="BE190">
        <v>657864</v>
      </c>
      <c r="BF190">
        <v>795236</v>
      </c>
      <c r="BG190">
        <v>226872</v>
      </c>
      <c r="BH190">
        <v>298022</v>
      </c>
      <c r="BI190">
        <v>335570</v>
      </c>
      <c r="BJ190">
        <v>220411</v>
      </c>
      <c r="BK190">
        <v>1884792</v>
      </c>
      <c r="BL190">
        <v>465100</v>
      </c>
      <c r="BM190">
        <v>236532</v>
      </c>
      <c r="BN190">
        <v>1291276</v>
      </c>
      <c r="BO190">
        <v>1341619</v>
      </c>
      <c r="BP190">
        <v>1619431</v>
      </c>
      <c r="BQ190">
        <v>4676778</v>
      </c>
      <c r="BR190">
        <v>351966</v>
      </c>
      <c r="BS190">
        <v>19319196</v>
      </c>
      <c r="BT190">
        <v>427978</v>
      </c>
      <c r="BU190">
        <v>5503076</v>
      </c>
      <c r="BV190">
        <v>632884</v>
      </c>
      <c r="BW190">
        <v>1014058</v>
      </c>
      <c r="BX190">
        <v>1953461</v>
      </c>
      <c r="BY190">
        <v>217016</v>
      </c>
      <c r="BZ190">
        <v>300008</v>
      </c>
      <c r="CA190">
        <v>162530</v>
      </c>
      <c r="CB190">
        <v>128142</v>
      </c>
      <c r="CD190">
        <v>391754</v>
      </c>
    </row>
    <row r="191" spans="1:82" x14ac:dyDescent="0.3">
      <c r="A191">
        <v>647</v>
      </c>
      <c r="B191" t="s">
        <v>909</v>
      </c>
      <c r="D191">
        <v>1924</v>
      </c>
      <c r="E191">
        <v>0</v>
      </c>
      <c r="F191">
        <v>0</v>
      </c>
      <c r="G191">
        <v>0</v>
      </c>
      <c r="H191">
        <v>0</v>
      </c>
      <c r="I191">
        <v>0</v>
      </c>
      <c r="J191">
        <v>0</v>
      </c>
      <c r="K191">
        <v>0</v>
      </c>
      <c r="L191">
        <v>0</v>
      </c>
      <c r="M191">
        <v>0</v>
      </c>
      <c r="N191">
        <v>0</v>
      </c>
      <c r="O191">
        <v>0</v>
      </c>
      <c r="P191">
        <v>0</v>
      </c>
      <c r="Q191">
        <v>0</v>
      </c>
      <c r="R191">
        <v>0</v>
      </c>
      <c r="S191">
        <v>0</v>
      </c>
      <c r="T191">
        <v>0</v>
      </c>
      <c r="U191">
        <v>0</v>
      </c>
      <c r="V191">
        <v>0</v>
      </c>
      <c r="W191">
        <v>993520</v>
      </c>
      <c r="Y191">
        <v>0</v>
      </c>
      <c r="Z191">
        <v>0</v>
      </c>
      <c r="AA191">
        <v>0</v>
      </c>
      <c r="AB191">
        <v>0</v>
      </c>
      <c r="AC191">
        <v>0</v>
      </c>
      <c r="AD191">
        <v>0</v>
      </c>
      <c r="AE191">
        <v>0</v>
      </c>
      <c r="AF191">
        <v>0</v>
      </c>
      <c r="AG191">
        <v>0</v>
      </c>
      <c r="AH191">
        <v>0</v>
      </c>
      <c r="AI191">
        <v>0</v>
      </c>
      <c r="AJ191">
        <v>0</v>
      </c>
      <c r="AK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D191">
        <v>0</v>
      </c>
    </row>
    <row r="192" spans="1:82" x14ac:dyDescent="0.3">
      <c r="A192">
        <v>648</v>
      </c>
      <c r="B192" t="s">
        <v>597</v>
      </c>
      <c r="D192">
        <v>0.55000000000000004</v>
      </c>
      <c r="E192">
        <v>0.4</v>
      </c>
      <c r="F192">
        <v>5.7000000000000002E-3</v>
      </c>
      <c r="G192">
        <v>0.22</v>
      </c>
      <c r="H192">
        <v>0</v>
      </c>
      <c r="I192">
        <v>0.19</v>
      </c>
      <c r="J192">
        <v>0</v>
      </c>
      <c r="K192">
        <v>2.1000000000000001E-2</v>
      </c>
      <c r="L192">
        <v>0.11</v>
      </c>
      <c r="M192">
        <v>0.255</v>
      </c>
      <c r="N192">
        <v>0.22</v>
      </c>
      <c r="O192">
        <v>0.28999999999999998</v>
      </c>
      <c r="P192">
        <v>0.13</v>
      </c>
      <c r="Q192">
        <v>0.50249999999999995</v>
      </c>
      <c r="R192">
        <v>0.43</v>
      </c>
      <c r="S192">
        <v>0</v>
      </c>
      <c r="T192">
        <v>0.57999999999999996</v>
      </c>
      <c r="U192">
        <v>0.38</v>
      </c>
      <c r="V192">
        <v>0.56999999999999995</v>
      </c>
      <c r="W192">
        <v>0.36</v>
      </c>
      <c r="Y192">
        <v>0.6</v>
      </c>
      <c r="Z192">
        <v>0.56999999999999995</v>
      </c>
      <c r="AA192">
        <v>0.48499999999999999</v>
      </c>
      <c r="AB192">
        <v>0.64</v>
      </c>
      <c r="AC192">
        <v>0.505</v>
      </c>
      <c r="AD192">
        <v>0</v>
      </c>
      <c r="AE192">
        <v>0</v>
      </c>
      <c r="AF192">
        <v>0.28749999999999998</v>
      </c>
      <c r="AG192">
        <v>0.57999999999999996</v>
      </c>
      <c r="AH192">
        <v>0.2</v>
      </c>
      <c r="AI192">
        <v>0.48220000000000002</v>
      </c>
      <c r="AJ192">
        <v>0.16</v>
      </c>
      <c r="AK192">
        <v>0.52</v>
      </c>
      <c r="AM192">
        <v>0.54</v>
      </c>
      <c r="AN192">
        <v>0.38</v>
      </c>
      <c r="AO192">
        <v>0.7</v>
      </c>
      <c r="AP192">
        <v>0</v>
      </c>
      <c r="AQ192">
        <v>0</v>
      </c>
      <c r="AR192">
        <v>0.52</v>
      </c>
      <c r="AS192">
        <v>0</v>
      </c>
      <c r="AT192">
        <v>0.39</v>
      </c>
      <c r="AU192">
        <v>0.45</v>
      </c>
      <c r="AV192">
        <v>0</v>
      </c>
      <c r="AW192">
        <v>0.08</v>
      </c>
      <c r="AX192">
        <v>0</v>
      </c>
      <c r="AY192">
        <v>1.6400000000000001E-2</v>
      </c>
      <c r="AZ192">
        <v>0.32</v>
      </c>
      <c r="BA192">
        <v>0.22</v>
      </c>
      <c r="BB192">
        <v>0</v>
      </c>
      <c r="BC192">
        <v>0.21249999999999999</v>
      </c>
      <c r="BD192">
        <v>0.64</v>
      </c>
      <c r="BE192">
        <v>0</v>
      </c>
      <c r="BF192">
        <v>0.5</v>
      </c>
      <c r="BG192">
        <v>0.68</v>
      </c>
      <c r="BH192">
        <v>0.15</v>
      </c>
      <c r="BI192">
        <v>0.3</v>
      </c>
      <c r="BJ192">
        <v>5.5E-2</v>
      </c>
      <c r="BK192">
        <v>0.64</v>
      </c>
      <c r="BL192">
        <v>0.69</v>
      </c>
      <c r="BM192">
        <v>0.56999999999999995</v>
      </c>
      <c r="BN192">
        <v>0.20699999999999999</v>
      </c>
      <c r="BO192">
        <v>4.8000000000000001E-2</v>
      </c>
      <c r="BP192">
        <v>0.4</v>
      </c>
      <c r="BQ192">
        <v>0.315</v>
      </c>
      <c r="BR192">
        <v>0.46</v>
      </c>
      <c r="BS192">
        <v>0.33</v>
      </c>
      <c r="BT192">
        <v>0.55000000000000004</v>
      </c>
      <c r="BU192">
        <v>0.43330000000000002</v>
      </c>
      <c r="BV192">
        <v>0.8</v>
      </c>
      <c r="BW192">
        <v>0.54</v>
      </c>
      <c r="BX192">
        <v>0.3</v>
      </c>
      <c r="BY192">
        <v>0.05</v>
      </c>
      <c r="BZ192">
        <v>0.38</v>
      </c>
      <c r="CA192">
        <v>0</v>
      </c>
      <c r="CB192">
        <v>0</v>
      </c>
      <c r="CD192">
        <v>0.2</v>
      </c>
    </row>
    <row r="193" spans="1:82" x14ac:dyDescent="0.3">
      <c r="A193">
        <v>654</v>
      </c>
      <c r="B193" t="s">
        <v>413</v>
      </c>
      <c r="D193">
        <v>183638</v>
      </c>
      <c r="E193">
        <v>0</v>
      </c>
      <c r="F193">
        <v>849879</v>
      </c>
      <c r="G193">
        <v>0</v>
      </c>
      <c r="H193">
        <v>0</v>
      </c>
      <c r="I193">
        <v>0</v>
      </c>
      <c r="J193">
        <v>72259</v>
      </c>
      <c r="K193">
        <v>0</v>
      </c>
      <c r="L193">
        <v>0</v>
      </c>
      <c r="M193">
        <v>0</v>
      </c>
      <c r="N193">
        <v>0</v>
      </c>
      <c r="O193">
        <v>2915088</v>
      </c>
      <c r="P193">
        <v>0</v>
      </c>
      <c r="Q193">
        <v>57546904</v>
      </c>
      <c r="R193">
        <v>930207</v>
      </c>
      <c r="S193">
        <v>0</v>
      </c>
      <c r="T193">
        <v>69924070</v>
      </c>
      <c r="U193">
        <v>9710218</v>
      </c>
      <c r="V193">
        <v>22183251</v>
      </c>
      <c r="W193">
        <v>0</v>
      </c>
      <c r="Y193">
        <v>9888569</v>
      </c>
      <c r="Z193">
        <v>1925340</v>
      </c>
      <c r="AA193">
        <v>22197759</v>
      </c>
      <c r="AB193">
        <v>2534092</v>
      </c>
      <c r="AC193">
        <v>1732440</v>
      </c>
      <c r="AD193">
        <v>1446259</v>
      </c>
      <c r="AE193">
        <v>2309130</v>
      </c>
      <c r="AF193">
        <v>5107960</v>
      </c>
      <c r="AG193">
        <v>1286108</v>
      </c>
      <c r="AH193">
        <v>0</v>
      </c>
      <c r="AI193">
        <v>24708352</v>
      </c>
      <c r="AJ193">
        <v>423614</v>
      </c>
      <c r="AK193">
        <v>727970</v>
      </c>
      <c r="AM193">
        <v>4984160</v>
      </c>
      <c r="AN193">
        <v>91485</v>
      </c>
      <c r="AO193">
        <v>268186</v>
      </c>
      <c r="AP193">
        <v>0</v>
      </c>
      <c r="AQ193">
        <v>0</v>
      </c>
      <c r="AR193">
        <v>5737671</v>
      </c>
      <c r="AS193">
        <v>0</v>
      </c>
      <c r="AT193">
        <v>2177489</v>
      </c>
      <c r="AU193">
        <v>0</v>
      </c>
      <c r="AV193">
        <v>35468949</v>
      </c>
      <c r="AW193">
        <v>0</v>
      </c>
      <c r="AX193">
        <v>3134411</v>
      </c>
      <c r="AY193">
        <v>18393142</v>
      </c>
      <c r="AZ193">
        <v>1077305</v>
      </c>
      <c r="BA193">
        <v>334755</v>
      </c>
      <c r="BB193">
        <v>0</v>
      </c>
      <c r="BC193">
        <v>91403</v>
      </c>
      <c r="BD193">
        <v>9989134</v>
      </c>
      <c r="BE193">
        <v>0</v>
      </c>
      <c r="BF193">
        <v>298792</v>
      </c>
      <c r="BG193">
        <v>137974</v>
      </c>
      <c r="BH193">
        <v>0</v>
      </c>
      <c r="BI193">
        <v>379461</v>
      </c>
      <c r="BJ193">
        <v>0</v>
      </c>
      <c r="BK193">
        <v>2367135</v>
      </c>
      <c r="BL193">
        <v>652639</v>
      </c>
      <c r="BM193">
        <v>727567</v>
      </c>
      <c r="BN193">
        <v>1169530</v>
      </c>
      <c r="BO193">
        <v>1017610</v>
      </c>
      <c r="BP193">
        <v>1304002</v>
      </c>
      <c r="BQ193">
        <v>0</v>
      </c>
      <c r="BR193">
        <v>1002253</v>
      </c>
      <c r="BS193">
        <v>0</v>
      </c>
      <c r="BT193">
        <v>715670</v>
      </c>
      <c r="BU193">
        <v>7185581</v>
      </c>
      <c r="BV193">
        <v>0</v>
      </c>
      <c r="BW193">
        <v>2070601</v>
      </c>
      <c r="BX193">
        <v>1474280</v>
      </c>
      <c r="BY193">
        <v>36114</v>
      </c>
      <c r="BZ193">
        <v>443104</v>
      </c>
      <c r="CA193">
        <v>79561</v>
      </c>
      <c r="CB193">
        <v>1647557</v>
      </c>
      <c r="CD193">
        <v>35503</v>
      </c>
    </row>
    <row r="194" spans="1:82" x14ac:dyDescent="0.3">
      <c r="A194">
        <v>655</v>
      </c>
      <c r="B194" t="s">
        <v>910</v>
      </c>
      <c r="D194">
        <v>43067</v>
      </c>
      <c r="E194">
        <v>0</v>
      </c>
      <c r="F194">
        <v>71277</v>
      </c>
      <c r="G194">
        <v>0</v>
      </c>
      <c r="H194">
        <v>0</v>
      </c>
      <c r="I194">
        <v>0</v>
      </c>
      <c r="J194">
        <v>10518</v>
      </c>
      <c r="K194">
        <v>0</v>
      </c>
      <c r="L194">
        <v>0</v>
      </c>
      <c r="M194">
        <v>0</v>
      </c>
      <c r="N194">
        <v>0</v>
      </c>
      <c r="O194">
        <v>124155</v>
      </c>
      <c r="P194">
        <v>0</v>
      </c>
      <c r="Q194">
        <v>70105</v>
      </c>
      <c r="R194">
        <v>7386</v>
      </c>
      <c r="S194">
        <v>0</v>
      </c>
      <c r="T194">
        <v>41049171</v>
      </c>
      <c r="U194">
        <v>213760</v>
      </c>
      <c r="V194">
        <v>248599</v>
      </c>
      <c r="W194">
        <v>0</v>
      </c>
      <c r="Y194">
        <v>64459</v>
      </c>
      <c r="Z194">
        <v>161353</v>
      </c>
      <c r="AA194">
        <v>5184364</v>
      </c>
      <c r="AB194">
        <v>194915</v>
      </c>
      <c r="AC194">
        <v>205766</v>
      </c>
      <c r="AD194">
        <v>143655</v>
      </c>
      <c r="AE194">
        <v>127797</v>
      </c>
      <c r="AF194">
        <v>465321</v>
      </c>
      <c r="AG194">
        <v>164908</v>
      </c>
      <c r="AH194">
        <v>0</v>
      </c>
      <c r="AI194">
        <v>0</v>
      </c>
      <c r="AJ194">
        <v>13360</v>
      </c>
      <c r="AK194">
        <v>14655</v>
      </c>
      <c r="AM194">
        <v>470370</v>
      </c>
      <c r="AN194">
        <v>25340</v>
      </c>
      <c r="AO194">
        <v>89154</v>
      </c>
      <c r="AP194">
        <v>0</v>
      </c>
      <c r="AQ194">
        <v>0</v>
      </c>
      <c r="AR194">
        <v>73126</v>
      </c>
      <c r="AS194">
        <v>0</v>
      </c>
      <c r="AT194">
        <v>42369</v>
      </c>
      <c r="AU194">
        <v>0</v>
      </c>
      <c r="AV194">
        <v>0</v>
      </c>
      <c r="AW194">
        <v>0</v>
      </c>
      <c r="AX194">
        <v>27357</v>
      </c>
      <c r="AY194">
        <v>0</v>
      </c>
      <c r="AZ194">
        <v>0</v>
      </c>
      <c r="BA194">
        <v>52099</v>
      </c>
      <c r="BB194">
        <v>0</v>
      </c>
      <c r="BC194">
        <v>9535</v>
      </c>
      <c r="BD194">
        <v>135787</v>
      </c>
      <c r="BE194">
        <v>0</v>
      </c>
      <c r="BF194">
        <v>0</v>
      </c>
      <c r="BG194">
        <v>5856</v>
      </c>
      <c r="BH194">
        <v>0</v>
      </c>
      <c r="BI194">
        <v>21180</v>
      </c>
      <c r="BJ194">
        <v>0</v>
      </c>
      <c r="BK194">
        <v>0</v>
      </c>
      <c r="BL194">
        <v>0</v>
      </c>
      <c r="BM194">
        <v>10088</v>
      </c>
      <c r="BN194">
        <v>4856</v>
      </c>
      <c r="BO194">
        <v>67704</v>
      </c>
      <c r="BP194">
        <v>91722</v>
      </c>
      <c r="BQ194">
        <v>0</v>
      </c>
      <c r="BR194">
        <v>47956</v>
      </c>
      <c r="BS194">
        <v>0</v>
      </c>
      <c r="BT194">
        <v>65242</v>
      </c>
      <c r="BU194">
        <v>123247</v>
      </c>
      <c r="BV194">
        <v>0</v>
      </c>
      <c r="BW194">
        <v>196619</v>
      </c>
      <c r="BX194">
        <v>39071</v>
      </c>
      <c r="BY194">
        <v>0</v>
      </c>
      <c r="BZ194">
        <v>47362</v>
      </c>
      <c r="CA194">
        <v>12375</v>
      </c>
      <c r="CB194">
        <v>106818</v>
      </c>
      <c r="CD194">
        <v>0</v>
      </c>
    </row>
    <row r="195" spans="1:82" x14ac:dyDescent="0.3">
      <c r="A195">
        <v>656</v>
      </c>
      <c r="B195" t="s">
        <v>419</v>
      </c>
      <c r="D195">
        <v>2</v>
      </c>
      <c r="E195">
        <v>2</v>
      </c>
      <c r="F195">
        <v>2</v>
      </c>
      <c r="G195">
        <v>2</v>
      </c>
      <c r="H195">
        <v>0</v>
      </c>
      <c r="I195">
        <v>0</v>
      </c>
      <c r="J195">
        <v>2</v>
      </c>
      <c r="K195">
        <v>0</v>
      </c>
      <c r="L195">
        <v>2</v>
      </c>
      <c r="M195">
        <v>2</v>
      </c>
      <c r="N195">
        <v>2</v>
      </c>
      <c r="O195">
        <v>2</v>
      </c>
      <c r="P195">
        <v>0</v>
      </c>
      <c r="Q195">
        <v>1</v>
      </c>
      <c r="R195">
        <v>0</v>
      </c>
      <c r="S195">
        <v>0</v>
      </c>
      <c r="T195">
        <v>2</v>
      </c>
      <c r="U195">
        <v>2</v>
      </c>
      <c r="V195">
        <v>2</v>
      </c>
      <c r="W195">
        <v>2</v>
      </c>
      <c r="Y195">
        <v>2</v>
      </c>
      <c r="Z195">
        <v>2</v>
      </c>
      <c r="AA195">
        <v>2</v>
      </c>
      <c r="AB195">
        <v>2</v>
      </c>
      <c r="AC195">
        <v>2</v>
      </c>
      <c r="AD195">
        <v>0</v>
      </c>
      <c r="AE195">
        <v>2</v>
      </c>
      <c r="AF195">
        <v>2</v>
      </c>
      <c r="AG195">
        <v>0</v>
      </c>
      <c r="AH195">
        <v>2</v>
      </c>
      <c r="AI195">
        <v>2</v>
      </c>
      <c r="AJ195">
        <v>2</v>
      </c>
      <c r="AK195">
        <v>2</v>
      </c>
      <c r="AM195">
        <v>2</v>
      </c>
      <c r="AN195">
        <v>2</v>
      </c>
      <c r="AO195">
        <v>2</v>
      </c>
      <c r="AP195">
        <v>2</v>
      </c>
      <c r="AQ195">
        <v>0</v>
      </c>
      <c r="AR195">
        <v>0</v>
      </c>
      <c r="AS195">
        <v>0</v>
      </c>
      <c r="AT195">
        <v>2</v>
      </c>
      <c r="AU195">
        <v>2</v>
      </c>
      <c r="AV195">
        <v>0</v>
      </c>
      <c r="AW195">
        <v>2</v>
      </c>
      <c r="AX195">
        <v>2</v>
      </c>
      <c r="AY195">
        <v>2</v>
      </c>
      <c r="AZ195">
        <v>2</v>
      </c>
      <c r="BA195">
        <v>2</v>
      </c>
      <c r="BB195">
        <v>0</v>
      </c>
      <c r="BC195">
        <v>0</v>
      </c>
      <c r="BD195">
        <v>2</v>
      </c>
      <c r="BE195">
        <v>2</v>
      </c>
      <c r="BF195">
        <v>2</v>
      </c>
      <c r="BG195">
        <v>2</v>
      </c>
      <c r="BH195">
        <v>0</v>
      </c>
      <c r="BI195">
        <v>0</v>
      </c>
      <c r="BJ195">
        <v>0</v>
      </c>
      <c r="BK195">
        <v>2</v>
      </c>
      <c r="BL195">
        <v>2</v>
      </c>
      <c r="BM195">
        <v>2</v>
      </c>
      <c r="BN195">
        <v>2</v>
      </c>
      <c r="BO195">
        <v>2</v>
      </c>
      <c r="BP195">
        <v>2</v>
      </c>
      <c r="BQ195">
        <v>2</v>
      </c>
      <c r="BR195">
        <v>2</v>
      </c>
      <c r="BS195">
        <v>2</v>
      </c>
      <c r="BT195">
        <v>2</v>
      </c>
      <c r="BU195">
        <v>2</v>
      </c>
      <c r="BV195">
        <v>2</v>
      </c>
      <c r="BW195">
        <v>0</v>
      </c>
      <c r="BX195">
        <v>0</v>
      </c>
      <c r="BY195">
        <v>0</v>
      </c>
      <c r="BZ195">
        <v>2</v>
      </c>
      <c r="CA195">
        <v>2</v>
      </c>
      <c r="CB195">
        <v>0</v>
      </c>
      <c r="CD195">
        <v>2</v>
      </c>
    </row>
    <row r="196" spans="1:82" x14ac:dyDescent="0.3">
      <c r="A196">
        <v>657</v>
      </c>
      <c r="B196" t="s">
        <v>911</v>
      </c>
      <c r="D196">
        <v>0</v>
      </c>
      <c r="E196">
        <v>0</v>
      </c>
      <c r="F196">
        <v>0</v>
      </c>
      <c r="G196">
        <v>0</v>
      </c>
      <c r="H196">
        <v>0</v>
      </c>
      <c r="I196">
        <v>0</v>
      </c>
      <c r="J196">
        <v>0</v>
      </c>
      <c r="K196">
        <v>0</v>
      </c>
      <c r="L196">
        <v>0</v>
      </c>
      <c r="M196">
        <v>0</v>
      </c>
      <c r="N196">
        <v>0</v>
      </c>
      <c r="O196">
        <v>0</v>
      </c>
      <c r="P196">
        <v>0</v>
      </c>
      <c r="Q196">
        <v>99778542</v>
      </c>
      <c r="R196">
        <v>0</v>
      </c>
      <c r="S196">
        <v>0</v>
      </c>
      <c r="T196">
        <v>0</v>
      </c>
      <c r="U196">
        <v>0</v>
      </c>
      <c r="V196">
        <v>23765124</v>
      </c>
      <c r="W196">
        <v>0</v>
      </c>
      <c r="Y196">
        <v>0</v>
      </c>
      <c r="Z196">
        <v>0</v>
      </c>
      <c r="AA196">
        <v>0</v>
      </c>
      <c r="AB196">
        <v>0</v>
      </c>
      <c r="AC196">
        <v>0</v>
      </c>
      <c r="AD196">
        <v>0</v>
      </c>
      <c r="AE196">
        <v>0</v>
      </c>
      <c r="AF196">
        <v>0</v>
      </c>
      <c r="AG196">
        <v>0</v>
      </c>
      <c r="AH196">
        <v>0</v>
      </c>
      <c r="AI196">
        <v>29324318</v>
      </c>
      <c r="AJ196">
        <v>0</v>
      </c>
      <c r="AK196">
        <v>0</v>
      </c>
      <c r="AM196">
        <v>15237672</v>
      </c>
      <c r="AN196">
        <v>0</v>
      </c>
      <c r="AO196">
        <v>0</v>
      </c>
      <c r="AP196">
        <v>0</v>
      </c>
      <c r="AQ196">
        <v>0</v>
      </c>
      <c r="AR196">
        <v>0</v>
      </c>
      <c r="AS196">
        <v>0</v>
      </c>
      <c r="AT196">
        <v>0</v>
      </c>
      <c r="AU196">
        <v>789558</v>
      </c>
      <c r="AV196">
        <v>0</v>
      </c>
      <c r="AW196">
        <v>0</v>
      </c>
      <c r="AX196">
        <v>0</v>
      </c>
      <c r="AY196">
        <v>0</v>
      </c>
      <c r="AZ196">
        <v>0</v>
      </c>
      <c r="BA196">
        <v>0</v>
      </c>
      <c r="BB196">
        <v>0</v>
      </c>
      <c r="BC196">
        <v>0</v>
      </c>
      <c r="BD196">
        <v>0</v>
      </c>
      <c r="BE196">
        <v>0</v>
      </c>
      <c r="BF196">
        <v>0</v>
      </c>
      <c r="BG196">
        <v>0</v>
      </c>
      <c r="BH196">
        <v>0</v>
      </c>
      <c r="BI196">
        <v>0</v>
      </c>
      <c r="BJ196">
        <v>0</v>
      </c>
      <c r="BK196">
        <v>0</v>
      </c>
      <c r="BL196">
        <v>1700858</v>
      </c>
      <c r="BM196">
        <v>0</v>
      </c>
      <c r="BN196">
        <v>0</v>
      </c>
      <c r="BO196">
        <v>0</v>
      </c>
      <c r="BP196">
        <v>0</v>
      </c>
      <c r="BQ196">
        <v>0</v>
      </c>
      <c r="BR196">
        <v>2235439</v>
      </c>
      <c r="BS196">
        <v>6736969</v>
      </c>
      <c r="BT196">
        <v>0</v>
      </c>
      <c r="BU196">
        <v>0</v>
      </c>
      <c r="BV196">
        <v>0</v>
      </c>
      <c r="BW196">
        <v>0</v>
      </c>
      <c r="BX196">
        <v>0</v>
      </c>
      <c r="BY196">
        <v>0</v>
      </c>
      <c r="BZ196">
        <v>0</v>
      </c>
      <c r="CA196">
        <v>0</v>
      </c>
      <c r="CB196">
        <v>0</v>
      </c>
      <c r="CD196">
        <v>0</v>
      </c>
    </row>
    <row r="197" spans="1:82" x14ac:dyDescent="0.3">
      <c r="A197">
        <v>658</v>
      </c>
      <c r="B197" t="s">
        <v>912</v>
      </c>
      <c r="D197">
        <v>0</v>
      </c>
      <c r="E197">
        <v>0</v>
      </c>
      <c r="F197">
        <v>0</v>
      </c>
      <c r="G197">
        <v>0</v>
      </c>
      <c r="H197">
        <v>0</v>
      </c>
      <c r="I197">
        <v>0</v>
      </c>
      <c r="J197">
        <v>0</v>
      </c>
      <c r="K197">
        <v>0</v>
      </c>
      <c r="L197">
        <v>0</v>
      </c>
      <c r="M197">
        <v>0</v>
      </c>
      <c r="N197">
        <v>0</v>
      </c>
      <c r="O197">
        <v>0</v>
      </c>
      <c r="P197">
        <v>0</v>
      </c>
      <c r="Q197">
        <v>0</v>
      </c>
      <c r="R197">
        <v>0</v>
      </c>
      <c r="S197">
        <v>0</v>
      </c>
      <c r="T197">
        <v>0</v>
      </c>
      <c r="U197">
        <v>0</v>
      </c>
      <c r="V197">
        <v>663773</v>
      </c>
      <c r="W197">
        <v>0</v>
      </c>
      <c r="Y197">
        <v>0</v>
      </c>
      <c r="Z197">
        <v>0</v>
      </c>
      <c r="AA197">
        <v>0</v>
      </c>
      <c r="AB197">
        <v>0</v>
      </c>
      <c r="AC197">
        <v>0</v>
      </c>
      <c r="AD197">
        <v>0</v>
      </c>
      <c r="AE197">
        <v>0</v>
      </c>
      <c r="AF197">
        <v>0</v>
      </c>
      <c r="AG197">
        <v>0</v>
      </c>
      <c r="AH197">
        <v>0</v>
      </c>
      <c r="AI197">
        <v>2634889</v>
      </c>
      <c r="AJ197">
        <v>0</v>
      </c>
      <c r="AK197">
        <v>0</v>
      </c>
      <c r="AM197">
        <v>1282270</v>
      </c>
      <c r="AN197">
        <v>0</v>
      </c>
      <c r="AO197">
        <v>0</v>
      </c>
      <c r="AP197">
        <v>0</v>
      </c>
      <c r="AQ197">
        <v>0</v>
      </c>
      <c r="AR197">
        <v>0</v>
      </c>
      <c r="AS197">
        <v>0</v>
      </c>
      <c r="AT197">
        <v>0</v>
      </c>
      <c r="AU197">
        <v>33338</v>
      </c>
      <c r="AV197">
        <v>0</v>
      </c>
      <c r="AW197">
        <v>0</v>
      </c>
      <c r="AX197">
        <v>0</v>
      </c>
      <c r="AY197">
        <v>0</v>
      </c>
      <c r="AZ197">
        <v>0</v>
      </c>
      <c r="BA197">
        <v>0</v>
      </c>
      <c r="BB197">
        <v>0</v>
      </c>
      <c r="BC197">
        <v>0</v>
      </c>
      <c r="BD197">
        <v>0</v>
      </c>
      <c r="BE197">
        <v>0</v>
      </c>
      <c r="BF197">
        <v>0</v>
      </c>
      <c r="BG197">
        <v>0</v>
      </c>
      <c r="BH197">
        <v>0</v>
      </c>
      <c r="BI197">
        <v>0</v>
      </c>
      <c r="BJ197">
        <v>0</v>
      </c>
      <c r="BK197">
        <v>0</v>
      </c>
      <c r="BL197">
        <v>124393</v>
      </c>
      <c r="BM197">
        <v>0</v>
      </c>
      <c r="BN197">
        <v>0</v>
      </c>
      <c r="BO197">
        <v>0</v>
      </c>
      <c r="BP197">
        <v>0</v>
      </c>
      <c r="BQ197">
        <v>0</v>
      </c>
      <c r="BR197">
        <v>79721</v>
      </c>
      <c r="BS197">
        <v>268250</v>
      </c>
      <c r="BT197">
        <v>0</v>
      </c>
      <c r="BU197">
        <v>0</v>
      </c>
      <c r="BV197">
        <v>0</v>
      </c>
      <c r="BW197">
        <v>0</v>
      </c>
      <c r="BX197">
        <v>0</v>
      </c>
      <c r="BY197">
        <v>0</v>
      </c>
      <c r="BZ197">
        <v>0</v>
      </c>
      <c r="CA197">
        <v>0</v>
      </c>
      <c r="CB197">
        <v>0</v>
      </c>
      <c r="CD197">
        <v>0</v>
      </c>
    </row>
    <row r="198" spans="1:82" x14ac:dyDescent="0.3">
      <c r="A198">
        <v>659</v>
      </c>
      <c r="B198" t="s">
        <v>913</v>
      </c>
      <c r="D198">
        <v>0</v>
      </c>
      <c r="E198">
        <v>0</v>
      </c>
      <c r="F198">
        <v>0</v>
      </c>
      <c r="G198">
        <v>0</v>
      </c>
      <c r="H198">
        <v>0</v>
      </c>
      <c r="I198">
        <v>0</v>
      </c>
      <c r="J198">
        <v>0</v>
      </c>
      <c r="K198">
        <v>0</v>
      </c>
      <c r="L198">
        <v>0</v>
      </c>
      <c r="M198">
        <v>0</v>
      </c>
      <c r="N198">
        <v>0</v>
      </c>
      <c r="O198">
        <v>839594</v>
      </c>
      <c r="P198">
        <v>0</v>
      </c>
      <c r="Q198">
        <v>54275980</v>
      </c>
      <c r="R198">
        <v>0</v>
      </c>
      <c r="S198">
        <v>0</v>
      </c>
      <c r="T198">
        <v>73614702</v>
      </c>
      <c r="U198">
        <v>5132263</v>
      </c>
      <c r="V198">
        <v>16814190</v>
      </c>
      <c r="W198">
        <v>6252466</v>
      </c>
      <c r="Y198">
        <v>0</v>
      </c>
      <c r="Z198">
        <v>0</v>
      </c>
      <c r="AA198">
        <v>5402263</v>
      </c>
      <c r="AB198">
        <v>0</v>
      </c>
      <c r="AC198">
        <v>61008</v>
      </c>
      <c r="AD198">
        <v>0</v>
      </c>
      <c r="AE198">
        <v>0</v>
      </c>
      <c r="AF198">
        <v>5013869</v>
      </c>
      <c r="AG198">
        <v>741793</v>
      </c>
      <c r="AH198">
        <v>0</v>
      </c>
      <c r="AI198">
        <v>46544047</v>
      </c>
      <c r="AJ198">
        <v>0</v>
      </c>
      <c r="AK198">
        <v>0</v>
      </c>
      <c r="AM198">
        <v>1223195</v>
      </c>
      <c r="AN198">
        <v>0</v>
      </c>
      <c r="AO198">
        <v>0</v>
      </c>
      <c r="AP198">
        <v>0</v>
      </c>
      <c r="AQ198">
        <v>0</v>
      </c>
      <c r="AR198">
        <v>2071950</v>
      </c>
      <c r="AS198">
        <v>0</v>
      </c>
      <c r="AT198">
        <v>457524</v>
      </c>
      <c r="AU198">
        <v>0</v>
      </c>
      <c r="AV198">
        <v>4600155</v>
      </c>
      <c r="AW198">
        <v>0</v>
      </c>
      <c r="AX198">
        <v>0</v>
      </c>
      <c r="AY198">
        <v>0</v>
      </c>
      <c r="AZ198">
        <v>0</v>
      </c>
      <c r="BA198">
        <v>0</v>
      </c>
      <c r="BB198">
        <v>0</v>
      </c>
      <c r="BC198">
        <v>0</v>
      </c>
      <c r="BD198">
        <v>7521290</v>
      </c>
      <c r="BE198">
        <v>0</v>
      </c>
      <c r="BF198">
        <v>0</v>
      </c>
      <c r="BG198">
        <v>0</v>
      </c>
      <c r="BH198">
        <v>0</v>
      </c>
      <c r="BI198">
        <v>0</v>
      </c>
      <c r="BJ198">
        <v>0</v>
      </c>
      <c r="BK198">
        <v>2626546</v>
      </c>
      <c r="BL198">
        <v>0</v>
      </c>
      <c r="BM198">
        <v>0</v>
      </c>
      <c r="BN198">
        <v>0</v>
      </c>
      <c r="BO198">
        <v>0</v>
      </c>
      <c r="BP198">
        <v>0</v>
      </c>
      <c r="BQ198">
        <v>0</v>
      </c>
      <c r="BR198">
        <v>52566</v>
      </c>
      <c r="BS198">
        <v>3292520</v>
      </c>
      <c r="BT198">
        <v>0</v>
      </c>
      <c r="BU198">
        <v>1107018</v>
      </c>
      <c r="BV198">
        <v>0</v>
      </c>
      <c r="BW198">
        <v>0</v>
      </c>
      <c r="BX198">
        <v>794028</v>
      </c>
      <c r="BY198">
        <v>0</v>
      </c>
      <c r="BZ198">
        <v>0</v>
      </c>
      <c r="CA198">
        <v>0</v>
      </c>
      <c r="CB198">
        <v>0</v>
      </c>
      <c r="CD198">
        <v>0</v>
      </c>
    </row>
    <row r="199" spans="1:82" x14ac:dyDescent="0.3">
      <c r="A199">
        <v>660</v>
      </c>
      <c r="B199" t="s">
        <v>914</v>
      </c>
      <c r="D199">
        <v>0</v>
      </c>
      <c r="E199">
        <v>0</v>
      </c>
      <c r="F199">
        <v>0</v>
      </c>
      <c r="G199">
        <v>0</v>
      </c>
      <c r="H199">
        <v>0</v>
      </c>
      <c r="I199">
        <v>0</v>
      </c>
      <c r="J199">
        <v>0</v>
      </c>
      <c r="K199">
        <v>0</v>
      </c>
      <c r="L199">
        <v>0</v>
      </c>
      <c r="M199">
        <v>0</v>
      </c>
      <c r="N199">
        <v>0</v>
      </c>
      <c r="O199">
        <v>0</v>
      </c>
      <c r="P199">
        <v>0</v>
      </c>
      <c r="Q199">
        <v>0</v>
      </c>
      <c r="R199">
        <v>0</v>
      </c>
      <c r="S199">
        <v>0</v>
      </c>
      <c r="T199">
        <v>0</v>
      </c>
      <c r="U199">
        <v>0</v>
      </c>
      <c r="V199">
        <v>229342</v>
      </c>
      <c r="W199">
        <v>0</v>
      </c>
      <c r="Y199">
        <v>0</v>
      </c>
      <c r="Z199">
        <v>0</v>
      </c>
      <c r="AA199">
        <v>0</v>
      </c>
      <c r="AB199">
        <v>0</v>
      </c>
      <c r="AC199">
        <v>0</v>
      </c>
      <c r="AD199">
        <v>0</v>
      </c>
      <c r="AE199">
        <v>0</v>
      </c>
      <c r="AF199">
        <v>0</v>
      </c>
      <c r="AG199">
        <v>0</v>
      </c>
      <c r="AH199">
        <v>0</v>
      </c>
      <c r="AI199">
        <v>0</v>
      </c>
      <c r="AJ199">
        <v>0</v>
      </c>
      <c r="AK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D199">
        <v>0</v>
      </c>
    </row>
    <row r="200" spans="1:82" x14ac:dyDescent="0.3">
      <c r="A200">
        <v>661</v>
      </c>
      <c r="B200" t="s">
        <v>418</v>
      </c>
      <c r="D200">
        <v>0</v>
      </c>
      <c r="E200">
        <v>0</v>
      </c>
      <c r="F200">
        <v>0</v>
      </c>
      <c r="G200">
        <v>0</v>
      </c>
      <c r="H200">
        <v>0</v>
      </c>
      <c r="I200">
        <v>0</v>
      </c>
      <c r="J200">
        <v>0</v>
      </c>
      <c r="K200">
        <v>0</v>
      </c>
      <c r="L200">
        <v>0</v>
      </c>
      <c r="M200">
        <v>0</v>
      </c>
      <c r="N200">
        <v>0</v>
      </c>
      <c r="O200">
        <v>0</v>
      </c>
      <c r="P200">
        <v>0</v>
      </c>
      <c r="Q200">
        <v>0</v>
      </c>
      <c r="R200">
        <v>0</v>
      </c>
      <c r="S200">
        <v>0</v>
      </c>
      <c r="T200">
        <v>0</v>
      </c>
      <c r="U200">
        <v>0</v>
      </c>
      <c r="V200">
        <v>1.4</v>
      </c>
      <c r="W200">
        <v>0</v>
      </c>
      <c r="Y200">
        <v>0</v>
      </c>
      <c r="Z200">
        <v>0</v>
      </c>
      <c r="AA200">
        <v>0</v>
      </c>
      <c r="AB200">
        <v>0</v>
      </c>
      <c r="AC200">
        <v>0</v>
      </c>
      <c r="AD200">
        <v>0</v>
      </c>
      <c r="AE200">
        <v>0</v>
      </c>
      <c r="AF200">
        <v>0</v>
      </c>
      <c r="AG200">
        <v>0</v>
      </c>
      <c r="AH200">
        <v>0</v>
      </c>
      <c r="AI200">
        <v>0</v>
      </c>
      <c r="AJ200">
        <v>0</v>
      </c>
      <c r="AK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D200">
        <v>0</v>
      </c>
    </row>
    <row r="201" spans="1:82" x14ac:dyDescent="0.3">
      <c r="A201">
        <v>662</v>
      </c>
      <c r="B201" t="s">
        <v>448</v>
      </c>
      <c r="M201">
        <v>0</v>
      </c>
      <c r="O201">
        <v>0</v>
      </c>
      <c r="Q201">
        <v>0</v>
      </c>
      <c r="T201">
        <v>0</v>
      </c>
      <c r="U201">
        <v>0</v>
      </c>
      <c r="V201">
        <v>0</v>
      </c>
      <c r="W201">
        <v>0</v>
      </c>
      <c r="Y201">
        <v>0</v>
      </c>
      <c r="AA201">
        <v>0</v>
      </c>
      <c r="AB201">
        <v>0</v>
      </c>
      <c r="AF201">
        <v>0</v>
      </c>
      <c r="AI201">
        <v>0</v>
      </c>
      <c r="AM201">
        <v>87972</v>
      </c>
      <c r="AQ201">
        <v>0</v>
      </c>
      <c r="AR201">
        <v>0</v>
      </c>
      <c r="AT201">
        <v>0</v>
      </c>
      <c r="AV201">
        <v>76778</v>
      </c>
      <c r="AY201">
        <v>0</v>
      </c>
      <c r="BD201">
        <v>0</v>
      </c>
      <c r="BG201">
        <v>0</v>
      </c>
      <c r="BK201">
        <v>0</v>
      </c>
      <c r="BM201">
        <v>0</v>
      </c>
      <c r="BQ201">
        <v>0</v>
      </c>
      <c r="BR201">
        <v>11000</v>
      </c>
      <c r="BZ201">
        <v>265</v>
      </c>
      <c r="CB201">
        <v>0</v>
      </c>
    </row>
    <row r="202" spans="1:82" x14ac:dyDescent="0.3">
      <c r="A202">
        <v>663</v>
      </c>
      <c r="B202" t="s">
        <v>915</v>
      </c>
      <c r="M202">
        <v>0</v>
      </c>
      <c r="O202">
        <v>0</v>
      </c>
      <c r="Q202">
        <v>624606</v>
      </c>
      <c r="T202">
        <v>0</v>
      </c>
      <c r="U202">
        <v>0</v>
      </c>
      <c r="V202">
        <v>0</v>
      </c>
      <c r="W202">
        <v>0</v>
      </c>
      <c r="Y202">
        <v>0</v>
      </c>
      <c r="AA202">
        <v>0</v>
      </c>
      <c r="AB202">
        <v>0</v>
      </c>
      <c r="AF202">
        <v>0</v>
      </c>
      <c r="AI202">
        <v>37981</v>
      </c>
      <c r="AM202">
        <v>0</v>
      </c>
      <c r="AQ202">
        <v>0</v>
      </c>
      <c r="AR202">
        <v>0</v>
      </c>
      <c r="AT202">
        <v>0</v>
      </c>
      <c r="AV202">
        <v>0</v>
      </c>
      <c r="AY202">
        <v>0</v>
      </c>
      <c r="BD202">
        <v>0</v>
      </c>
      <c r="BG202">
        <v>0</v>
      </c>
      <c r="BK202">
        <v>0</v>
      </c>
      <c r="BM202">
        <v>0</v>
      </c>
      <c r="BQ202">
        <v>0</v>
      </c>
      <c r="BR202">
        <v>0</v>
      </c>
      <c r="BZ202">
        <v>0</v>
      </c>
      <c r="CB202">
        <v>0</v>
      </c>
    </row>
    <row r="203" spans="1:82" x14ac:dyDescent="0.3">
      <c r="A203">
        <v>906</v>
      </c>
      <c r="B203" t="s">
        <v>916</v>
      </c>
      <c r="D203">
        <v>1</v>
      </c>
      <c r="E203">
        <v>1</v>
      </c>
      <c r="F203">
        <v>1</v>
      </c>
      <c r="G203">
        <v>1</v>
      </c>
      <c r="H203">
        <v>1</v>
      </c>
      <c r="I203">
        <v>1</v>
      </c>
      <c r="J203">
        <v>1</v>
      </c>
      <c r="K203">
        <v>1</v>
      </c>
      <c r="L203">
        <v>1</v>
      </c>
      <c r="M203">
        <v>1</v>
      </c>
      <c r="N203">
        <v>1</v>
      </c>
      <c r="O203">
        <v>1</v>
      </c>
      <c r="P203">
        <v>1</v>
      </c>
      <c r="Q203">
        <v>1</v>
      </c>
      <c r="R203">
        <v>1</v>
      </c>
      <c r="S203">
        <v>1</v>
      </c>
      <c r="T203">
        <v>1</v>
      </c>
      <c r="U203">
        <v>1</v>
      </c>
      <c r="V203">
        <v>1</v>
      </c>
      <c r="W203">
        <v>1</v>
      </c>
      <c r="Y203">
        <v>1</v>
      </c>
      <c r="Z203">
        <v>1</v>
      </c>
      <c r="AA203">
        <v>1</v>
      </c>
      <c r="AB203">
        <v>1</v>
      </c>
      <c r="AC203">
        <v>1</v>
      </c>
      <c r="AD203">
        <v>1</v>
      </c>
      <c r="AE203">
        <v>1</v>
      </c>
      <c r="AF203">
        <v>1</v>
      </c>
      <c r="AG203">
        <v>1</v>
      </c>
      <c r="AH203">
        <v>1</v>
      </c>
      <c r="AI203">
        <v>1</v>
      </c>
      <c r="AJ203">
        <v>1</v>
      </c>
      <c r="AK203">
        <v>1</v>
      </c>
      <c r="AM203">
        <v>1</v>
      </c>
      <c r="AN203">
        <v>1</v>
      </c>
      <c r="AO203">
        <v>1</v>
      </c>
      <c r="AP203">
        <v>1</v>
      </c>
      <c r="AQ203">
        <v>1</v>
      </c>
      <c r="AR203">
        <v>1</v>
      </c>
      <c r="AS203">
        <v>1</v>
      </c>
      <c r="AT203">
        <v>1</v>
      </c>
      <c r="AU203">
        <v>1</v>
      </c>
      <c r="AV203">
        <v>1</v>
      </c>
      <c r="AW203">
        <v>1</v>
      </c>
      <c r="AX203">
        <v>1</v>
      </c>
      <c r="AY203">
        <v>1</v>
      </c>
      <c r="AZ203">
        <v>1</v>
      </c>
      <c r="BA203">
        <v>1</v>
      </c>
      <c r="BB203">
        <v>1</v>
      </c>
      <c r="BC203">
        <v>1</v>
      </c>
      <c r="BD203">
        <v>1</v>
      </c>
      <c r="BE203">
        <v>1</v>
      </c>
      <c r="BF203">
        <v>1</v>
      </c>
      <c r="BG203">
        <v>1</v>
      </c>
      <c r="BH203">
        <v>1</v>
      </c>
      <c r="BI203">
        <v>1</v>
      </c>
      <c r="BJ203">
        <v>1</v>
      </c>
      <c r="BK203">
        <v>1</v>
      </c>
      <c r="BL203">
        <v>1</v>
      </c>
      <c r="BM203">
        <v>1</v>
      </c>
      <c r="BN203">
        <v>1</v>
      </c>
      <c r="BO203">
        <v>1</v>
      </c>
      <c r="BP203">
        <v>1</v>
      </c>
      <c r="BQ203">
        <v>1</v>
      </c>
      <c r="BR203">
        <v>1</v>
      </c>
      <c r="BS203">
        <v>1</v>
      </c>
      <c r="BT203">
        <v>1</v>
      </c>
      <c r="BU203">
        <v>1</v>
      </c>
      <c r="BV203">
        <v>1</v>
      </c>
      <c r="BW203">
        <v>1</v>
      </c>
      <c r="BX203">
        <v>1</v>
      </c>
      <c r="BY203">
        <v>1</v>
      </c>
      <c r="BZ203">
        <v>1</v>
      </c>
      <c r="CA203">
        <v>1</v>
      </c>
      <c r="CB203">
        <v>1</v>
      </c>
      <c r="CD203">
        <v>1</v>
      </c>
    </row>
    <row r="204" spans="1:82" x14ac:dyDescent="0.3">
      <c r="A204">
        <v>907</v>
      </c>
      <c r="B204" t="s">
        <v>917</v>
      </c>
      <c r="D204">
        <v>1</v>
      </c>
      <c r="E204">
        <v>2</v>
      </c>
      <c r="F204">
        <v>2</v>
      </c>
      <c r="G204">
        <v>2</v>
      </c>
      <c r="H204">
        <v>1</v>
      </c>
      <c r="I204">
        <v>2</v>
      </c>
      <c r="J204">
        <v>1</v>
      </c>
      <c r="K204">
        <v>2</v>
      </c>
      <c r="L204">
        <v>2</v>
      </c>
      <c r="M204">
        <v>1</v>
      </c>
      <c r="N204">
        <v>2</v>
      </c>
      <c r="O204">
        <v>2</v>
      </c>
      <c r="P204">
        <v>1</v>
      </c>
      <c r="Q204">
        <v>2</v>
      </c>
      <c r="R204">
        <v>2</v>
      </c>
      <c r="S204">
        <v>1</v>
      </c>
      <c r="T204">
        <v>2</v>
      </c>
      <c r="U204">
        <v>2</v>
      </c>
      <c r="V204">
        <v>2</v>
      </c>
      <c r="W204">
        <v>2</v>
      </c>
      <c r="Y204">
        <v>2</v>
      </c>
      <c r="Z204">
        <v>1</v>
      </c>
      <c r="AA204">
        <v>2</v>
      </c>
      <c r="AB204">
        <v>2</v>
      </c>
      <c r="AC204">
        <v>1</v>
      </c>
      <c r="AD204">
        <v>2</v>
      </c>
      <c r="AE204">
        <v>2</v>
      </c>
      <c r="AF204">
        <v>2</v>
      </c>
      <c r="AG204">
        <v>2</v>
      </c>
      <c r="AH204">
        <v>1</v>
      </c>
      <c r="AI204">
        <v>2</v>
      </c>
      <c r="AJ204">
        <v>2</v>
      </c>
      <c r="AK204">
        <v>1</v>
      </c>
      <c r="AM204">
        <v>2</v>
      </c>
      <c r="AN204">
        <v>2</v>
      </c>
      <c r="AO204">
        <v>2</v>
      </c>
      <c r="AP204">
        <v>1</v>
      </c>
      <c r="AQ204">
        <v>2</v>
      </c>
      <c r="AR204">
        <v>2</v>
      </c>
      <c r="AS204">
        <v>2</v>
      </c>
      <c r="AT204">
        <v>1</v>
      </c>
      <c r="AU204">
        <v>1</v>
      </c>
      <c r="AV204">
        <v>2</v>
      </c>
      <c r="AW204">
        <v>2</v>
      </c>
      <c r="AX204">
        <v>2</v>
      </c>
      <c r="AY204">
        <v>2</v>
      </c>
      <c r="AZ204">
        <v>1</v>
      </c>
      <c r="BA204">
        <v>2</v>
      </c>
      <c r="BB204">
        <v>1</v>
      </c>
      <c r="BC204">
        <v>1</v>
      </c>
      <c r="BD204">
        <v>1</v>
      </c>
      <c r="BE204">
        <v>1</v>
      </c>
      <c r="BF204">
        <v>1</v>
      </c>
      <c r="BG204">
        <v>2</v>
      </c>
      <c r="BH204">
        <v>1</v>
      </c>
      <c r="BI204">
        <v>1</v>
      </c>
      <c r="BJ204">
        <v>1</v>
      </c>
      <c r="BK204">
        <v>2</v>
      </c>
      <c r="BL204">
        <v>2</v>
      </c>
      <c r="BM204">
        <v>2</v>
      </c>
      <c r="BN204">
        <v>1</v>
      </c>
      <c r="BO204">
        <v>1</v>
      </c>
      <c r="BP204">
        <v>2</v>
      </c>
      <c r="BQ204">
        <v>2</v>
      </c>
      <c r="BR204">
        <v>2</v>
      </c>
      <c r="BS204">
        <v>2</v>
      </c>
      <c r="BT204">
        <v>1</v>
      </c>
      <c r="BU204">
        <v>2</v>
      </c>
      <c r="BV204">
        <v>2</v>
      </c>
      <c r="BW204">
        <v>2</v>
      </c>
      <c r="BX204">
        <v>1</v>
      </c>
      <c r="BY204">
        <v>1</v>
      </c>
      <c r="BZ204">
        <v>2</v>
      </c>
      <c r="CA204">
        <v>1</v>
      </c>
      <c r="CB204">
        <v>1</v>
      </c>
      <c r="CD204">
        <v>2</v>
      </c>
    </row>
    <row r="205" spans="1:82" x14ac:dyDescent="0.3">
      <c r="A205">
        <v>947</v>
      </c>
      <c r="B205" t="s">
        <v>918</v>
      </c>
      <c r="D205" t="s">
        <v>2076</v>
      </c>
      <c r="E205" t="s">
        <v>2077</v>
      </c>
      <c r="F205" t="s">
        <v>2078</v>
      </c>
      <c r="G205" t="s">
        <v>2079</v>
      </c>
      <c r="H205" t="s">
        <v>1062</v>
      </c>
      <c r="I205" t="s">
        <v>2080</v>
      </c>
      <c r="J205" t="s">
        <v>2081</v>
      </c>
      <c r="K205" t="s">
        <v>2082</v>
      </c>
      <c r="L205" t="s">
        <v>1596</v>
      </c>
      <c r="M205" t="s">
        <v>2083</v>
      </c>
      <c r="N205" t="s">
        <v>2084</v>
      </c>
      <c r="O205" t="s">
        <v>1985</v>
      </c>
      <c r="P205" t="s">
        <v>2085</v>
      </c>
      <c r="Q205" t="s">
        <v>1597</v>
      </c>
      <c r="R205" t="s">
        <v>2086</v>
      </c>
      <c r="S205" t="s">
        <v>2087</v>
      </c>
      <c r="T205" t="s">
        <v>1554</v>
      </c>
      <c r="U205" t="s">
        <v>2088</v>
      </c>
      <c r="V205" t="s">
        <v>2089</v>
      </c>
      <c r="W205" t="s">
        <v>2076</v>
      </c>
      <c r="Y205" t="s">
        <v>2090</v>
      </c>
      <c r="Z205" t="s">
        <v>2091</v>
      </c>
      <c r="AA205" t="s">
        <v>2092</v>
      </c>
      <c r="AB205" t="s">
        <v>2093</v>
      </c>
      <c r="AC205" t="s">
        <v>2091</v>
      </c>
      <c r="AD205" t="s">
        <v>1549</v>
      </c>
      <c r="AE205" t="s">
        <v>2094</v>
      </c>
      <c r="AF205" t="s">
        <v>2091</v>
      </c>
      <c r="AG205" t="s">
        <v>2095</v>
      </c>
      <c r="AH205" t="s">
        <v>2096</v>
      </c>
      <c r="AI205" t="s">
        <v>2097</v>
      </c>
      <c r="AJ205" t="s">
        <v>920</v>
      </c>
      <c r="AK205" t="s">
        <v>2098</v>
      </c>
      <c r="AM205" t="s">
        <v>2099</v>
      </c>
      <c r="AN205" t="s">
        <v>2100</v>
      </c>
      <c r="AO205" t="s">
        <v>2101</v>
      </c>
      <c r="AP205" t="s">
        <v>2102</v>
      </c>
      <c r="AQ205" t="s">
        <v>2103</v>
      </c>
      <c r="AR205" t="s">
        <v>2104</v>
      </c>
      <c r="AS205" t="s">
        <v>2105</v>
      </c>
      <c r="AT205" t="s">
        <v>2106</v>
      </c>
      <c r="AU205" t="s">
        <v>2080</v>
      </c>
      <c r="AV205" t="s">
        <v>1596</v>
      </c>
      <c r="AW205" t="s">
        <v>2106</v>
      </c>
      <c r="AX205" t="s">
        <v>2107</v>
      </c>
      <c r="AY205" t="s">
        <v>2108</v>
      </c>
      <c r="AZ205" t="s">
        <v>2109</v>
      </c>
      <c r="BA205" t="s">
        <v>1547</v>
      </c>
      <c r="BB205" t="s">
        <v>2110</v>
      </c>
      <c r="BC205" t="s">
        <v>2111</v>
      </c>
      <c r="BD205" t="s">
        <v>1993</v>
      </c>
      <c r="BE205" t="s">
        <v>2112</v>
      </c>
      <c r="BF205" t="s">
        <v>2113</v>
      </c>
      <c r="BG205" t="s">
        <v>2114</v>
      </c>
      <c r="BH205" t="s">
        <v>2115</v>
      </c>
      <c r="BI205" t="s">
        <v>2116</v>
      </c>
      <c r="BJ205" t="s">
        <v>2117</v>
      </c>
      <c r="BK205" t="s">
        <v>2118</v>
      </c>
      <c r="BL205" t="s">
        <v>1550</v>
      </c>
      <c r="BM205" t="s">
        <v>2116</v>
      </c>
      <c r="BN205" t="s">
        <v>2119</v>
      </c>
      <c r="BO205" t="s">
        <v>2104</v>
      </c>
      <c r="BP205" t="s">
        <v>2120</v>
      </c>
      <c r="BQ205" t="s">
        <v>2121</v>
      </c>
      <c r="BR205" t="s">
        <v>1548</v>
      </c>
      <c r="BS205" t="s">
        <v>2122</v>
      </c>
      <c r="BT205" t="s">
        <v>1597</v>
      </c>
      <c r="BU205" t="s">
        <v>2113</v>
      </c>
      <c r="BV205" t="s">
        <v>2112</v>
      </c>
      <c r="BW205" t="s">
        <v>2123</v>
      </c>
      <c r="BX205" t="s">
        <v>2124</v>
      </c>
      <c r="BY205" t="s">
        <v>2125</v>
      </c>
      <c r="BZ205" t="s">
        <v>2126</v>
      </c>
      <c r="CA205" t="s">
        <v>2127</v>
      </c>
      <c r="CB205" t="s">
        <v>2128</v>
      </c>
      <c r="CD205" t="s">
        <v>2552</v>
      </c>
    </row>
    <row r="206" spans="1:82" x14ac:dyDescent="0.3">
      <c r="A206">
        <v>948</v>
      </c>
      <c r="B206" t="s">
        <v>921</v>
      </c>
      <c r="D206" t="s">
        <v>2129</v>
      </c>
      <c r="E206" t="s">
        <v>2130</v>
      </c>
      <c r="F206" t="s">
        <v>2131</v>
      </c>
      <c r="G206" t="s">
        <v>2132</v>
      </c>
      <c r="H206" t="s">
        <v>2133</v>
      </c>
      <c r="I206" t="s">
        <v>1598</v>
      </c>
      <c r="J206" t="s">
        <v>1557</v>
      </c>
      <c r="K206" t="s">
        <v>2134</v>
      </c>
      <c r="L206" t="s">
        <v>2135</v>
      </c>
      <c r="M206" t="s">
        <v>2136</v>
      </c>
      <c r="N206" t="s">
        <v>2137</v>
      </c>
      <c r="O206" t="s">
        <v>2138</v>
      </c>
      <c r="P206" t="s">
        <v>2139</v>
      </c>
      <c r="Q206" t="s">
        <v>2140</v>
      </c>
      <c r="R206" t="s">
        <v>2141</v>
      </c>
      <c r="S206" t="s">
        <v>2142</v>
      </c>
      <c r="T206" t="s">
        <v>2143</v>
      </c>
      <c r="U206" t="s">
        <v>2144</v>
      </c>
      <c r="V206" t="s">
        <v>2145</v>
      </c>
      <c r="W206" t="s">
        <v>2146</v>
      </c>
      <c r="Y206" t="s">
        <v>2147</v>
      </c>
      <c r="Z206" t="s">
        <v>2148</v>
      </c>
      <c r="AA206" t="s">
        <v>1555</v>
      </c>
      <c r="AB206" t="s">
        <v>2149</v>
      </c>
      <c r="AC206" t="s">
        <v>2150</v>
      </c>
      <c r="AD206" t="s">
        <v>1994</v>
      </c>
      <c r="AE206" t="s">
        <v>2151</v>
      </c>
      <c r="AF206" t="s">
        <v>1599</v>
      </c>
      <c r="AG206" t="s">
        <v>2152</v>
      </c>
      <c r="AH206" t="s">
        <v>2153</v>
      </c>
      <c r="AI206" t="s">
        <v>2154</v>
      </c>
      <c r="AJ206" t="s">
        <v>1552</v>
      </c>
      <c r="AK206" t="s">
        <v>1553</v>
      </c>
      <c r="AM206" t="s">
        <v>2155</v>
      </c>
      <c r="AN206" t="s">
        <v>2156</v>
      </c>
      <c r="AO206" t="s">
        <v>2157</v>
      </c>
      <c r="AP206" t="s">
        <v>2158</v>
      </c>
      <c r="AQ206" t="s">
        <v>2159</v>
      </c>
      <c r="AR206" t="s">
        <v>2160</v>
      </c>
      <c r="AS206" t="s">
        <v>2140</v>
      </c>
      <c r="AT206" t="s">
        <v>2161</v>
      </c>
      <c r="AU206" t="s">
        <v>2162</v>
      </c>
      <c r="AV206" t="s">
        <v>2163</v>
      </c>
      <c r="AW206" t="s">
        <v>2164</v>
      </c>
      <c r="AX206" t="s">
        <v>2165</v>
      </c>
      <c r="AY206" t="s">
        <v>2166</v>
      </c>
      <c r="AZ206" t="s">
        <v>1600</v>
      </c>
      <c r="BA206" t="s">
        <v>1599</v>
      </c>
      <c r="BB206" t="s">
        <v>2167</v>
      </c>
      <c r="BC206" t="s">
        <v>2168</v>
      </c>
      <c r="BD206" t="s">
        <v>1995</v>
      </c>
      <c r="BE206" t="s">
        <v>2169</v>
      </c>
      <c r="BF206" t="s">
        <v>2170</v>
      </c>
      <c r="BG206" t="s">
        <v>2171</v>
      </c>
      <c r="BH206" t="s">
        <v>2172</v>
      </c>
      <c r="BI206" t="s">
        <v>510</v>
      </c>
      <c r="BJ206" t="s">
        <v>2173</v>
      </c>
      <c r="BK206" t="s">
        <v>1559</v>
      </c>
      <c r="BL206" t="s">
        <v>1558</v>
      </c>
      <c r="BM206" t="s">
        <v>2174</v>
      </c>
      <c r="BN206" t="s">
        <v>2175</v>
      </c>
      <c r="BO206" t="s">
        <v>2176</v>
      </c>
      <c r="BP206" t="s">
        <v>2177</v>
      </c>
      <c r="BQ206" t="s">
        <v>2178</v>
      </c>
      <c r="BR206" t="s">
        <v>2179</v>
      </c>
      <c r="BS206" t="s">
        <v>2180</v>
      </c>
      <c r="BT206" t="s">
        <v>2181</v>
      </c>
      <c r="BU206" t="s">
        <v>2182</v>
      </c>
      <c r="BV206" t="s">
        <v>2183</v>
      </c>
      <c r="BW206" t="s">
        <v>1021</v>
      </c>
      <c r="BX206" t="s">
        <v>2184</v>
      </c>
      <c r="BY206" t="s">
        <v>2185</v>
      </c>
      <c r="BZ206" t="s">
        <v>1551</v>
      </c>
      <c r="CA206" t="s">
        <v>2186</v>
      </c>
      <c r="CB206" t="s">
        <v>1256</v>
      </c>
      <c r="CD206" t="s">
        <v>936</v>
      </c>
    </row>
    <row r="207" spans="1:82" x14ac:dyDescent="0.3">
      <c r="A207">
        <v>949</v>
      </c>
      <c r="B207" t="s">
        <v>922</v>
      </c>
      <c r="D207" t="s">
        <v>410</v>
      </c>
      <c r="E207" t="s">
        <v>410</v>
      </c>
      <c r="F207" t="s">
        <v>410</v>
      </c>
      <c r="G207" t="s">
        <v>410</v>
      </c>
      <c r="H207" t="s">
        <v>410</v>
      </c>
      <c r="I207" t="s">
        <v>410</v>
      </c>
      <c r="J207" t="s">
        <v>410</v>
      </c>
      <c r="K207" t="s">
        <v>410</v>
      </c>
      <c r="L207" t="s">
        <v>410</v>
      </c>
      <c r="M207" t="s">
        <v>410</v>
      </c>
      <c r="N207" t="s">
        <v>410</v>
      </c>
      <c r="O207" t="s">
        <v>410</v>
      </c>
      <c r="P207" t="s">
        <v>410</v>
      </c>
      <c r="Q207" t="s">
        <v>410</v>
      </c>
      <c r="R207" t="s">
        <v>2187</v>
      </c>
      <c r="S207" t="s">
        <v>410</v>
      </c>
      <c r="T207" t="s">
        <v>2187</v>
      </c>
      <c r="U207" t="s">
        <v>410</v>
      </c>
      <c r="V207" t="s">
        <v>410</v>
      </c>
      <c r="W207" t="s">
        <v>410</v>
      </c>
      <c r="Y207" t="s">
        <v>410</v>
      </c>
      <c r="Z207" t="s">
        <v>410</v>
      </c>
      <c r="AA207" t="s">
        <v>410</v>
      </c>
      <c r="AB207" t="s">
        <v>410</v>
      </c>
      <c r="AC207" t="s">
        <v>410</v>
      </c>
      <c r="AD207" t="s">
        <v>410</v>
      </c>
      <c r="AE207" t="s">
        <v>410</v>
      </c>
      <c r="AF207" t="s">
        <v>410</v>
      </c>
      <c r="AG207" t="s">
        <v>410</v>
      </c>
      <c r="AH207" t="s">
        <v>410</v>
      </c>
      <c r="AI207" t="s">
        <v>410</v>
      </c>
      <c r="AJ207" t="s">
        <v>410</v>
      </c>
      <c r="AK207" t="s">
        <v>410</v>
      </c>
      <c r="AM207" t="s">
        <v>410</v>
      </c>
      <c r="AN207" t="s">
        <v>410</v>
      </c>
      <c r="AO207" t="s">
        <v>2188</v>
      </c>
      <c r="AP207" t="s">
        <v>410</v>
      </c>
      <c r="AQ207" t="s">
        <v>410</v>
      </c>
      <c r="AR207" t="s">
        <v>410</v>
      </c>
      <c r="AS207" t="s">
        <v>410</v>
      </c>
      <c r="AT207" t="s">
        <v>410</v>
      </c>
      <c r="AU207" t="s">
        <v>410</v>
      </c>
      <c r="AV207" t="s">
        <v>410</v>
      </c>
      <c r="AW207" t="s">
        <v>410</v>
      </c>
      <c r="AX207" t="s">
        <v>410</v>
      </c>
      <c r="AY207" t="s">
        <v>410</v>
      </c>
      <c r="AZ207" t="s">
        <v>410</v>
      </c>
      <c r="BA207" t="s">
        <v>410</v>
      </c>
      <c r="BB207" t="s">
        <v>410</v>
      </c>
      <c r="BC207" t="s">
        <v>410</v>
      </c>
      <c r="BD207" t="s">
        <v>410</v>
      </c>
      <c r="BE207" t="s">
        <v>410</v>
      </c>
      <c r="BF207" t="s">
        <v>410</v>
      </c>
      <c r="BG207" t="s">
        <v>410</v>
      </c>
      <c r="BH207" t="s">
        <v>410</v>
      </c>
      <c r="BI207" t="s">
        <v>410</v>
      </c>
      <c r="BJ207" t="s">
        <v>410</v>
      </c>
      <c r="BK207" t="s">
        <v>410</v>
      </c>
      <c r="BL207" t="s">
        <v>410</v>
      </c>
      <c r="BM207" t="s">
        <v>1996</v>
      </c>
      <c r="BN207" t="s">
        <v>410</v>
      </c>
      <c r="BO207" t="s">
        <v>410</v>
      </c>
      <c r="BP207" t="s">
        <v>410</v>
      </c>
      <c r="BQ207" t="s">
        <v>410</v>
      </c>
      <c r="BR207" t="s">
        <v>410</v>
      </c>
      <c r="BS207" t="s">
        <v>410</v>
      </c>
      <c r="BT207" t="s">
        <v>410</v>
      </c>
      <c r="BU207" t="s">
        <v>410</v>
      </c>
      <c r="BV207" t="s">
        <v>410</v>
      </c>
      <c r="BW207" t="s">
        <v>410</v>
      </c>
      <c r="BX207" t="s">
        <v>410</v>
      </c>
      <c r="BY207" t="s">
        <v>410</v>
      </c>
      <c r="BZ207" t="s">
        <v>410</v>
      </c>
      <c r="CA207" t="s">
        <v>410</v>
      </c>
      <c r="CB207" t="s">
        <v>410</v>
      </c>
      <c r="CD207" t="s">
        <v>410</v>
      </c>
    </row>
    <row r="208" spans="1:82" x14ac:dyDescent="0.3">
      <c r="A208">
        <v>950</v>
      </c>
      <c r="B208" t="s">
        <v>923</v>
      </c>
      <c r="D208" t="s">
        <v>50</v>
      </c>
      <c r="E208" t="s">
        <v>50</v>
      </c>
      <c r="F208" t="s">
        <v>50</v>
      </c>
      <c r="G208" t="s">
        <v>50</v>
      </c>
      <c r="H208" t="s">
        <v>50</v>
      </c>
      <c r="I208" t="s">
        <v>50</v>
      </c>
      <c r="J208" t="s">
        <v>50</v>
      </c>
      <c r="K208" t="s">
        <v>50</v>
      </c>
      <c r="L208" t="s">
        <v>50</v>
      </c>
      <c r="M208" t="s">
        <v>50</v>
      </c>
      <c r="N208" t="s">
        <v>50</v>
      </c>
      <c r="O208" t="s">
        <v>50</v>
      </c>
      <c r="P208" t="s">
        <v>50</v>
      </c>
      <c r="Q208" t="s">
        <v>50</v>
      </c>
      <c r="R208" t="s">
        <v>50</v>
      </c>
      <c r="S208" t="s">
        <v>50</v>
      </c>
      <c r="T208" t="s">
        <v>50</v>
      </c>
      <c r="U208" t="s">
        <v>50</v>
      </c>
      <c r="V208" t="s">
        <v>50</v>
      </c>
      <c r="W208" t="s">
        <v>50</v>
      </c>
      <c r="Y208" t="s">
        <v>50</v>
      </c>
      <c r="Z208" t="s">
        <v>50</v>
      </c>
      <c r="AA208" t="s">
        <v>50</v>
      </c>
      <c r="AB208" t="s">
        <v>50</v>
      </c>
      <c r="AC208" t="s">
        <v>50</v>
      </c>
      <c r="AD208" t="s">
        <v>50</v>
      </c>
      <c r="AE208" t="s">
        <v>50</v>
      </c>
      <c r="AF208" t="s">
        <v>50</v>
      </c>
      <c r="AG208" t="s">
        <v>50</v>
      </c>
      <c r="AH208" t="s">
        <v>50</v>
      </c>
      <c r="AI208" t="s">
        <v>50</v>
      </c>
      <c r="AJ208" t="s">
        <v>50</v>
      </c>
      <c r="AK208" t="s">
        <v>50</v>
      </c>
      <c r="AM208" t="s">
        <v>50</v>
      </c>
      <c r="AN208" t="s">
        <v>50</v>
      </c>
      <c r="AO208" t="s">
        <v>2189</v>
      </c>
      <c r="AP208" t="s">
        <v>50</v>
      </c>
      <c r="AQ208" t="s">
        <v>50</v>
      </c>
      <c r="AR208" t="s">
        <v>50</v>
      </c>
      <c r="AS208" t="s">
        <v>50</v>
      </c>
      <c r="AT208" t="s">
        <v>50</v>
      </c>
      <c r="AU208" t="s">
        <v>50</v>
      </c>
      <c r="AV208" t="s">
        <v>50</v>
      </c>
      <c r="AW208" t="s">
        <v>50</v>
      </c>
      <c r="AX208" t="s">
        <v>50</v>
      </c>
      <c r="AY208" t="s">
        <v>50</v>
      </c>
      <c r="AZ208" t="s">
        <v>50</v>
      </c>
      <c r="BA208" t="s">
        <v>50</v>
      </c>
      <c r="BB208" t="s">
        <v>50</v>
      </c>
      <c r="BC208" t="s">
        <v>50</v>
      </c>
      <c r="BD208" t="s">
        <v>50</v>
      </c>
      <c r="BE208" t="s">
        <v>50</v>
      </c>
      <c r="BF208" t="s">
        <v>50</v>
      </c>
      <c r="BG208" t="s">
        <v>50</v>
      </c>
      <c r="BH208" t="s">
        <v>50</v>
      </c>
      <c r="BI208" t="s">
        <v>50</v>
      </c>
      <c r="BJ208" t="s">
        <v>50</v>
      </c>
      <c r="BK208" t="s">
        <v>50</v>
      </c>
      <c r="BL208" t="s">
        <v>50</v>
      </c>
      <c r="BM208" t="s">
        <v>50</v>
      </c>
      <c r="BN208" t="s">
        <v>50</v>
      </c>
      <c r="BO208" t="s">
        <v>50</v>
      </c>
      <c r="BP208" t="s">
        <v>50</v>
      </c>
      <c r="BQ208" t="s">
        <v>50</v>
      </c>
      <c r="BR208" t="s">
        <v>50</v>
      </c>
      <c r="BS208" t="s">
        <v>50</v>
      </c>
      <c r="BT208" t="s">
        <v>50</v>
      </c>
      <c r="BU208" t="s">
        <v>50</v>
      </c>
      <c r="BV208" t="s">
        <v>50</v>
      </c>
      <c r="BW208" t="s">
        <v>50</v>
      </c>
      <c r="BX208" t="s">
        <v>50</v>
      </c>
      <c r="BY208" t="s">
        <v>50</v>
      </c>
      <c r="BZ208" t="s">
        <v>50</v>
      </c>
      <c r="CA208" t="s">
        <v>50</v>
      </c>
      <c r="CB208" t="s">
        <v>50</v>
      </c>
      <c r="CD208" t="s">
        <v>50</v>
      </c>
    </row>
    <row r="209" spans="1:82" x14ac:dyDescent="0.3">
      <c r="A209">
        <v>951</v>
      </c>
      <c r="B209" t="s">
        <v>924</v>
      </c>
      <c r="D209">
        <v>2</v>
      </c>
      <c r="E209">
        <v>2</v>
      </c>
      <c r="F209">
        <v>2</v>
      </c>
      <c r="G209">
        <v>2</v>
      </c>
      <c r="H209">
        <v>2</v>
      </c>
      <c r="I209">
        <v>2</v>
      </c>
      <c r="J209">
        <v>1</v>
      </c>
      <c r="K209">
        <v>2</v>
      </c>
      <c r="L209">
        <v>2</v>
      </c>
      <c r="M209">
        <v>2</v>
      </c>
      <c r="N209">
        <v>2</v>
      </c>
      <c r="O209">
        <v>2</v>
      </c>
      <c r="P209">
        <v>2</v>
      </c>
      <c r="Q209">
        <v>2</v>
      </c>
      <c r="R209">
        <v>2</v>
      </c>
      <c r="S209">
        <v>2</v>
      </c>
      <c r="T209">
        <v>2</v>
      </c>
      <c r="U209">
        <v>2</v>
      </c>
      <c r="V209">
        <v>2</v>
      </c>
      <c r="W209">
        <v>2</v>
      </c>
      <c r="Y209">
        <v>2</v>
      </c>
      <c r="Z209">
        <v>2</v>
      </c>
      <c r="AA209">
        <v>2</v>
      </c>
      <c r="AB209">
        <v>1</v>
      </c>
      <c r="AC209">
        <v>2</v>
      </c>
      <c r="AD209">
        <v>2</v>
      </c>
      <c r="AE209">
        <v>2</v>
      </c>
      <c r="AF209">
        <v>2</v>
      </c>
      <c r="AG209">
        <v>2</v>
      </c>
      <c r="AH209">
        <v>2</v>
      </c>
      <c r="AI209">
        <v>2</v>
      </c>
      <c r="AJ209">
        <v>2</v>
      </c>
      <c r="AK209">
        <v>1</v>
      </c>
      <c r="AM209">
        <v>2</v>
      </c>
      <c r="AN209">
        <v>2</v>
      </c>
      <c r="AO209">
        <v>2</v>
      </c>
      <c r="AP209">
        <v>2</v>
      </c>
      <c r="AQ209">
        <v>2</v>
      </c>
      <c r="AR209">
        <v>2</v>
      </c>
      <c r="AS209">
        <v>2</v>
      </c>
      <c r="AT209">
        <v>2</v>
      </c>
      <c r="AU209">
        <v>2</v>
      </c>
      <c r="AV209">
        <v>2</v>
      </c>
      <c r="AW209">
        <v>2</v>
      </c>
      <c r="AX209">
        <v>2</v>
      </c>
      <c r="AY209">
        <v>2</v>
      </c>
      <c r="AZ209">
        <v>2</v>
      </c>
      <c r="BA209">
        <v>2</v>
      </c>
      <c r="BB209">
        <v>1</v>
      </c>
      <c r="BC209">
        <v>1</v>
      </c>
      <c r="BD209">
        <v>2</v>
      </c>
      <c r="BE209">
        <v>2</v>
      </c>
      <c r="BF209">
        <v>2</v>
      </c>
      <c r="BG209">
        <v>2</v>
      </c>
      <c r="BH209">
        <v>1</v>
      </c>
      <c r="BI209">
        <v>1</v>
      </c>
      <c r="BJ209">
        <v>2</v>
      </c>
      <c r="BK209">
        <v>2</v>
      </c>
      <c r="BL209">
        <v>2</v>
      </c>
      <c r="BM209">
        <v>2</v>
      </c>
      <c r="BN209">
        <v>2</v>
      </c>
      <c r="BO209">
        <v>2</v>
      </c>
      <c r="BP209">
        <v>2</v>
      </c>
      <c r="BQ209">
        <v>2</v>
      </c>
      <c r="BR209">
        <v>2</v>
      </c>
      <c r="BS209">
        <v>2</v>
      </c>
      <c r="BT209">
        <v>2</v>
      </c>
      <c r="BU209">
        <v>2</v>
      </c>
      <c r="BV209">
        <v>2</v>
      </c>
      <c r="BW209">
        <v>2</v>
      </c>
      <c r="BX209">
        <v>1</v>
      </c>
      <c r="BY209">
        <v>2</v>
      </c>
      <c r="BZ209">
        <v>2</v>
      </c>
      <c r="CA209">
        <v>1</v>
      </c>
      <c r="CB209">
        <v>2</v>
      </c>
      <c r="CD209">
        <v>2</v>
      </c>
    </row>
    <row r="210" spans="1:82" x14ac:dyDescent="0.3">
      <c r="A210">
        <v>952</v>
      </c>
      <c r="B210" t="s">
        <v>925</v>
      </c>
      <c r="G210" t="s">
        <v>2190</v>
      </c>
      <c r="H210" t="s">
        <v>2191</v>
      </c>
      <c r="I210" t="s">
        <v>2192</v>
      </c>
      <c r="J210" t="s">
        <v>2191</v>
      </c>
      <c r="L210" t="s">
        <v>2193</v>
      </c>
      <c r="M210" t="s">
        <v>2194</v>
      </c>
      <c r="O210" t="s">
        <v>2195</v>
      </c>
      <c r="P210" t="s">
        <v>2196</v>
      </c>
      <c r="Q210" t="s">
        <v>1063</v>
      </c>
      <c r="S210" t="s">
        <v>2197</v>
      </c>
      <c r="T210" t="s">
        <v>2198</v>
      </c>
      <c r="U210" t="s">
        <v>2199</v>
      </c>
      <c r="W210" t="s">
        <v>2200</v>
      </c>
      <c r="Y210" t="s">
        <v>2201</v>
      </c>
      <c r="Z210" t="s">
        <v>2202</v>
      </c>
      <c r="AA210" t="s">
        <v>2203</v>
      </c>
      <c r="AB210" t="s">
        <v>2204</v>
      </c>
      <c r="AC210" t="s">
        <v>926</v>
      </c>
      <c r="AE210" t="s">
        <v>2205</v>
      </c>
      <c r="AF210" t="s">
        <v>2206</v>
      </c>
      <c r="AG210" t="s">
        <v>2207</v>
      </c>
      <c r="AH210" t="s">
        <v>1602</v>
      </c>
      <c r="AI210" t="s">
        <v>2208</v>
      </c>
      <c r="AM210" t="s">
        <v>2209</v>
      </c>
      <c r="AN210" t="s">
        <v>2210</v>
      </c>
      <c r="AO210" t="s">
        <v>2211</v>
      </c>
      <c r="AP210" t="s">
        <v>2212</v>
      </c>
      <c r="AQ210" t="s">
        <v>2213</v>
      </c>
      <c r="AR210" t="s">
        <v>2214</v>
      </c>
      <c r="AS210" t="s">
        <v>2215</v>
      </c>
      <c r="AT210" t="s">
        <v>2216</v>
      </c>
      <c r="AU210" t="s">
        <v>2217</v>
      </c>
      <c r="AV210" t="s">
        <v>2218</v>
      </c>
      <c r="AW210" t="s">
        <v>2219</v>
      </c>
      <c r="AX210" t="s">
        <v>926</v>
      </c>
      <c r="AY210" t="s">
        <v>2220</v>
      </c>
      <c r="AZ210" t="s">
        <v>2221</v>
      </c>
      <c r="BA210" t="s">
        <v>2222</v>
      </c>
      <c r="BB210" t="s">
        <v>2214</v>
      </c>
      <c r="BC210" t="s">
        <v>926</v>
      </c>
      <c r="BD210" t="s">
        <v>2223</v>
      </c>
      <c r="BE210" t="s">
        <v>2224</v>
      </c>
      <c r="BF210" t="s">
        <v>2225</v>
      </c>
      <c r="BG210" t="s">
        <v>2192</v>
      </c>
      <c r="BH210" t="s">
        <v>2226</v>
      </c>
      <c r="BI210" t="s">
        <v>1616</v>
      </c>
      <c r="BJ210" t="s">
        <v>2193</v>
      </c>
      <c r="BK210" t="s">
        <v>1560</v>
      </c>
      <c r="BL210" t="s">
        <v>2227</v>
      </c>
      <c r="BM210" t="s">
        <v>2228</v>
      </c>
      <c r="BN210" t="s">
        <v>2229</v>
      </c>
      <c r="BO210" t="s">
        <v>2230</v>
      </c>
      <c r="BQ210" t="s">
        <v>2231</v>
      </c>
      <c r="BS210" t="s">
        <v>2232</v>
      </c>
      <c r="BT210" t="s">
        <v>1619</v>
      </c>
      <c r="BU210" t="s">
        <v>2195</v>
      </c>
      <c r="BV210" t="s">
        <v>2233</v>
      </c>
      <c r="BW210" t="s">
        <v>927</v>
      </c>
      <c r="BX210" t="s">
        <v>2234</v>
      </c>
      <c r="BY210" t="s">
        <v>2235</v>
      </c>
      <c r="CA210" t="s">
        <v>2236</v>
      </c>
      <c r="CD210" t="s">
        <v>927</v>
      </c>
    </row>
    <row r="211" spans="1:82" x14ac:dyDescent="0.3">
      <c r="A211">
        <v>953</v>
      </c>
      <c r="B211" t="s">
        <v>928</v>
      </c>
      <c r="D211">
        <v>2</v>
      </c>
      <c r="E211">
        <v>2</v>
      </c>
      <c r="F211">
        <v>2</v>
      </c>
      <c r="G211">
        <v>2</v>
      </c>
      <c r="H211">
        <v>2</v>
      </c>
      <c r="I211">
        <v>2</v>
      </c>
      <c r="J211">
        <v>2</v>
      </c>
      <c r="K211">
        <v>2</v>
      </c>
      <c r="L211">
        <v>2</v>
      </c>
      <c r="M211">
        <v>2</v>
      </c>
      <c r="N211">
        <v>2</v>
      </c>
      <c r="O211">
        <v>2</v>
      </c>
      <c r="P211">
        <v>2</v>
      </c>
      <c r="Q211">
        <v>2</v>
      </c>
      <c r="R211">
        <v>2</v>
      </c>
      <c r="S211">
        <v>2</v>
      </c>
      <c r="T211">
        <v>2</v>
      </c>
      <c r="U211">
        <v>2</v>
      </c>
      <c r="V211">
        <v>2</v>
      </c>
      <c r="W211">
        <v>2</v>
      </c>
      <c r="Y211">
        <v>2</v>
      </c>
      <c r="Z211">
        <v>2</v>
      </c>
      <c r="AA211">
        <v>2</v>
      </c>
      <c r="AB211">
        <v>2</v>
      </c>
      <c r="AC211">
        <v>2</v>
      </c>
      <c r="AD211">
        <v>2</v>
      </c>
      <c r="AE211">
        <v>2</v>
      </c>
      <c r="AF211">
        <v>2</v>
      </c>
      <c r="AG211">
        <v>2</v>
      </c>
      <c r="AH211">
        <v>2</v>
      </c>
      <c r="AI211">
        <v>2</v>
      </c>
      <c r="AJ211">
        <v>2</v>
      </c>
      <c r="AK211">
        <v>2</v>
      </c>
      <c r="AM211">
        <v>2</v>
      </c>
      <c r="AN211">
        <v>2</v>
      </c>
      <c r="AO211">
        <v>2</v>
      </c>
      <c r="AP211">
        <v>2</v>
      </c>
      <c r="AQ211">
        <v>2</v>
      </c>
      <c r="AR211">
        <v>2</v>
      </c>
      <c r="AS211">
        <v>2</v>
      </c>
      <c r="AT211">
        <v>2</v>
      </c>
      <c r="AU211">
        <v>2</v>
      </c>
      <c r="AV211">
        <v>2</v>
      </c>
      <c r="AW211">
        <v>2</v>
      </c>
      <c r="AX211">
        <v>2</v>
      </c>
      <c r="AY211">
        <v>2</v>
      </c>
      <c r="AZ211">
        <v>2</v>
      </c>
      <c r="BA211">
        <v>2</v>
      </c>
      <c r="BB211">
        <v>2</v>
      </c>
      <c r="BC211">
        <v>2</v>
      </c>
      <c r="BD211">
        <v>2</v>
      </c>
      <c r="BE211">
        <v>2</v>
      </c>
      <c r="BF211">
        <v>2</v>
      </c>
      <c r="BG211">
        <v>2</v>
      </c>
      <c r="BH211">
        <v>2</v>
      </c>
      <c r="BI211">
        <v>2</v>
      </c>
      <c r="BJ211">
        <v>2</v>
      </c>
      <c r="BK211">
        <v>2</v>
      </c>
      <c r="BL211">
        <v>2</v>
      </c>
      <c r="BM211">
        <v>2</v>
      </c>
      <c r="BN211">
        <v>2</v>
      </c>
      <c r="BO211">
        <v>2</v>
      </c>
      <c r="BP211">
        <v>2</v>
      </c>
      <c r="BQ211">
        <v>2</v>
      </c>
      <c r="BR211">
        <v>2</v>
      </c>
      <c r="BS211">
        <v>2</v>
      </c>
      <c r="BT211">
        <v>2</v>
      </c>
      <c r="BU211">
        <v>2</v>
      </c>
      <c r="BV211">
        <v>2</v>
      </c>
      <c r="BW211">
        <v>2</v>
      </c>
      <c r="BX211">
        <v>2</v>
      </c>
      <c r="BY211">
        <v>2</v>
      </c>
      <c r="BZ211">
        <v>2</v>
      </c>
      <c r="CA211">
        <v>2</v>
      </c>
      <c r="CB211">
        <v>2</v>
      </c>
      <c r="CD211">
        <v>2</v>
      </c>
    </row>
    <row r="212" spans="1:82" x14ac:dyDescent="0.3">
      <c r="A212">
        <v>954</v>
      </c>
      <c r="B212" t="s">
        <v>408</v>
      </c>
      <c r="D212" t="s">
        <v>50</v>
      </c>
      <c r="E212" t="s">
        <v>50</v>
      </c>
      <c r="F212" t="s">
        <v>50</v>
      </c>
      <c r="G212" t="s">
        <v>50</v>
      </c>
      <c r="H212" t="s">
        <v>50</v>
      </c>
      <c r="I212" t="s">
        <v>50</v>
      </c>
      <c r="J212" t="s">
        <v>50</v>
      </c>
      <c r="K212" t="s">
        <v>50</v>
      </c>
      <c r="L212" t="s">
        <v>50</v>
      </c>
      <c r="M212" t="s">
        <v>50</v>
      </c>
      <c r="N212" t="s">
        <v>50</v>
      </c>
      <c r="O212" t="s">
        <v>50</v>
      </c>
      <c r="P212" t="s">
        <v>50</v>
      </c>
      <c r="Q212" t="s">
        <v>50</v>
      </c>
      <c r="R212" t="s">
        <v>50</v>
      </c>
      <c r="S212" t="s">
        <v>50</v>
      </c>
      <c r="T212" t="s">
        <v>50</v>
      </c>
      <c r="U212" t="s">
        <v>50</v>
      </c>
      <c r="V212" t="s">
        <v>50</v>
      </c>
      <c r="W212" t="s">
        <v>50</v>
      </c>
      <c r="Y212" t="s">
        <v>50</v>
      </c>
      <c r="Z212" t="s">
        <v>50</v>
      </c>
      <c r="AA212" t="s">
        <v>50</v>
      </c>
      <c r="AB212" t="s">
        <v>50</v>
      </c>
      <c r="AC212" t="s">
        <v>50</v>
      </c>
      <c r="AD212" t="s">
        <v>50</v>
      </c>
      <c r="AE212" t="s">
        <v>50</v>
      </c>
      <c r="AF212" t="s">
        <v>1604</v>
      </c>
      <c r="AG212" t="s">
        <v>50</v>
      </c>
      <c r="AH212" t="s">
        <v>50</v>
      </c>
      <c r="AI212" t="s">
        <v>50</v>
      </c>
      <c r="AJ212" t="s">
        <v>50</v>
      </c>
      <c r="AK212" t="s">
        <v>50</v>
      </c>
      <c r="AM212" t="s">
        <v>50</v>
      </c>
      <c r="AN212" t="s">
        <v>50</v>
      </c>
      <c r="AO212" t="s">
        <v>2189</v>
      </c>
      <c r="AP212" t="s">
        <v>50</v>
      </c>
      <c r="AQ212" t="s">
        <v>50</v>
      </c>
      <c r="AR212" t="s">
        <v>50</v>
      </c>
      <c r="AS212" t="s">
        <v>50</v>
      </c>
      <c r="AT212" t="s">
        <v>50</v>
      </c>
      <c r="AU212" t="s">
        <v>50</v>
      </c>
      <c r="AV212" t="s">
        <v>50</v>
      </c>
      <c r="AW212" t="s">
        <v>50</v>
      </c>
      <c r="AX212" t="s">
        <v>50</v>
      </c>
      <c r="AY212" t="s">
        <v>50</v>
      </c>
      <c r="AZ212" t="s">
        <v>50</v>
      </c>
      <c r="BA212" t="s">
        <v>50</v>
      </c>
      <c r="BB212" t="s">
        <v>50</v>
      </c>
      <c r="BC212" t="s">
        <v>50</v>
      </c>
      <c r="BD212" t="s">
        <v>50</v>
      </c>
      <c r="BE212" t="s">
        <v>50</v>
      </c>
      <c r="BF212" t="s">
        <v>50</v>
      </c>
      <c r="BG212" t="s">
        <v>50</v>
      </c>
      <c r="BH212" t="s">
        <v>50</v>
      </c>
      <c r="BI212" t="s">
        <v>50</v>
      </c>
      <c r="BJ212" t="s">
        <v>50</v>
      </c>
      <c r="BK212" t="s">
        <v>50</v>
      </c>
      <c r="BL212" t="s">
        <v>50</v>
      </c>
      <c r="BM212" t="s">
        <v>50</v>
      </c>
      <c r="BN212" t="s">
        <v>50</v>
      </c>
      <c r="BO212" t="s">
        <v>50</v>
      </c>
      <c r="BP212" t="s">
        <v>50</v>
      </c>
      <c r="BQ212" t="s">
        <v>50</v>
      </c>
      <c r="BR212" t="s">
        <v>50</v>
      </c>
      <c r="BS212" t="s">
        <v>50</v>
      </c>
      <c r="BT212" t="s">
        <v>50</v>
      </c>
      <c r="BU212" t="s">
        <v>50</v>
      </c>
      <c r="BV212" t="s">
        <v>50</v>
      </c>
      <c r="BW212" t="s">
        <v>50</v>
      </c>
      <c r="BX212" t="s">
        <v>50</v>
      </c>
      <c r="BY212" t="s">
        <v>50</v>
      </c>
      <c r="BZ212" t="s">
        <v>50</v>
      </c>
      <c r="CA212" t="s">
        <v>50</v>
      </c>
      <c r="CB212" t="s">
        <v>50</v>
      </c>
      <c r="CD212" t="s">
        <v>50</v>
      </c>
    </row>
    <row r="213" spans="1:82" x14ac:dyDescent="0.3">
      <c r="A213">
        <v>955</v>
      </c>
      <c r="B213" t="s">
        <v>929</v>
      </c>
      <c r="D213">
        <v>0</v>
      </c>
      <c r="E213">
        <v>0</v>
      </c>
      <c r="F213">
        <v>0</v>
      </c>
      <c r="G213">
        <v>0</v>
      </c>
      <c r="H213">
        <v>0</v>
      </c>
      <c r="I213">
        <v>0</v>
      </c>
      <c r="J213">
        <v>1</v>
      </c>
      <c r="K213">
        <v>0</v>
      </c>
      <c r="L213">
        <v>0</v>
      </c>
      <c r="M213">
        <v>0</v>
      </c>
      <c r="N213">
        <v>0</v>
      </c>
      <c r="O213">
        <v>0</v>
      </c>
      <c r="P213">
        <v>0</v>
      </c>
      <c r="Q213">
        <v>0</v>
      </c>
      <c r="R213">
        <v>0</v>
      </c>
      <c r="S213">
        <v>0</v>
      </c>
      <c r="T213">
        <v>0</v>
      </c>
      <c r="U213">
        <v>0</v>
      </c>
      <c r="V213">
        <v>1</v>
      </c>
      <c r="W213">
        <v>0</v>
      </c>
      <c r="Y213">
        <v>0</v>
      </c>
      <c r="Z213">
        <v>0</v>
      </c>
      <c r="AA213">
        <v>0</v>
      </c>
      <c r="AB213">
        <v>0</v>
      </c>
      <c r="AC213">
        <v>0</v>
      </c>
      <c r="AD213">
        <v>0</v>
      </c>
      <c r="AE213">
        <v>0</v>
      </c>
      <c r="AF213">
        <v>0</v>
      </c>
      <c r="AG213">
        <v>0</v>
      </c>
      <c r="AH213">
        <v>1</v>
      </c>
      <c r="AI213">
        <v>2</v>
      </c>
      <c r="AJ213">
        <v>0</v>
      </c>
      <c r="AK213">
        <v>5</v>
      </c>
      <c r="AM213">
        <v>0</v>
      </c>
      <c r="AN213">
        <v>0</v>
      </c>
      <c r="AO213">
        <v>0</v>
      </c>
      <c r="AP213">
        <v>0</v>
      </c>
      <c r="AQ213">
        <v>0</v>
      </c>
      <c r="AR213">
        <v>0</v>
      </c>
      <c r="AS213">
        <v>0</v>
      </c>
      <c r="AT213">
        <v>0</v>
      </c>
      <c r="AU213">
        <v>0</v>
      </c>
      <c r="AV213">
        <v>0</v>
      </c>
      <c r="AW213">
        <v>0</v>
      </c>
      <c r="AX213">
        <v>0</v>
      </c>
      <c r="AY213">
        <v>0</v>
      </c>
      <c r="AZ213">
        <v>2</v>
      </c>
      <c r="BA213">
        <v>1</v>
      </c>
      <c r="BB213">
        <v>0</v>
      </c>
      <c r="BC213">
        <v>0</v>
      </c>
      <c r="BD213">
        <v>0</v>
      </c>
      <c r="BE213">
        <v>0</v>
      </c>
      <c r="BF213">
        <v>0</v>
      </c>
      <c r="BG213">
        <v>0</v>
      </c>
      <c r="BH213">
        <v>1</v>
      </c>
      <c r="BI213">
        <v>0</v>
      </c>
      <c r="BJ213">
        <v>0</v>
      </c>
      <c r="BK213">
        <v>1</v>
      </c>
      <c r="BL213">
        <v>1</v>
      </c>
      <c r="BM213">
        <v>0</v>
      </c>
      <c r="BN213">
        <v>1</v>
      </c>
      <c r="BO213">
        <v>2</v>
      </c>
      <c r="BP213">
        <v>0</v>
      </c>
      <c r="BQ213">
        <v>0</v>
      </c>
      <c r="BR213">
        <v>0</v>
      </c>
      <c r="BS213">
        <v>0</v>
      </c>
      <c r="BT213">
        <v>2</v>
      </c>
      <c r="BU213">
        <v>0</v>
      </c>
      <c r="BV213">
        <v>0</v>
      </c>
      <c r="BW213">
        <v>1</v>
      </c>
      <c r="BX213">
        <v>1</v>
      </c>
      <c r="BY213">
        <v>0</v>
      </c>
      <c r="BZ213">
        <v>0</v>
      </c>
      <c r="CA213">
        <v>0</v>
      </c>
      <c r="CB213">
        <v>2</v>
      </c>
      <c r="CD213">
        <v>0</v>
      </c>
    </row>
    <row r="214" spans="1:82" x14ac:dyDescent="0.3">
      <c r="A214">
        <v>956</v>
      </c>
      <c r="B214" t="s">
        <v>409</v>
      </c>
      <c r="D214" t="s">
        <v>50</v>
      </c>
      <c r="E214" t="s">
        <v>50</v>
      </c>
      <c r="F214" t="s">
        <v>50</v>
      </c>
      <c r="G214" t="s">
        <v>50</v>
      </c>
      <c r="H214" t="s">
        <v>50</v>
      </c>
      <c r="I214" t="s">
        <v>50</v>
      </c>
      <c r="J214" t="s">
        <v>50</v>
      </c>
      <c r="K214" t="s">
        <v>50</v>
      </c>
      <c r="L214" t="s">
        <v>50</v>
      </c>
      <c r="M214" t="s">
        <v>50</v>
      </c>
      <c r="N214" t="s">
        <v>50</v>
      </c>
      <c r="O214" t="s">
        <v>50</v>
      </c>
      <c r="P214" t="s">
        <v>50</v>
      </c>
      <c r="Q214" t="s">
        <v>50</v>
      </c>
      <c r="R214" t="s">
        <v>50</v>
      </c>
      <c r="S214" t="s">
        <v>50</v>
      </c>
      <c r="T214" t="s">
        <v>50</v>
      </c>
      <c r="U214" t="s">
        <v>50</v>
      </c>
      <c r="V214" t="s">
        <v>50</v>
      </c>
      <c r="W214" t="s">
        <v>50</v>
      </c>
      <c r="Y214" t="s">
        <v>51</v>
      </c>
      <c r="Z214" t="s">
        <v>50</v>
      </c>
      <c r="AA214" t="s">
        <v>50</v>
      </c>
      <c r="AB214" t="s">
        <v>50</v>
      </c>
      <c r="AC214" t="s">
        <v>50</v>
      </c>
      <c r="AD214" t="s">
        <v>50</v>
      </c>
      <c r="AE214" t="s">
        <v>50</v>
      </c>
      <c r="AF214" t="s">
        <v>1604</v>
      </c>
      <c r="AG214" t="s">
        <v>50</v>
      </c>
      <c r="AH214" t="s">
        <v>51</v>
      </c>
      <c r="AI214" t="s">
        <v>50</v>
      </c>
      <c r="AJ214" t="s">
        <v>50</v>
      </c>
      <c r="AK214" t="s">
        <v>50</v>
      </c>
      <c r="AM214" t="s">
        <v>50</v>
      </c>
      <c r="AN214" t="s">
        <v>50</v>
      </c>
      <c r="AO214" t="s">
        <v>2189</v>
      </c>
      <c r="AP214" t="s">
        <v>50</v>
      </c>
      <c r="AQ214" t="s">
        <v>50</v>
      </c>
      <c r="AR214" t="s">
        <v>50</v>
      </c>
      <c r="AS214" t="s">
        <v>50</v>
      </c>
      <c r="AT214" t="s">
        <v>50</v>
      </c>
      <c r="AU214" t="s">
        <v>50</v>
      </c>
      <c r="AV214" t="s">
        <v>50</v>
      </c>
      <c r="AW214" t="s">
        <v>50</v>
      </c>
      <c r="AX214" t="s">
        <v>50</v>
      </c>
      <c r="AY214" t="s">
        <v>50</v>
      </c>
      <c r="AZ214" t="s">
        <v>50</v>
      </c>
      <c r="BA214" t="s">
        <v>50</v>
      </c>
      <c r="BB214" t="s">
        <v>50</v>
      </c>
      <c r="BC214" t="s">
        <v>50</v>
      </c>
      <c r="BD214" t="s">
        <v>50</v>
      </c>
      <c r="BE214" t="s">
        <v>50</v>
      </c>
      <c r="BF214" t="s">
        <v>50</v>
      </c>
      <c r="BG214" t="s">
        <v>50</v>
      </c>
      <c r="BH214" t="s">
        <v>50</v>
      </c>
      <c r="BI214" t="s">
        <v>50</v>
      </c>
      <c r="BJ214" t="s">
        <v>50</v>
      </c>
      <c r="BK214" t="s">
        <v>50</v>
      </c>
      <c r="BL214" t="s">
        <v>50</v>
      </c>
      <c r="BM214" t="s">
        <v>50</v>
      </c>
      <c r="BN214" t="s">
        <v>50</v>
      </c>
      <c r="BO214" t="s">
        <v>50</v>
      </c>
      <c r="BP214" t="s">
        <v>50</v>
      </c>
      <c r="BQ214" t="s">
        <v>50</v>
      </c>
      <c r="BR214" t="s">
        <v>50</v>
      </c>
      <c r="BS214" t="s">
        <v>50</v>
      </c>
      <c r="BT214" t="s">
        <v>50</v>
      </c>
      <c r="BU214" t="s">
        <v>50</v>
      </c>
      <c r="BV214" t="s">
        <v>50</v>
      </c>
      <c r="BW214" t="s">
        <v>50</v>
      </c>
      <c r="BX214" t="s">
        <v>50</v>
      </c>
      <c r="BY214" t="s">
        <v>50</v>
      </c>
      <c r="BZ214" t="s">
        <v>50</v>
      </c>
      <c r="CA214" t="s">
        <v>50</v>
      </c>
      <c r="CB214" t="s">
        <v>50</v>
      </c>
      <c r="CD214" t="s">
        <v>50</v>
      </c>
    </row>
    <row r="215" spans="1:82" x14ac:dyDescent="0.3">
      <c r="A215">
        <v>957</v>
      </c>
      <c r="B215" t="s">
        <v>930</v>
      </c>
      <c r="D215">
        <v>5</v>
      </c>
      <c r="E215">
        <v>0</v>
      </c>
      <c r="F215">
        <v>0</v>
      </c>
      <c r="G215">
        <v>0</v>
      </c>
      <c r="H215">
        <v>0</v>
      </c>
      <c r="I215">
        <v>0</v>
      </c>
      <c r="J215">
        <v>0</v>
      </c>
      <c r="K215">
        <v>0</v>
      </c>
      <c r="L215">
        <v>0</v>
      </c>
      <c r="M215">
        <v>0</v>
      </c>
      <c r="N215">
        <v>0</v>
      </c>
      <c r="O215">
        <v>0</v>
      </c>
      <c r="P215">
        <v>0</v>
      </c>
      <c r="Q215">
        <v>0</v>
      </c>
      <c r="R215">
        <v>0</v>
      </c>
      <c r="S215">
        <v>0</v>
      </c>
      <c r="T215">
        <v>0</v>
      </c>
      <c r="U215">
        <v>0</v>
      </c>
      <c r="V215">
        <v>0</v>
      </c>
      <c r="W215">
        <v>0</v>
      </c>
      <c r="Y215">
        <v>0</v>
      </c>
      <c r="Z215">
        <v>0</v>
      </c>
      <c r="AA215">
        <v>0</v>
      </c>
      <c r="AB215">
        <v>1</v>
      </c>
      <c r="AC215">
        <v>0</v>
      </c>
      <c r="AD215">
        <v>0</v>
      </c>
      <c r="AE215">
        <v>0</v>
      </c>
      <c r="AF215">
        <v>0</v>
      </c>
      <c r="AG215">
        <v>0</v>
      </c>
      <c r="AH215">
        <v>1</v>
      </c>
      <c r="AI215">
        <v>0</v>
      </c>
      <c r="AJ215">
        <v>0</v>
      </c>
      <c r="AK215">
        <v>5</v>
      </c>
      <c r="AM215">
        <v>0</v>
      </c>
      <c r="AN215">
        <v>0</v>
      </c>
      <c r="AO215">
        <v>0</v>
      </c>
      <c r="AP215">
        <v>0</v>
      </c>
      <c r="AQ215">
        <v>0</v>
      </c>
      <c r="AR215">
        <v>0</v>
      </c>
      <c r="AS215">
        <v>0</v>
      </c>
      <c r="AT215">
        <v>2</v>
      </c>
      <c r="AU215">
        <v>0</v>
      </c>
      <c r="AV215">
        <v>1</v>
      </c>
      <c r="AW215">
        <v>0</v>
      </c>
      <c r="AX215">
        <v>0</v>
      </c>
      <c r="AY215">
        <v>0</v>
      </c>
      <c r="AZ215">
        <v>0</v>
      </c>
      <c r="BA215">
        <v>0</v>
      </c>
      <c r="BB215">
        <v>0</v>
      </c>
      <c r="BC215">
        <v>0</v>
      </c>
      <c r="BD215">
        <v>0</v>
      </c>
      <c r="BE215">
        <v>0</v>
      </c>
      <c r="BF215">
        <v>0</v>
      </c>
      <c r="BG215">
        <v>1</v>
      </c>
      <c r="BH215">
        <v>0</v>
      </c>
      <c r="BI215">
        <v>0</v>
      </c>
      <c r="BJ215">
        <v>0</v>
      </c>
      <c r="BK215">
        <v>0</v>
      </c>
      <c r="BL215">
        <v>1</v>
      </c>
      <c r="BM215">
        <v>0</v>
      </c>
      <c r="BN215">
        <v>0</v>
      </c>
      <c r="BO215">
        <v>0</v>
      </c>
      <c r="BP215">
        <v>0</v>
      </c>
      <c r="BQ215">
        <v>0</v>
      </c>
      <c r="BR215">
        <v>0</v>
      </c>
      <c r="BS215">
        <v>1</v>
      </c>
      <c r="BT215">
        <v>0</v>
      </c>
      <c r="BU215">
        <v>0</v>
      </c>
      <c r="BV215">
        <v>0</v>
      </c>
      <c r="BW215">
        <v>5</v>
      </c>
      <c r="BX215">
        <v>1</v>
      </c>
      <c r="BY215">
        <v>0</v>
      </c>
      <c r="BZ215">
        <v>3</v>
      </c>
      <c r="CA215">
        <v>0</v>
      </c>
      <c r="CB215">
        <v>0</v>
      </c>
      <c r="CD215">
        <v>0</v>
      </c>
    </row>
    <row r="216" spans="1:82" x14ac:dyDescent="0.3">
      <c r="A216">
        <v>958</v>
      </c>
      <c r="B216" t="s">
        <v>931</v>
      </c>
      <c r="D216" t="s">
        <v>50</v>
      </c>
      <c r="E216" t="s">
        <v>50</v>
      </c>
      <c r="F216" t="s">
        <v>50</v>
      </c>
      <c r="G216" t="s">
        <v>50</v>
      </c>
      <c r="H216" t="s">
        <v>50</v>
      </c>
      <c r="I216" t="s">
        <v>50</v>
      </c>
      <c r="J216" t="s">
        <v>50</v>
      </c>
      <c r="K216" t="s">
        <v>50</v>
      </c>
      <c r="L216" t="s">
        <v>50</v>
      </c>
      <c r="M216" t="s">
        <v>50</v>
      </c>
      <c r="N216" t="s">
        <v>50</v>
      </c>
      <c r="O216" t="s">
        <v>50</v>
      </c>
      <c r="P216" t="s">
        <v>50</v>
      </c>
      <c r="Q216" t="s">
        <v>50</v>
      </c>
      <c r="R216" t="s">
        <v>50</v>
      </c>
      <c r="S216" t="s">
        <v>50</v>
      </c>
      <c r="T216" t="s">
        <v>50</v>
      </c>
      <c r="U216" t="s">
        <v>50</v>
      </c>
      <c r="V216" t="s">
        <v>50</v>
      </c>
      <c r="W216" t="s">
        <v>50</v>
      </c>
      <c r="Y216" t="s">
        <v>50</v>
      </c>
      <c r="Z216" t="s">
        <v>50</v>
      </c>
      <c r="AA216" t="s">
        <v>50</v>
      </c>
      <c r="AB216" t="s">
        <v>50</v>
      </c>
      <c r="AC216" t="s">
        <v>50</v>
      </c>
      <c r="AD216" t="s">
        <v>50</v>
      </c>
      <c r="AE216" t="s">
        <v>50</v>
      </c>
      <c r="AF216" t="s">
        <v>1604</v>
      </c>
      <c r="AG216" t="s">
        <v>50</v>
      </c>
      <c r="AH216" t="s">
        <v>50</v>
      </c>
      <c r="AI216" t="s">
        <v>50</v>
      </c>
      <c r="AJ216" t="s">
        <v>50</v>
      </c>
      <c r="AK216" t="s">
        <v>50</v>
      </c>
      <c r="AM216" t="s">
        <v>50</v>
      </c>
      <c r="AN216" t="s">
        <v>50</v>
      </c>
      <c r="AO216" t="s">
        <v>2189</v>
      </c>
      <c r="AP216" t="s">
        <v>50</v>
      </c>
      <c r="AQ216" t="s">
        <v>50</v>
      </c>
      <c r="AR216" t="s">
        <v>50</v>
      </c>
      <c r="AS216" t="s">
        <v>50</v>
      </c>
      <c r="AT216" t="s">
        <v>50</v>
      </c>
      <c r="AU216" t="s">
        <v>50</v>
      </c>
      <c r="AV216" t="s">
        <v>50</v>
      </c>
      <c r="AW216" t="s">
        <v>50</v>
      </c>
      <c r="AX216" t="s">
        <v>50</v>
      </c>
      <c r="AY216" t="s">
        <v>50</v>
      </c>
      <c r="AZ216" t="s">
        <v>50</v>
      </c>
      <c r="BA216" t="s">
        <v>50</v>
      </c>
      <c r="BB216" t="s">
        <v>50</v>
      </c>
      <c r="BC216" t="s">
        <v>50</v>
      </c>
      <c r="BD216" t="s">
        <v>50</v>
      </c>
      <c r="BE216" t="s">
        <v>50</v>
      </c>
      <c r="BF216" t="s">
        <v>50</v>
      </c>
      <c r="BG216" t="s">
        <v>50</v>
      </c>
      <c r="BH216" t="s">
        <v>50</v>
      </c>
      <c r="BI216" t="s">
        <v>50</v>
      </c>
      <c r="BJ216" t="s">
        <v>50</v>
      </c>
      <c r="BK216" t="s">
        <v>50</v>
      </c>
      <c r="BL216" t="s">
        <v>50</v>
      </c>
      <c r="BM216" t="s">
        <v>50</v>
      </c>
      <c r="BN216" t="s">
        <v>50</v>
      </c>
      <c r="BO216" t="s">
        <v>50</v>
      </c>
      <c r="BP216" t="s">
        <v>50</v>
      </c>
      <c r="BQ216" t="s">
        <v>50</v>
      </c>
      <c r="BR216" t="s">
        <v>50</v>
      </c>
      <c r="BS216" t="s">
        <v>50</v>
      </c>
      <c r="BT216" t="s">
        <v>50</v>
      </c>
      <c r="BU216" t="s">
        <v>50</v>
      </c>
      <c r="BV216" t="s">
        <v>50</v>
      </c>
      <c r="BW216" t="s">
        <v>50</v>
      </c>
      <c r="BX216" t="s">
        <v>50</v>
      </c>
      <c r="BY216" t="s">
        <v>50</v>
      </c>
      <c r="BZ216" t="s">
        <v>50</v>
      </c>
      <c r="CA216" t="s">
        <v>50</v>
      </c>
      <c r="CB216" t="s">
        <v>50</v>
      </c>
      <c r="CD216" t="s">
        <v>50</v>
      </c>
    </row>
    <row r="217" spans="1:82" x14ac:dyDescent="0.3">
      <c r="A217">
        <v>959</v>
      </c>
      <c r="B217" t="s">
        <v>932</v>
      </c>
      <c r="D217">
        <v>3</v>
      </c>
      <c r="E217">
        <v>2</v>
      </c>
      <c r="F217">
        <v>2</v>
      </c>
      <c r="G217">
        <v>2</v>
      </c>
      <c r="H217">
        <v>2</v>
      </c>
      <c r="I217">
        <v>3</v>
      </c>
      <c r="J217">
        <v>2</v>
      </c>
      <c r="K217">
        <v>2</v>
      </c>
      <c r="L217">
        <v>3</v>
      </c>
      <c r="M217">
        <v>2</v>
      </c>
      <c r="N217">
        <v>2</v>
      </c>
      <c r="O217">
        <v>3</v>
      </c>
      <c r="P217">
        <v>3</v>
      </c>
      <c r="Q217">
        <v>2</v>
      </c>
      <c r="R217">
        <v>2</v>
      </c>
      <c r="S217">
        <v>3</v>
      </c>
      <c r="T217">
        <v>2</v>
      </c>
      <c r="U217">
        <v>2</v>
      </c>
      <c r="V217">
        <v>2</v>
      </c>
      <c r="W217">
        <v>2</v>
      </c>
      <c r="Y217">
        <v>2</v>
      </c>
      <c r="Z217">
        <v>2</v>
      </c>
      <c r="AA217">
        <v>2</v>
      </c>
      <c r="AB217">
        <v>2</v>
      </c>
      <c r="AC217">
        <v>3</v>
      </c>
      <c r="AD217">
        <v>2</v>
      </c>
      <c r="AE217">
        <v>2</v>
      </c>
      <c r="AF217">
        <v>3</v>
      </c>
      <c r="AG217">
        <v>2</v>
      </c>
      <c r="AH217">
        <v>2</v>
      </c>
      <c r="AI217">
        <v>2</v>
      </c>
      <c r="AJ217">
        <v>3</v>
      </c>
      <c r="AK217">
        <v>3</v>
      </c>
      <c r="AM217">
        <v>2</v>
      </c>
      <c r="AN217">
        <v>2</v>
      </c>
      <c r="AO217">
        <v>2</v>
      </c>
      <c r="AP217">
        <v>2</v>
      </c>
      <c r="AQ217">
        <v>2</v>
      </c>
      <c r="AR217">
        <v>2</v>
      </c>
      <c r="AS217">
        <v>2</v>
      </c>
      <c r="AT217">
        <v>2</v>
      </c>
      <c r="AU217">
        <v>3</v>
      </c>
      <c r="AV217">
        <v>2</v>
      </c>
      <c r="AW217">
        <v>2</v>
      </c>
      <c r="AX217">
        <v>2</v>
      </c>
      <c r="AY217">
        <v>2</v>
      </c>
      <c r="AZ217">
        <v>2</v>
      </c>
      <c r="BA217">
        <v>3</v>
      </c>
      <c r="BB217">
        <v>3</v>
      </c>
      <c r="BC217">
        <v>2</v>
      </c>
      <c r="BD217">
        <v>2</v>
      </c>
      <c r="BE217">
        <v>2</v>
      </c>
      <c r="BF217">
        <v>2</v>
      </c>
      <c r="BG217">
        <v>3</v>
      </c>
      <c r="BH217">
        <v>3</v>
      </c>
      <c r="BI217">
        <v>2</v>
      </c>
      <c r="BJ217">
        <v>2</v>
      </c>
      <c r="BK217">
        <v>2</v>
      </c>
      <c r="BL217">
        <v>2</v>
      </c>
      <c r="BM217">
        <v>2</v>
      </c>
      <c r="BN217">
        <v>2</v>
      </c>
      <c r="BO217">
        <v>2</v>
      </c>
      <c r="BP217">
        <v>2</v>
      </c>
      <c r="BQ217">
        <v>2</v>
      </c>
      <c r="BR217">
        <v>2</v>
      </c>
      <c r="BS217">
        <v>2</v>
      </c>
      <c r="BT217">
        <v>2</v>
      </c>
      <c r="BU217">
        <v>2</v>
      </c>
      <c r="BV217">
        <v>3</v>
      </c>
      <c r="BW217">
        <v>2</v>
      </c>
      <c r="BX217">
        <v>2</v>
      </c>
      <c r="BY217">
        <v>3</v>
      </c>
      <c r="BZ217">
        <v>2</v>
      </c>
      <c r="CA217">
        <v>2</v>
      </c>
      <c r="CB217">
        <v>2</v>
      </c>
      <c r="CD217">
        <v>2</v>
      </c>
    </row>
    <row r="218" spans="1:82" x14ac:dyDescent="0.3">
      <c r="A218">
        <v>960</v>
      </c>
      <c r="B218" t="s">
        <v>933</v>
      </c>
      <c r="D218" t="s">
        <v>2237</v>
      </c>
      <c r="E218" t="s">
        <v>2238</v>
      </c>
      <c r="F218" t="s">
        <v>2239</v>
      </c>
      <c r="G218" t="s">
        <v>2240</v>
      </c>
      <c r="H218" t="s">
        <v>2241</v>
      </c>
      <c r="I218" t="s">
        <v>2242</v>
      </c>
      <c r="J218" t="s">
        <v>2243</v>
      </c>
      <c r="K218" t="s">
        <v>2244</v>
      </c>
      <c r="L218" t="s">
        <v>2245</v>
      </c>
      <c r="M218" t="s">
        <v>2246</v>
      </c>
      <c r="N218" t="s">
        <v>2247</v>
      </c>
      <c r="O218" t="s">
        <v>2248</v>
      </c>
      <c r="P218" t="s">
        <v>2249</v>
      </c>
      <c r="Q218" t="s">
        <v>2250</v>
      </c>
      <c r="R218" t="s">
        <v>2251</v>
      </c>
      <c r="S218" t="s">
        <v>2252</v>
      </c>
      <c r="T218" t="s">
        <v>2253</v>
      </c>
      <c r="U218" t="s">
        <v>2254</v>
      </c>
      <c r="V218" t="s">
        <v>2255</v>
      </c>
      <c r="W218" t="s">
        <v>2256</v>
      </c>
      <c r="Y218" t="s">
        <v>2257</v>
      </c>
      <c r="Z218" t="s">
        <v>2258</v>
      </c>
      <c r="AA218" t="s">
        <v>2259</v>
      </c>
      <c r="AB218" t="s">
        <v>2260</v>
      </c>
      <c r="AC218" t="s">
        <v>2261</v>
      </c>
      <c r="AD218" t="s">
        <v>2262</v>
      </c>
      <c r="AE218" t="s">
        <v>2263</v>
      </c>
      <c r="AF218" t="s">
        <v>2264</v>
      </c>
      <c r="AG218" t="s">
        <v>2265</v>
      </c>
      <c r="AH218" t="s">
        <v>2266</v>
      </c>
      <c r="AI218" t="s">
        <v>2267</v>
      </c>
      <c r="AJ218" t="s">
        <v>2268</v>
      </c>
      <c r="AK218" t="s">
        <v>2269</v>
      </c>
      <c r="AM218" t="s">
        <v>2270</v>
      </c>
      <c r="AN218" t="s">
        <v>2271</v>
      </c>
      <c r="AO218" t="s">
        <v>2272</v>
      </c>
      <c r="AP218" t="s">
        <v>2273</v>
      </c>
      <c r="AQ218" t="s">
        <v>2274</v>
      </c>
      <c r="AR218" t="s">
        <v>2275</v>
      </c>
      <c r="AS218" t="s">
        <v>2276</v>
      </c>
      <c r="AT218" t="s">
        <v>2277</v>
      </c>
      <c r="AU218" t="s">
        <v>2278</v>
      </c>
      <c r="AV218" t="s">
        <v>2279</v>
      </c>
      <c r="AW218" t="s">
        <v>2280</v>
      </c>
      <c r="AX218" t="s">
        <v>2281</v>
      </c>
      <c r="AY218" t="s">
        <v>2282</v>
      </c>
      <c r="AZ218" t="s">
        <v>2283</v>
      </c>
      <c r="BA218" t="s">
        <v>2284</v>
      </c>
      <c r="BB218" t="s">
        <v>2285</v>
      </c>
      <c r="BC218" t="s">
        <v>2286</v>
      </c>
      <c r="BD218" t="s">
        <v>1999</v>
      </c>
      <c r="BE218" t="s">
        <v>2287</v>
      </c>
      <c r="BF218" t="s">
        <v>2288</v>
      </c>
      <c r="BG218" t="s">
        <v>2289</v>
      </c>
      <c r="BH218" t="s">
        <v>2290</v>
      </c>
      <c r="BI218" t="s">
        <v>2291</v>
      </c>
      <c r="BJ218" t="s">
        <v>2292</v>
      </c>
      <c r="BK218" t="s">
        <v>2293</v>
      </c>
      <c r="BL218" t="s">
        <v>2294</v>
      </c>
      <c r="BM218" t="s">
        <v>2295</v>
      </c>
      <c r="BN218" t="s">
        <v>2296</v>
      </c>
      <c r="BO218" t="s">
        <v>2297</v>
      </c>
      <c r="BP218" t="s">
        <v>2298</v>
      </c>
      <c r="BQ218" t="s">
        <v>2299</v>
      </c>
      <c r="BR218" t="s">
        <v>2300</v>
      </c>
      <c r="BS218" t="s">
        <v>2301</v>
      </c>
      <c r="BT218" t="s">
        <v>2302</v>
      </c>
      <c r="BU218" t="s">
        <v>2303</v>
      </c>
      <c r="BV218" t="s">
        <v>2304</v>
      </c>
      <c r="BW218" t="s">
        <v>2305</v>
      </c>
      <c r="BX218" t="s">
        <v>2306</v>
      </c>
      <c r="BY218" t="s">
        <v>2307</v>
      </c>
      <c r="BZ218" t="s">
        <v>2308</v>
      </c>
      <c r="CA218" t="s">
        <v>2309</v>
      </c>
      <c r="CB218" t="s">
        <v>2310</v>
      </c>
      <c r="CD218" t="s">
        <v>2552</v>
      </c>
    </row>
    <row r="219" spans="1:82" x14ac:dyDescent="0.3">
      <c r="A219">
        <v>962</v>
      </c>
      <c r="B219" t="s">
        <v>934</v>
      </c>
      <c r="D219" t="s">
        <v>936</v>
      </c>
      <c r="E219" t="s">
        <v>938</v>
      </c>
      <c r="F219" t="s">
        <v>2311</v>
      </c>
      <c r="G219" t="s">
        <v>936</v>
      </c>
      <c r="H219" t="s">
        <v>936</v>
      </c>
      <c r="I219" t="s">
        <v>936</v>
      </c>
      <c r="J219" t="s">
        <v>936</v>
      </c>
      <c r="K219" t="s">
        <v>936</v>
      </c>
      <c r="L219" t="s">
        <v>936</v>
      </c>
      <c r="M219" t="s">
        <v>939</v>
      </c>
      <c r="N219" t="s">
        <v>936</v>
      </c>
      <c r="O219" t="s">
        <v>936</v>
      </c>
      <c r="P219" t="s">
        <v>936</v>
      </c>
      <c r="Q219" t="s">
        <v>935</v>
      </c>
      <c r="R219" t="s">
        <v>2312</v>
      </c>
      <c r="S219" t="s">
        <v>935</v>
      </c>
      <c r="T219" t="s">
        <v>2313</v>
      </c>
      <c r="U219" t="s">
        <v>935</v>
      </c>
      <c r="V219" t="s">
        <v>935</v>
      </c>
      <c r="W219" t="s">
        <v>935</v>
      </c>
      <c r="Y219" t="s">
        <v>935</v>
      </c>
      <c r="Z219" t="s">
        <v>2314</v>
      </c>
      <c r="AA219" t="s">
        <v>935</v>
      </c>
      <c r="AB219" t="s">
        <v>936</v>
      </c>
      <c r="AC219" t="s">
        <v>936</v>
      </c>
      <c r="AD219" t="s">
        <v>1057</v>
      </c>
      <c r="AE219" t="s">
        <v>936</v>
      </c>
      <c r="AF219" t="s">
        <v>2315</v>
      </c>
      <c r="AG219" t="s">
        <v>935</v>
      </c>
      <c r="AH219" t="s">
        <v>2316</v>
      </c>
      <c r="AI219" t="s">
        <v>1930</v>
      </c>
      <c r="AJ219" t="s">
        <v>936</v>
      </c>
      <c r="AK219" t="s">
        <v>936</v>
      </c>
      <c r="AM219" t="s">
        <v>935</v>
      </c>
      <c r="AN219" t="s">
        <v>2314</v>
      </c>
      <c r="AO219" t="s">
        <v>937</v>
      </c>
      <c r="AP219" t="s">
        <v>936</v>
      </c>
      <c r="AQ219" t="s">
        <v>936</v>
      </c>
      <c r="AR219" t="s">
        <v>936</v>
      </c>
      <c r="AS219" t="s">
        <v>936</v>
      </c>
      <c r="AT219" t="s">
        <v>936</v>
      </c>
      <c r="AU219" t="s">
        <v>2317</v>
      </c>
      <c r="AV219" t="s">
        <v>935</v>
      </c>
      <c r="AW219" t="s">
        <v>936</v>
      </c>
      <c r="AX219" t="s">
        <v>936</v>
      </c>
      <c r="AY219" t="s">
        <v>936</v>
      </c>
      <c r="AZ219" t="s">
        <v>2318</v>
      </c>
      <c r="BA219" t="s">
        <v>939</v>
      </c>
      <c r="BB219" t="s">
        <v>2314</v>
      </c>
      <c r="BC219" t="s">
        <v>936</v>
      </c>
      <c r="BD219" t="s">
        <v>935</v>
      </c>
      <c r="BE219" t="s">
        <v>938</v>
      </c>
      <c r="BF219" t="s">
        <v>936</v>
      </c>
      <c r="BG219" t="s">
        <v>2314</v>
      </c>
      <c r="BH219" t="s">
        <v>936</v>
      </c>
      <c r="BI219" t="s">
        <v>936</v>
      </c>
      <c r="BJ219" t="s">
        <v>936</v>
      </c>
      <c r="BK219" t="s">
        <v>936</v>
      </c>
      <c r="BL219" t="s">
        <v>2314</v>
      </c>
      <c r="BM219" t="s">
        <v>2319</v>
      </c>
      <c r="BN219" t="s">
        <v>2320</v>
      </c>
      <c r="BO219" t="s">
        <v>938</v>
      </c>
      <c r="BP219" t="s">
        <v>936</v>
      </c>
      <c r="BQ219" t="s">
        <v>2321</v>
      </c>
      <c r="BR219" t="s">
        <v>936</v>
      </c>
      <c r="BS219" t="s">
        <v>935</v>
      </c>
      <c r="BT219" t="s">
        <v>938</v>
      </c>
      <c r="BU219" t="s">
        <v>936</v>
      </c>
      <c r="BV219" t="s">
        <v>936</v>
      </c>
      <c r="BW219" t="s">
        <v>2000</v>
      </c>
      <c r="BX219" t="s">
        <v>2314</v>
      </c>
      <c r="BY219" t="s">
        <v>2322</v>
      </c>
      <c r="BZ219" t="s">
        <v>936</v>
      </c>
      <c r="CA219" t="s">
        <v>2323</v>
      </c>
      <c r="CB219" t="s">
        <v>1057</v>
      </c>
      <c r="CD219" t="s">
        <v>936</v>
      </c>
    </row>
    <row r="220" spans="1:82" x14ac:dyDescent="0.3">
      <c r="A220">
        <v>964</v>
      </c>
      <c r="B220" t="s">
        <v>940</v>
      </c>
      <c r="D220" t="s">
        <v>2324</v>
      </c>
      <c r="E220" t="s">
        <v>2325</v>
      </c>
      <c r="F220" t="s">
        <v>1639</v>
      </c>
      <c r="G220" t="s">
        <v>1608</v>
      </c>
      <c r="H220" t="s">
        <v>1618</v>
      </c>
      <c r="I220" t="s">
        <v>1621</v>
      </c>
      <c r="J220" t="s">
        <v>1611</v>
      </c>
      <c r="K220" t="s">
        <v>1610</v>
      </c>
      <c r="L220" t="s">
        <v>1608</v>
      </c>
      <c r="M220" t="s">
        <v>1619</v>
      </c>
      <c r="N220" t="s">
        <v>1619</v>
      </c>
      <c r="O220" t="s">
        <v>1623</v>
      </c>
      <c r="P220" t="s">
        <v>1620</v>
      </c>
      <c r="Q220" t="s">
        <v>2326</v>
      </c>
      <c r="R220" t="s">
        <v>1615</v>
      </c>
      <c r="S220" t="s">
        <v>2327</v>
      </c>
      <c r="T220" t="s">
        <v>1620</v>
      </c>
      <c r="U220" t="s">
        <v>1606</v>
      </c>
      <c r="V220" t="s">
        <v>1619</v>
      </c>
      <c r="W220" t="s">
        <v>2328</v>
      </c>
      <c r="Y220" t="s">
        <v>2329</v>
      </c>
      <c r="Z220" t="s">
        <v>2225</v>
      </c>
      <c r="AA220" t="s">
        <v>1624</v>
      </c>
      <c r="AB220" t="s">
        <v>2330</v>
      </c>
      <c r="AC220" t="s">
        <v>1643</v>
      </c>
      <c r="AD220" t="s">
        <v>2331</v>
      </c>
      <c r="AE220" t="s">
        <v>1634</v>
      </c>
      <c r="AF220" t="s">
        <v>1609</v>
      </c>
      <c r="AG220" t="s">
        <v>2332</v>
      </c>
      <c r="AH220" t="s">
        <v>2333</v>
      </c>
      <c r="AI220" t="s">
        <v>1623</v>
      </c>
      <c r="AJ220" t="s">
        <v>2334</v>
      </c>
      <c r="AK220" t="s">
        <v>2335</v>
      </c>
      <c r="AM220" t="s">
        <v>1623</v>
      </c>
      <c r="AN220" t="s">
        <v>1617</v>
      </c>
      <c r="AO220" t="s">
        <v>2336</v>
      </c>
      <c r="AP220" t="s">
        <v>1643</v>
      </c>
      <c r="AQ220" t="s">
        <v>2337</v>
      </c>
      <c r="AR220" t="s">
        <v>1622</v>
      </c>
      <c r="AS220" t="s">
        <v>2338</v>
      </c>
      <c r="AT220" t="s">
        <v>2339</v>
      </c>
      <c r="AU220" t="s">
        <v>1617</v>
      </c>
      <c r="AV220" t="s">
        <v>2340</v>
      </c>
      <c r="AW220" t="s">
        <v>1612</v>
      </c>
      <c r="AX220" t="s">
        <v>1642</v>
      </c>
      <c r="AY220" t="s">
        <v>1634</v>
      </c>
      <c r="AZ220" t="s">
        <v>2341</v>
      </c>
      <c r="BA220" t="s">
        <v>2342</v>
      </c>
      <c r="BB220" t="s">
        <v>2343</v>
      </c>
      <c r="BC220" t="s">
        <v>2344</v>
      </c>
      <c r="BD220" t="s">
        <v>2345</v>
      </c>
      <c r="BE220" t="s">
        <v>2338</v>
      </c>
      <c r="BF220" t="s">
        <v>1603</v>
      </c>
      <c r="BG220" t="s">
        <v>2346</v>
      </c>
      <c r="BH220" t="s">
        <v>1610</v>
      </c>
      <c r="BI220" t="s">
        <v>1619</v>
      </c>
      <c r="BJ220" t="s">
        <v>1610</v>
      </c>
      <c r="BK220" t="s">
        <v>2347</v>
      </c>
      <c r="BL220" t="s">
        <v>2348</v>
      </c>
      <c r="BM220" t="s">
        <v>1636</v>
      </c>
      <c r="BN220" t="s">
        <v>1618</v>
      </c>
      <c r="BO220" t="s">
        <v>1619</v>
      </c>
      <c r="BP220" t="s">
        <v>1630</v>
      </c>
      <c r="BQ220" t="s">
        <v>2328</v>
      </c>
      <c r="BR220" t="s">
        <v>2349</v>
      </c>
      <c r="BS220" t="s">
        <v>1643</v>
      </c>
      <c r="BT220" t="s">
        <v>2350</v>
      </c>
      <c r="BU220" t="s">
        <v>2325</v>
      </c>
      <c r="BV220" t="s">
        <v>1615</v>
      </c>
      <c r="BW220" t="s">
        <v>2351</v>
      </c>
      <c r="BX220" t="s">
        <v>1616</v>
      </c>
      <c r="BY220" t="s">
        <v>2352</v>
      </c>
      <c r="BZ220" t="s">
        <v>2353</v>
      </c>
      <c r="CA220" t="s">
        <v>1617</v>
      </c>
      <c r="CB220" t="s">
        <v>1621</v>
      </c>
      <c r="CD220" t="s">
        <v>2553</v>
      </c>
    </row>
    <row r="221" spans="1:82" x14ac:dyDescent="0.3">
      <c r="A221">
        <v>966</v>
      </c>
      <c r="B221" t="s">
        <v>941</v>
      </c>
      <c r="D221" t="s">
        <v>2354</v>
      </c>
      <c r="E221" t="s">
        <v>2355</v>
      </c>
      <c r="F221" t="s">
        <v>2356</v>
      </c>
      <c r="G221" t="s">
        <v>2357</v>
      </c>
      <c r="H221" t="s">
        <v>2358</v>
      </c>
      <c r="I221" t="s">
        <v>2359</v>
      </c>
      <c r="J221" t="s">
        <v>2360</v>
      </c>
      <c r="K221" t="s">
        <v>2361</v>
      </c>
      <c r="L221" t="s">
        <v>2362</v>
      </c>
      <c r="M221" t="s">
        <v>2363</v>
      </c>
      <c r="N221" t="s">
        <v>2364</v>
      </c>
      <c r="O221" t="s">
        <v>2365</v>
      </c>
      <c r="P221" t="s">
        <v>2366</v>
      </c>
      <c r="Q221" t="s">
        <v>2367</v>
      </c>
      <c r="R221" t="s">
        <v>2368</v>
      </c>
      <c r="S221" t="s">
        <v>2369</v>
      </c>
      <c r="T221" t="s">
        <v>2370</v>
      </c>
      <c r="U221" t="s">
        <v>2371</v>
      </c>
      <c r="V221" t="s">
        <v>2372</v>
      </c>
      <c r="W221" t="s">
        <v>2373</v>
      </c>
      <c r="Y221" t="s">
        <v>2374</v>
      </c>
      <c r="Z221" t="s">
        <v>2375</v>
      </c>
      <c r="AA221" t="s">
        <v>2376</v>
      </c>
      <c r="AB221" t="s">
        <v>2377</v>
      </c>
      <c r="AC221" t="s">
        <v>2378</v>
      </c>
      <c r="AD221" t="s">
        <v>2379</v>
      </c>
      <c r="AE221" t="s">
        <v>2380</v>
      </c>
      <c r="AF221" t="s">
        <v>2381</v>
      </c>
      <c r="AG221" t="s">
        <v>2382</v>
      </c>
      <c r="AH221" t="s">
        <v>2383</v>
      </c>
      <c r="AI221" t="s">
        <v>2384</v>
      </c>
      <c r="AJ221" t="s">
        <v>2385</v>
      </c>
      <c r="AK221" t="s">
        <v>2386</v>
      </c>
      <c r="AM221" t="s">
        <v>2387</v>
      </c>
      <c r="AN221" t="s">
        <v>2388</v>
      </c>
      <c r="AP221" t="s">
        <v>2389</v>
      </c>
      <c r="AQ221" t="s">
        <v>2390</v>
      </c>
      <c r="AR221" t="s">
        <v>2391</v>
      </c>
      <c r="AT221" t="s">
        <v>2392</v>
      </c>
      <c r="AU221" t="s">
        <v>2393</v>
      </c>
      <c r="AV221" t="s">
        <v>2394</v>
      </c>
      <c r="AW221" t="s">
        <v>2395</v>
      </c>
      <c r="AX221" t="s">
        <v>2396</v>
      </c>
      <c r="AY221" t="s">
        <v>2397</v>
      </c>
      <c r="AZ221" t="s">
        <v>2398</v>
      </c>
      <c r="BA221" t="s">
        <v>2399</v>
      </c>
      <c r="BB221" t="s">
        <v>2400</v>
      </c>
      <c r="BC221" t="s">
        <v>2401</v>
      </c>
      <c r="BD221" t="s">
        <v>2402</v>
      </c>
      <c r="BF221" t="s">
        <v>2403</v>
      </c>
      <c r="BG221" t="s">
        <v>2404</v>
      </c>
      <c r="BH221" t="s">
        <v>2405</v>
      </c>
      <c r="BI221" t="s">
        <v>2406</v>
      </c>
      <c r="BJ221" t="s">
        <v>2407</v>
      </c>
      <c r="BK221" t="s">
        <v>2408</v>
      </c>
      <c r="BL221" t="s">
        <v>2409</v>
      </c>
      <c r="BM221" t="s">
        <v>2410</v>
      </c>
      <c r="BN221" t="s">
        <v>2411</v>
      </c>
      <c r="BO221" t="s">
        <v>2412</v>
      </c>
      <c r="BP221" t="s">
        <v>2413</v>
      </c>
      <c r="BQ221" t="s">
        <v>2414</v>
      </c>
      <c r="BR221" t="s">
        <v>2415</v>
      </c>
      <c r="BS221" t="s">
        <v>2416</v>
      </c>
      <c r="BT221" t="s">
        <v>2417</v>
      </c>
      <c r="BU221" t="s">
        <v>2418</v>
      </c>
      <c r="BW221" t="s">
        <v>2419</v>
      </c>
      <c r="BX221" t="s">
        <v>2420</v>
      </c>
      <c r="BY221" t="s">
        <v>2421</v>
      </c>
      <c r="BZ221" t="s">
        <v>2422</v>
      </c>
      <c r="CA221" t="s">
        <v>2423</v>
      </c>
      <c r="CB221" t="s">
        <v>2424</v>
      </c>
      <c r="CD221" t="s">
        <v>2554</v>
      </c>
    </row>
    <row r="222" spans="1:82" x14ac:dyDescent="0.3">
      <c r="A222">
        <v>968</v>
      </c>
      <c r="B222" t="s">
        <v>942</v>
      </c>
      <c r="D222" t="s">
        <v>2425</v>
      </c>
      <c r="E222" t="s">
        <v>2426</v>
      </c>
      <c r="F222" t="s">
        <v>2427</v>
      </c>
      <c r="G222" t="s">
        <v>2428</v>
      </c>
      <c r="H222" t="s">
        <v>2429</v>
      </c>
      <c r="I222" t="s">
        <v>2430</v>
      </c>
      <c r="J222" t="s">
        <v>2431</v>
      </c>
      <c r="K222" t="s">
        <v>2432</v>
      </c>
      <c r="L222" t="s">
        <v>2433</v>
      </c>
      <c r="M222" t="s">
        <v>2434</v>
      </c>
      <c r="N222" t="s">
        <v>2435</v>
      </c>
      <c r="O222" t="s">
        <v>2436</v>
      </c>
      <c r="P222" t="s">
        <v>2437</v>
      </c>
      <c r="Q222" t="s">
        <v>2438</v>
      </c>
      <c r="R222" t="s">
        <v>2439</v>
      </c>
      <c r="S222" t="s">
        <v>2440</v>
      </c>
      <c r="T222" t="s">
        <v>2441</v>
      </c>
      <c r="U222" t="s">
        <v>2442</v>
      </c>
      <c r="V222" t="s">
        <v>2443</v>
      </c>
      <c r="W222" t="s">
        <v>2444</v>
      </c>
      <c r="Y222" t="s">
        <v>2445</v>
      </c>
      <c r="Z222" t="s">
        <v>2446</v>
      </c>
      <c r="AA222" t="s">
        <v>2447</v>
      </c>
      <c r="AB222" t="s">
        <v>2448</v>
      </c>
      <c r="AC222" t="s">
        <v>2449</v>
      </c>
      <c r="AD222" t="s">
        <v>2450</v>
      </c>
      <c r="AE222" t="s">
        <v>2451</v>
      </c>
      <c r="AF222" t="s">
        <v>2452</v>
      </c>
      <c r="AG222" t="s">
        <v>2453</v>
      </c>
      <c r="AH222" t="s">
        <v>2454</v>
      </c>
      <c r="AI222" t="s">
        <v>2455</v>
      </c>
      <c r="AJ222" t="s">
        <v>2456</v>
      </c>
      <c r="AK222" t="s">
        <v>2457</v>
      </c>
      <c r="AM222" t="s">
        <v>2458</v>
      </c>
      <c r="AN222" t="s">
        <v>2459</v>
      </c>
      <c r="AO222" t="s">
        <v>2460</v>
      </c>
      <c r="AP222" t="s">
        <v>2461</v>
      </c>
      <c r="AQ222" t="s">
        <v>2462</v>
      </c>
      <c r="AR222" t="s">
        <v>2463</v>
      </c>
      <c r="AS222" t="s">
        <v>2464</v>
      </c>
      <c r="AT222" t="s">
        <v>2465</v>
      </c>
      <c r="AU222" t="s">
        <v>2466</v>
      </c>
      <c r="AV222" t="s">
        <v>2467</v>
      </c>
      <c r="AW222" t="s">
        <v>2468</v>
      </c>
      <c r="AX222" t="s">
        <v>2469</v>
      </c>
      <c r="AY222" t="s">
        <v>2470</v>
      </c>
      <c r="AZ222" t="s">
        <v>2471</v>
      </c>
      <c r="BA222" t="s">
        <v>2472</v>
      </c>
      <c r="BB222" t="s">
        <v>2473</v>
      </c>
      <c r="BC222" t="s">
        <v>2474</v>
      </c>
      <c r="BD222" t="s">
        <v>2475</v>
      </c>
      <c r="BE222" t="s">
        <v>2476</v>
      </c>
      <c r="BF222" t="s">
        <v>2477</v>
      </c>
      <c r="BG222" t="s">
        <v>2478</v>
      </c>
      <c r="BH222" t="s">
        <v>2479</v>
      </c>
      <c r="BI222" t="s">
        <v>2480</v>
      </c>
      <c r="BJ222" t="s">
        <v>2481</v>
      </c>
      <c r="BK222" t="s">
        <v>2482</v>
      </c>
      <c r="BL222" t="s">
        <v>2483</v>
      </c>
      <c r="BM222" t="s">
        <v>2484</v>
      </c>
      <c r="BN222" t="s">
        <v>2485</v>
      </c>
      <c r="BO222" t="s">
        <v>2486</v>
      </c>
      <c r="BP222" t="s">
        <v>2487</v>
      </c>
      <c r="BQ222" t="s">
        <v>2488</v>
      </c>
      <c r="BR222" t="s">
        <v>2489</v>
      </c>
      <c r="BS222" t="s">
        <v>2490</v>
      </c>
      <c r="BT222" t="s">
        <v>2491</v>
      </c>
      <c r="BU222" t="s">
        <v>2492</v>
      </c>
      <c r="BV222" t="s">
        <v>2493</v>
      </c>
      <c r="BW222" t="s">
        <v>2494</v>
      </c>
      <c r="BX222" t="s">
        <v>2495</v>
      </c>
      <c r="BY222" t="s">
        <v>2496</v>
      </c>
      <c r="BZ222" t="s">
        <v>2497</v>
      </c>
      <c r="CA222" t="s">
        <v>2498</v>
      </c>
      <c r="CB222" t="s">
        <v>2499</v>
      </c>
      <c r="CD222" t="s">
        <v>2555</v>
      </c>
    </row>
    <row r="223" spans="1:82" x14ac:dyDescent="0.3">
      <c r="A223">
        <v>973</v>
      </c>
      <c r="B223" t="s">
        <v>1629</v>
      </c>
      <c r="D223">
        <v>0</v>
      </c>
      <c r="E223">
        <v>0</v>
      </c>
      <c r="F223">
        <v>0</v>
      </c>
      <c r="G223">
        <v>0</v>
      </c>
      <c r="H223">
        <v>0</v>
      </c>
      <c r="I223">
        <v>0</v>
      </c>
      <c r="J223">
        <v>0</v>
      </c>
      <c r="K223">
        <v>0</v>
      </c>
      <c r="L223">
        <v>0</v>
      </c>
      <c r="M223">
        <v>0</v>
      </c>
      <c r="N223">
        <v>0</v>
      </c>
      <c r="O223">
        <v>0</v>
      </c>
      <c r="P223">
        <v>1</v>
      </c>
      <c r="Q223">
        <v>0</v>
      </c>
      <c r="R223">
        <v>0</v>
      </c>
      <c r="S223">
        <v>0</v>
      </c>
      <c r="T223">
        <v>0</v>
      </c>
      <c r="U223">
        <v>0</v>
      </c>
      <c r="V223">
        <v>0</v>
      </c>
      <c r="W223">
        <v>0</v>
      </c>
      <c r="Y223">
        <v>0</v>
      </c>
      <c r="Z223">
        <v>1</v>
      </c>
      <c r="AA223">
        <v>0</v>
      </c>
      <c r="AB223">
        <v>0</v>
      </c>
      <c r="AC223">
        <v>0</v>
      </c>
      <c r="AD223">
        <v>0</v>
      </c>
      <c r="AE223">
        <v>0</v>
      </c>
      <c r="AF223">
        <v>0</v>
      </c>
      <c r="AG223">
        <v>1</v>
      </c>
      <c r="AH223">
        <v>0</v>
      </c>
      <c r="AI223">
        <v>0</v>
      </c>
      <c r="AJ223">
        <v>0</v>
      </c>
      <c r="AK223">
        <v>0</v>
      </c>
      <c r="AM223">
        <v>0</v>
      </c>
      <c r="AN223">
        <v>0</v>
      </c>
      <c r="AO223">
        <v>0</v>
      </c>
      <c r="AP223">
        <v>0</v>
      </c>
      <c r="AQ223">
        <v>0</v>
      </c>
      <c r="AR223">
        <v>0</v>
      </c>
      <c r="AS223">
        <v>0</v>
      </c>
      <c r="AT223">
        <v>1</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1</v>
      </c>
      <c r="BU223">
        <v>0</v>
      </c>
      <c r="BV223">
        <v>0</v>
      </c>
      <c r="BW223">
        <v>0</v>
      </c>
      <c r="BX223">
        <v>0</v>
      </c>
      <c r="BY223">
        <v>0</v>
      </c>
      <c r="BZ223">
        <v>0</v>
      </c>
      <c r="CA223">
        <v>0</v>
      </c>
      <c r="CB223">
        <v>0</v>
      </c>
      <c r="CD223">
        <v>0</v>
      </c>
    </row>
    <row r="224" spans="1:82" x14ac:dyDescent="0.3">
      <c r="A224">
        <v>974</v>
      </c>
      <c r="B224" t="s">
        <v>943</v>
      </c>
      <c r="D224">
        <v>1</v>
      </c>
      <c r="E224">
        <v>2</v>
      </c>
      <c r="F224">
        <v>2</v>
      </c>
      <c r="G224">
        <v>2</v>
      </c>
      <c r="H224">
        <v>2</v>
      </c>
      <c r="I224">
        <v>3</v>
      </c>
      <c r="J224">
        <v>2</v>
      </c>
      <c r="K224">
        <v>3</v>
      </c>
      <c r="L224">
        <v>3</v>
      </c>
      <c r="M224">
        <v>2</v>
      </c>
      <c r="N224">
        <v>2</v>
      </c>
      <c r="O224">
        <v>3</v>
      </c>
      <c r="P224">
        <v>3</v>
      </c>
      <c r="Q224">
        <v>2</v>
      </c>
      <c r="R224">
        <v>2</v>
      </c>
      <c r="S224">
        <v>3</v>
      </c>
      <c r="T224">
        <v>2</v>
      </c>
      <c r="U224">
        <v>2</v>
      </c>
      <c r="V224">
        <v>2</v>
      </c>
      <c r="W224">
        <v>2</v>
      </c>
      <c r="Y224">
        <v>2</v>
      </c>
      <c r="Z224">
        <v>2</v>
      </c>
      <c r="AA224">
        <v>2</v>
      </c>
      <c r="AB224">
        <v>2</v>
      </c>
      <c r="AC224">
        <v>3</v>
      </c>
      <c r="AD224">
        <v>2</v>
      </c>
      <c r="AE224">
        <v>2</v>
      </c>
      <c r="AF224">
        <v>3</v>
      </c>
      <c r="AG224">
        <v>2</v>
      </c>
      <c r="AH224">
        <v>2</v>
      </c>
      <c r="AI224">
        <v>2</v>
      </c>
      <c r="AJ224">
        <v>3</v>
      </c>
      <c r="AK224">
        <v>3</v>
      </c>
      <c r="AM224">
        <v>2</v>
      </c>
      <c r="AN224">
        <v>2</v>
      </c>
      <c r="AO224">
        <v>2</v>
      </c>
      <c r="AP224">
        <v>2</v>
      </c>
      <c r="AQ224">
        <v>2</v>
      </c>
      <c r="AR224">
        <v>2</v>
      </c>
      <c r="AS224">
        <v>3</v>
      </c>
      <c r="AT224">
        <v>2</v>
      </c>
      <c r="AU224">
        <v>3</v>
      </c>
      <c r="AV224">
        <v>2</v>
      </c>
      <c r="AW224">
        <v>2</v>
      </c>
      <c r="AX224">
        <v>2</v>
      </c>
      <c r="AY224">
        <v>2</v>
      </c>
      <c r="AZ224">
        <v>2</v>
      </c>
      <c r="BA224">
        <v>3</v>
      </c>
      <c r="BB224">
        <v>3</v>
      </c>
      <c r="BC224">
        <v>2</v>
      </c>
      <c r="BD224">
        <v>2</v>
      </c>
      <c r="BE224">
        <v>2</v>
      </c>
      <c r="BF224">
        <v>2</v>
      </c>
      <c r="BG224">
        <v>3</v>
      </c>
      <c r="BH224">
        <v>3</v>
      </c>
      <c r="BI224">
        <v>2</v>
      </c>
      <c r="BJ224">
        <v>2</v>
      </c>
      <c r="BK224">
        <v>2</v>
      </c>
      <c r="BL224">
        <v>2</v>
      </c>
      <c r="BM224">
        <v>2</v>
      </c>
      <c r="BN224">
        <v>2</v>
      </c>
      <c r="BO224">
        <v>2</v>
      </c>
      <c r="BP224">
        <v>2</v>
      </c>
      <c r="BQ224">
        <v>2</v>
      </c>
      <c r="BR224">
        <v>2</v>
      </c>
      <c r="BS224">
        <v>2</v>
      </c>
      <c r="BT224">
        <v>2</v>
      </c>
      <c r="BU224">
        <v>2</v>
      </c>
      <c r="BV224">
        <v>3</v>
      </c>
      <c r="BW224">
        <v>2</v>
      </c>
      <c r="BX224">
        <v>2</v>
      </c>
      <c r="BY224">
        <v>3</v>
      </c>
      <c r="BZ224">
        <v>2</v>
      </c>
      <c r="CA224">
        <v>2</v>
      </c>
      <c r="CB224">
        <v>2</v>
      </c>
      <c r="CD224">
        <v>2</v>
      </c>
    </row>
    <row r="225" spans="1:82" x14ac:dyDescent="0.3">
      <c r="A225">
        <v>975</v>
      </c>
      <c r="B225" t="s">
        <v>596</v>
      </c>
      <c r="D225">
        <v>1</v>
      </c>
      <c r="E225">
        <v>1</v>
      </c>
      <c r="F225">
        <v>1</v>
      </c>
      <c r="G225">
        <v>2</v>
      </c>
      <c r="H225">
        <v>2</v>
      </c>
      <c r="I225">
        <v>2</v>
      </c>
      <c r="J225">
        <v>1</v>
      </c>
      <c r="K225">
        <v>2</v>
      </c>
      <c r="L225">
        <v>2</v>
      </c>
      <c r="M225">
        <v>2</v>
      </c>
      <c r="N225">
        <v>2</v>
      </c>
      <c r="O225">
        <v>2</v>
      </c>
      <c r="P225">
        <v>1</v>
      </c>
      <c r="Q225">
        <v>2</v>
      </c>
      <c r="R225">
        <v>1</v>
      </c>
      <c r="S225">
        <v>2</v>
      </c>
      <c r="T225">
        <v>2</v>
      </c>
      <c r="U225">
        <v>1</v>
      </c>
      <c r="V225">
        <v>1</v>
      </c>
      <c r="W225">
        <v>2</v>
      </c>
      <c r="Y225">
        <v>2</v>
      </c>
      <c r="Z225">
        <v>1</v>
      </c>
      <c r="AA225">
        <v>2</v>
      </c>
      <c r="AB225">
        <v>1</v>
      </c>
      <c r="AC225">
        <v>2</v>
      </c>
      <c r="AD225">
        <v>1</v>
      </c>
      <c r="AE225">
        <v>2</v>
      </c>
      <c r="AF225">
        <v>1</v>
      </c>
      <c r="AG225">
        <v>1</v>
      </c>
      <c r="AH225">
        <v>1</v>
      </c>
      <c r="AI225">
        <v>1</v>
      </c>
      <c r="AJ225">
        <v>1</v>
      </c>
      <c r="AK225">
        <v>1</v>
      </c>
      <c r="AM225">
        <v>1</v>
      </c>
      <c r="AN225">
        <v>1</v>
      </c>
      <c r="AO225">
        <v>1</v>
      </c>
      <c r="AP225">
        <v>2</v>
      </c>
      <c r="AQ225">
        <v>1</v>
      </c>
      <c r="AR225">
        <v>1</v>
      </c>
      <c r="AS225">
        <v>1</v>
      </c>
      <c r="AT225">
        <v>1</v>
      </c>
      <c r="AU225">
        <v>1</v>
      </c>
      <c r="AV225">
        <v>2</v>
      </c>
      <c r="AW225">
        <v>2</v>
      </c>
      <c r="AX225">
        <v>2</v>
      </c>
      <c r="AY225">
        <v>2</v>
      </c>
      <c r="AZ225">
        <v>1</v>
      </c>
      <c r="BA225">
        <v>1</v>
      </c>
      <c r="BB225">
        <v>1</v>
      </c>
      <c r="BC225">
        <v>1</v>
      </c>
      <c r="BD225">
        <v>1</v>
      </c>
      <c r="BE225">
        <v>1</v>
      </c>
      <c r="BF225">
        <v>1</v>
      </c>
      <c r="BG225">
        <v>1</v>
      </c>
      <c r="BH225">
        <v>1</v>
      </c>
      <c r="BI225">
        <v>2</v>
      </c>
      <c r="BJ225">
        <v>2</v>
      </c>
      <c r="BK225">
        <v>1</v>
      </c>
      <c r="BL225">
        <v>1</v>
      </c>
      <c r="BM225">
        <v>1</v>
      </c>
      <c r="BN225">
        <v>1</v>
      </c>
      <c r="BO225">
        <v>1</v>
      </c>
      <c r="BP225">
        <v>1</v>
      </c>
      <c r="BQ225">
        <v>2</v>
      </c>
      <c r="BR225">
        <v>1</v>
      </c>
      <c r="BS225">
        <v>1</v>
      </c>
      <c r="BT225">
        <v>1</v>
      </c>
      <c r="BU225">
        <v>1</v>
      </c>
      <c r="BV225">
        <v>2</v>
      </c>
      <c r="BW225">
        <v>1</v>
      </c>
      <c r="BX225">
        <v>1</v>
      </c>
      <c r="BY225">
        <v>1</v>
      </c>
      <c r="BZ225">
        <v>1</v>
      </c>
      <c r="CA225">
        <v>1</v>
      </c>
      <c r="CB225">
        <v>1</v>
      </c>
      <c r="CD225">
        <v>1</v>
      </c>
    </row>
    <row r="226" spans="1:82" x14ac:dyDescent="0.3">
      <c r="A226">
        <v>979</v>
      </c>
      <c r="B226" t="s">
        <v>944</v>
      </c>
      <c r="D226">
        <v>2</v>
      </c>
      <c r="E226">
        <v>2</v>
      </c>
      <c r="F226">
        <v>2</v>
      </c>
      <c r="G226">
        <v>1</v>
      </c>
      <c r="H226">
        <v>1</v>
      </c>
      <c r="I226">
        <v>1</v>
      </c>
      <c r="J226">
        <v>1</v>
      </c>
      <c r="K226">
        <v>1</v>
      </c>
      <c r="L226">
        <v>1</v>
      </c>
      <c r="M226">
        <v>1</v>
      </c>
      <c r="N226">
        <v>1</v>
      </c>
      <c r="O226">
        <v>1</v>
      </c>
      <c r="P226">
        <v>1</v>
      </c>
      <c r="Q226">
        <v>1</v>
      </c>
      <c r="R226">
        <v>1</v>
      </c>
      <c r="S226">
        <v>1</v>
      </c>
      <c r="T226">
        <v>1</v>
      </c>
      <c r="U226">
        <v>2</v>
      </c>
      <c r="V226">
        <v>2</v>
      </c>
      <c r="W226">
        <v>1</v>
      </c>
      <c r="Y226">
        <v>1</v>
      </c>
      <c r="Z226">
        <v>2</v>
      </c>
      <c r="AA226">
        <v>1</v>
      </c>
      <c r="AB226">
        <v>2</v>
      </c>
      <c r="AC226">
        <v>1</v>
      </c>
      <c r="AD226">
        <v>2</v>
      </c>
      <c r="AE226">
        <v>1</v>
      </c>
      <c r="AF226">
        <v>1</v>
      </c>
      <c r="AG226">
        <v>2</v>
      </c>
      <c r="AH226">
        <v>2</v>
      </c>
      <c r="AI226">
        <v>1</v>
      </c>
      <c r="AJ226">
        <v>2</v>
      </c>
      <c r="AK226">
        <v>2</v>
      </c>
      <c r="AM226">
        <v>2</v>
      </c>
      <c r="AN226">
        <v>1</v>
      </c>
      <c r="AO226">
        <v>2</v>
      </c>
      <c r="AP226">
        <v>1</v>
      </c>
      <c r="AQ226">
        <v>2</v>
      </c>
      <c r="AR226">
        <v>2</v>
      </c>
      <c r="AS226">
        <v>2</v>
      </c>
      <c r="AT226">
        <v>2</v>
      </c>
      <c r="AU226">
        <v>1</v>
      </c>
      <c r="AV226">
        <v>2</v>
      </c>
      <c r="AW226">
        <v>1</v>
      </c>
      <c r="AX226">
        <v>1</v>
      </c>
      <c r="AY226">
        <v>1</v>
      </c>
      <c r="AZ226">
        <v>1</v>
      </c>
      <c r="BA226">
        <v>2</v>
      </c>
      <c r="BB226">
        <v>1</v>
      </c>
      <c r="BC226">
        <v>1</v>
      </c>
      <c r="BD226">
        <v>2</v>
      </c>
      <c r="BE226">
        <v>2</v>
      </c>
      <c r="BF226">
        <v>2</v>
      </c>
      <c r="BG226">
        <v>2</v>
      </c>
      <c r="BH226">
        <v>1</v>
      </c>
      <c r="BI226">
        <v>1</v>
      </c>
      <c r="BJ226">
        <v>1</v>
      </c>
      <c r="BK226">
        <v>1</v>
      </c>
      <c r="BL226">
        <v>2</v>
      </c>
      <c r="BM226">
        <v>2</v>
      </c>
      <c r="BN226">
        <v>1</v>
      </c>
      <c r="BO226">
        <v>1</v>
      </c>
      <c r="BP226">
        <v>2</v>
      </c>
      <c r="BQ226">
        <v>1</v>
      </c>
      <c r="BR226">
        <v>2</v>
      </c>
      <c r="BS226">
        <v>1</v>
      </c>
      <c r="BT226">
        <v>2</v>
      </c>
      <c r="BU226">
        <v>2</v>
      </c>
      <c r="BV226">
        <v>1</v>
      </c>
      <c r="BW226">
        <v>2</v>
      </c>
      <c r="BX226">
        <v>1</v>
      </c>
      <c r="BY226">
        <v>2</v>
      </c>
      <c r="BZ226">
        <v>2</v>
      </c>
      <c r="CA226">
        <v>1</v>
      </c>
      <c r="CB226">
        <v>1</v>
      </c>
      <c r="CD226">
        <v>2</v>
      </c>
    </row>
    <row r="227" spans="1:82" x14ac:dyDescent="0.3">
      <c r="A227">
        <v>980</v>
      </c>
      <c r="B227" t="s">
        <v>583</v>
      </c>
      <c r="D227" t="s">
        <v>2500</v>
      </c>
      <c r="E227" t="s">
        <v>1628</v>
      </c>
      <c r="F227" t="s">
        <v>2501</v>
      </c>
      <c r="G227" t="s">
        <v>1602</v>
      </c>
      <c r="H227" t="s">
        <v>2352</v>
      </c>
      <c r="I227" t="s">
        <v>1602</v>
      </c>
      <c r="J227" t="s">
        <v>1627</v>
      </c>
      <c r="K227" t="s">
        <v>1602</v>
      </c>
      <c r="L227" t="s">
        <v>1632</v>
      </c>
      <c r="M227" t="s">
        <v>2502</v>
      </c>
      <c r="N227" t="s">
        <v>2325</v>
      </c>
      <c r="O227" t="s">
        <v>2503</v>
      </c>
      <c r="P227" t="s">
        <v>1609</v>
      </c>
      <c r="Q227" t="s">
        <v>1602</v>
      </c>
      <c r="R227" t="s">
        <v>2342</v>
      </c>
      <c r="S227" t="s">
        <v>1602</v>
      </c>
      <c r="T227" t="s">
        <v>1602</v>
      </c>
      <c r="U227" t="s">
        <v>1606</v>
      </c>
      <c r="V227" t="s">
        <v>1638</v>
      </c>
      <c r="W227" t="s">
        <v>1602</v>
      </c>
      <c r="Y227" t="s">
        <v>1602</v>
      </c>
      <c r="Z227" t="s">
        <v>1641</v>
      </c>
      <c r="AA227" t="s">
        <v>1602</v>
      </c>
      <c r="AB227" t="s">
        <v>2504</v>
      </c>
      <c r="AC227" t="s">
        <v>2503</v>
      </c>
      <c r="AD227" t="s">
        <v>2505</v>
      </c>
      <c r="AE227" t="s">
        <v>1602</v>
      </c>
      <c r="AF227" t="s">
        <v>1607</v>
      </c>
      <c r="AG227" t="s">
        <v>1640</v>
      </c>
      <c r="AH227" t="s">
        <v>2506</v>
      </c>
      <c r="AI227" t="s">
        <v>1631</v>
      </c>
      <c r="AJ227" t="s">
        <v>1641</v>
      </c>
      <c r="AK227" t="s">
        <v>2507</v>
      </c>
      <c r="AM227" t="s">
        <v>1632</v>
      </c>
      <c r="AN227" t="s">
        <v>1635</v>
      </c>
      <c r="AO227" t="s">
        <v>2508</v>
      </c>
      <c r="AP227" t="s">
        <v>1613</v>
      </c>
      <c r="AQ227" t="s">
        <v>1601</v>
      </c>
      <c r="AR227" t="s">
        <v>1622</v>
      </c>
      <c r="AS227" t="s">
        <v>2509</v>
      </c>
      <c r="AT227" t="s">
        <v>2510</v>
      </c>
      <c r="AU227" t="s">
        <v>2325</v>
      </c>
      <c r="AV227" t="s">
        <v>1633</v>
      </c>
      <c r="AW227" t="s">
        <v>1614</v>
      </c>
      <c r="AX227" t="s">
        <v>1613</v>
      </c>
      <c r="AY227" t="s">
        <v>2345</v>
      </c>
      <c r="AZ227" t="s">
        <v>1609</v>
      </c>
      <c r="BA227" t="s">
        <v>1641</v>
      </c>
      <c r="BB227" t="s">
        <v>1612</v>
      </c>
      <c r="BC227" t="s">
        <v>2503</v>
      </c>
      <c r="BD227" t="s">
        <v>2511</v>
      </c>
      <c r="BE227" t="s">
        <v>2512</v>
      </c>
      <c r="BF227" t="s">
        <v>2504</v>
      </c>
      <c r="BG227" t="s">
        <v>2513</v>
      </c>
      <c r="BH227" t="s">
        <v>2514</v>
      </c>
      <c r="BI227" t="s">
        <v>2514</v>
      </c>
      <c r="BJ227" t="s">
        <v>2503</v>
      </c>
      <c r="BK227" t="s">
        <v>1638</v>
      </c>
      <c r="BL227" t="s">
        <v>1988</v>
      </c>
      <c r="BM227" t="s">
        <v>2515</v>
      </c>
      <c r="BN227" t="s">
        <v>1625</v>
      </c>
      <c r="BO227" t="s">
        <v>2503</v>
      </c>
      <c r="BP227" t="s">
        <v>2506</v>
      </c>
      <c r="BQ227" t="s">
        <v>1612</v>
      </c>
      <c r="BR227" t="s">
        <v>2334</v>
      </c>
      <c r="BS227" t="s">
        <v>1631</v>
      </c>
      <c r="BT227" t="s">
        <v>1932</v>
      </c>
      <c r="BU227" t="s">
        <v>2501</v>
      </c>
      <c r="BV227" t="s">
        <v>1625</v>
      </c>
      <c r="BW227" t="s">
        <v>2516</v>
      </c>
      <c r="BX227" t="s">
        <v>1638</v>
      </c>
      <c r="BY227" t="s">
        <v>1605</v>
      </c>
      <c r="BZ227" t="s">
        <v>1606</v>
      </c>
      <c r="CA227" t="s">
        <v>1637</v>
      </c>
      <c r="CB227" t="s">
        <v>2517</v>
      </c>
      <c r="CD227" t="s">
        <v>1626</v>
      </c>
    </row>
    <row r="228" spans="1:82" x14ac:dyDescent="0.3">
      <c r="A228">
        <v>984</v>
      </c>
      <c r="B228" t="s">
        <v>945</v>
      </c>
      <c r="D228">
        <v>189678</v>
      </c>
      <c r="E228">
        <v>25519</v>
      </c>
      <c r="F228">
        <v>380877</v>
      </c>
      <c r="G228">
        <v>1402352</v>
      </c>
      <c r="H228">
        <v>216087</v>
      </c>
      <c r="I228">
        <v>3011187</v>
      </c>
      <c r="J228">
        <v>49184</v>
      </c>
      <c r="K228">
        <v>88892</v>
      </c>
      <c r="L228">
        <v>137088</v>
      </c>
      <c r="M228">
        <v>9634601</v>
      </c>
      <c r="N228">
        <v>33231</v>
      </c>
      <c r="O228">
        <v>3192361</v>
      </c>
      <c r="P228">
        <v>17872</v>
      </c>
      <c r="Q228">
        <v>24510295</v>
      </c>
      <c r="R228">
        <v>1245291</v>
      </c>
      <c r="S228">
        <v>0</v>
      </c>
      <c r="T228">
        <v>49834829</v>
      </c>
      <c r="U228">
        <v>8856909</v>
      </c>
      <c r="V228">
        <v>10915238</v>
      </c>
      <c r="W228">
        <v>23708336</v>
      </c>
      <c r="Y228">
        <v>7675905</v>
      </c>
      <c r="Z228">
        <v>581702</v>
      </c>
      <c r="AA228">
        <v>9438959</v>
      </c>
      <c r="AB228">
        <v>1881014</v>
      </c>
      <c r="AC228">
        <v>973314</v>
      </c>
      <c r="AD228">
        <v>957971</v>
      </c>
      <c r="AE228">
        <v>1090176</v>
      </c>
      <c r="AF228">
        <v>10582398</v>
      </c>
      <c r="AG228">
        <v>2557334</v>
      </c>
      <c r="AH228">
        <v>305592</v>
      </c>
      <c r="AI228">
        <v>16915838</v>
      </c>
      <c r="AJ228">
        <v>246608</v>
      </c>
      <c r="AK228">
        <v>343796</v>
      </c>
      <c r="AM228">
        <v>6636609</v>
      </c>
      <c r="AN228">
        <v>262704</v>
      </c>
      <c r="AO228">
        <v>296370</v>
      </c>
      <c r="AP228">
        <v>0</v>
      </c>
      <c r="AQ228">
        <v>2784924</v>
      </c>
      <c r="AR228">
        <v>2432106</v>
      </c>
      <c r="AS228">
        <v>164578</v>
      </c>
      <c r="AT228">
        <v>1402275</v>
      </c>
      <c r="AU228">
        <v>78581</v>
      </c>
      <c r="AV228">
        <v>8219915</v>
      </c>
      <c r="AW228">
        <v>943206</v>
      </c>
      <c r="AX228">
        <v>930519</v>
      </c>
      <c r="AY228">
        <v>3321766</v>
      </c>
      <c r="AZ228">
        <v>461913</v>
      </c>
      <c r="BA228">
        <v>583485</v>
      </c>
      <c r="BB228">
        <v>0</v>
      </c>
      <c r="BC228">
        <v>54609</v>
      </c>
      <c r="BD228">
        <v>3784635</v>
      </c>
      <c r="BE228">
        <v>40894</v>
      </c>
      <c r="BF228">
        <v>172314</v>
      </c>
      <c r="BG228">
        <v>81509</v>
      </c>
      <c r="BH228">
        <v>38521</v>
      </c>
      <c r="BI228">
        <v>60941</v>
      </c>
      <c r="BJ228">
        <v>61977</v>
      </c>
      <c r="BK228">
        <v>1403950</v>
      </c>
      <c r="BL228">
        <v>338515</v>
      </c>
      <c r="BM228">
        <v>987726</v>
      </c>
      <c r="BN228">
        <v>2116824</v>
      </c>
      <c r="BO228">
        <v>660377</v>
      </c>
      <c r="BP228">
        <v>556117</v>
      </c>
      <c r="BQ228">
        <v>12257753</v>
      </c>
      <c r="BR228">
        <v>260981</v>
      </c>
      <c r="BS228">
        <v>8210242</v>
      </c>
      <c r="BT228">
        <v>205020</v>
      </c>
      <c r="BU228">
        <v>3514903</v>
      </c>
      <c r="BV228">
        <v>346672</v>
      </c>
      <c r="BW228">
        <v>1047735</v>
      </c>
      <c r="BX228">
        <v>140587</v>
      </c>
      <c r="BY228">
        <v>17074</v>
      </c>
      <c r="BZ228">
        <v>80326</v>
      </c>
      <c r="CA228">
        <v>26843</v>
      </c>
      <c r="CB228">
        <v>572645</v>
      </c>
      <c r="CD228">
        <v>12266</v>
      </c>
    </row>
    <row r="229" spans="1:82" x14ac:dyDescent="0.3">
      <c r="A229">
        <v>985</v>
      </c>
      <c r="B229" t="s">
        <v>946</v>
      </c>
      <c r="D229">
        <v>153492</v>
      </c>
      <c r="E229">
        <v>27500</v>
      </c>
      <c r="F229">
        <v>368480</v>
      </c>
      <c r="G229">
        <v>1238608</v>
      </c>
      <c r="H229">
        <v>181800</v>
      </c>
      <c r="I229">
        <v>2727500</v>
      </c>
      <c r="J229">
        <v>52500</v>
      </c>
      <c r="K229">
        <v>85090</v>
      </c>
      <c r="L229">
        <v>134010</v>
      </c>
      <c r="M229">
        <v>9380000</v>
      </c>
      <c r="N229">
        <v>29000</v>
      </c>
      <c r="O229">
        <v>3072500</v>
      </c>
      <c r="P229">
        <v>16050</v>
      </c>
      <c r="Q229">
        <v>24279119</v>
      </c>
      <c r="R229">
        <v>1202733</v>
      </c>
      <c r="S229">
        <v>0</v>
      </c>
      <c r="T229">
        <v>48009998</v>
      </c>
      <c r="U229">
        <v>8640046</v>
      </c>
      <c r="V229">
        <v>10434000</v>
      </c>
      <c r="W229">
        <v>23472000</v>
      </c>
      <c r="Y229">
        <v>7321200</v>
      </c>
      <c r="Z229">
        <v>531000</v>
      </c>
      <c r="AA229">
        <v>8721000</v>
      </c>
      <c r="AB229">
        <v>1872700</v>
      </c>
      <c r="AC229">
        <v>908384</v>
      </c>
      <c r="AD229">
        <v>915500</v>
      </c>
      <c r="AE229">
        <v>1036000</v>
      </c>
      <c r="AF229">
        <v>10501165</v>
      </c>
      <c r="AG229">
        <v>2609000</v>
      </c>
      <c r="AH229">
        <v>285000</v>
      </c>
      <c r="AI229">
        <v>16822019</v>
      </c>
      <c r="AJ229">
        <v>220000</v>
      </c>
      <c r="AK229">
        <v>346050</v>
      </c>
      <c r="AM229">
        <v>6295000</v>
      </c>
      <c r="AN229">
        <v>271500</v>
      </c>
      <c r="AO229">
        <v>300628</v>
      </c>
      <c r="AP229">
        <v>0</v>
      </c>
      <c r="AQ229">
        <v>2798898</v>
      </c>
      <c r="AR229">
        <v>2468147</v>
      </c>
      <c r="AS229">
        <v>123521</v>
      </c>
      <c r="AT229">
        <v>1355800</v>
      </c>
      <c r="AU229">
        <v>71200</v>
      </c>
      <c r="AV229">
        <v>7960056</v>
      </c>
      <c r="AW229">
        <v>916559</v>
      </c>
      <c r="AX229">
        <v>921894</v>
      </c>
      <c r="AY229">
        <v>3357771</v>
      </c>
      <c r="AZ229">
        <v>455500</v>
      </c>
      <c r="BA229">
        <v>553538</v>
      </c>
      <c r="BB229">
        <v>0</v>
      </c>
      <c r="BC229">
        <v>54660</v>
      </c>
      <c r="BD229">
        <v>3562000</v>
      </c>
      <c r="BE229">
        <v>33886</v>
      </c>
      <c r="BF229">
        <v>151303</v>
      </c>
      <c r="BG229">
        <v>72994</v>
      </c>
      <c r="BH229">
        <v>32461</v>
      </c>
      <c r="BI229">
        <v>58000</v>
      </c>
      <c r="BJ229">
        <v>50500</v>
      </c>
      <c r="BK229">
        <v>1465000</v>
      </c>
      <c r="BL229">
        <v>329261</v>
      </c>
      <c r="BM229">
        <v>968760</v>
      </c>
      <c r="BN229">
        <v>2109000</v>
      </c>
      <c r="BO229">
        <v>634500</v>
      </c>
      <c r="BP229">
        <v>537081</v>
      </c>
      <c r="BQ229">
        <v>12241000</v>
      </c>
      <c r="BR229">
        <v>238600</v>
      </c>
      <c r="BS229">
        <v>8447502</v>
      </c>
      <c r="BT229">
        <v>198263</v>
      </c>
      <c r="BU229">
        <v>3330261</v>
      </c>
      <c r="BV229">
        <v>320785</v>
      </c>
      <c r="BW229">
        <v>1036500</v>
      </c>
      <c r="BX229">
        <v>125000</v>
      </c>
      <c r="BY229">
        <v>14250</v>
      </c>
      <c r="BZ229">
        <v>67704</v>
      </c>
      <c r="CA229">
        <v>27144</v>
      </c>
      <c r="CB229">
        <v>576861</v>
      </c>
      <c r="CD229">
        <v>13500</v>
      </c>
    </row>
    <row r="230" spans="1:82" x14ac:dyDescent="0.3">
      <c r="A230">
        <v>986</v>
      </c>
      <c r="B230" t="s">
        <v>584</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Y230">
        <v>0</v>
      </c>
      <c r="Z230">
        <v>0</v>
      </c>
      <c r="AA230">
        <v>0</v>
      </c>
      <c r="AB230">
        <v>0</v>
      </c>
      <c r="AC230">
        <v>0</v>
      </c>
      <c r="AD230">
        <v>0</v>
      </c>
      <c r="AE230">
        <v>0</v>
      </c>
      <c r="AF230">
        <v>109</v>
      </c>
      <c r="AG230">
        <v>0</v>
      </c>
      <c r="AH230">
        <v>0</v>
      </c>
      <c r="AI230">
        <v>0</v>
      </c>
      <c r="AJ230">
        <v>0</v>
      </c>
      <c r="AK230">
        <v>0</v>
      </c>
      <c r="AM230">
        <v>0</v>
      </c>
      <c r="AN230">
        <v>0</v>
      </c>
      <c r="AO230">
        <v>0</v>
      </c>
      <c r="AP230">
        <v>0</v>
      </c>
      <c r="AQ230">
        <v>0</v>
      </c>
      <c r="AR230">
        <v>0</v>
      </c>
      <c r="AS230">
        <v>0</v>
      </c>
      <c r="AT230">
        <v>0</v>
      </c>
      <c r="AU230">
        <v>0</v>
      </c>
      <c r="AV230">
        <v>464944</v>
      </c>
      <c r="AW230">
        <v>0</v>
      </c>
      <c r="AX230">
        <v>0</v>
      </c>
      <c r="AY230">
        <v>0</v>
      </c>
      <c r="AZ230">
        <v>0</v>
      </c>
      <c r="BA230">
        <v>0</v>
      </c>
      <c r="BB230">
        <v>0</v>
      </c>
      <c r="BC230">
        <v>0</v>
      </c>
      <c r="BD230">
        <v>0</v>
      </c>
      <c r="BE230">
        <v>0</v>
      </c>
      <c r="BF230">
        <v>0</v>
      </c>
      <c r="BG230">
        <v>0</v>
      </c>
      <c r="BH230">
        <v>0</v>
      </c>
      <c r="BI230">
        <v>1850</v>
      </c>
      <c r="BJ230">
        <v>0</v>
      </c>
      <c r="BK230">
        <v>0</v>
      </c>
      <c r="BL230">
        <v>0</v>
      </c>
      <c r="BM230">
        <v>0</v>
      </c>
      <c r="BN230">
        <v>9128</v>
      </c>
      <c r="BO230">
        <v>0</v>
      </c>
      <c r="BP230">
        <v>0</v>
      </c>
      <c r="BQ230">
        <v>0</v>
      </c>
      <c r="BR230">
        <v>0</v>
      </c>
      <c r="BS230">
        <v>0</v>
      </c>
      <c r="BT230">
        <v>0</v>
      </c>
      <c r="BU230">
        <v>0</v>
      </c>
      <c r="BV230">
        <v>0</v>
      </c>
      <c r="BW230">
        <v>0</v>
      </c>
      <c r="BX230">
        <v>0</v>
      </c>
      <c r="BY230">
        <v>0</v>
      </c>
      <c r="BZ230">
        <v>0</v>
      </c>
      <c r="CA230">
        <v>0</v>
      </c>
      <c r="CB230">
        <v>0</v>
      </c>
      <c r="CD230">
        <v>0</v>
      </c>
    </row>
    <row r="231" spans="1:82" x14ac:dyDescent="0.3">
      <c r="A231">
        <v>987</v>
      </c>
      <c r="B231" t="s">
        <v>947</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Y231">
        <v>0</v>
      </c>
      <c r="Z231">
        <v>0</v>
      </c>
      <c r="AA231">
        <v>0</v>
      </c>
      <c r="AB231">
        <v>0</v>
      </c>
      <c r="AC231">
        <v>0</v>
      </c>
      <c r="AD231">
        <v>0</v>
      </c>
      <c r="AE231">
        <v>0</v>
      </c>
      <c r="AF231">
        <v>0</v>
      </c>
      <c r="AG231">
        <v>0</v>
      </c>
      <c r="AH231">
        <v>0</v>
      </c>
      <c r="AI231">
        <v>0</v>
      </c>
      <c r="AJ231">
        <v>0</v>
      </c>
      <c r="AK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D231">
        <v>0</v>
      </c>
    </row>
    <row r="232" spans="1:82" x14ac:dyDescent="0.3">
      <c r="A232">
        <v>988</v>
      </c>
      <c r="B232" t="s">
        <v>948</v>
      </c>
      <c r="D232">
        <v>2</v>
      </c>
      <c r="E232">
        <v>2</v>
      </c>
      <c r="F232">
        <v>2</v>
      </c>
      <c r="G232">
        <v>2</v>
      </c>
      <c r="H232">
        <v>2</v>
      </c>
      <c r="I232">
        <v>2</v>
      </c>
      <c r="J232">
        <v>2</v>
      </c>
      <c r="K232">
        <v>2</v>
      </c>
      <c r="L232">
        <v>2</v>
      </c>
      <c r="M232">
        <v>2</v>
      </c>
      <c r="N232">
        <v>2</v>
      </c>
      <c r="O232">
        <v>2</v>
      </c>
      <c r="P232">
        <v>2</v>
      </c>
      <c r="Q232">
        <v>2</v>
      </c>
      <c r="R232">
        <v>2</v>
      </c>
      <c r="S232">
        <v>2</v>
      </c>
      <c r="T232">
        <v>2</v>
      </c>
      <c r="U232">
        <v>2</v>
      </c>
      <c r="V232">
        <v>2</v>
      </c>
      <c r="W232">
        <v>2</v>
      </c>
      <c r="Y232">
        <v>2</v>
      </c>
      <c r="Z232">
        <v>2</v>
      </c>
      <c r="AA232">
        <v>2</v>
      </c>
      <c r="AB232">
        <v>2</v>
      </c>
      <c r="AC232">
        <v>2</v>
      </c>
      <c r="AD232">
        <v>2</v>
      </c>
      <c r="AE232">
        <v>2</v>
      </c>
      <c r="AF232">
        <v>2</v>
      </c>
      <c r="AG232">
        <v>2</v>
      </c>
      <c r="AH232">
        <v>2</v>
      </c>
      <c r="AI232">
        <v>2</v>
      </c>
      <c r="AJ232">
        <v>2</v>
      </c>
      <c r="AK232">
        <v>2</v>
      </c>
      <c r="AM232">
        <v>2</v>
      </c>
      <c r="AN232">
        <v>2</v>
      </c>
      <c r="AO232">
        <v>0</v>
      </c>
      <c r="AP232">
        <v>2</v>
      </c>
      <c r="AQ232">
        <v>0</v>
      </c>
      <c r="AR232">
        <v>0</v>
      </c>
      <c r="AS232">
        <v>2</v>
      </c>
      <c r="AT232">
        <v>2</v>
      </c>
      <c r="AU232">
        <v>2</v>
      </c>
      <c r="AV232">
        <v>2</v>
      </c>
      <c r="AW232">
        <v>2</v>
      </c>
      <c r="AX232">
        <v>2</v>
      </c>
      <c r="AY232">
        <v>2</v>
      </c>
      <c r="AZ232">
        <v>2</v>
      </c>
      <c r="BA232">
        <v>2</v>
      </c>
      <c r="BB232">
        <v>2</v>
      </c>
      <c r="BC232">
        <v>2</v>
      </c>
      <c r="BD232">
        <v>2</v>
      </c>
      <c r="BE232">
        <v>2</v>
      </c>
      <c r="BF232">
        <v>2</v>
      </c>
      <c r="BG232">
        <v>2</v>
      </c>
      <c r="BH232">
        <v>2</v>
      </c>
      <c r="BI232">
        <v>2</v>
      </c>
      <c r="BJ232">
        <v>2</v>
      </c>
      <c r="BK232">
        <v>2</v>
      </c>
      <c r="BL232">
        <v>2</v>
      </c>
      <c r="BM232">
        <v>2</v>
      </c>
      <c r="BN232">
        <v>2</v>
      </c>
      <c r="BO232">
        <v>2</v>
      </c>
      <c r="BP232">
        <v>2</v>
      </c>
      <c r="BQ232">
        <v>2</v>
      </c>
      <c r="BR232">
        <v>2</v>
      </c>
      <c r="BS232">
        <v>2</v>
      </c>
      <c r="BT232">
        <v>2</v>
      </c>
      <c r="BU232">
        <v>2</v>
      </c>
      <c r="BV232">
        <v>2</v>
      </c>
      <c r="BW232">
        <v>2</v>
      </c>
      <c r="BX232">
        <v>2</v>
      </c>
      <c r="BY232">
        <v>2</v>
      </c>
      <c r="BZ232">
        <v>2</v>
      </c>
      <c r="CA232">
        <v>2</v>
      </c>
      <c r="CB232">
        <v>2</v>
      </c>
      <c r="CD232">
        <v>2</v>
      </c>
    </row>
    <row r="233" spans="1:82" x14ac:dyDescent="0.3">
      <c r="A233">
        <v>989</v>
      </c>
      <c r="B233" t="s">
        <v>949</v>
      </c>
      <c r="D233">
        <v>3</v>
      </c>
      <c r="E233">
        <v>3</v>
      </c>
      <c r="F233">
        <v>0</v>
      </c>
      <c r="G233">
        <v>3</v>
      </c>
      <c r="H233">
        <v>3</v>
      </c>
      <c r="I233">
        <v>0</v>
      </c>
      <c r="J233">
        <v>3</v>
      </c>
      <c r="K233">
        <v>3</v>
      </c>
      <c r="L233">
        <v>3</v>
      </c>
      <c r="M233">
        <v>0</v>
      </c>
      <c r="N233">
        <v>3</v>
      </c>
      <c r="O233">
        <v>3</v>
      </c>
      <c r="P233">
        <v>3</v>
      </c>
      <c r="Q233">
        <v>3</v>
      </c>
      <c r="R233">
        <v>0</v>
      </c>
      <c r="S233">
        <v>3</v>
      </c>
      <c r="T233">
        <v>3</v>
      </c>
      <c r="U233">
        <v>3</v>
      </c>
      <c r="V233">
        <v>3</v>
      </c>
      <c r="W233">
        <v>3</v>
      </c>
      <c r="Y233">
        <v>0</v>
      </c>
      <c r="Z233">
        <v>0</v>
      </c>
      <c r="AA233">
        <v>3</v>
      </c>
      <c r="AB233">
        <v>3</v>
      </c>
      <c r="AC233">
        <v>3</v>
      </c>
      <c r="AD233">
        <v>0</v>
      </c>
      <c r="AE233">
        <v>3</v>
      </c>
      <c r="AF233">
        <v>3</v>
      </c>
      <c r="AG233">
        <v>3</v>
      </c>
      <c r="AH233">
        <v>3</v>
      </c>
      <c r="AI233">
        <v>3</v>
      </c>
      <c r="AJ233">
        <v>0</v>
      </c>
      <c r="AK233">
        <v>3</v>
      </c>
      <c r="AM233">
        <v>3</v>
      </c>
      <c r="AN233">
        <v>3</v>
      </c>
      <c r="AO233">
        <v>3</v>
      </c>
      <c r="AP233">
        <v>3</v>
      </c>
      <c r="AQ233">
        <v>0</v>
      </c>
      <c r="AR233">
        <v>0</v>
      </c>
      <c r="AS233">
        <v>3</v>
      </c>
      <c r="AT233">
        <v>0</v>
      </c>
      <c r="AU233">
        <v>3</v>
      </c>
      <c r="AV233">
        <v>3</v>
      </c>
      <c r="AW233">
        <v>3</v>
      </c>
      <c r="AX233">
        <v>3</v>
      </c>
      <c r="AY233">
        <v>3</v>
      </c>
      <c r="AZ233">
        <v>3</v>
      </c>
      <c r="BA233">
        <v>3</v>
      </c>
      <c r="BB233">
        <v>3</v>
      </c>
      <c r="BC233">
        <v>3</v>
      </c>
      <c r="BD233">
        <v>3</v>
      </c>
      <c r="BE233">
        <v>3</v>
      </c>
      <c r="BF233">
        <v>3</v>
      </c>
      <c r="BG233">
        <v>3</v>
      </c>
      <c r="BH233">
        <v>0</v>
      </c>
      <c r="BI233">
        <v>0</v>
      </c>
      <c r="BJ233">
        <v>3</v>
      </c>
      <c r="BK233">
        <v>3</v>
      </c>
      <c r="BL233">
        <v>3</v>
      </c>
      <c r="BM233">
        <v>3</v>
      </c>
      <c r="BN233">
        <v>3</v>
      </c>
      <c r="BO233">
        <v>3</v>
      </c>
      <c r="BP233">
        <v>3</v>
      </c>
      <c r="BQ233">
        <v>3</v>
      </c>
      <c r="BR233">
        <v>3</v>
      </c>
      <c r="BS233">
        <v>3</v>
      </c>
      <c r="BT233">
        <v>3</v>
      </c>
      <c r="BU233">
        <v>3</v>
      </c>
      <c r="BV233">
        <v>3</v>
      </c>
      <c r="BW233">
        <v>0</v>
      </c>
      <c r="BX233">
        <v>0</v>
      </c>
      <c r="BY233">
        <v>0</v>
      </c>
      <c r="BZ233">
        <v>3</v>
      </c>
      <c r="CA233">
        <v>3</v>
      </c>
      <c r="CB233">
        <v>3</v>
      </c>
      <c r="CD233">
        <v>3</v>
      </c>
    </row>
    <row r="234" spans="1:82" x14ac:dyDescent="0.3">
      <c r="A234">
        <v>990</v>
      </c>
      <c r="B234" t="s">
        <v>575</v>
      </c>
      <c r="D234">
        <v>0</v>
      </c>
      <c r="E234">
        <v>0</v>
      </c>
      <c r="F234">
        <v>0</v>
      </c>
      <c r="G234">
        <v>0</v>
      </c>
      <c r="H234">
        <v>0</v>
      </c>
      <c r="I234">
        <v>0</v>
      </c>
      <c r="J234">
        <v>0</v>
      </c>
      <c r="K234">
        <v>0</v>
      </c>
      <c r="L234">
        <v>0</v>
      </c>
      <c r="M234">
        <v>0</v>
      </c>
      <c r="N234">
        <v>0</v>
      </c>
      <c r="O234">
        <v>0</v>
      </c>
      <c r="P234">
        <v>0</v>
      </c>
      <c r="Q234">
        <v>444696</v>
      </c>
      <c r="R234">
        <v>0</v>
      </c>
      <c r="S234">
        <v>0</v>
      </c>
      <c r="T234">
        <v>0</v>
      </c>
      <c r="U234">
        <v>0</v>
      </c>
      <c r="V234">
        <v>150947</v>
      </c>
      <c r="W234">
        <v>0</v>
      </c>
      <c r="Y234">
        <v>0</v>
      </c>
      <c r="Z234">
        <v>0</v>
      </c>
      <c r="AA234">
        <v>0</v>
      </c>
      <c r="AB234">
        <v>0</v>
      </c>
      <c r="AC234">
        <v>0</v>
      </c>
      <c r="AD234">
        <v>0</v>
      </c>
      <c r="AE234">
        <v>0</v>
      </c>
      <c r="AF234">
        <v>0</v>
      </c>
      <c r="AG234">
        <v>0</v>
      </c>
      <c r="AH234">
        <v>0</v>
      </c>
      <c r="AI234">
        <v>408743</v>
      </c>
      <c r="AJ234">
        <v>0</v>
      </c>
      <c r="AK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28929</v>
      </c>
      <c r="BT234">
        <v>0</v>
      </c>
      <c r="BU234">
        <v>0</v>
      </c>
      <c r="BV234">
        <v>0</v>
      </c>
      <c r="BW234">
        <v>0</v>
      </c>
      <c r="BX234">
        <v>0</v>
      </c>
      <c r="BY234">
        <v>0</v>
      </c>
      <c r="BZ234">
        <v>0</v>
      </c>
      <c r="CA234">
        <v>0</v>
      </c>
      <c r="CB234">
        <v>0</v>
      </c>
      <c r="CD234">
        <v>0</v>
      </c>
    </row>
    <row r="235" spans="1:82" x14ac:dyDescent="0.3">
      <c r="A235">
        <v>991</v>
      </c>
      <c r="B235" t="s">
        <v>950</v>
      </c>
      <c r="D235">
        <v>23</v>
      </c>
      <c r="E235">
        <v>23</v>
      </c>
      <c r="F235">
        <v>23</v>
      </c>
      <c r="G235">
        <v>22</v>
      </c>
      <c r="H235">
        <v>23</v>
      </c>
      <c r="I235">
        <v>20</v>
      </c>
      <c r="J235">
        <v>23</v>
      </c>
      <c r="K235">
        <v>23</v>
      </c>
      <c r="L235">
        <v>23</v>
      </c>
      <c r="M235">
        <v>20</v>
      </c>
      <c r="N235">
        <v>23</v>
      </c>
      <c r="O235">
        <v>23</v>
      </c>
      <c r="P235">
        <v>23</v>
      </c>
      <c r="Q235">
        <v>23</v>
      </c>
      <c r="R235">
        <v>22</v>
      </c>
      <c r="S235">
        <v>0</v>
      </c>
      <c r="T235">
        <v>20</v>
      </c>
      <c r="U235">
        <v>23</v>
      </c>
      <c r="V235">
        <v>20</v>
      </c>
      <c r="W235">
        <v>23</v>
      </c>
      <c r="Y235">
        <v>23</v>
      </c>
      <c r="Z235">
        <v>23</v>
      </c>
      <c r="AA235">
        <v>23</v>
      </c>
      <c r="AB235">
        <v>23</v>
      </c>
      <c r="AC235">
        <v>23</v>
      </c>
      <c r="AD235">
        <v>23</v>
      </c>
      <c r="AE235">
        <v>23</v>
      </c>
      <c r="AF235">
        <v>23</v>
      </c>
      <c r="AG235">
        <v>23</v>
      </c>
      <c r="AH235">
        <v>22</v>
      </c>
      <c r="AI235">
        <v>20</v>
      </c>
      <c r="AJ235">
        <v>22</v>
      </c>
      <c r="AK235">
        <v>23</v>
      </c>
      <c r="AM235">
        <v>23</v>
      </c>
      <c r="AN235">
        <v>23</v>
      </c>
      <c r="AO235">
        <v>23</v>
      </c>
      <c r="AP235">
        <v>23</v>
      </c>
      <c r="AQ235">
        <v>22</v>
      </c>
      <c r="AR235">
        <v>20</v>
      </c>
      <c r="AS235">
        <v>22</v>
      </c>
      <c r="AT235">
        <v>23</v>
      </c>
      <c r="AU235">
        <v>23</v>
      </c>
      <c r="AV235">
        <v>20</v>
      </c>
      <c r="AW235">
        <v>23</v>
      </c>
      <c r="AX235">
        <v>23</v>
      </c>
      <c r="AY235">
        <v>22</v>
      </c>
      <c r="AZ235">
        <v>20</v>
      </c>
      <c r="BA235">
        <v>23</v>
      </c>
      <c r="BB235">
        <v>22</v>
      </c>
      <c r="BC235">
        <v>23</v>
      </c>
      <c r="BD235">
        <v>23</v>
      </c>
      <c r="BE235">
        <v>23</v>
      </c>
      <c r="BF235">
        <v>22</v>
      </c>
      <c r="BG235">
        <v>22</v>
      </c>
      <c r="BH235">
        <v>23</v>
      </c>
      <c r="BI235">
        <v>0</v>
      </c>
      <c r="BJ235">
        <v>23</v>
      </c>
      <c r="BK235">
        <v>22</v>
      </c>
      <c r="BL235">
        <v>23</v>
      </c>
      <c r="BM235">
        <v>23</v>
      </c>
      <c r="BN235">
        <v>23</v>
      </c>
      <c r="BO235">
        <v>23</v>
      </c>
      <c r="BP235">
        <v>20</v>
      </c>
      <c r="BQ235">
        <v>22</v>
      </c>
      <c r="BR235">
        <v>23</v>
      </c>
      <c r="BS235">
        <v>20</v>
      </c>
      <c r="BT235">
        <v>23</v>
      </c>
      <c r="BU235">
        <v>23</v>
      </c>
      <c r="BV235">
        <v>23</v>
      </c>
      <c r="BW235">
        <v>0</v>
      </c>
      <c r="BX235">
        <v>23</v>
      </c>
      <c r="BY235">
        <v>23</v>
      </c>
      <c r="BZ235">
        <v>23</v>
      </c>
      <c r="CA235">
        <v>23</v>
      </c>
      <c r="CB235">
        <v>23</v>
      </c>
      <c r="CD235">
        <v>22</v>
      </c>
    </row>
    <row r="236" spans="1:82" x14ac:dyDescent="0.3">
      <c r="A236">
        <v>995</v>
      </c>
      <c r="B236" t="s">
        <v>275</v>
      </c>
      <c r="D236">
        <v>0</v>
      </c>
      <c r="E236">
        <v>0</v>
      </c>
      <c r="F236">
        <v>0</v>
      </c>
      <c r="G236">
        <v>0</v>
      </c>
      <c r="H236">
        <v>0</v>
      </c>
      <c r="I236">
        <v>0</v>
      </c>
      <c r="J236">
        <v>0</v>
      </c>
      <c r="K236">
        <v>0</v>
      </c>
      <c r="L236">
        <v>0</v>
      </c>
      <c r="M236">
        <v>0</v>
      </c>
      <c r="N236">
        <v>0</v>
      </c>
      <c r="O236">
        <v>0</v>
      </c>
      <c r="P236">
        <v>0</v>
      </c>
      <c r="Q236">
        <v>7.0000000000000007E-2</v>
      </c>
      <c r="R236">
        <v>0</v>
      </c>
      <c r="S236">
        <v>0</v>
      </c>
      <c r="T236">
        <v>0</v>
      </c>
      <c r="U236">
        <v>0</v>
      </c>
      <c r="V236">
        <v>7.0000000000000007E-2</v>
      </c>
      <c r="W236">
        <v>0</v>
      </c>
      <c r="X236">
        <v>0</v>
      </c>
      <c r="Y236">
        <v>0</v>
      </c>
      <c r="Z236">
        <v>0</v>
      </c>
      <c r="AA236">
        <v>0</v>
      </c>
      <c r="AB236">
        <v>0</v>
      </c>
      <c r="AC236">
        <v>0</v>
      </c>
      <c r="AD236">
        <v>0</v>
      </c>
      <c r="AE236">
        <v>0</v>
      </c>
      <c r="AF236">
        <v>0</v>
      </c>
      <c r="AG236">
        <v>0</v>
      </c>
      <c r="AH236">
        <v>0</v>
      </c>
      <c r="AI236">
        <v>0.08</v>
      </c>
      <c r="AJ236">
        <v>0</v>
      </c>
      <c r="AK236">
        <v>0</v>
      </c>
      <c r="AL236">
        <v>0</v>
      </c>
      <c r="AM236">
        <v>7.0000000000000007E-2</v>
      </c>
      <c r="AN236">
        <v>0</v>
      </c>
      <c r="AO236">
        <v>0</v>
      </c>
      <c r="AP236">
        <v>0</v>
      </c>
      <c r="AQ236">
        <v>0</v>
      </c>
      <c r="AR236">
        <v>0</v>
      </c>
      <c r="AS236">
        <v>0</v>
      </c>
      <c r="AT236">
        <v>0</v>
      </c>
      <c r="AU236">
        <v>0.09</v>
      </c>
      <c r="AV236">
        <v>0</v>
      </c>
      <c r="AW236">
        <v>0</v>
      </c>
      <c r="AX236">
        <v>0</v>
      </c>
      <c r="AY236">
        <v>0</v>
      </c>
      <c r="AZ236">
        <v>0</v>
      </c>
      <c r="BA236">
        <v>0</v>
      </c>
      <c r="BB236">
        <v>0</v>
      </c>
      <c r="BC236">
        <v>0</v>
      </c>
      <c r="BD236">
        <v>0</v>
      </c>
      <c r="BE236">
        <v>0</v>
      </c>
      <c r="BF236">
        <v>0</v>
      </c>
      <c r="BG236">
        <v>0</v>
      </c>
      <c r="BH236">
        <v>0</v>
      </c>
      <c r="BI236">
        <v>0</v>
      </c>
      <c r="BJ236">
        <v>0</v>
      </c>
      <c r="BK236">
        <v>0</v>
      </c>
      <c r="BL236">
        <v>0.08</v>
      </c>
      <c r="BM236">
        <v>0</v>
      </c>
      <c r="BN236">
        <v>0</v>
      </c>
      <c r="BO236">
        <v>0</v>
      </c>
      <c r="BP236">
        <v>0</v>
      </c>
      <c r="BQ236">
        <v>0</v>
      </c>
      <c r="BR236">
        <v>0.09</v>
      </c>
      <c r="BS236">
        <v>7.0000000000000007E-2</v>
      </c>
      <c r="BT236">
        <v>0</v>
      </c>
      <c r="BU236">
        <v>0</v>
      </c>
      <c r="BV236">
        <v>0</v>
      </c>
      <c r="BW236">
        <v>0</v>
      </c>
      <c r="BX236">
        <v>0</v>
      </c>
      <c r="BY236">
        <v>0</v>
      </c>
      <c r="BZ236">
        <v>0</v>
      </c>
      <c r="CA236">
        <v>0</v>
      </c>
      <c r="CB236">
        <v>0</v>
      </c>
      <c r="CC236">
        <v>0</v>
      </c>
      <c r="CD236">
        <v>0</v>
      </c>
    </row>
    <row r="237" spans="1:82" x14ac:dyDescent="0.3">
      <c r="A237">
        <v>996</v>
      </c>
      <c r="B237" t="s">
        <v>276</v>
      </c>
      <c r="D237">
        <v>0.01</v>
      </c>
      <c r="E237">
        <v>0</v>
      </c>
      <c r="F237">
        <v>0.01</v>
      </c>
      <c r="G237">
        <v>0</v>
      </c>
      <c r="H237">
        <v>0</v>
      </c>
      <c r="I237">
        <v>0</v>
      </c>
      <c r="J237">
        <v>0.01</v>
      </c>
      <c r="K237">
        <v>0</v>
      </c>
      <c r="L237">
        <v>0</v>
      </c>
      <c r="M237">
        <v>0</v>
      </c>
      <c r="N237">
        <v>0</v>
      </c>
      <c r="O237">
        <v>0.01</v>
      </c>
      <c r="P237">
        <v>0</v>
      </c>
      <c r="Q237">
        <v>0.01</v>
      </c>
      <c r="R237">
        <v>0.01</v>
      </c>
      <c r="S237">
        <v>0</v>
      </c>
      <c r="T237">
        <v>0.01</v>
      </c>
      <c r="U237">
        <v>0.01</v>
      </c>
      <c r="V237">
        <v>0.01</v>
      </c>
      <c r="W237">
        <v>0</v>
      </c>
      <c r="X237">
        <v>0.01</v>
      </c>
      <c r="Y237">
        <v>0.01</v>
      </c>
      <c r="Z237">
        <v>0.01</v>
      </c>
      <c r="AA237">
        <v>0.01</v>
      </c>
      <c r="AB237">
        <v>0.01</v>
      </c>
      <c r="AC237">
        <v>0.01</v>
      </c>
      <c r="AD237">
        <v>0.01</v>
      </c>
      <c r="AE237">
        <v>0.01</v>
      </c>
      <c r="AF237">
        <v>0.01</v>
      </c>
      <c r="AG237">
        <v>0.01</v>
      </c>
      <c r="AH237">
        <v>0</v>
      </c>
      <c r="AI237">
        <v>0.01</v>
      </c>
      <c r="AJ237">
        <v>0.01</v>
      </c>
      <c r="AK237">
        <v>0.01</v>
      </c>
      <c r="AL237">
        <v>0.01</v>
      </c>
      <c r="AM237">
        <v>0.01</v>
      </c>
      <c r="AN237">
        <v>0.01</v>
      </c>
      <c r="AO237">
        <v>0.01</v>
      </c>
      <c r="AP237">
        <v>0</v>
      </c>
      <c r="AQ237">
        <v>0</v>
      </c>
      <c r="AR237">
        <v>0.01</v>
      </c>
      <c r="AS237">
        <v>0</v>
      </c>
      <c r="AT237">
        <v>0.01</v>
      </c>
      <c r="AU237">
        <v>0</v>
      </c>
      <c r="AV237">
        <v>0.01</v>
      </c>
      <c r="AW237">
        <v>0</v>
      </c>
      <c r="AX237">
        <v>0.01</v>
      </c>
      <c r="AY237">
        <v>0.01</v>
      </c>
      <c r="AZ237">
        <v>0.01</v>
      </c>
      <c r="BA237">
        <v>0.01</v>
      </c>
      <c r="BB237">
        <v>0</v>
      </c>
      <c r="BC237">
        <v>0.01</v>
      </c>
      <c r="BD237">
        <v>0.01</v>
      </c>
      <c r="BE237">
        <v>0</v>
      </c>
      <c r="BF237">
        <v>0.01</v>
      </c>
      <c r="BG237">
        <v>0.01</v>
      </c>
      <c r="BH237">
        <v>0</v>
      </c>
      <c r="BI237">
        <v>0.01</v>
      </c>
      <c r="BJ237">
        <v>0</v>
      </c>
      <c r="BK237">
        <v>0.01</v>
      </c>
      <c r="BL237">
        <v>0.01</v>
      </c>
      <c r="BM237">
        <v>0.01</v>
      </c>
      <c r="BN237">
        <v>0.01</v>
      </c>
      <c r="BO237">
        <v>0.01</v>
      </c>
      <c r="BP237">
        <v>0.01</v>
      </c>
      <c r="BQ237">
        <v>0</v>
      </c>
      <c r="BR237">
        <v>0.01</v>
      </c>
      <c r="BS237">
        <v>0</v>
      </c>
      <c r="BT237">
        <v>0.01</v>
      </c>
      <c r="BU237">
        <v>0.01</v>
      </c>
      <c r="BV237">
        <v>0</v>
      </c>
      <c r="BW237">
        <v>0.01</v>
      </c>
      <c r="BX237">
        <v>0.01</v>
      </c>
      <c r="BY237">
        <v>0.01</v>
      </c>
      <c r="BZ237">
        <v>0.01</v>
      </c>
      <c r="CA237">
        <v>0.01</v>
      </c>
      <c r="CB237">
        <v>0.01</v>
      </c>
      <c r="CC237">
        <v>0</v>
      </c>
      <c r="CD237">
        <v>0.01</v>
      </c>
    </row>
    <row r="238" spans="1:82" x14ac:dyDescent="0.3">
      <c r="A238">
        <v>998</v>
      </c>
      <c r="B238" t="s">
        <v>277</v>
      </c>
      <c r="D238">
        <v>50</v>
      </c>
      <c r="E238">
        <v>50</v>
      </c>
      <c r="F238">
        <v>50</v>
      </c>
      <c r="G238">
        <v>50</v>
      </c>
      <c r="H238">
        <v>50</v>
      </c>
      <c r="I238">
        <v>50</v>
      </c>
      <c r="J238">
        <v>50</v>
      </c>
      <c r="K238">
        <v>50</v>
      </c>
      <c r="L238">
        <v>50</v>
      </c>
      <c r="M238">
        <v>50</v>
      </c>
      <c r="N238">
        <v>50</v>
      </c>
      <c r="O238">
        <v>50</v>
      </c>
      <c r="P238">
        <v>50</v>
      </c>
      <c r="Q238">
        <v>50</v>
      </c>
      <c r="R238">
        <v>50</v>
      </c>
      <c r="S238">
        <v>50</v>
      </c>
      <c r="T238">
        <v>50</v>
      </c>
      <c r="U238">
        <v>50</v>
      </c>
      <c r="V238">
        <v>50</v>
      </c>
      <c r="W238">
        <v>50</v>
      </c>
      <c r="X238">
        <v>50</v>
      </c>
      <c r="Y238">
        <v>50</v>
      </c>
      <c r="Z238">
        <v>50</v>
      </c>
      <c r="AA238">
        <v>50</v>
      </c>
      <c r="AB238">
        <v>50</v>
      </c>
      <c r="AC238">
        <v>50</v>
      </c>
      <c r="AD238">
        <v>50</v>
      </c>
      <c r="AE238">
        <v>50</v>
      </c>
      <c r="AF238">
        <v>50</v>
      </c>
      <c r="AG238">
        <v>50</v>
      </c>
      <c r="AH238">
        <v>50</v>
      </c>
      <c r="AI238">
        <v>50</v>
      </c>
      <c r="AJ238">
        <v>50</v>
      </c>
      <c r="AK238">
        <v>50</v>
      </c>
      <c r="AL238">
        <v>50</v>
      </c>
      <c r="AM238">
        <v>50</v>
      </c>
      <c r="AN238">
        <v>50</v>
      </c>
      <c r="AO238">
        <v>50</v>
      </c>
      <c r="AP238">
        <v>50</v>
      </c>
      <c r="AQ238">
        <v>50</v>
      </c>
      <c r="AR238">
        <v>50</v>
      </c>
      <c r="AS238">
        <v>50</v>
      </c>
      <c r="AT238">
        <v>50</v>
      </c>
      <c r="AU238">
        <v>50</v>
      </c>
      <c r="AV238">
        <v>50</v>
      </c>
      <c r="AW238">
        <v>50</v>
      </c>
      <c r="AX238">
        <v>50</v>
      </c>
      <c r="AY238">
        <v>50</v>
      </c>
      <c r="AZ238">
        <v>50</v>
      </c>
      <c r="BA238">
        <v>50</v>
      </c>
      <c r="BB238">
        <v>50</v>
      </c>
      <c r="BC238">
        <v>50</v>
      </c>
      <c r="BD238">
        <v>50</v>
      </c>
      <c r="BE238">
        <v>50</v>
      </c>
      <c r="BF238">
        <v>50</v>
      </c>
      <c r="BG238">
        <v>50</v>
      </c>
      <c r="BH238">
        <v>50</v>
      </c>
      <c r="BI238">
        <v>50</v>
      </c>
      <c r="BJ238">
        <v>50</v>
      </c>
      <c r="BK238">
        <v>50</v>
      </c>
      <c r="BL238">
        <v>50</v>
      </c>
      <c r="BM238">
        <v>50</v>
      </c>
      <c r="BN238">
        <v>50</v>
      </c>
      <c r="BO238">
        <v>50</v>
      </c>
      <c r="BP238">
        <v>50</v>
      </c>
      <c r="BQ238">
        <v>50</v>
      </c>
      <c r="BR238">
        <v>50</v>
      </c>
      <c r="BS238">
        <v>50</v>
      </c>
      <c r="BT238">
        <v>50</v>
      </c>
      <c r="BU238">
        <v>50</v>
      </c>
      <c r="BV238">
        <v>50</v>
      </c>
      <c r="BW238">
        <v>50</v>
      </c>
      <c r="BX238">
        <v>50</v>
      </c>
      <c r="BY238">
        <v>50</v>
      </c>
      <c r="BZ238">
        <v>50</v>
      </c>
      <c r="CA238">
        <v>50</v>
      </c>
      <c r="CB238">
        <v>50</v>
      </c>
      <c r="CC238">
        <v>50</v>
      </c>
      <c r="CD238">
        <v>50</v>
      </c>
    </row>
    <row r="239" spans="1:82" x14ac:dyDescent="0.3">
      <c r="A239">
        <v>999</v>
      </c>
      <c r="B239" t="s">
        <v>278</v>
      </c>
      <c r="D239">
        <v>50254</v>
      </c>
      <c r="E239">
        <v>50255</v>
      </c>
      <c r="F239">
        <v>50256</v>
      </c>
      <c r="G239">
        <v>50558</v>
      </c>
      <c r="H239">
        <v>50566</v>
      </c>
      <c r="I239">
        <v>50562</v>
      </c>
      <c r="J239">
        <v>50257</v>
      </c>
      <c r="K239">
        <v>50555</v>
      </c>
      <c r="L239">
        <v>50445</v>
      </c>
      <c r="M239">
        <v>50452</v>
      </c>
      <c r="N239">
        <v>50563</v>
      </c>
      <c r="O239">
        <v>50258</v>
      </c>
      <c r="P239">
        <v>50523</v>
      </c>
      <c r="Q239">
        <v>50259</v>
      </c>
      <c r="R239">
        <v>50260</v>
      </c>
      <c r="S239">
        <v>50487</v>
      </c>
      <c r="T239">
        <v>50261</v>
      </c>
      <c r="U239">
        <v>50262</v>
      </c>
      <c r="V239">
        <v>50263</v>
      </c>
      <c r="W239">
        <v>50264</v>
      </c>
      <c r="X239">
        <v>50265</v>
      </c>
      <c r="Y239">
        <v>50266</v>
      </c>
      <c r="Z239">
        <v>50267</v>
      </c>
      <c r="AA239">
        <v>50268</v>
      </c>
      <c r="AB239">
        <v>50269</v>
      </c>
      <c r="AC239">
        <v>50270</v>
      </c>
      <c r="AD239">
        <v>50271</v>
      </c>
      <c r="AE239">
        <v>50272</v>
      </c>
      <c r="AF239">
        <v>50273</v>
      </c>
      <c r="AG239">
        <v>50274</v>
      </c>
      <c r="AH239">
        <v>50480</v>
      </c>
      <c r="AI239">
        <v>50275</v>
      </c>
      <c r="AJ239">
        <v>50277</v>
      </c>
      <c r="AK239">
        <v>50276</v>
      </c>
      <c r="AL239">
        <v>50278</v>
      </c>
      <c r="AM239">
        <v>50279</v>
      </c>
      <c r="AN239">
        <v>50280</v>
      </c>
      <c r="AO239">
        <v>50281</v>
      </c>
      <c r="AP239">
        <v>50478</v>
      </c>
      <c r="AQ239">
        <v>50524</v>
      </c>
      <c r="AR239">
        <v>50282</v>
      </c>
      <c r="AS239">
        <v>50525</v>
      </c>
      <c r="AT239">
        <v>50283</v>
      </c>
      <c r="AU239">
        <v>50285</v>
      </c>
      <c r="AV239">
        <v>50553</v>
      </c>
      <c r="AW239">
        <v>50548</v>
      </c>
      <c r="AX239">
        <v>50284</v>
      </c>
      <c r="AY239">
        <v>50286</v>
      </c>
      <c r="AZ239">
        <v>50287</v>
      </c>
      <c r="BA239">
        <v>50288</v>
      </c>
      <c r="BB239">
        <v>50290</v>
      </c>
      <c r="BC239">
        <v>50564</v>
      </c>
      <c r="BD239">
        <v>50289</v>
      </c>
      <c r="BE239">
        <v>50291</v>
      </c>
      <c r="BF239">
        <v>50292</v>
      </c>
      <c r="BG239">
        <v>50293</v>
      </c>
      <c r="BH239">
        <v>50463</v>
      </c>
      <c r="BI239">
        <v>50294</v>
      </c>
      <c r="BJ239">
        <v>50538</v>
      </c>
      <c r="BK239">
        <v>50295</v>
      </c>
      <c r="BL239">
        <v>50296</v>
      </c>
      <c r="BM239">
        <v>50297</v>
      </c>
      <c r="BN239">
        <v>50449</v>
      </c>
      <c r="BO239">
        <v>50300</v>
      </c>
      <c r="BP239">
        <v>50298</v>
      </c>
      <c r="BQ239">
        <v>50299</v>
      </c>
      <c r="BR239">
        <v>50301</v>
      </c>
      <c r="BS239">
        <v>50302</v>
      </c>
      <c r="BT239">
        <v>50303</v>
      </c>
      <c r="BU239">
        <v>50304</v>
      </c>
      <c r="BV239">
        <v>50540</v>
      </c>
      <c r="BW239">
        <v>50305</v>
      </c>
      <c r="BX239">
        <v>50306</v>
      </c>
      <c r="BY239">
        <v>50479</v>
      </c>
      <c r="BZ239">
        <v>50307</v>
      </c>
      <c r="CA239">
        <v>50308</v>
      </c>
      <c r="CB239">
        <v>50309</v>
      </c>
      <c r="CC239">
        <v>50310</v>
      </c>
      <c r="CD239">
        <v>50311</v>
      </c>
    </row>
    <row r="240" spans="1:82" x14ac:dyDescent="0.3">
      <c r="A240">
        <v>1050</v>
      </c>
      <c r="B240" t="s">
        <v>1435</v>
      </c>
      <c r="D240">
        <v>0</v>
      </c>
      <c r="E240">
        <v>2570</v>
      </c>
      <c r="F240">
        <v>30634</v>
      </c>
      <c r="G240">
        <v>3776</v>
      </c>
      <c r="H240">
        <v>0</v>
      </c>
      <c r="I240">
        <v>0</v>
      </c>
      <c r="J240">
        <v>0</v>
      </c>
      <c r="K240">
        <v>0</v>
      </c>
      <c r="L240">
        <v>38735</v>
      </c>
      <c r="M240">
        <v>0</v>
      </c>
      <c r="N240">
        <v>4036</v>
      </c>
      <c r="O240">
        <v>0</v>
      </c>
      <c r="P240">
        <v>0</v>
      </c>
      <c r="Q240">
        <v>365356</v>
      </c>
      <c r="R240">
        <v>0</v>
      </c>
      <c r="S240">
        <v>0</v>
      </c>
      <c r="T240">
        <v>0</v>
      </c>
      <c r="U240">
        <v>0</v>
      </c>
      <c r="V240">
        <v>384855</v>
      </c>
      <c r="W240">
        <v>1360403</v>
      </c>
      <c r="Y240">
        <v>307346</v>
      </c>
      <c r="Z240">
        <v>59928</v>
      </c>
      <c r="AA240">
        <v>397756</v>
      </c>
      <c r="AB240">
        <v>0</v>
      </c>
      <c r="AC240">
        <v>0</v>
      </c>
      <c r="AD240">
        <v>96366</v>
      </c>
      <c r="AE240">
        <v>52422</v>
      </c>
      <c r="AF240">
        <v>25685</v>
      </c>
      <c r="AG240">
        <v>137750</v>
      </c>
      <c r="AH240">
        <v>69521</v>
      </c>
      <c r="AI240">
        <v>1108424</v>
      </c>
      <c r="AJ240">
        <v>0</v>
      </c>
      <c r="AK240">
        <v>27839</v>
      </c>
      <c r="AM240">
        <v>155092</v>
      </c>
      <c r="AN240">
        <v>59910</v>
      </c>
      <c r="AO240">
        <v>23405</v>
      </c>
      <c r="AP240">
        <v>0</v>
      </c>
      <c r="AQ240">
        <v>14012</v>
      </c>
      <c r="AR240">
        <v>0</v>
      </c>
      <c r="AS240">
        <v>57834</v>
      </c>
      <c r="AT240">
        <v>105103</v>
      </c>
      <c r="AU240">
        <v>200</v>
      </c>
      <c r="AV240">
        <v>0</v>
      </c>
      <c r="AW240">
        <v>0</v>
      </c>
      <c r="AX240">
        <v>82284</v>
      </c>
      <c r="AY240">
        <v>0</v>
      </c>
      <c r="AZ240">
        <v>42500</v>
      </c>
      <c r="BA240">
        <v>0</v>
      </c>
      <c r="BB240">
        <v>0</v>
      </c>
      <c r="BC240">
        <v>0</v>
      </c>
      <c r="BD240">
        <v>197429</v>
      </c>
      <c r="BE240">
        <v>0</v>
      </c>
      <c r="BF240">
        <v>49071</v>
      </c>
      <c r="BG240">
        <v>1869</v>
      </c>
      <c r="BH240">
        <v>0</v>
      </c>
      <c r="BI240">
        <v>14632</v>
      </c>
      <c r="BJ240">
        <v>11850</v>
      </c>
      <c r="BK240">
        <v>96650</v>
      </c>
      <c r="BL240">
        <v>112500</v>
      </c>
      <c r="BM240">
        <v>0</v>
      </c>
      <c r="BN240">
        <v>35569</v>
      </c>
      <c r="BO240">
        <v>2319</v>
      </c>
      <c r="BP240">
        <v>506</v>
      </c>
      <c r="BQ240">
        <v>1130492</v>
      </c>
      <c r="BR240">
        <v>5169</v>
      </c>
      <c r="BS240">
        <v>178483</v>
      </c>
      <c r="BT240">
        <v>0</v>
      </c>
      <c r="BU240">
        <v>221587</v>
      </c>
      <c r="BV240">
        <v>0</v>
      </c>
      <c r="BW240">
        <v>115422</v>
      </c>
      <c r="BX240">
        <v>79631</v>
      </c>
      <c r="BY240">
        <v>4200</v>
      </c>
      <c r="BZ240">
        <v>11917</v>
      </c>
      <c r="CA240">
        <v>0</v>
      </c>
      <c r="CB240">
        <v>0</v>
      </c>
      <c r="CD240">
        <v>0</v>
      </c>
    </row>
    <row r="241" spans="1:82" x14ac:dyDescent="0.3">
      <c r="A241">
        <v>1051</v>
      </c>
      <c r="B241" t="s">
        <v>1644</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Y241">
        <v>0</v>
      </c>
      <c r="Z241">
        <v>0</v>
      </c>
      <c r="AA241">
        <v>0</v>
      </c>
      <c r="AB241">
        <v>0</v>
      </c>
      <c r="AC241">
        <v>0</v>
      </c>
      <c r="AD241">
        <v>0</v>
      </c>
      <c r="AE241">
        <v>0</v>
      </c>
      <c r="AF241">
        <v>0</v>
      </c>
      <c r="AG241">
        <v>0</v>
      </c>
      <c r="AH241">
        <v>0</v>
      </c>
      <c r="AI241">
        <v>3565000</v>
      </c>
      <c r="AJ241">
        <v>0</v>
      </c>
      <c r="AK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D241">
        <v>0</v>
      </c>
    </row>
    <row r="242" spans="1:82" x14ac:dyDescent="0.3">
      <c r="A242">
        <v>1052</v>
      </c>
      <c r="B242" t="s">
        <v>1645</v>
      </c>
      <c r="D242">
        <v>0</v>
      </c>
      <c r="E242">
        <v>0</v>
      </c>
      <c r="F242">
        <v>0</v>
      </c>
      <c r="G242">
        <v>0</v>
      </c>
      <c r="H242">
        <v>0</v>
      </c>
      <c r="I242">
        <v>0</v>
      </c>
      <c r="J242">
        <v>0</v>
      </c>
      <c r="K242">
        <v>0</v>
      </c>
      <c r="L242">
        <v>0</v>
      </c>
      <c r="M242">
        <v>0</v>
      </c>
      <c r="N242">
        <v>0</v>
      </c>
      <c r="O242">
        <v>0</v>
      </c>
      <c r="P242">
        <v>0</v>
      </c>
      <c r="Q242">
        <v>-387489</v>
      </c>
      <c r="R242">
        <v>0</v>
      </c>
      <c r="S242">
        <v>0</v>
      </c>
      <c r="T242">
        <v>0</v>
      </c>
      <c r="U242">
        <v>0</v>
      </c>
      <c r="V242">
        <v>0</v>
      </c>
      <c r="W242">
        <v>0</v>
      </c>
      <c r="Y242">
        <v>0</v>
      </c>
      <c r="Z242">
        <v>0</v>
      </c>
      <c r="AA242">
        <v>0</v>
      </c>
      <c r="AB242">
        <v>0</v>
      </c>
      <c r="AC242">
        <v>0</v>
      </c>
      <c r="AD242">
        <v>0</v>
      </c>
      <c r="AE242">
        <v>0</v>
      </c>
      <c r="AF242">
        <v>-980405</v>
      </c>
      <c r="AG242">
        <v>0</v>
      </c>
      <c r="AH242">
        <v>0</v>
      </c>
      <c r="AI242">
        <v>0</v>
      </c>
      <c r="AJ242">
        <v>0</v>
      </c>
      <c r="AK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D242">
        <v>0</v>
      </c>
    </row>
    <row r="243" spans="1:82" x14ac:dyDescent="0.3">
      <c r="A243">
        <v>1053</v>
      </c>
      <c r="B243" t="s">
        <v>1646</v>
      </c>
      <c r="D243">
        <v>0</v>
      </c>
      <c r="E243">
        <v>0</v>
      </c>
      <c r="F243">
        <v>0</v>
      </c>
      <c r="G243">
        <v>0</v>
      </c>
      <c r="H243">
        <v>0</v>
      </c>
      <c r="I243">
        <v>0</v>
      </c>
      <c r="J243">
        <v>0</v>
      </c>
      <c r="K243">
        <v>0</v>
      </c>
      <c r="L243">
        <v>0</v>
      </c>
      <c r="M243">
        <v>0</v>
      </c>
      <c r="N243">
        <v>0</v>
      </c>
      <c r="O243">
        <v>0</v>
      </c>
      <c r="P243">
        <v>0</v>
      </c>
      <c r="Q243">
        <v>-423805</v>
      </c>
      <c r="R243">
        <v>0</v>
      </c>
      <c r="S243">
        <v>0</v>
      </c>
      <c r="T243">
        <v>0</v>
      </c>
      <c r="U243">
        <v>0</v>
      </c>
      <c r="V243">
        <v>0</v>
      </c>
      <c r="W243">
        <v>0</v>
      </c>
      <c r="Y243">
        <v>0</v>
      </c>
      <c r="Z243">
        <v>0</v>
      </c>
      <c r="AA243">
        <v>0</v>
      </c>
      <c r="AB243">
        <v>0</v>
      </c>
      <c r="AC243">
        <v>0</v>
      </c>
      <c r="AD243">
        <v>0</v>
      </c>
      <c r="AE243">
        <v>0</v>
      </c>
      <c r="AF243">
        <v>-330205</v>
      </c>
      <c r="AG243">
        <v>0</v>
      </c>
      <c r="AH243">
        <v>0</v>
      </c>
      <c r="AI243">
        <v>0</v>
      </c>
      <c r="AJ243">
        <v>0</v>
      </c>
      <c r="AK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D243">
        <v>0</v>
      </c>
    </row>
    <row r="244" spans="1:82" x14ac:dyDescent="0.3">
      <c r="A244">
        <v>1054</v>
      </c>
      <c r="B244" t="s">
        <v>1647</v>
      </c>
      <c r="D244">
        <v>0</v>
      </c>
      <c r="E244">
        <v>0</v>
      </c>
      <c r="F244">
        <v>0</v>
      </c>
      <c r="G244">
        <v>0</v>
      </c>
      <c r="H244">
        <v>0</v>
      </c>
      <c r="I244">
        <v>0</v>
      </c>
      <c r="J244">
        <v>0</v>
      </c>
      <c r="K244">
        <v>0</v>
      </c>
      <c r="L244">
        <v>0</v>
      </c>
      <c r="M244">
        <v>0</v>
      </c>
      <c r="N244">
        <v>0</v>
      </c>
      <c r="O244">
        <v>0</v>
      </c>
      <c r="P244">
        <v>0</v>
      </c>
      <c r="Q244">
        <v>-687494</v>
      </c>
      <c r="R244">
        <v>0</v>
      </c>
      <c r="S244">
        <v>0</v>
      </c>
      <c r="T244">
        <v>0</v>
      </c>
      <c r="U244">
        <v>0</v>
      </c>
      <c r="V244">
        <v>0</v>
      </c>
      <c r="W244">
        <v>0</v>
      </c>
      <c r="Y244">
        <v>0</v>
      </c>
      <c r="Z244">
        <v>0</v>
      </c>
      <c r="AA244">
        <v>0</v>
      </c>
      <c r="AB244">
        <v>0</v>
      </c>
      <c r="AC244">
        <v>0</v>
      </c>
      <c r="AD244">
        <v>0</v>
      </c>
      <c r="AE244">
        <v>0</v>
      </c>
      <c r="AF244">
        <v>0</v>
      </c>
      <c r="AG244">
        <v>0</v>
      </c>
      <c r="AH244">
        <v>0</v>
      </c>
      <c r="AI244">
        <v>0</v>
      </c>
      <c r="AJ244">
        <v>0</v>
      </c>
      <c r="AK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D244">
        <v>0</v>
      </c>
    </row>
    <row r="245" spans="1:82" x14ac:dyDescent="0.3">
      <c r="A245">
        <v>1055</v>
      </c>
      <c r="B245" t="s">
        <v>1648</v>
      </c>
      <c r="D245">
        <v>1</v>
      </c>
      <c r="E245">
        <v>2</v>
      </c>
      <c r="F245">
        <v>2</v>
      </c>
      <c r="G245">
        <v>2</v>
      </c>
      <c r="H245">
        <v>2</v>
      </c>
      <c r="I245">
        <v>2</v>
      </c>
      <c r="J245">
        <v>2</v>
      </c>
      <c r="K245">
        <v>2</v>
      </c>
      <c r="L245">
        <v>2</v>
      </c>
      <c r="M245">
        <v>2</v>
      </c>
      <c r="N245">
        <v>2</v>
      </c>
      <c r="O245">
        <v>2</v>
      </c>
      <c r="P245">
        <v>2</v>
      </c>
      <c r="Q245">
        <v>2</v>
      </c>
      <c r="R245">
        <v>2</v>
      </c>
      <c r="S245">
        <v>2</v>
      </c>
      <c r="T245">
        <v>2</v>
      </c>
      <c r="U245">
        <v>2</v>
      </c>
      <c r="V245">
        <v>2</v>
      </c>
      <c r="W245">
        <v>2</v>
      </c>
      <c r="Y245">
        <v>2</v>
      </c>
      <c r="Z245">
        <v>2</v>
      </c>
      <c r="AA245">
        <v>2</v>
      </c>
      <c r="AB245">
        <v>2</v>
      </c>
      <c r="AC245">
        <v>2</v>
      </c>
      <c r="AD245">
        <v>2</v>
      </c>
      <c r="AE245">
        <v>2</v>
      </c>
      <c r="AF245">
        <v>2</v>
      </c>
      <c r="AG245">
        <v>2</v>
      </c>
      <c r="AH245">
        <v>1</v>
      </c>
      <c r="AI245">
        <v>2</v>
      </c>
      <c r="AJ245">
        <v>2</v>
      </c>
      <c r="AK245">
        <v>1</v>
      </c>
      <c r="AM245">
        <v>2</v>
      </c>
      <c r="AN245">
        <v>2</v>
      </c>
      <c r="AO245">
        <v>2</v>
      </c>
      <c r="AP245">
        <v>2</v>
      </c>
      <c r="AQ245">
        <v>2</v>
      </c>
      <c r="AR245">
        <v>2</v>
      </c>
      <c r="AS245">
        <v>2</v>
      </c>
      <c r="AT245">
        <v>1</v>
      </c>
      <c r="AU245">
        <v>2</v>
      </c>
      <c r="AV245">
        <v>2</v>
      </c>
      <c r="AW245">
        <v>2</v>
      </c>
      <c r="AX245">
        <v>2</v>
      </c>
      <c r="AY245">
        <v>2</v>
      </c>
      <c r="AZ245">
        <v>2</v>
      </c>
      <c r="BA245">
        <v>2</v>
      </c>
      <c r="BB245">
        <v>2</v>
      </c>
      <c r="BC245">
        <v>2</v>
      </c>
      <c r="BD245">
        <v>2</v>
      </c>
      <c r="BE245">
        <v>2</v>
      </c>
      <c r="BF245">
        <v>2</v>
      </c>
      <c r="BG245">
        <v>1</v>
      </c>
      <c r="BH245">
        <v>2</v>
      </c>
      <c r="BI245">
        <v>2</v>
      </c>
      <c r="BJ245">
        <v>2</v>
      </c>
      <c r="BK245">
        <v>2</v>
      </c>
      <c r="BL245">
        <v>2</v>
      </c>
      <c r="BM245">
        <v>2</v>
      </c>
      <c r="BN245">
        <v>2</v>
      </c>
      <c r="BO245">
        <v>2</v>
      </c>
      <c r="BP245">
        <v>2</v>
      </c>
      <c r="BQ245">
        <v>2</v>
      </c>
      <c r="BR245">
        <v>2</v>
      </c>
      <c r="BS245">
        <v>2</v>
      </c>
      <c r="BT245">
        <v>2</v>
      </c>
      <c r="BU245">
        <v>2</v>
      </c>
      <c r="BV245">
        <v>2</v>
      </c>
      <c r="BW245">
        <v>2</v>
      </c>
      <c r="BX245">
        <v>2</v>
      </c>
      <c r="BY245">
        <v>2</v>
      </c>
      <c r="BZ245">
        <v>1</v>
      </c>
      <c r="CA245">
        <v>2</v>
      </c>
      <c r="CB245">
        <v>2</v>
      </c>
      <c r="CD245">
        <v>2</v>
      </c>
    </row>
    <row r="246" spans="1:82" x14ac:dyDescent="0.3">
      <c r="A246">
        <v>1056</v>
      </c>
      <c r="B246" t="s">
        <v>1649</v>
      </c>
      <c r="D246">
        <v>1</v>
      </c>
      <c r="E246">
        <v>2</v>
      </c>
      <c r="F246">
        <v>2</v>
      </c>
      <c r="G246">
        <v>2</v>
      </c>
      <c r="H246">
        <v>2</v>
      </c>
      <c r="I246">
        <v>2</v>
      </c>
      <c r="J246">
        <v>2</v>
      </c>
      <c r="K246">
        <v>2</v>
      </c>
      <c r="L246">
        <v>2</v>
      </c>
      <c r="M246">
        <v>2</v>
      </c>
      <c r="N246">
        <v>2</v>
      </c>
      <c r="O246">
        <v>2</v>
      </c>
      <c r="P246">
        <v>2</v>
      </c>
      <c r="Q246">
        <v>2</v>
      </c>
      <c r="R246">
        <v>2</v>
      </c>
      <c r="S246">
        <v>2</v>
      </c>
      <c r="T246">
        <v>2</v>
      </c>
      <c r="U246">
        <v>2</v>
      </c>
      <c r="V246">
        <v>2</v>
      </c>
      <c r="W246">
        <v>2</v>
      </c>
      <c r="Y246">
        <v>2</v>
      </c>
      <c r="Z246">
        <v>2</v>
      </c>
      <c r="AA246">
        <v>2</v>
      </c>
      <c r="AB246">
        <v>2</v>
      </c>
      <c r="AC246">
        <v>2</v>
      </c>
      <c r="AD246">
        <v>2</v>
      </c>
      <c r="AE246">
        <v>2</v>
      </c>
      <c r="AF246">
        <v>2</v>
      </c>
      <c r="AG246">
        <v>2</v>
      </c>
      <c r="AH246">
        <v>2</v>
      </c>
      <c r="AI246">
        <v>2</v>
      </c>
      <c r="AJ246">
        <v>2</v>
      </c>
      <c r="AK246">
        <v>1</v>
      </c>
      <c r="AM246">
        <v>2</v>
      </c>
      <c r="AN246">
        <v>2</v>
      </c>
      <c r="AO246">
        <v>1</v>
      </c>
      <c r="AP246">
        <v>2</v>
      </c>
      <c r="AQ246">
        <v>2</v>
      </c>
      <c r="AR246">
        <v>2</v>
      </c>
      <c r="AS246">
        <v>2</v>
      </c>
      <c r="AT246">
        <v>1</v>
      </c>
      <c r="AU246">
        <v>2</v>
      </c>
      <c r="AV246">
        <v>2</v>
      </c>
      <c r="AW246">
        <v>2</v>
      </c>
      <c r="AX246">
        <v>2</v>
      </c>
      <c r="AY246">
        <v>2</v>
      </c>
      <c r="AZ246">
        <v>2</v>
      </c>
      <c r="BA246">
        <v>1</v>
      </c>
      <c r="BB246">
        <v>2</v>
      </c>
      <c r="BC246">
        <v>2</v>
      </c>
      <c r="BD246">
        <v>2</v>
      </c>
      <c r="BE246">
        <v>2</v>
      </c>
      <c r="BF246">
        <v>2</v>
      </c>
      <c r="BG246">
        <v>1</v>
      </c>
      <c r="BH246">
        <v>2</v>
      </c>
      <c r="BI246">
        <v>2</v>
      </c>
      <c r="BJ246">
        <v>2</v>
      </c>
      <c r="BK246">
        <v>2</v>
      </c>
      <c r="BL246">
        <v>2</v>
      </c>
      <c r="BM246">
        <v>2</v>
      </c>
      <c r="BN246">
        <v>2</v>
      </c>
      <c r="BO246">
        <v>2</v>
      </c>
      <c r="BP246">
        <v>2</v>
      </c>
      <c r="BQ246">
        <v>2</v>
      </c>
      <c r="BR246">
        <v>2</v>
      </c>
      <c r="BS246">
        <v>2</v>
      </c>
      <c r="BT246">
        <v>1</v>
      </c>
      <c r="BU246">
        <v>2</v>
      </c>
      <c r="BV246">
        <v>2</v>
      </c>
      <c r="BW246">
        <v>2</v>
      </c>
      <c r="BX246">
        <v>2</v>
      </c>
      <c r="BY246">
        <v>2</v>
      </c>
      <c r="BZ246">
        <v>1</v>
      </c>
      <c r="CA246">
        <v>2</v>
      </c>
      <c r="CB246">
        <v>2</v>
      </c>
      <c r="CD246">
        <v>2</v>
      </c>
    </row>
    <row r="247" spans="1:82" x14ac:dyDescent="0.3">
      <c r="A247">
        <v>1057</v>
      </c>
      <c r="B247" t="s">
        <v>1442</v>
      </c>
      <c r="D247">
        <v>1</v>
      </c>
      <c r="E247">
        <v>2</v>
      </c>
      <c r="F247">
        <v>2</v>
      </c>
      <c r="G247">
        <v>2</v>
      </c>
      <c r="H247">
        <v>2</v>
      </c>
      <c r="I247">
        <v>2</v>
      </c>
      <c r="J247">
        <v>2</v>
      </c>
      <c r="K247">
        <v>2</v>
      </c>
      <c r="L247">
        <v>2</v>
      </c>
      <c r="M247">
        <v>2</v>
      </c>
      <c r="N247">
        <v>2</v>
      </c>
      <c r="O247">
        <v>2</v>
      </c>
      <c r="P247">
        <v>1</v>
      </c>
      <c r="Q247">
        <v>2</v>
      </c>
      <c r="R247">
        <v>2</v>
      </c>
      <c r="S247">
        <v>2</v>
      </c>
      <c r="T247">
        <v>2</v>
      </c>
      <c r="U247">
        <v>2</v>
      </c>
      <c r="V247">
        <v>2</v>
      </c>
      <c r="W247">
        <v>2</v>
      </c>
      <c r="Y247">
        <v>2</v>
      </c>
      <c r="Z247">
        <v>1</v>
      </c>
      <c r="AA247">
        <v>2</v>
      </c>
      <c r="AB247">
        <v>1</v>
      </c>
      <c r="AC247">
        <v>2</v>
      </c>
      <c r="AD247">
        <v>2</v>
      </c>
      <c r="AE247">
        <v>2</v>
      </c>
      <c r="AF247">
        <v>1</v>
      </c>
      <c r="AG247">
        <v>2</v>
      </c>
      <c r="AH247">
        <v>2</v>
      </c>
      <c r="AI247">
        <v>1</v>
      </c>
      <c r="AJ247">
        <v>2</v>
      </c>
      <c r="AK247">
        <v>1</v>
      </c>
      <c r="AM247">
        <v>2</v>
      </c>
      <c r="AN247">
        <v>2</v>
      </c>
      <c r="AO247">
        <v>2</v>
      </c>
      <c r="AP247">
        <v>2</v>
      </c>
      <c r="AQ247">
        <v>2</v>
      </c>
      <c r="AR247">
        <v>2</v>
      </c>
      <c r="AS247">
        <v>2</v>
      </c>
      <c r="AT247">
        <v>1</v>
      </c>
      <c r="AU247">
        <v>2</v>
      </c>
      <c r="AV247">
        <v>2</v>
      </c>
      <c r="AW247">
        <v>2</v>
      </c>
      <c r="AX247">
        <v>2</v>
      </c>
      <c r="AY247">
        <v>2</v>
      </c>
      <c r="AZ247">
        <v>2</v>
      </c>
      <c r="BA247">
        <v>2</v>
      </c>
      <c r="BB247">
        <v>1</v>
      </c>
      <c r="BC247">
        <v>2</v>
      </c>
      <c r="BD247">
        <v>2</v>
      </c>
      <c r="BE247">
        <v>2</v>
      </c>
      <c r="BF247">
        <v>1</v>
      </c>
      <c r="BG247">
        <v>2</v>
      </c>
      <c r="BH247">
        <v>1</v>
      </c>
      <c r="BI247">
        <v>2</v>
      </c>
      <c r="BJ247">
        <v>2</v>
      </c>
      <c r="BK247">
        <v>2</v>
      </c>
      <c r="BL247">
        <v>1</v>
      </c>
      <c r="BM247">
        <v>2</v>
      </c>
      <c r="BN247">
        <v>2</v>
      </c>
      <c r="BO247">
        <v>2</v>
      </c>
      <c r="BP247">
        <v>2</v>
      </c>
      <c r="BQ247">
        <v>2</v>
      </c>
      <c r="BR247">
        <v>2</v>
      </c>
      <c r="BS247">
        <v>1</v>
      </c>
      <c r="BT247">
        <v>1</v>
      </c>
      <c r="BU247">
        <v>2</v>
      </c>
      <c r="BV247">
        <v>2</v>
      </c>
      <c r="BW247">
        <v>1</v>
      </c>
      <c r="BX247">
        <v>2</v>
      </c>
      <c r="BY247">
        <v>2</v>
      </c>
      <c r="BZ247">
        <v>1</v>
      </c>
      <c r="CA247">
        <v>2</v>
      </c>
      <c r="CB247">
        <v>1</v>
      </c>
      <c r="CD247">
        <v>2</v>
      </c>
    </row>
    <row r="248" spans="1:82" x14ac:dyDescent="0.3">
      <c r="A248">
        <v>1058</v>
      </c>
      <c r="B248" t="s">
        <v>1443</v>
      </c>
      <c r="D248">
        <v>1</v>
      </c>
      <c r="E248">
        <v>2</v>
      </c>
      <c r="F248">
        <v>2</v>
      </c>
      <c r="G248">
        <v>2</v>
      </c>
      <c r="H248">
        <v>2</v>
      </c>
      <c r="I248">
        <v>2</v>
      </c>
      <c r="J248">
        <v>2</v>
      </c>
      <c r="K248">
        <v>2</v>
      </c>
      <c r="L248">
        <v>2</v>
      </c>
      <c r="M248">
        <v>2</v>
      </c>
      <c r="N248">
        <v>2</v>
      </c>
      <c r="O248">
        <v>2</v>
      </c>
      <c r="P248">
        <v>2</v>
      </c>
      <c r="Q248">
        <v>2</v>
      </c>
      <c r="R248">
        <v>2</v>
      </c>
      <c r="S248">
        <v>2</v>
      </c>
      <c r="T248">
        <v>2</v>
      </c>
      <c r="U248">
        <v>2</v>
      </c>
      <c r="V248">
        <v>2</v>
      </c>
      <c r="W248">
        <v>2</v>
      </c>
      <c r="Y248">
        <v>2</v>
      </c>
      <c r="Z248">
        <v>1</v>
      </c>
      <c r="AA248">
        <v>2</v>
      </c>
      <c r="AB248">
        <v>2</v>
      </c>
      <c r="AC248">
        <v>2</v>
      </c>
      <c r="AD248">
        <v>2</v>
      </c>
      <c r="AE248">
        <v>2</v>
      </c>
      <c r="AF248">
        <v>2</v>
      </c>
      <c r="AG248">
        <v>2</v>
      </c>
      <c r="AH248">
        <v>2</v>
      </c>
      <c r="AI248">
        <v>1</v>
      </c>
      <c r="AJ248">
        <v>2</v>
      </c>
      <c r="AK248">
        <v>1</v>
      </c>
      <c r="AM248">
        <v>2</v>
      </c>
      <c r="AN248">
        <v>2</v>
      </c>
      <c r="AO248">
        <v>2</v>
      </c>
      <c r="AP248">
        <v>1</v>
      </c>
      <c r="AQ248">
        <v>2</v>
      </c>
      <c r="AR248">
        <v>2</v>
      </c>
      <c r="AS248">
        <v>2</v>
      </c>
      <c r="AT248">
        <v>2</v>
      </c>
      <c r="AU248">
        <v>2</v>
      </c>
      <c r="AV248">
        <v>2</v>
      </c>
      <c r="AW248">
        <v>2</v>
      </c>
      <c r="AX248">
        <v>2</v>
      </c>
      <c r="AY248">
        <v>2</v>
      </c>
      <c r="AZ248">
        <v>2</v>
      </c>
      <c r="BA248">
        <v>1</v>
      </c>
      <c r="BB248">
        <v>2</v>
      </c>
      <c r="BC248">
        <v>2</v>
      </c>
      <c r="BD248">
        <v>2</v>
      </c>
      <c r="BE248">
        <v>2</v>
      </c>
      <c r="BF248">
        <v>2</v>
      </c>
      <c r="BG248">
        <v>2</v>
      </c>
      <c r="BH248">
        <v>2</v>
      </c>
      <c r="BI248">
        <v>2</v>
      </c>
      <c r="BJ248">
        <v>2</v>
      </c>
      <c r="BK248">
        <v>1</v>
      </c>
      <c r="BL248">
        <v>1</v>
      </c>
      <c r="BM248">
        <v>2</v>
      </c>
      <c r="BN248">
        <v>2</v>
      </c>
      <c r="BO248">
        <v>2</v>
      </c>
      <c r="BP248">
        <v>2</v>
      </c>
      <c r="BQ248">
        <v>2</v>
      </c>
      <c r="BR248">
        <v>2</v>
      </c>
      <c r="BS248">
        <v>2</v>
      </c>
      <c r="BT248">
        <v>1</v>
      </c>
      <c r="BU248">
        <v>2</v>
      </c>
      <c r="BV248">
        <v>2</v>
      </c>
      <c r="BW248">
        <v>2</v>
      </c>
      <c r="BX248">
        <v>2</v>
      </c>
      <c r="BY248">
        <v>2</v>
      </c>
      <c r="BZ248">
        <v>2</v>
      </c>
      <c r="CA248">
        <v>2</v>
      </c>
      <c r="CB248">
        <v>1</v>
      </c>
      <c r="CD248">
        <v>2</v>
      </c>
    </row>
    <row r="249" spans="1:82" x14ac:dyDescent="0.3">
      <c r="A249">
        <v>1059</v>
      </c>
      <c r="B249" t="s">
        <v>1650</v>
      </c>
      <c r="D249">
        <v>1</v>
      </c>
      <c r="E249">
        <v>1</v>
      </c>
      <c r="F249">
        <v>1</v>
      </c>
      <c r="G249">
        <v>1</v>
      </c>
      <c r="H249">
        <v>1</v>
      </c>
      <c r="I249">
        <v>1</v>
      </c>
      <c r="J249">
        <v>1</v>
      </c>
      <c r="K249">
        <v>1</v>
      </c>
      <c r="L249">
        <v>1</v>
      </c>
      <c r="M249">
        <v>1</v>
      </c>
      <c r="N249">
        <v>1</v>
      </c>
      <c r="O249">
        <v>1</v>
      </c>
      <c r="P249">
        <v>1</v>
      </c>
      <c r="Q249">
        <v>1</v>
      </c>
      <c r="R249">
        <v>1</v>
      </c>
      <c r="S249">
        <v>1</v>
      </c>
      <c r="T249">
        <v>1</v>
      </c>
      <c r="U249">
        <v>1</v>
      </c>
      <c r="V249">
        <v>1</v>
      </c>
      <c r="W249">
        <v>1</v>
      </c>
      <c r="Y249">
        <v>1</v>
      </c>
      <c r="Z249">
        <v>1</v>
      </c>
      <c r="AA249">
        <v>1</v>
      </c>
      <c r="AB249">
        <v>1</v>
      </c>
      <c r="AC249">
        <v>1</v>
      </c>
      <c r="AD249">
        <v>1</v>
      </c>
      <c r="AE249">
        <v>1</v>
      </c>
      <c r="AF249">
        <v>1</v>
      </c>
      <c r="AG249">
        <v>1</v>
      </c>
      <c r="AH249">
        <v>1</v>
      </c>
      <c r="AI249">
        <v>1</v>
      </c>
      <c r="AJ249">
        <v>1</v>
      </c>
      <c r="AK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2</v>
      </c>
      <c r="BG249">
        <v>1</v>
      </c>
      <c r="BH249">
        <v>1</v>
      </c>
      <c r="BI249">
        <v>1</v>
      </c>
      <c r="BJ249">
        <v>1</v>
      </c>
      <c r="BK249">
        <v>1</v>
      </c>
      <c r="BL249">
        <v>1</v>
      </c>
      <c r="BM249">
        <v>1</v>
      </c>
      <c r="BN249">
        <v>1</v>
      </c>
      <c r="BO249">
        <v>1</v>
      </c>
      <c r="BP249">
        <v>1</v>
      </c>
      <c r="BQ249">
        <v>1</v>
      </c>
      <c r="BR249">
        <v>1</v>
      </c>
      <c r="BS249">
        <v>1</v>
      </c>
      <c r="BT249">
        <v>1</v>
      </c>
      <c r="BU249">
        <v>1</v>
      </c>
      <c r="BV249">
        <v>1</v>
      </c>
      <c r="BW249">
        <v>1</v>
      </c>
      <c r="BX249">
        <v>1</v>
      </c>
      <c r="BY249">
        <v>1</v>
      </c>
      <c r="BZ249">
        <v>1</v>
      </c>
      <c r="CA249">
        <v>1</v>
      </c>
      <c r="CB249">
        <v>1</v>
      </c>
      <c r="CD249">
        <v>1</v>
      </c>
    </row>
    <row r="250" spans="1:82" x14ac:dyDescent="0.3">
      <c r="A250">
        <v>1060</v>
      </c>
      <c r="B250" t="s">
        <v>1651</v>
      </c>
      <c r="D250">
        <v>0</v>
      </c>
      <c r="E250">
        <v>0</v>
      </c>
      <c r="F250">
        <v>53867</v>
      </c>
      <c r="G250">
        <v>0</v>
      </c>
      <c r="H250">
        <v>0</v>
      </c>
      <c r="I250">
        <v>773302</v>
      </c>
      <c r="J250">
        <v>0</v>
      </c>
      <c r="K250">
        <v>0</v>
      </c>
      <c r="L250">
        <v>34377</v>
      </c>
      <c r="M250">
        <v>406321</v>
      </c>
      <c r="N250">
        <v>120468</v>
      </c>
      <c r="O250">
        <v>0</v>
      </c>
      <c r="P250">
        <v>8955</v>
      </c>
      <c r="Q250">
        <v>5663254</v>
      </c>
      <c r="R250">
        <v>55423</v>
      </c>
      <c r="S250">
        <v>0</v>
      </c>
      <c r="T250">
        <v>1748717</v>
      </c>
      <c r="U250">
        <v>223631</v>
      </c>
      <c r="V250">
        <v>1700000</v>
      </c>
      <c r="W250">
        <v>1475703</v>
      </c>
      <c r="Y250">
        <v>0</v>
      </c>
      <c r="Z250">
        <v>0</v>
      </c>
      <c r="AA250">
        <v>0</v>
      </c>
      <c r="AB250">
        <v>729498</v>
      </c>
      <c r="AC250">
        <v>354073</v>
      </c>
      <c r="AD250">
        <v>0</v>
      </c>
      <c r="AE250">
        <v>264041</v>
      </c>
      <c r="AF250">
        <v>474062</v>
      </c>
      <c r="AG250">
        <v>5000</v>
      </c>
      <c r="AH250">
        <v>367458</v>
      </c>
      <c r="AI250">
        <v>0</v>
      </c>
      <c r="AJ250">
        <v>115368</v>
      </c>
      <c r="AK250">
        <v>109313</v>
      </c>
      <c r="AM250">
        <v>397175</v>
      </c>
      <c r="AN250">
        <v>0</v>
      </c>
      <c r="AO250">
        <v>6744</v>
      </c>
      <c r="AP250">
        <v>0</v>
      </c>
      <c r="AQ250">
        <v>0</v>
      </c>
      <c r="AR250">
        <v>669264</v>
      </c>
      <c r="AS250">
        <v>0</v>
      </c>
      <c r="AT250">
        <v>0</v>
      </c>
      <c r="AU250">
        <v>0</v>
      </c>
      <c r="AV250">
        <v>0</v>
      </c>
      <c r="AW250">
        <v>0</v>
      </c>
      <c r="AX250">
        <v>298675</v>
      </c>
      <c r="AY250">
        <v>75456</v>
      </c>
      <c r="AZ250">
        <v>147238</v>
      </c>
      <c r="BA250">
        <v>137199</v>
      </c>
      <c r="BB250">
        <v>7163</v>
      </c>
      <c r="BC250">
        <v>16194</v>
      </c>
      <c r="BD250">
        <v>0</v>
      </c>
      <c r="BE250">
        <v>0</v>
      </c>
      <c r="BF250">
        <v>22349</v>
      </c>
      <c r="BG250">
        <v>0</v>
      </c>
      <c r="BH250">
        <v>0</v>
      </c>
      <c r="BI250">
        <v>5985</v>
      </c>
      <c r="BJ250">
        <v>23000</v>
      </c>
      <c r="BK250">
        <v>0</v>
      </c>
      <c r="BL250">
        <v>107401</v>
      </c>
      <c r="BM250">
        <v>224342</v>
      </c>
      <c r="BN250">
        <v>167647</v>
      </c>
      <c r="BO250">
        <v>0</v>
      </c>
      <c r="BP250">
        <v>0</v>
      </c>
      <c r="BQ250">
        <v>0</v>
      </c>
      <c r="BR250">
        <v>0</v>
      </c>
      <c r="BS250">
        <v>0</v>
      </c>
      <c r="BT250">
        <v>80790</v>
      </c>
      <c r="BU250">
        <v>0</v>
      </c>
      <c r="BV250">
        <v>0</v>
      </c>
      <c r="BW250">
        <v>0</v>
      </c>
      <c r="BX250">
        <v>0</v>
      </c>
      <c r="BY250">
        <v>14029</v>
      </c>
      <c r="BZ250">
        <v>0</v>
      </c>
      <c r="CA250">
        <v>0</v>
      </c>
      <c r="CB250">
        <v>0</v>
      </c>
      <c r="CD250">
        <v>0</v>
      </c>
    </row>
    <row r="251" spans="1:82" x14ac:dyDescent="0.3">
      <c r="A251">
        <v>1061</v>
      </c>
      <c r="B251" t="s">
        <v>1652</v>
      </c>
      <c r="D251">
        <v>0</v>
      </c>
      <c r="E251">
        <v>0</v>
      </c>
      <c r="F251">
        <v>77595</v>
      </c>
      <c r="G251">
        <v>1212644</v>
      </c>
      <c r="H251">
        <v>0</v>
      </c>
      <c r="I251">
        <v>406835</v>
      </c>
      <c r="J251">
        <v>0</v>
      </c>
      <c r="K251">
        <v>0</v>
      </c>
      <c r="L251">
        <v>0</v>
      </c>
      <c r="M251">
        <v>0</v>
      </c>
      <c r="N251">
        <v>0</v>
      </c>
      <c r="O251">
        <v>0</v>
      </c>
      <c r="P251">
        <v>18780</v>
      </c>
      <c r="Q251">
        <v>0</v>
      </c>
      <c r="R251">
        <v>0</v>
      </c>
      <c r="S251">
        <v>0</v>
      </c>
      <c r="T251">
        <v>714000</v>
      </c>
      <c r="U251">
        <v>2841919</v>
      </c>
      <c r="V251">
        <v>717810</v>
      </c>
      <c r="W251">
        <v>251184</v>
      </c>
      <c r="Y251">
        <v>0</v>
      </c>
      <c r="Z251">
        <v>0</v>
      </c>
      <c r="AA251">
        <v>2590532</v>
      </c>
      <c r="AB251">
        <v>0</v>
      </c>
      <c r="AC251">
        <v>0</v>
      </c>
      <c r="AD251">
        <v>0</v>
      </c>
      <c r="AE251">
        <v>0</v>
      </c>
      <c r="AF251">
        <v>0</v>
      </c>
      <c r="AG251">
        <v>880023</v>
      </c>
      <c r="AH251">
        <v>0</v>
      </c>
      <c r="AI251">
        <v>0</v>
      </c>
      <c r="AJ251">
        <v>0</v>
      </c>
      <c r="AK251">
        <v>0</v>
      </c>
      <c r="AM251">
        <v>3802301</v>
      </c>
      <c r="AN251">
        <v>0</v>
      </c>
      <c r="AO251">
        <v>0</v>
      </c>
      <c r="AP251">
        <v>13908</v>
      </c>
      <c r="AQ251">
        <v>0</v>
      </c>
      <c r="AR251">
        <v>0</v>
      </c>
      <c r="AS251">
        <v>0</v>
      </c>
      <c r="AT251">
        <v>390245</v>
      </c>
      <c r="AU251">
        <v>0</v>
      </c>
      <c r="AV251">
        <v>0</v>
      </c>
      <c r="AW251">
        <v>828051</v>
      </c>
      <c r="AX251">
        <v>0</v>
      </c>
      <c r="AY251">
        <v>30511</v>
      </c>
      <c r="AZ251">
        <v>0</v>
      </c>
      <c r="BA251">
        <v>0</v>
      </c>
      <c r="BB251">
        <v>0</v>
      </c>
      <c r="BC251">
        <v>0</v>
      </c>
      <c r="BD251">
        <v>0</v>
      </c>
      <c r="BE251">
        <v>0</v>
      </c>
      <c r="BF251">
        <v>0</v>
      </c>
      <c r="BG251">
        <v>0</v>
      </c>
      <c r="BH251">
        <v>0</v>
      </c>
      <c r="BI251">
        <v>0</v>
      </c>
      <c r="BJ251">
        <v>28319</v>
      </c>
      <c r="BK251">
        <v>470238</v>
      </c>
      <c r="BL251">
        <v>0</v>
      </c>
      <c r="BM251">
        <v>0</v>
      </c>
      <c r="BN251">
        <v>0</v>
      </c>
      <c r="BO251">
        <v>321725</v>
      </c>
      <c r="BP251">
        <v>0</v>
      </c>
      <c r="BQ251">
        <v>0</v>
      </c>
      <c r="BR251">
        <v>0</v>
      </c>
      <c r="BS251">
        <v>0</v>
      </c>
      <c r="BT251">
        <v>0</v>
      </c>
      <c r="BU251">
        <v>0</v>
      </c>
      <c r="BV251">
        <v>0</v>
      </c>
      <c r="BW251">
        <v>0</v>
      </c>
      <c r="BX251">
        <v>0</v>
      </c>
      <c r="BY251">
        <v>0</v>
      </c>
      <c r="BZ251">
        <v>0</v>
      </c>
      <c r="CA251">
        <v>0</v>
      </c>
      <c r="CB251">
        <v>0</v>
      </c>
      <c r="CD251">
        <v>0</v>
      </c>
    </row>
    <row r="252" spans="1:82" x14ac:dyDescent="0.3">
      <c r="A252">
        <v>1062</v>
      </c>
      <c r="B252" t="s">
        <v>1653</v>
      </c>
      <c r="D252">
        <v>0</v>
      </c>
      <c r="E252">
        <v>3</v>
      </c>
      <c r="F252">
        <v>1</v>
      </c>
      <c r="G252">
        <v>1</v>
      </c>
      <c r="H252">
        <v>1</v>
      </c>
      <c r="I252">
        <v>1</v>
      </c>
      <c r="J252">
        <v>1</v>
      </c>
      <c r="K252">
        <v>1</v>
      </c>
      <c r="L252">
        <v>1</v>
      </c>
      <c r="M252">
        <v>3</v>
      </c>
      <c r="N252">
        <v>1</v>
      </c>
      <c r="O252">
        <v>1</v>
      </c>
      <c r="P252">
        <v>1</v>
      </c>
      <c r="Q252">
        <v>1</v>
      </c>
      <c r="R252">
        <v>1</v>
      </c>
      <c r="S252">
        <v>1</v>
      </c>
      <c r="T252">
        <v>1</v>
      </c>
      <c r="U252">
        <v>1</v>
      </c>
      <c r="V252">
        <v>1</v>
      </c>
      <c r="W252">
        <v>1</v>
      </c>
      <c r="Y252">
        <v>1</v>
      </c>
      <c r="Z252">
        <v>1</v>
      </c>
      <c r="AA252">
        <v>1</v>
      </c>
      <c r="AB252">
        <v>1</v>
      </c>
      <c r="AC252">
        <v>1</v>
      </c>
      <c r="AD252">
        <v>0</v>
      </c>
      <c r="AE252">
        <v>1</v>
      </c>
      <c r="AF252">
        <v>1</v>
      </c>
      <c r="AG252">
        <v>1</v>
      </c>
      <c r="AH252">
        <v>1</v>
      </c>
      <c r="AI252">
        <v>1</v>
      </c>
      <c r="AJ252">
        <v>1</v>
      </c>
      <c r="AK252">
        <v>1</v>
      </c>
      <c r="AM252">
        <v>1</v>
      </c>
      <c r="AN252">
        <v>1</v>
      </c>
      <c r="AO252">
        <v>1</v>
      </c>
      <c r="AP252">
        <v>1</v>
      </c>
      <c r="AQ252">
        <v>0</v>
      </c>
      <c r="AR252">
        <v>1</v>
      </c>
      <c r="AS252">
        <v>0</v>
      </c>
      <c r="AT252">
        <v>1</v>
      </c>
      <c r="AU252">
        <v>1</v>
      </c>
      <c r="AV252">
        <v>0</v>
      </c>
      <c r="AW252">
        <v>1</v>
      </c>
      <c r="AX252">
        <v>1</v>
      </c>
      <c r="AY252">
        <v>1</v>
      </c>
      <c r="AZ252">
        <v>1</v>
      </c>
      <c r="BA252">
        <v>1</v>
      </c>
      <c r="BB252">
        <v>0</v>
      </c>
      <c r="BC252">
        <v>1</v>
      </c>
      <c r="BD252">
        <v>1</v>
      </c>
      <c r="BE252">
        <v>1</v>
      </c>
      <c r="BF252">
        <v>0</v>
      </c>
      <c r="BG252">
        <v>0</v>
      </c>
      <c r="BH252">
        <v>1</v>
      </c>
      <c r="BI252">
        <v>1</v>
      </c>
      <c r="BJ252">
        <v>1</v>
      </c>
      <c r="BK252">
        <v>1</v>
      </c>
      <c r="BL252">
        <v>1</v>
      </c>
      <c r="BM252">
        <v>1</v>
      </c>
      <c r="BN252">
        <v>1</v>
      </c>
      <c r="BO252">
        <v>1</v>
      </c>
      <c r="BP252">
        <v>1</v>
      </c>
      <c r="BQ252">
        <v>1</v>
      </c>
      <c r="BR252">
        <v>1</v>
      </c>
      <c r="BS252">
        <v>1</v>
      </c>
      <c r="BT252">
        <v>1</v>
      </c>
      <c r="BU252">
        <v>1</v>
      </c>
      <c r="BV252">
        <v>1</v>
      </c>
      <c r="BW252">
        <v>0</v>
      </c>
      <c r="BX252">
        <v>1</v>
      </c>
      <c r="BY252">
        <v>1</v>
      </c>
      <c r="BZ252">
        <v>1</v>
      </c>
      <c r="CA252">
        <v>1</v>
      </c>
      <c r="CB252">
        <v>1</v>
      </c>
      <c r="CD252">
        <v>3</v>
      </c>
    </row>
    <row r="253" spans="1:82" x14ac:dyDescent="0.3">
      <c r="A253">
        <v>1063</v>
      </c>
      <c r="B253" t="s">
        <v>1654</v>
      </c>
      <c r="D253">
        <v>0</v>
      </c>
      <c r="E253">
        <v>3</v>
      </c>
      <c r="F253">
        <v>1</v>
      </c>
      <c r="G253">
        <v>1</v>
      </c>
      <c r="H253">
        <v>1</v>
      </c>
      <c r="I253">
        <v>1</v>
      </c>
      <c r="J253">
        <v>1</v>
      </c>
      <c r="K253">
        <v>1</v>
      </c>
      <c r="L253">
        <v>1</v>
      </c>
      <c r="M253">
        <v>1</v>
      </c>
      <c r="N253">
        <v>1</v>
      </c>
      <c r="O253">
        <v>1</v>
      </c>
      <c r="P253">
        <v>1</v>
      </c>
      <c r="Q253">
        <v>1</v>
      </c>
      <c r="R253">
        <v>1</v>
      </c>
      <c r="S253">
        <v>1</v>
      </c>
      <c r="T253">
        <v>1</v>
      </c>
      <c r="U253">
        <v>1</v>
      </c>
      <c r="V253">
        <v>1</v>
      </c>
      <c r="W253">
        <v>1</v>
      </c>
      <c r="Y253">
        <v>1</v>
      </c>
      <c r="Z253">
        <v>1</v>
      </c>
      <c r="AA253">
        <v>1</v>
      </c>
      <c r="AB253">
        <v>1</v>
      </c>
      <c r="AC253">
        <v>1</v>
      </c>
      <c r="AD253">
        <v>0</v>
      </c>
      <c r="AE253">
        <v>1</v>
      </c>
      <c r="AF253">
        <v>1</v>
      </c>
      <c r="AG253">
        <v>1</v>
      </c>
      <c r="AH253">
        <v>1</v>
      </c>
      <c r="AI253">
        <v>1</v>
      </c>
      <c r="AJ253">
        <v>1</v>
      </c>
      <c r="AK253">
        <v>1</v>
      </c>
      <c r="AM253">
        <v>1</v>
      </c>
      <c r="AN253">
        <v>1</v>
      </c>
      <c r="AO253">
        <v>1</v>
      </c>
      <c r="AP253">
        <v>1</v>
      </c>
      <c r="AQ253">
        <v>0</v>
      </c>
      <c r="AR253">
        <v>1</v>
      </c>
      <c r="AS253">
        <v>0</v>
      </c>
      <c r="AT253">
        <v>1</v>
      </c>
      <c r="AU253">
        <v>1</v>
      </c>
      <c r="AV253">
        <v>0</v>
      </c>
      <c r="AW253">
        <v>1</v>
      </c>
      <c r="AX253">
        <v>1</v>
      </c>
      <c r="AY253">
        <v>1</v>
      </c>
      <c r="AZ253">
        <v>1</v>
      </c>
      <c r="BA253">
        <v>1</v>
      </c>
      <c r="BB253">
        <v>0</v>
      </c>
      <c r="BC253">
        <v>1</v>
      </c>
      <c r="BD253">
        <v>1</v>
      </c>
      <c r="BE253">
        <v>1</v>
      </c>
      <c r="BF253">
        <v>0</v>
      </c>
      <c r="BG253">
        <v>0</v>
      </c>
      <c r="BH253">
        <v>1</v>
      </c>
      <c r="BI253">
        <v>1</v>
      </c>
      <c r="BJ253">
        <v>1</v>
      </c>
      <c r="BK253">
        <v>1</v>
      </c>
      <c r="BL253">
        <v>1</v>
      </c>
      <c r="BM253">
        <v>1</v>
      </c>
      <c r="BN253">
        <v>1</v>
      </c>
      <c r="BO253">
        <v>1</v>
      </c>
      <c r="BP253">
        <v>1</v>
      </c>
      <c r="BQ253">
        <v>1</v>
      </c>
      <c r="BR253">
        <v>1</v>
      </c>
      <c r="BS253">
        <v>1</v>
      </c>
      <c r="BT253">
        <v>1</v>
      </c>
      <c r="BU253">
        <v>1</v>
      </c>
      <c r="BV253">
        <v>1</v>
      </c>
      <c r="BW253">
        <v>0</v>
      </c>
      <c r="BX253">
        <v>1</v>
      </c>
      <c r="BY253">
        <v>1</v>
      </c>
      <c r="BZ253">
        <v>1</v>
      </c>
      <c r="CA253">
        <v>1</v>
      </c>
      <c r="CB253">
        <v>1</v>
      </c>
      <c r="CD253">
        <v>3</v>
      </c>
    </row>
    <row r="254" spans="1:82" x14ac:dyDescent="0.3">
      <c r="A254">
        <v>1064</v>
      </c>
      <c r="B254" t="s">
        <v>1655</v>
      </c>
      <c r="M254">
        <v>316241</v>
      </c>
      <c r="O254">
        <v>0</v>
      </c>
      <c r="Q254">
        <v>5663254</v>
      </c>
      <c r="T254">
        <v>1748717</v>
      </c>
      <c r="U254">
        <v>221539</v>
      </c>
      <c r="V254">
        <v>0</v>
      </c>
      <c r="W254">
        <v>1475703</v>
      </c>
      <c r="Y254">
        <v>0</v>
      </c>
      <c r="AA254">
        <v>0</v>
      </c>
      <c r="AB254">
        <v>729498</v>
      </c>
      <c r="AF254">
        <v>474062</v>
      </c>
      <c r="AI254">
        <v>5660</v>
      </c>
      <c r="AM254">
        <v>397175</v>
      </c>
      <c r="AQ254">
        <v>36409</v>
      </c>
      <c r="AR254">
        <v>1169264</v>
      </c>
      <c r="AT254">
        <v>1309050</v>
      </c>
      <c r="AV254">
        <v>0</v>
      </c>
      <c r="AY254">
        <v>75456</v>
      </c>
      <c r="BD254">
        <v>0</v>
      </c>
      <c r="BG254">
        <v>0</v>
      </c>
      <c r="BK254">
        <v>25501</v>
      </c>
      <c r="BM254">
        <v>224342</v>
      </c>
      <c r="BQ254">
        <v>0</v>
      </c>
      <c r="BR254">
        <v>0</v>
      </c>
      <c r="BZ254">
        <v>0</v>
      </c>
      <c r="CB254">
        <v>0</v>
      </c>
    </row>
    <row r="255" spans="1:82" x14ac:dyDescent="0.3">
      <c r="A255">
        <v>1065</v>
      </c>
      <c r="B255" t="s">
        <v>1656</v>
      </c>
      <c r="M255">
        <v>0</v>
      </c>
      <c r="O255">
        <v>0</v>
      </c>
      <c r="Q255">
        <v>0</v>
      </c>
      <c r="T255">
        <v>0</v>
      </c>
      <c r="U255">
        <v>0</v>
      </c>
      <c r="V255">
        <v>0</v>
      </c>
      <c r="W255">
        <v>0</v>
      </c>
      <c r="Y255">
        <v>0</v>
      </c>
      <c r="AA255">
        <v>0</v>
      </c>
      <c r="AB255">
        <v>0</v>
      </c>
      <c r="AF255">
        <v>0</v>
      </c>
      <c r="AI255">
        <v>0</v>
      </c>
      <c r="AM255">
        <v>0</v>
      </c>
      <c r="AQ255">
        <v>0</v>
      </c>
      <c r="AR255">
        <v>0</v>
      </c>
      <c r="AT255">
        <v>0</v>
      </c>
      <c r="AV255">
        <v>0</v>
      </c>
      <c r="AY255">
        <v>0</v>
      </c>
      <c r="BD255">
        <v>0</v>
      </c>
      <c r="BG255">
        <v>0</v>
      </c>
      <c r="BK255">
        <v>0</v>
      </c>
      <c r="BM255">
        <v>0</v>
      </c>
      <c r="BQ255">
        <v>0</v>
      </c>
      <c r="BR255">
        <v>0</v>
      </c>
      <c r="BZ255">
        <v>0</v>
      </c>
      <c r="CB255">
        <v>0</v>
      </c>
    </row>
    <row r="256" spans="1:82" x14ac:dyDescent="0.3">
      <c r="A256">
        <v>1066</v>
      </c>
      <c r="B256" t="s">
        <v>1657</v>
      </c>
      <c r="D256" t="s">
        <v>2049</v>
      </c>
      <c r="E256" t="s">
        <v>1658</v>
      </c>
      <c r="F256" t="s">
        <v>2518</v>
      </c>
      <c r="G256" t="s">
        <v>1666</v>
      </c>
      <c r="H256" t="s">
        <v>1667</v>
      </c>
      <c r="I256" t="s">
        <v>1662</v>
      </c>
      <c r="J256" t="s">
        <v>2519</v>
      </c>
      <c r="K256" t="s">
        <v>1662</v>
      </c>
      <c r="L256" t="s">
        <v>1661</v>
      </c>
      <c r="M256" t="s">
        <v>1668</v>
      </c>
      <c r="N256" t="s">
        <v>1668</v>
      </c>
      <c r="O256" t="s">
        <v>2520</v>
      </c>
      <c r="P256" t="s">
        <v>1664</v>
      </c>
      <c r="Q256" t="s">
        <v>1660</v>
      </c>
      <c r="R256" t="s">
        <v>1664</v>
      </c>
      <c r="S256" t="s">
        <v>1662</v>
      </c>
      <c r="T256" t="s">
        <v>1664</v>
      </c>
      <c r="U256" t="s">
        <v>2521</v>
      </c>
      <c r="V256" t="s">
        <v>1672</v>
      </c>
      <c r="W256" t="s">
        <v>1664</v>
      </c>
      <c r="Y256" t="s">
        <v>2522</v>
      </c>
      <c r="Z256" t="s">
        <v>2523</v>
      </c>
      <c r="AA256" t="s">
        <v>2524</v>
      </c>
      <c r="AB256" t="s">
        <v>2525</v>
      </c>
      <c r="AC256" t="s">
        <v>1670</v>
      </c>
      <c r="AD256" t="s">
        <v>2526</v>
      </c>
      <c r="AE256" t="s">
        <v>2520</v>
      </c>
      <c r="AF256" t="s">
        <v>1662</v>
      </c>
      <c r="AG256" t="s">
        <v>2527</v>
      </c>
      <c r="AH256" t="s">
        <v>2528</v>
      </c>
      <c r="AI256" t="s">
        <v>1670</v>
      </c>
      <c r="AJ256" t="s">
        <v>1659</v>
      </c>
      <c r="AK256" t="s">
        <v>2043</v>
      </c>
      <c r="AM256" t="s">
        <v>2529</v>
      </c>
      <c r="AN256" t="s">
        <v>1666</v>
      </c>
      <c r="AO256" t="s">
        <v>2530</v>
      </c>
      <c r="AP256" t="s">
        <v>2531</v>
      </c>
      <c r="AQ256" t="s">
        <v>2532</v>
      </c>
      <c r="AR256" t="s">
        <v>2533</v>
      </c>
      <c r="AS256" t="s">
        <v>2534</v>
      </c>
      <c r="AT256" t="s">
        <v>2535</v>
      </c>
      <c r="AU256" t="s">
        <v>1666</v>
      </c>
      <c r="AV256" t="s">
        <v>2536</v>
      </c>
      <c r="AW256" t="s">
        <v>1664</v>
      </c>
      <c r="AX256" t="s">
        <v>1671</v>
      </c>
      <c r="AY256" t="s">
        <v>1662</v>
      </c>
      <c r="AZ256" t="s">
        <v>2537</v>
      </c>
      <c r="BA256" t="s">
        <v>1669</v>
      </c>
      <c r="BB256" t="s">
        <v>2538</v>
      </c>
      <c r="BC256" t="s">
        <v>2539</v>
      </c>
      <c r="BD256" t="s">
        <v>1665</v>
      </c>
      <c r="BE256" t="s">
        <v>2540</v>
      </c>
      <c r="BF256" t="s">
        <v>2541</v>
      </c>
      <c r="BG256" t="s">
        <v>2542</v>
      </c>
      <c r="BH256" t="s">
        <v>1668</v>
      </c>
      <c r="BI256" t="s">
        <v>1668</v>
      </c>
      <c r="BJ256" t="s">
        <v>1662</v>
      </c>
      <c r="BK256" t="s">
        <v>1670</v>
      </c>
      <c r="BL256" t="s">
        <v>2543</v>
      </c>
      <c r="BM256" t="s">
        <v>2518</v>
      </c>
      <c r="BN256" t="s">
        <v>2544</v>
      </c>
      <c r="BO256" t="s">
        <v>1668</v>
      </c>
      <c r="BP256" t="s">
        <v>2545</v>
      </c>
      <c r="BQ256" t="s">
        <v>2546</v>
      </c>
      <c r="BR256" t="s">
        <v>1665</v>
      </c>
      <c r="BS256" t="s">
        <v>1662</v>
      </c>
      <c r="BT256" t="s">
        <v>2547</v>
      </c>
      <c r="BU256" t="s">
        <v>2548</v>
      </c>
      <c r="BV256" t="s">
        <v>1663</v>
      </c>
      <c r="BW256" t="s">
        <v>2549</v>
      </c>
      <c r="BX256" t="s">
        <v>2546</v>
      </c>
      <c r="BY256" t="s">
        <v>2550</v>
      </c>
      <c r="BZ256" t="s">
        <v>2551</v>
      </c>
      <c r="CA256" t="s">
        <v>1666</v>
      </c>
      <c r="CB256" t="s">
        <v>1662</v>
      </c>
      <c r="CD256" t="s">
        <v>2556</v>
      </c>
    </row>
    <row r="257" spans="1:82" x14ac:dyDescent="0.3">
      <c r="A257">
        <v>9000</v>
      </c>
      <c r="B257" t="s">
        <v>951</v>
      </c>
      <c r="C257" t="s">
        <v>349</v>
      </c>
      <c r="D257">
        <v>18168187.550000001</v>
      </c>
      <c r="E257">
        <v>2809002.62</v>
      </c>
      <c r="F257">
        <v>55853251.7557</v>
      </c>
      <c r="G257">
        <v>85504431.549999997</v>
      </c>
      <c r="H257">
        <v>74864723.090000004</v>
      </c>
      <c r="I257">
        <v>103912442.63</v>
      </c>
      <c r="J257">
        <v>12455811.58</v>
      </c>
      <c r="K257">
        <v>15380188.540999999</v>
      </c>
      <c r="L257">
        <v>11153484.26</v>
      </c>
      <c r="M257">
        <v>529955771.005</v>
      </c>
      <c r="N257">
        <v>12250883.73</v>
      </c>
      <c r="O257">
        <v>274275045.80000001</v>
      </c>
      <c r="P257">
        <v>3451141.58</v>
      </c>
      <c r="Q257">
        <v>3734039608.3125</v>
      </c>
      <c r="R257">
        <v>60679020.689999998</v>
      </c>
      <c r="S257">
        <v>2218109</v>
      </c>
      <c r="T257">
        <v>3456109189.2399998</v>
      </c>
      <c r="U257">
        <v>831618471.94000006</v>
      </c>
      <c r="V257">
        <v>1634617002.03</v>
      </c>
      <c r="W257">
        <v>1324607048.8399999</v>
      </c>
      <c r="X257">
        <v>50315.01</v>
      </c>
      <c r="Y257">
        <v>709686610.63</v>
      </c>
      <c r="Z257">
        <v>108316635.27</v>
      </c>
      <c r="AA257">
        <v>774068974.54499996</v>
      </c>
      <c r="AB257">
        <v>262644304.75999999</v>
      </c>
      <c r="AC257">
        <v>89463860.234999999</v>
      </c>
      <c r="AD257">
        <v>90777756.579999998</v>
      </c>
      <c r="AE257">
        <v>159722361.63999999</v>
      </c>
      <c r="AF257">
        <v>716188094.29999995</v>
      </c>
      <c r="AG257">
        <v>196148988.84</v>
      </c>
      <c r="AH257">
        <v>30503553.690000001</v>
      </c>
      <c r="AI257">
        <v>2342784005.7821999</v>
      </c>
      <c r="AJ257">
        <v>59859580.509999998</v>
      </c>
      <c r="AK257">
        <v>53508420.799999997</v>
      </c>
      <c r="AL257">
        <v>50328.01</v>
      </c>
      <c r="AM257">
        <v>889317976.67999995</v>
      </c>
      <c r="AN257">
        <v>22561337.59</v>
      </c>
      <c r="AO257">
        <v>30481210.300000001</v>
      </c>
      <c r="AP257">
        <v>1440984</v>
      </c>
      <c r="AQ257">
        <v>271242521.61000001</v>
      </c>
      <c r="AR257">
        <v>623118034.38</v>
      </c>
      <c r="AS257">
        <v>11053771.689999999</v>
      </c>
      <c r="AT257">
        <v>164170541.37</v>
      </c>
      <c r="AU257">
        <v>12811052.24</v>
      </c>
      <c r="AV257">
        <v>1282261031.26</v>
      </c>
      <c r="AW257">
        <v>76308332.319999993</v>
      </c>
      <c r="AX257">
        <v>133413891.31999999</v>
      </c>
      <c r="AY257">
        <v>438138112.94639999</v>
      </c>
      <c r="AZ257">
        <v>73101510.629999995</v>
      </c>
      <c r="BA257">
        <v>36863891.090000004</v>
      </c>
      <c r="BB257">
        <v>1231523</v>
      </c>
      <c r="BC257">
        <v>11134262.0725</v>
      </c>
      <c r="BD257">
        <v>549326513.24000001</v>
      </c>
      <c r="BE257">
        <v>6243845</v>
      </c>
      <c r="BF257">
        <v>26677612.239999998</v>
      </c>
      <c r="BG257">
        <v>29162321.809999999</v>
      </c>
      <c r="BH257">
        <v>3474629.19</v>
      </c>
      <c r="BI257">
        <v>22663436.449999999</v>
      </c>
      <c r="BJ257">
        <v>5266257.6550000003</v>
      </c>
      <c r="BK257">
        <v>187515030.99000001</v>
      </c>
      <c r="BL257">
        <v>84693507.790000007</v>
      </c>
      <c r="BM257">
        <v>123007159.90000001</v>
      </c>
      <c r="BN257">
        <v>133018046.837</v>
      </c>
      <c r="BO257">
        <v>67067510.908</v>
      </c>
      <c r="BP257">
        <v>60632308.130000003</v>
      </c>
      <c r="BQ257">
        <v>414505509.18000001</v>
      </c>
      <c r="BR257">
        <v>98031432.640000001</v>
      </c>
      <c r="BS257">
        <v>693166914.85000002</v>
      </c>
      <c r="BT257">
        <v>56120650.990000002</v>
      </c>
      <c r="BU257">
        <v>267127497.2033</v>
      </c>
      <c r="BV257">
        <v>40535618.579999998</v>
      </c>
      <c r="BW257">
        <v>128461649.14</v>
      </c>
      <c r="BX257">
        <v>48835893.109999999</v>
      </c>
      <c r="BY257">
        <v>6952322.5099999998</v>
      </c>
      <c r="BZ257">
        <v>50952031.630000003</v>
      </c>
      <c r="CA257">
        <v>21861023.030000001</v>
      </c>
      <c r="CB257">
        <v>67933522.189999998</v>
      </c>
      <c r="CC257">
        <v>50360</v>
      </c>
      <c r="CD257">
        <v>7603038.9699999997</v>
      </c>
    </row>
    <row r="258" spans="1:82" x14ac:dyDescent="0.3">
      <c r="A258">
        <v>9001</v>
      </c>
      <c r="B258" t="s">
        <v>952</v>
      </c>
      <c r="C258" t="s">
        <v>953</v>
      </c>
      <c r="D258">
        <v>378368</v>
      </c>
      <c r="E258">
        <v>423150</v>
      </c>
      <c r="F258">
        <v>2484651</v>
      </c>
      <c r="G258">
        <v>13901532</v>
      </c>
      <c r="H258">
        <v>11247950</v>
      </c>
      <c r="I258">
        <v>13620709</v>
      </c>
      <c r="J258">
        <v>189054</v>
      </c>
      <c r="K258">
        <v>2946102</v>
      </c>
      <c r="L258">
        <v>1504900</v>
      </c>
      <c r="M258">
        <v>98163699</v>
      </c>
      <c r="N258">
        <v>1473564</v>
      </c>
      <c r="O258">
        <v>17061463</v>
      </c>
      <c r="P258">
        <v>532254</v>
      </c>
      <c r="Q258">
        <v>186805847</v>
      </c>
      <c r="R258">
        <v>7920067</v>
      </c>
      <c r="S258">
        <v>314737</v>
      </c>
      <c r="T258">
        <v>314826199</v>
      </c>
      <c r="U258">
        <v>77535764</v>
      </c>
      <c r="V258">
        <v>81477689</v>
      </c>
      <c r="W258">
        <v>256433643</v>
      </c>
      <c r="X258">
        <v>0</v>
      </c>
      <c r="Y258">
        <v>49885086</v>
      </c>
      <c r="Z258">
        <v>3810096</v>
      </c>
      <c r="AA258">
        <v>58479028</v>
      </c>
      <c r="AB258">
        <v>8876033</v>
      </c>
      <c r="AC258">
        <v>7054043</v>
      </c>
      <c r="AD258">
        <v>3827311</v>
      </c>
      <c r="AE258">
        <v>8624127</v>
      </c>
      <c r="AF258">
        <v>74116505</v>
      </c>
      <c r="AG258">
        <v>15842965</v>
      </c>
      <c r="AH258">
        <v>4453081</v>
      </c>
      <c r="AI258">
        <v>123845009</v>
      </c>
      <c r="AJ258">
        <v>8719869</v>
      </c>
      <c r="AK258">
        <v>3759453</v>
      </c>
      <c r="AL258">
        <v>0</v>
      </c>
      <c r="AM258">
        <v>42105137</v>
      </c>
      <c r="AN258">
        <v>1252010</v>
      </c>
      <c r="AO258">
        <v>1478121</v>
      </c>
      <c r="AP258">
        <v>186342</v>
      </c>
      <c r="AQ258">
        <v>44815885</v>
      </c>
      <c r="AR258">
        <v>95885615</v>
      </c>
      <c r="AS258">
        <v>1284497</v>
      </c>
      <c r="AT258">
        <v>6126143</v>
      </c>
      <c r="AU258">
        <v>593069</v>
      </c>
      <c r="AV258">
        <v>64197882</v>
      </c>
      <c r="AW258">
        <v>13385298</v>
      </c>
      <c r="AX258">
        <v>5113796</v>
      </c>
      <c r="AY258">
        <v>33307914</v>
      </c>
      <c r="AZ258">
        <v>4856557</v>
      </c>
      <c r="BA258">
        <v>4400032</v>
      </c>
      <c r="BB258">
        <v>175737</v>
      </c>
      <c r="BC258">
        <v>1033771</v>
      </c>
      <c r="BD258">
        <v>21344305</v>
      </c>
      <c r="BE258">
        <v>824997</v>
      </c>
      <c r="BF258">
        <v>1144438</v>
      </c>
      <c r="BG258">
        <v>502024</v>
      </c>
      <c r="BH258">
        <v>455879</v>
      </c>
      <c r="BI258">
        <v>869867</v>
      </c>
      <c r="BJ258">
        <v>794640</v>
      </c>
      <c r="BK258">
        <v>11828317</v>
      </c>
      <c r="BL258">
        <v>1361577</v>
      </c>
      <c r="BM258">
        <v>4073347</v>
      </c>
      <c r="BN258">
        <v>16698718</v>
      </c>
      <c r="BO258">
        <v>3297291</v>
      </c>
      <c r="BP258">
        <v>5693385</v>
      </c>
      <c r="BQ258">
        <v>52162411</v>
      </c>
      <c r="BR258">
        <v>1917774</v>
      </c>
      <c r="BS258">
        <v>86590869</v>
      </c>
      <c r="BT258">
        <v>2240942</v>
      </c>
      <c r="BU258">
        <v>14929504</v>
      </c>
      <c r="BV258">
        <v>6442240</v>
      </c>
      <c r="BW258">
        <v>5758780</v>
      </c>
      <c r="BX258">
        <v>3390403</v>
      </c>
      <c r="BY258">
        <v>723583</v>
      </c>
      <c r="BZ258">
        <v>2738092</v>
      </c>
      <c r="CA258">
        <v>295051</v>
      </c>
      <c r="CB258">
        <v>4061675</v>
      </c>
      <c r="CC258">
        <v>0</v>
      </c>
      <c r="CD258">
        <v>474252</v>
      </c>
    </row>
    <row r="259" spans="1:82" x14ac:dyDescent="0.3">
      <c r="A259">
        <v>9002</v>
      </c>
      <c r="B259" t="s">
        <v>954</v>
      </c>
      <c r="C259" t="s">
        <v>955</v>
      </c>
      <c r="D259">
        <v>45923</v>
      </c>
      <c r="E259">
        <v>22201</v>
      </c>
      <c r="F259">
        <v>127026</v>
      </c>
      <c r="G259">
        <v>311223</v>
      </c>
      <c r="H259">
        <v>42059</v>
      </c>
      <c r="I259">
        <v>508684</v>
      </c>
      <c r="J259">
        <v>377</v>
      </c>
      <c r="K259">
        <v>146585</v>
      </c>
      <c r="L259">
        <v>38980</v>
      </c>
      <c r="M259">
        <v>5651503</v>
      </c>
      <c r="N259">
        <v>38031</v>
      </c>
      <c r="O259">
        <v>270026</v>
      </c>
      <c r="P259">
        <v>1140</v>
      </c>
      <c r="Q259">
        <v>9804613</v>
      </c>
      <c r="R259">
        <v>102761</v>
      </c>
      <c r="S259">
        <v>17577</v>
      </c>
      <c r="T259">
        <v>24848395</v>
      </c>
      <c r="U259">
        <v>3995602</v>
      </c>
      <c r="V259">
        <v>5503762</v>
      </c>
      <c r="W259">
        <v>13876299</v>
      </c>
      <c r="X259">
        <v>0</v>
      </c>
      <c r="Y259">
        <v>3879206</v>
      </c>
      <c r="Z259">
        <v>261106</v>
      </c>
      <c r="AA259">
        <v>4253189</v>
      </c>
      <c r="AB259">
        <v>354527</v>
      </c>
      <c r="AC259">
        <v>135801</v>
      </c>
      <c r="AD259">
        <v>107741</v>
      </c>
      <c r="AE259">
        <v>250988</v>
      </c>
      <c r="AF259">
        <v>6489831</v>
      </c>
      <c r="AG259">
        <v>525008</v>
      </c>
      <c r="AH259">
        <v>32041</v>
      </c>
      <c r="AI259">
        <v>12682010</v>
      </c>
      <c r="AJ259">
        <v>10579</v>
      </c>
      <c r="AK259">
        <v>11072</v>
      </c>
      <c r="AL259">
        <v>0</v>
      </c>
      <c r="AM259">
        <v>4765916</v>
      </c>
      <c r="AN259">
        <v>56761</v>
      </c>
      <c r="AO259">
        <v>30964</v>
      </c>
      <c r="AP259">
        <v>0</v>
      </c>
      <c r="AQ259">
        <v>2376576</v>
      </c>
      <c r="AR259">
        <v>231135</v>
      </c>
      <c r="AS259">
        <v>29757</v>
      </c>
      <c r="AT259">
        <v>598773</v>
      </c>
      <c r="AU259">
        <v>77212</v>
      </c>
      <c r="AV259">
        <v>460713</v>
      </c>
      <c r="AW259">
        <v>1168152</v>
      </c>
      <c r="AX259">
        <v>67734</v>
      </c>
      <c r="AY259">
        <v>1657971</v>
      </c>
      <c r="AZ259">
        <v>25965</v>
      </c>
      <c r="BA259">
        <v>44408</v>
      </c>
      <c r="BB259">
        <v>0</v>
      </c>
      <c r="BC259">
        <v>14059</v>
      </c>
      <c r="BD259">
        <v>678173</v>
      </c>
      <c r="BE259">
        <v>30798</v>
      </c>
      <c r="BF259">
        <v>13125</v>
      </c>
      <c r="BG259">
        <v>13182</v>
      </c>
      <c r="BH259">
        <v>36116</v>
      </c>
      <c r="BI259">
        <v>60771</v>
      </c>
      <c r="BJ259">
        <v>51967</v>
      </c>
      <c r="BK259">
        <v>1175221</v>
      </c>
      <c r="BL259">
        <v>143055</v>
      </c>
      <c r="BM259">
        <v>135946</v>
      </c>
      <c r="BN259">
        <v>508643</v>
      </c>
      <c r="BO259">
        <v>46798</v>
      </c>
      <c r="BP259">
        <v>31187</v>
      </c>
      <c r="BQ259">
        <v>5163370</v>
      </c>
      <c r="BR259">
        <v>62118</v>
      </c>
      <c r="BS259">
        <v>4703116</v>
      </c>
      <c r="BT259">
        <v>98390</v>
      </c>
      <c r="BU259">
        <v>555102</v>
      </c>
      <c r="BV259">
        <v>675171</v>
      </c>
      <c r="BW259">
        <v>211258</v>
      </c>
      <c r="BX259">
        <v>453163</v>
      </c>
      <c r="BY259">
        <v>39698</v>
      </c>
      <c r="BZ259">
        <v>1250334</v>
      </c>
      <c r="CA259">
        <v>45902</v>
      </c>
      <c r="CB259">
        <v>506306</v>
      </c>
      <c r="CC259">
        <v>0</v>
      </c>
      <c r="CD259">
        <v>1016</v>
      </c>
    </row>
    <row r="260" spans="1:82" x14ac:dyDescent="0.3">
      <c r="A260">
        <v>9003</v>
      </c>
      <c r="B260" t="s">
        <v>956</v>
      </c>
      <c r="C260" t="s">
        <v>957</v>
      </c>
      <c r="D260">
        <v>128792</v>
      </c>
      <c r="E260">
        <v>55364</v>
      </c>
      <c r="F260">
        <v>427538</v>
      </c>
      <c r="G260">
        <v>1029235</v>
      </c>
      <c r="H260">
        <v>843731</v>
      </c>
      <c r="I260">
        <v>724853</v>
      </c>
      <c r="J260">
        <v>23801</v>
      </c>
      <c r="K260">
        <v>175638</v>
      </c>
      <c r="L260">
        <v>38980</v>
      </c>
      <c r="M260">
        <v>17833660</v>
      </c>
      <c r="N260">
        <v>302389</v>
      </c>
      <c r="O260">
        <v>3995637</v>
      </c>
      <c r="P260">
        <v>19920</v>
      </c>
      <c r="Q260">
        <v>93512087</v>
      </c>
      <c r="R260">
        <v>1477083</v>
      </c>
      <c r="S260">
        <v>17577</v>
      </c>
      <c r="T260">
        <v>178688896</v>
      </c>
      <c r="U260">
        <v>27225830</v>
      </c>
      <c r="V260">
        <v>36918997</v>
      </c>
      <c r="W260">
        <v>73894523</v>
      </c>
      <c r="X260">
        <v>0</v>
      </c>
      <c r="Y260">
        <v>9826325</v>
      </c>
      <c r="Z260">
        <v>656319</v>
      </c>
      <c r="AA260">
        <v>21707965</v>
      </c>
      <c r="AB260">
        <v>2901505</v>
      </c>
      <c r="AC260">
        <v>812308</v>
      </c>
      <c r="AD260">
        <v>838037</v>
      </c>
      <c r="AE260">
        <v>2915154</v>
      </c>
      <c r="AF260">
        <v>25023081</v>
      </c>
      <c r="AG260">
        <v>3414585</v>
      </c>
      <c r="AH260">
        <v>346984</v>
      </c>
      <c r="AI260">
        <v>85409803</v>
      </c>
      <c r="AJ260">
        <v>41866</v>
      </c>
      <c r="AK260">
        <v>382149</v>
      </c>
      <c r="AL260">
        <v>0</v>
      </c>
      <c r="AM260">
        <v>18409617</v>
      </c>
      <c r="AN260">
        <v>323771</v>
      </c>
      <c r="AO260">
        <v>349793</v>
      </c>
      <c r="AP260">
        <v>0</v>
      </c>
      <c r="AQ260">
        <v>15484417</v>
      </c>
      <c r="AR260">
        <v>49683079</v>
      </c>
      <c r="AS260">
        <v>514492</v>
      </c>
      <c r="AT260">
        <v>1991622</v>
      </c>
      <c r="AU260">
        <v>90330</v>
      </c>
      <c r="AV260">
        <v>21143050</v>
      </c>
      <c r="AW260">
        <v>2270775</v>
      </c>
      <c r="AX260">
        <v>609439</v>
      </c>
      <c r="AY260">
        <v>9931441</v>
      </c>
      <c r="AZ260">
        <v>275522</v>
      </c>
      <c r="BA260">
        <v>208842</v>
      </c>
      <c r="BB260">
        <v>0</v>
      </c>
      <c r="BC260">
        <v>92040</v>
      </c>
      <c r="BD260">
        <v>16277635</v>
      </c>
      <c r="BE260">
        <v>30798</v>
      </c>
      <c r="BF260">
        <v>120109</v>
      </c>
      <c r="BG260">
        <v>111207</v>
      </c>
      <c r="BH260">
        <v>36116</v>
      </c>
      <c r="BI260">
        <v>88959</v>
      </c>
      <c r="BJ260">
        <v>51967</v>
      </c>
      <c r="BK260">
        <v>5809003</v>
      </c>
      <c r="BL260">
        <v>449584</v>
      </c>
      <c r="BM260">
        <v>887977</v>
      </c>
      <c r="BN260">
        <v>3247380</v>
      </c>
      <c r="BO260">
        <v>1561415</v>
      </c>
      <c r="BP260">
        <v>1704289</v>
      </c>
      <c r="BQ260">
        <v>11145906</v>
      </c>
      <c r="BR260">
        <v>952270</v>
      </c>
      <c r="BS260">
        <v>33269113</v>
      </c>
      <c r="BT260">
        <v>417998</v>
      </c>
      <c r="BU260">
        <v>3880059</v>
      </c>
      <c r="BV260">
        <v>675171</v>
      </c>
      <c r="BW260">
        <v>1547402</v>
      </c>
      <c r="BX260">
        <v>1365313</v>
      </c>
      <c r="BY260">
        <v>39698</v>
      </c>
      <c r="BZ260">
        <v>1481922</v>
      </c>
      <c r="CA260">
        <v>46162</v>
      </c>
      <c r="CB260">
        <v>1218601</v>
      </c>
      <c r="CC260">
        <v>0</v>
      </c>
      <c r="CD260">
        <v>1016</v>
      </c>
    </row>
    <row r="261" spans="1:82" x14ac:dyDescent="0.3">
      <c r="A261">
        <v>9004</v>
      </c>
      <c r="B261" t="s">
        <v>958</v>
      </c>
      <c r="C261" t="s">
        <v>959</v>
      </c>
      <c r="D261" t="s">
        <v>960</v>
      </c>
      <c r="E261" t="s">
        <v>349</v>
      </c>
      <c r="F261" t="s">
        <v>960</v>
      </c>
      <c r="G261" t="s">
        <v>349</v>
      </c>
      <c r="H261" t="s">
        <v>349</v>
      </c>
      <c r="I261" t="s">
        <v>349</v>
      </c>
      <c r="J261" t="s">
        <v>960</v>
      </c>
      <c r="K261" t="s">
        <v>349</v>
      </c>
      <c r="L261" t="s">
        <v>349</v>
      </c>
      <c r="M261" t="s">
        <v>349</v>
      </c>
      <c r="N261" t="s">
        <v>349</v>
      </c>
      <c r="O261" t="s">
        <v>960</v>
      </c>
      <c r="P261" t="s">
        <v>349</v>
      </c>
      <c r="Q261" t="s">
        <v>960</v>
      </c>
      <c r="R261" t="s">
        <v>960</v>
      </c>
      <c r="S261" t="s">
        <v>349</v>
      </c>
      <c r="T261" t="s">
        <v>960</v>
      </c>
      <c r="U261" t="s">
        <v>960</v>
      </c>
      <c r="V261" t="s">
        <v>960</v>
      </c>
      <c r="W261" t="s">
        <v>349</v>
      </c>
      <c r="X261" t="s">
        <v>960</v>
      </c>
      <c r="Y261" t="s">
        <v>960</v>
      </c>
      <c r="Z261" t="s">
        <v>960</v>
      </c>
      <c r="AA261" t="s">
        <v>960</v>
      </c>
      <c r="AB261" t="s">
        <v>960</v>
      </c>
      <c r="AC261" t="s">
        <v>960</v>
      </c>
      <c r="AD261" t="s">
        <v>960</v>
      </c>
      <c r="AE261" t="s">
        <v>960</v>
      </c>
      <c r="AF261" t="s">
        <v>960</v>
      </c>
      <c r="AG261" t="s">
        <v>960</v>
      </c>
      <c r="AH261" t="s">
        <v>349</v>
      </c>
      <c r="AI261" t="s">
        <v>960</v>
      </c>
      <c r="AJ261" t="s">
        <v>960</v>
      </c>
      <c r="AK261" t="s">
        <v>960</v>
      </c>
      <c r="AL261" t="s">
        <v>960</v>
      </c>
      <c r="AM261" t="s">
        <v>960</v>
      </c>
      <c r="AN261" t="s">
        <v>960</v>
      </c>
      <c r="AO261" t="s">
        <v>960</v>
      </c>
      <c r="AP261" t="s">
        <v>349</v>
      </c>
      <c r="AQ261" t="s">
        <v>349</v>
      </c>
      <c r="AR261" t="s">
        <v>960</v>
      </c>
      <c r="AS261" t="s">
        <v>349</v>
      </c>
      <c r="AT261" t="s">
        <v>960</v>
      </c>
      <c r="AU261" t="s">
        <v>349</v>
      </c>
      <c r="AV261" t="s">
        <v>960</v>
      </c>
      <c r="AW261" t="s">
        <v>349</v>
      </c>
      <c r="AX261" t="s">
        <v>960</v>
      </c>
      <c r="AY261" t="s">
        <v>960</v>
      </c>
      <c r="AZ261" t="s">
        <v>960</v>
      </c>
      <c r="BA261" t="s">
        <v>960</v>
      </c>
      <c r="BB261" t="s">
        <v>349</v>
      </c>
      <c r="BC261" t="s">
        <v>960</v>
      </c>
      <c r="BD261" t="s">
        <v>960</v>
      </c>
      <c r="BE261" t="s">
        <v>349</v>
      </c>
      <c r="BF261" t="s">
        <v>960</v>
      </c>
      <c r="BG261" t="s">
        <v>960</v>
      </c>
      <c r="BH261" t="s">
        <v>349</v>
      </c>
      <c r="BI261" t="s">
        <v>960</v>
      </c>
      <c r="BJ261" t="s">
        <v>349</v>
      </c>
      <c r="BK261" t="s">
        <v>960</v>
      </c>
      <c r="BL261" t="s">
        <v>960</v>
      </c>
      <c r="BM261" t="s">
        <v>960</v>
      </c>
      <c r="BN261" t="s">
        <v>960</v>
      </c>
      <c r="BO261" t="s">
        <v>960</v>
      </c>
      <c r="BP261" t="s">
        <v>960</v>
      </c>
      <c r="BQ261" t="s">
        <v>349</v>
      </c>
      <c r="BR261" t="s">
        <v>960</v>
      </c>
      <c r="BS261" t="s">
        <v>349</v>
      </c>
      <c r="BT261" t="s">
        <v>960</v>
      </c>
      <c r="BU261" t="s">
        <v>960</v>
      </c>
      <c r="BV261" t="s">
        <v>349</v>
      </c>
      <c r="BW261" t="s">
        <v>960</v>
      </c>
      <c r="BX261" t="s">
        <v>960</v>
      </c>
      <c r="BY261" t="s">
        <v>960</v>
      </c>
      <c r="BZ261" t="s">
        <v>960</v>
      </c>
      <c r="CA261" t="s">
        <v>960</v>
      </c>
      <c r="CB261" t="s">
        <v>960</v>
      </c>
      <c r="CC261" t="s">
        <v>349</v>
      </c>
      <c r="CD261" t="s">
        <v>960</v>
      </c>
    </row>
    <row r="262" spans="1:82" x14ac:dyDescent="0.3">
      <c r="A262">
        <v>9005</v>
      </c>
      <c r="B262" t="s">
        <v>961</v>
      </c>
      <c r="C262" t="s">
        <v>962</v>
      </c>
      <c r="D262">
        <v>82708</v>
      </c>
      <c r="E262">
        <v>154406</v>
      </c>
      <c r="F262">
        <v>864983</v>
      </c>
      <c r="G262">
        <v>4716762</v>
      </c>
      <c r="H262">
        <v>6566850</v>
      </c>
      <c r="I262">
        <v>5805496</v>
      </c>
      <c r="J262">
        <v>137552</v>
      </c>
      <c r="K262">
        <v>1050691</v>
      </c>
      <c r="L262">
        <v>955670</v>
      </c>
      <c r="M262">
        <v>8845613</v>
      </c>
      <c r="N262">
        <v>725910</v>
      </c>
      <c r="O262">
        <v>6298343</v>
      </c>
      <c r="P262">
        <v>331611</v>
      </c>
      <c r="Q262">
        <v>24354676</v>
      </c>
      <c r="R262">
        <v>928581</v>
      </c>
      <c r="S262">
        <v>159766</v>
      </c>
      <c r="T262">
        <v>67050953</v>
      </c>
      <c r="U262">
        <v>7418076</v>
      </c>
      <c r="V262">
        <v>26180893</v>
      </c>
      <c r="W262">
        <v>24384826</v>
      </c>
      <c r="X262">
        <v>0</v>
      </c>
      <c r="Y262">
        <v>12646932</v>
      </c>
      <c r="Z262">
        <v>1059553</v>
      </c>
      <c r="AA262">
        <v>16469033</v>
      </c>
      <c r="AB262">
        <v>962600</v>
      </c>
      <c r="AC262">
        <v>2063877</v>
      </c>
      <c r="AD262">
        <v>1578931</v>
      </c>
      <c r="AE262">
        <v>3699695</v>
      </c>
      <c r="AF262">
        <v>14801141</v>
      </c>
      <c r="AG262">
        <v>4758899</v>
      </c>
      <c r="AH262">
        <v>1493729</v>
      </c>
      <c r="AI262">
        <v>14174733</v>
      </c>
      <c r="AJ262">
        <v>3596240</v>
      </c>
      <c r="AK262">
        <v>901787</v>
      </c>
      <c r="AL262">
        <v>0</v>
      </c>
      <c r="AM262">
        <v>10746640</v>
      </c>
      <c r="AN262">
        <v>587089</v>
      </c>
      <c r="AO262">
        <v>775224</v>
      </c>
      <c r="AP262">
        <v>73889</v>
      </c>
      <c r="AQ262">
        <v>4385429</v>
      </c>
      <c r="AR262">
        <v>5773895</v>
      </c>
      <c r="AS262">
        <v>512068</v>
      </c>
      <c r="AT262">
        <v>1514039</v>
      </c>
      <c r="AU262">
        <v>209392</v>
      </c>
      <c r="AV262">
        <v>20590034</v>
      </c>
      <c r="AW262">
        <v>3612621</v>
      </c>
      <c r="AX262">
        <v>910966</v>
      </c>
      <c r="AY262">
        <v>9066847</v>
      </c>
      <c r="AZ262">
        <v>2322404</v>
      </c>
      <c r="BA262">
        <v>995745</v>
      </c>
      <c r="BB262">
        <v>127262</v>
      </c>
      <c r="BC262">
        <v>479232</v>
      </c>
      <c r="BD262">
        <v>7780218</v>
      </c>
      <c r="BE262">
        <v>657864</v>
      </c>
      <c r="BF262">
        <v>842841</v>
      </c>
      <c r="BG262">
        <v>231347</v>
      </c>
      <c r="BH262">
        <v>298022</v>
      </c>
      <c r="BI262">
        <v>445598</v>
      </c>
      <c r="BJ262">
        <v>303392</v>
      </c>
      <c r="BK262">
        <v>2038774</v>
      </c>
      <c r="BL262">
        <v>465100</v>
      </c>
      <c r="BM262">
        <v>263686</v>
      </c>
      <c r="BN262">
        <v>2776929</v>
      </c>
      <c r="BO262">
        <v>1376898</v>
      </c>
      <c r="BP262">
        <v>2066433</v>
      </c>
      <c r="BQ262">
        <v>12164112</v>
      </c>
      <c r="BR262">
        <v>414397</v>
      </c>
      <c r="BS262">
        <v>20603173</v>
      </c>
      <c r="BT262">
        <v>602245</v>
      </c>
      <c r="BU262">
        <v>6039201</v>
      </c>
      <c r="BV262">
        <v>2429602</v>
      </c>
      <c r="BW262">
        <v>1228235</v>
      </c>
      <c r="BX262">
        <v>1953461</v>
      </c>
      <c r="BY262">
        <v>217016</v>
      </c>
      <c r="BZ262">
        <v>323223</v>
      </c>
      <c r="CA262">
        <v>162530</v>
      </c>
      <c r="CB262">
        <v>128142</v>
      </c>
      <c r="CC262">
        <v>0</v>
      </c>
      <c r="CD262">
        <v>391754</v>
      </c>
    </row>
    <row r="263" spans="1:82" x14ac:dyDescent="0.3">
      <c r="A263">
        <v>9006</v>
      </c>
      <c r="B263" t="s">
        <v>963</v>
      </c>
      <c r="C263" t="s">
        <v>964</v>
      </c>
      <c r="D263">
        <v>352050</v>
      </c>
      <c r="E263">
        <v>60248</v>
      </c>
      <c r="F263">
        <v>925943</v>
      </c>
      <c r="G263">
        <v>1928778</v>
      </c>
      <c r="H263">
        <v>1733358</v>
      </c>
      <c r="I263">
        <v>4783995</v>
      </c>
      <c r="J263">
        <v>102981</v>
      </c>
      <c r="K263">
        <v>322463</v>
      </c>
      <c r="L263">
        <v>401995</v>
      </c>
      <c r="M263">
        <v>15551714</v>
      </c>
      <c r="N263">
        <v>557395</v>
      </c>
      <c r="O263">
        <v>5499632</v>
      </c>
      <c r="P263">
        <v>86501</v>
      </c>
      <c r="Q263">
        <v>54801457</v>
      </c>
      <c r="R263">
        <v>1618844</v>
      </c>
      <c r="S263">
        <v>41956</v>
      </c>
      <c r="T263">
        <v>83520461</v>
      </c>
      <c r="U263">
        <v>21726788</v>
      </c>
      <c r="V263">
        <v>21286999</v>
      </c>
      <c r="W263">
        <v>42577750</v>
      </c>
      <c r="X263">
        <v>0</v>
      </c>
      <c r="Y263">
        <v>14110619</v>
      </c>
      <c r="Z263">
        <v>1761432</v>
      </c>
      <c r="AA263">
        <v>16041183</v>
      </c>
      <c r="AB263">
        <v>5383389</v>
      </c>
      <c r="AC263">
        <v>2775575</v>
      </c>
      <c r="AD263">
        <v>1985592</v>
      </c>
      <c r="AE263">
        <v>2863183</v>
      </c>
      <c r="AF263">
        <v>23134668</v>
      </c>
      <c r="AG263">
        <v>7377442</v>
      </c>
      <c r="AH263">
        <v>811685</v>
      </c>
      <c r="AI263">
        <v>36200226</v>
      </c>
      <c r="AJ263">
        <v>588086</v>
      </c>
      <c r="AK263">
        <v>1112713</v>
      </c>
      <c r="AL263">
        <v>0</v>
      </c>
      <c r="AM263">
        <v>15172696</v>
      </c>
      <c r="AN263">
        <v>615375</v>
      </c>
      <c r="AO263">
        <v>754688</v>
      </c>
      <c r="AP263">
        <v>37303</v>
      </c>
      <c r="AQ263">
        <v>5699029</v>
      </c>
      <c r="AR263">
        <v>8040181</v>
      </c>
      <c r="AS263">
        <v>774275</v>
      </c>
      <c r="AT263">
        <v>3098544</v>
      </c>
      <c r="AU263">
        <v>178903</v>
      </c>
      <c r="AV263">
        <v>13770447</v>
      </c>
      <c r="AW263">
        <v>2155580</v>
      </c>
      <c r="AX263">
        <v>2031654</v>
      </c>
      <c r="AY263">
        <v>22750637</v>
      </c>
      <c r="AZ263">
        <v>1013128</v>
      </c>
      <c r="BA263">
        <v>1151509</v>
      </c>
      <c r="BB263">
        <v>30895</v>
      </c>
      <c r="BC263">
        <v>238510</v>
      </c>
      <c r="BD263">
        <v>8920042</v>
      </c>
      <c r="BE263">
        <v>99236</v>
      </c>
      <c r="BF263">
        <v>473708</v>
      </c>
      <c r="BG263">
        <v>147164</v>
      </c>
      <c r="BH263">
        <v>120718</v>
      </c>
      <c r="BI263">
        <v>276139</v>
      </c>
      <c r="BJ263">
        <v>146282</v>
      </c>
      <c r="BK263">
        <v>3775473</v>
      </c>
      <c r="BL263">
        <v>703044</v>
      </c>
      <c r="BM263">
        <v>2178621</v>
      </c>
      <c r="BN263">
        <v>4809613</v>
      </c>
      <c r="BO263">
        <v>1211809</v>
      </c>
      <c r="BP263">
        <v>1914656</v>
      </c>
      <c r="BQ263">
        <v>21143506</v>
      </c>
      <c r="BR263">
        <v>1240243</v>
      </c>
      <c r="BS263">
        <v>13489984</v>
      </c>
      <c r="BT263">
        <v>848867</v>
      </c>
      <c r="BU263">
        <v>6075490</v>
      </c>
      <c r="BV263">
        <v>623163</v>
      </c>
      <c r="BW263">
        <v>2078201</v>
      </c>
      <c r="BX263">
        <v>802239</v>
      </c>
      <c r="BY263">
        <v>66600</v>
      </c>
      <c r="BZ263">
        <v>231629</v>
      </c>
      <c r="CA263">
        <v>131238</v>
      </c>
      <c r="CB263">
        <v>1238092</v>
      </c>
      <c r="CC263">
        <v>0</v>
      </c>
      <c r="CD263">
        <v>66708</v>
      </c>
    </row>
    <row r="264" spans="1:82" x14ac:dyDescent="0.3">
      <c r="A264">
        <v>9007</v>
      </c>
      <c r="B264" t="s">
        <v>1531</v>
      </c>
      <c r="C264" t="s">
        <v>965</v>
      </c>
      <c r="D264">
        <v>0.2349</v>
      </c>
      <c r="E264">
        <v>2.5628000000000002</v>
      </c>
      <c r="F264">
        <v>0.93420000000000003</v>
      </c>
      <c r="G264">
        <v>2.4455</v>
      </c>
      <c r="H264">
        <v>3.7885</v>
      </c>
      <c r="I264">
        <v>1.2135</v>
      </c>
      <c r="J264">
        <v>1.3357000000000001</v>
      </c>
      <c r="K264">
        <v>3.2583000000000002</v>
      </c>
      <c r="L264">
        <v>2.3773</v>
      </c>
      <c r="M264">
        <v>0.56879999999999997</v>
      </c>
      <c r="N264">
        <v>1.3023</v>
      </c>
      <c r="O264">
        <v>1.1452</v>
      </c>
      <c r="P264">
        <v>3.8336000000000001</v>
      </c>
      <c r="Q264">
        <v>0.44440000000000002</v>
      </c>
      <c r="R264">
        <v>0.5736</v>
      </c>
      <c r="S264">
        <v>3.8079000000000001</v>
      </c>
      <c r="T264">
        <v>0.80279999999999996</v>
      </c>
      <c r="U264">
        <v>0.34139999999999998</v>
      </c>
      <c r="V264">
        <v>1.2299</v>
      </c>
      <c r="W264">
        <v>0.57269999999999999</v>
      </c>
      <c r="X264">
        <v>0</v>
      </c>
      <c r="Y264">
        <v>0.89629999999999999</v>
      </c>
      <c r="Z264">
        <v>0.60150000000000003</v>
      </c>
      <c r="AA264">
        <v>1.0266999999999999</v>
      </c>
      <c r="AB264">
        <v>0.17879999999999999</v>
      </c>
      <c r="AC264">
        <v>0.74360000000000004</v>
      </c>
      <c r="AD264">
        <v>0.79520000000000002</v>
      </c>
      <c r="AE264">
        <v>1.2922</v>
      </c>
      <c r="AF264">
        <v>0.63980000000000004</v>
      </c>
      <c r="AG264">
        <v>0.64510000000000001</v>
      </c>
      <c r="AH264">
        <v>1.8403</v>
      </c>
      <c r="AI264">
        <v>0.3916</v>
      </c>
      <c r="AJ264">
        <v>6.1151999999999997</v>
      </c>
      <c r="AK264">
        <v>0.81040000000000001</v>
      </c>
      <c r="AL264">
        <v>0</v>
      </c>
      <c r="AM264">
        <v>0.70830000000000004</v>
      </c>
      <c r="AN264">
        <v>0.95399999999999996</v>
      </c>
      <c r="AO264">
        <v>1.0271999999999999</v>
      </c>
      <c r="AP264">
        <v>1.9807999999999999</v>
      </c>
      <c r="AQ264">
        <v>0.76949999999999996</v>
      </c>
      <c r="AR264">
        <v>0.71809999999999996</v>
      </c>
      <c r="AS264">
        <v>0.66139999999999999</v>
      </c>
      <c r="AT264">
        <v>0.48859999999999998</v>
      </c>
      <c r="AU264">
        <v>1.1704000000000001</v>
      </c>
      <c r="AV264">
        <v>1.4952000000000001</v>
      </c>
      <c r="AW264">
        <v>1.6758999999999999</v>
      </c>
      <c r="AX264">
        <v>0.44840000000000002</v>
      </c>
      <c r="AY264">
        <v>0.39850000000000002</v>
      </c>
      <c r="AZ264">
        <v>2.2923</v>
      </c>
      <c r="BA264">
        <v>0.86470000000000002</v>
      </c>
      <c r="BB264">
        <v>4.1192000000000002</v>
      </c>
      <c r="BC264">
        <v>2.0093000000000001</v>
      </c>
      <c r="BD264">
        <v>0.87219999999999998</v>
      </c>
      <c r="BE264">
        <v>6.6292999999999997</v>
      </c>
      <c r="BF264">
        <v>1.7791999999999999</v>
      </c>
      <c r="BG264">
        <v>1.5720000000000001</v>
      </c>
      <c r="BH264">
        <v>2.4687000000000001</v>
      </c>
      <c r="BI264">
        <v>1.6136999999999999</v>
      </c>
      <c r="BJ264">
        <v>2.0739999999999998</v>
      </c>
      <c r="BK264">
        <v>0.54</v>
      </c>
      <c r="BL264">
        <v>0.66159999999999997</v>
      </c>
      <c r="BM264">
        <v>0.121</v>
      </c>
      <c r="BN264">
        <v>0.57740000000000002</v>
      </c>
      <c r="BO264">
        <v>1.1362000000000001</v>
      </c>
      <c r="BP264">
        <v>1.0792999999999999</v>
      </c>
      <c r="BQ264">
        <v>0.57530000000000003</v>
      </c>
      <c r="BR264">
        <v>0.33410000000000001</v>
      </c>
      <c r="BS264">
        <v>1.5273000000000001</v>
      </c>
      <c r="BT264">
        <v>0.70950000000000002</v>
      </c>
      <c r="BU264">
        <v>0.99399999999999999</v>
      </c>
      <c r="BV264">
        <v>3.8988</v>
      </c>
      <c r="BW264">
        <v>0.59099999999999997</v>
      </c>
      <c r="BX264">
        <v>2.4350000000000001</v>
      </c>
      <c r="BY264">
        <v>3.2585000000000002</v>
      </c>
      <c r="BZ264">
        <v>1.3954</v>
      </c>
      <c r="CA264">
        <v>1.2383999999999999</v>
      </c>
      <c r="CB264">
        <v>0.10349999999999999</v>
      </c>
      <c r="CC264">
        <v>0</v>
      </c>
      <c r="CD264">
        <v>5.8727</v>
      </c>
    </row>
    <row r="265" spans="1:82" x14ac:dyDescent="0.3">
      <c r="A265">
        <v>9008</v>
      </c>
      <c r="B265" t="s">
        <v>966</v>
      </c>
      <c r="C265" t="s">
        <v>349</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row>
    <row r="266" spans="1:82" x14ac:dyDescent="0.3">
      <c r="A266">
        <v>9010</v>
      </c>
      <c r="B266" t="s">
        <v>967</v>
      </c>
      <c r="C266" t="s">
        <v>968</v>
      </c>
      <c r="D266">
        <v>3.32</v>
      </c>
      <c r="E266">
        <v>0</v>
      </c>
      <c r="F266">
        <v>14.84</v>
      </c>
      <c r="G266">
        <v>0</v>
      </c>
      <c r="H266">
        <v>0</v>
      </c>
      <c r="I266">
        <v>0</v>
      </c>
      <c r="J266">
        <v>4.08</v>
      </c>
      <c r="K266">
        <v>0</v>
      </c>
      <c r="L266">
        <v>0</v>
      </c>
      <c r="M266">
        <v>0</v>
      </c>
      <c r="N266">
        <v>0</v>
      </c>
      <c r="O266">
        <v>8.4600000000000009</v>
      </c>
      <c r="P266">
        <v>0</v>
      </c>
      <c r="Q266">
        <v>21.54</v>
      </c>
      <c r="R266">
        <v>20.66</v>
      </c>
      <c r="S266">
        <v>0</v>
      </c>
      <c r="T266">
        <v>3.46</v>
      </c>
      <c r="U266">
        <v>4.45</v>
      </c>
      <c r="V266">
        <v>10.71</v>
      </c>
      <c r="W266">
        <v>0</v>
      </c>
      <c r="X266">
        <v>0</v>
      </c>
      <c r="Y266">
        <v>9.6</v>
      </c>
      <c r="Z266">
        <v>6.72</v>
      </c>
      <c r="AA266">
        <v>22.88</v>
      </c>
      <c r="AB266">
        <v>3</v>
      </c>
      <c r="AC266">
        <v>4.07</v>
      </c>
      <c r="AD266">
        <v>4.32</v>
      </c>
      <c r="AE266">
        <v>13.86</v>
      </c>
      <c r="AF266">
        <v>9.3800000000000008</v>
      </c>
      <c r="AG266">
        <v>3.5</v>
      </c>
      <c r="AH266">
        <v>0</v>
      </c>
      <c r="AI266">
        <v>4.68</v>
      </c>
      <c r="AJ266">
        <v>6.32</v>
      </c>
      <c r="AK266">
        <v>13.01</v>
      </c>
      <c r="AL266">
        <v>0</v>
      </c>
      <c r="AM266">
        <v>2.63</v>
      </c>
      <c r="AN266">
        <v>1.07</v>
      </c>
      <c r="AO266">
        <v>1.1499999999999999</v>
      </c>
      <c r="AP266">
        <v>0</v>
      </c>
      <c r="AQ266">
        <v>0</v>
      </c>
      <c r="AR266">
        <v>16.79</v>
      </c>
      <c r="AS266">
        <v>0</v>
      </c>
      <c r="AT266">
        <v>1.99</v>
      </c>
      <c r="AU266">
        <v>0</v>
      </c>
      <c r="AV266">
        <v>22.72</v>
      </c>
      <c r="AW266">
        <v>0</v>
      </c>
      <c r="AX266">
        <v>7.08</v>
      </c>
      <c r="AY266">
        <v>44.88</v>
      </c>
      <c r="AZ266">
        <v>21.44</v>
      </c>
      <c r="BA266">
        <v>3.39</v>
      </c>
      <c r="BB266">
        <v>0</v>
      </c>
      <c r="BC266">
        <v>9.01</v>
      </c>
      <c r="BD266">
        <v>3.35</v>
      </c>
      <c r="BE266">
        <v>0</v>
      </c>
      <c r="BF266">
        <v>1.1399999999999999</v>
      </c>
      <c r="BG266">
        <v>22.05</v>
      </c>
      <c r="BH266">
        <v>0</v>
      </c>
      <c r="BI266">
        <v>31.97</v>
      </c>
      <c r="BJ266">
        <v>0</v>
      </c>
      <c r="BK266">
        <v>4.8899999999999997</v>
      </c>
      <c r="BL266">
        <v>8</v>
      </c>
      <c r="BM266">
        <v>2.27</v>
      </c>
      <c r="BN266">
        <v>10.5</v>
      </c>
      <c r="BO266">
        <v>4.8099999999999996</v>
      </c>
      <c r="BP266">
        <v>10.96</v>
      </c>
      <c r="BQ266">
        <v>0</v>
      </c>
      <c r="BR266">
        <v>4.84</v>
      </c>
      <c r="BS266">
        <v>0</v>
      </c>
      <c r="BT266">
        <v>7.41</v>
      </c>
      <c r="BU266">
        <v>8.92</v>
      </c>
      <c r="BV266">
        <v>0</v>
      </c>
      <c r="BW266">
        <v>1.77</v>
      </c>
      <c r="BX266">
        <v>86.47</v>
      </c>
      <c r="BY266">
        <v>0.68</v>
      </c>
      <c r="BZ266">
        <v>0.56999999999999995</v>
      </c>
      <c r="CA266">
        <v>3.56</v>
      </c>
      <c r="CB266">
        <v>17.86</v>
      </c>
      <c r="CC266">
        <v>0</v>
      </c>
      <c r="CD266">
        <v>0</v>
      </c>
    </row>
    <row r="267" spans="1:82" x14ac:dyDescent="0.3">
      <c r="A267">
        <v>9011</v>
      </c>
      <c r="B267" t="s">
        <v>1673</v>
      </c>
      <c r="C267" t="s">
        <v>969</v>
      </c>
      <c r="D267">
        <v>-115047</v>
      </c>
      <c r="E267">
        <v>0</v>
      </c>
      <c r="F267">
        <v>62317</v>
      </c>
      <c r="G267">
        <v>0</v>
      </c>
      <c r="H267">
        <v>0</v>
      </c>
      <c r="I267">
        <v>0</v>
      </c>
      <c r="J267">
        <v>-7540</v>
      </c>
      <c r="K267">
        <v>0</v>
      </c>
      <c r="L267">
        <v>0</v>
      </c>
      <c r="M267">
        <v>0</v>
      </c>
      <c r="N267">
        <v>0</v>
      </c>
      <c r="O267">
        <v>1516730</v>
      </c>
      <c r="P267">
        <v>0</v>
      </c>
      <c r="Q267">
        <v>15799430</v>
      </c>
      <c r="R267">
        <v>52363</v>
      </c>
      <c r="S267">
        <v>0</v>
      </c>
      <c r="T267">
        <v>7450457</v>
      </c>
      <c r="U267">
        <v>931313</v>
      </c>
      <c r="V267">
        <v>3227635</v>
      </c>
      <c r="W267">
        <v>0</v>
      </c>
      <c r="X267">
        <v>0</v>
      </c>
      <c r="Y267">
        <v>1554409</v>
      </c>
      <c r="Z267">
        <v>194926</v>
      </c>
      <c r="AA267">
        <v>4767841</v>
      </c>
      <c r="AB267">
        <v>1082134</v>
      </c>
      <c r="AC267">
        <v>199152</v>
      </c>
      <c r="AD267">
        <v>488156</v>
      </c>
      <c r="AE267">
        <v>135076</v>
      </c>
      <c r="AF267">
        <v>738040</v>
      </c>
      <c r="AG267">
        <v>1833434</v>
      </c>
      <c r="AH267">
        <v>0</v>
      </c>
      <c r="AI267">
        <v>2993202</v>
      </c>
      <c r="AJ267">
        <v>69899</v>
      </c>
      <c r="AK267">
        <v>206169</v>
      </c>
      <c r="AL267">
        <v>0</v>
      </c>
      <c r="AM267">
        <v>1793404</v>
      </c>
      <c r="AN267">
        <v>-20472</v>
      </c>
      <c r="AO267">
        <v>31266</v>
      </c>
      <c r="AP267">
        <v>0</v>
      </c>
      <c r="AQ267">
        <v>0</v>
      </c>
      <c r="AR267">
        <v>731601</v>
      </c>
      <c r="AS267">
        <v>0</v>
      </c>
      <c r="AT267">
        <v>617814</v>
      </c>
      <c r="AU267">
        <v>0</v>
      </c>
      <c r="AV267">
        <v>-185790</v>
      </c>
      <c r="AW267">
        <v>0</v>
      </c>
      <c r="AX267">
        <v>172893</v>
      </c>
      <c r="AY267">
        <v>1002513</v>
      </c>
      <c r="AZ267">
        <v>104857</v>
      </c>
      <c r="BA267">
        <v>25379</v>
      </c>
      <c r="BB267">
        <v>0</v>
      </c>
      <c r="BC267">
        <v>-4588</v>
      </c>
      <c r="BD267">
        <v>3278080</v>
      </c>
      <c r="BE267">
        <v>0</v>
      </c>
      <c r="BF267">
        <v>-33474</v>
      </c>
      <c r="BG267">
        <v>22066</v>
      </c>
      <c r="BH267">
        <v>0</v>
      </c>
      <c r="BI267">
        <v>41350</v>
      </c>
      <c r="BJ267">
        <v>0</v>
      </c>
      <c r="BK267">
        <v>11562</v>
      </c>
      <c r="BL267">
        <v>127763</v>
      </c>
      <c r="BM267">
        <v>-281282</v>
      </c>
      <c r="BN267">
        <v>214042</v>
      </c>
      <c r="BO267">
        <v>116373</v>
      </c>
      <c r="BP267">
        <v>139254</v>
      </c>
      <c r="BQ267">
        <v>0</v>
      </c>
      <c r="BR267">
        <v>139122</v>
      </c>
      <c r="BS267">
        <v>0</v>
      </c>
      <c r="BT267">
        <v>26010</v>
      </c>
      <c r="BU267">
        <v>2278576</v>
      </c>
      <c r="BV267">
        <v>0</v>
      </c>
      <c r="BW267">
        <v>73707</v>
      </c>
      <c r="BX267">
        <v>118860</v>
      </c>
      <c r="BY267">
        <v>107</v>
      </c>
      <c r="BZ267">
        <v>40275</v>
      </c>
      <c r="CA267">
        <v>16346</v>
      </c>
      <c r="CB267">
        <v>174558</v>
      </c>
      <c r="CC267">
        <v>0</v>
      </c>
      <c r="CD267">
        <v>8154</v>
      </c>
    </row>
    <row r="268" spans="1:82" x14ac:dyDescent="0.3">
      <c r="A268">
        <v>9012</v>
      </c>
      <c r="B268" t="s">
        <v>1674</v>
      </c>
      <c r="C268" t="s">
        <v>969</v>
      </c>
      <c r="D268">
        <v>0.17430000000000001</v>
      </c>
      <c r="E268">
        <v>0</v>
      </c>
      <c r="F268">
        <v>1.3367</v>
      </c>
      <c r="G268">
        <v>0</v>
      </c>
      <c r="H268">
        <v>0</v>
      </c>
      <c r="I268">
        <v>0</v>
      </c>
      <c r="J268">
        <v>0.13350000000000001</v>
      </c>
      <c r="K268">
        <v>0</v>
      </c>
      <c r="L268">
        <v>0</v>
      </c>
      <c r="M268">
        <v>0</v>
      </c>
      <c r="N268">
        <v>0</v>
      </c>
      <c r="O268">
        <v>0.68600000000000005</v>
      </c>
      <c r="P268">
        <v>0</v>
      </c>
      <c r="Q268">
        <v>7.5313999999999997</v>
      </c>
      <c r="R268">
        <v>2.9826999999999999</v>
      </c>
      <c r="S268">
        <v>0</v>
      </c>
      <c r="T268">
        <v>1.0577000000000001</v>
      </c>
      <c r="U268">
        <v>1.0353000000000001</v>
      </c>
      <c r="V268">
        <v>2.3290000000000002</v>
      </c>
      <c r="W268">
        <v>0</v>
      </c>
      <c r="X268">
        <v>0</v>
      </c>
      <c r="Y268">
        <v>1.2055</v>
      </c>
      <c r="Z268">
        <v>1.3451</v>
      </c>
      <c r="AA268">
        <v>2.1435</v>
      </c>
      <c r="AB268">
        <v>0.61919999999999997</v>
      </c>
      <c r="AC268">
        <v>1.1758</v>
      </c>
      <c r="AD268">
        <v>0.78420000000000001</v>
      </c>
      <c r="AE268">
        <v>1.024</v>
      </c>
      <c r="AF268">
        <v>1.1536</v>
      </c>
      <c r="AG268">
        <v>0.25030000000000002</v>
      </c>
      <c r="AH268">
        <v>0</v>
      </c>
      <c r="AI268">
        <v>1.0344</v>
      </c>
      <c r="AJ268">
        <v>1.357</v>
      </c>
      <c r="AK268">
        <v>2.2311999999999999</v>
      </c>
      <c r="AL268">
        <v>0</v>
      </c>
      <c r="AM268">
        <v>0.28320000000000001</v>
      </c>
      <c r="AN268">
        <v>-6.0100000000000001E-2</v>
      </c>
      <c r="AO268">
        <v>6.3E-2</v>
      </c>
      <c r="AP268">
        <v>0</v>
      </c>
      <c r="AQ268">
        <v>0</v>
      </c>
      <c r="AR268">
        <v>2.0823</v>
      </c>
      <c r="AS268">
        <v>0</v>
      </c>
      <c r="AT268">
        <v>0.80210000000000004</v>
      </c>
      <c r="AU268">
        <v>0</v>
      </c>
      <c r="AV268">
        <v>1.7668999999999999</v>
      </c>
      <c r="AW268">
        <v>0</v>
      </c>
      <c r="AX268">
        <v>2.2646999999999999</v>
      </c>
      <c r="AY268">
        <v>5.8742000000000001</v>
      </c>
      <c r="AZ268">
        <v>1.9736</v>
      </c>
      <c r="BA268">
        <v>0.42620000000000002</v>
      </c>
      <c r="BB268">
        <v>0</v>
      </c>
      <c r="BC268">
        <v>0.53910000000000002</v>
      </c>
      <c r="BD268">
        <v>2.1667999999999998</v>
      </c>
      <c r="BE268">
        <v>0</v>
      </c>
      <c r="BF268">
        <v>0.94299999999999995</v>
      </c>
      <c r="BG268">
        <v>1.4863</v>
      </c>
      <c r="BH268">
        <v>0</v>
      </c>
      <c r="BI268">
        <v>2.7029999999999998</v>
      </c>
      <c r="BJ268">
        <v>0</v>
      </c>
      <c r="BK268">
        <v>0.64890000000000003</v>
      </c>
      <c r="BL268">
        <v>1.0134000000000001</v>
      </c>
      <c r="BM268">
        <v>0.3004</v>
      </c>
      <c r="BN268">
        <v>1.3871</v>
      </c>
      <c r="BO268">
        <v>0.8901</v>
      </c>
      <c r="BP268">
        <v>3.5384000000000002</v>
      </c>
      <c r="BQ268">
        <v>0</v>
      </c>
      <c r="BR268">
        <v>1.2216</v>
      </c>
      <c r="BS268">
        <v>0</v>
      </c>
      <c r="BT268">
        <v>1.0242</v>
      </c>
      <c r="BU268">
        <v>1.7448999999999999</v>
      </c>
      <c r="BV268">
        <v>0</v>
      </c>
      <c r="BW268">
        <v>0.20899999999999999</v>
      </c>
      <c r="BX268">
        <v>4.7793000000000001</v>
      </c>
      <c r="BY268">
        <v>9.5600000000000004E-2</v>
      </c>
      <c r="BZ268">
        <v>1.4887999999999999</v>
      </c>
      <c r="CA268">
        <v>0.25929999999999997</v>
      </c>
      <c r="CB268">
        <v>2.1059000000000001</v>
      </c>
      <c r="CC268">
        <v>0</v>
      </c>
      <c r="CD268">
        <v>6.4199999999999993E-2</v>
      </c>
    </row>
    <row r="269" spans="1:82" x14ac:dyDescent="0.3">
      <c r="A269">
        <v>9013</v>
      </c>
      <c r="B269" t="s">
        <v>970</v>
      </c>
      <c r="C269" t="s">
        <v>971</v>
      </c>
      <c r="D269">
        <v>3.32</v>
      </c>
      <c r="E269">
        <v>0</v>
      </c>
      <c r="F269">
        <v>14.84</v>
      </c>
      <c r="G269">
        <v>0</v>
      </c>
      <c r="H269">
        <v>0</v>
      </c>
      <c r="I269">
        <v>0</v>
      </c>
      <c r="J269">
        <v>4.08</v>
      </c>
      <c r="K269">
        <v>0</v>
      </c>
      <c r="L269">
        <v>0</v>
      </c>
      <c r="M269">
        <v>0</v>
      </c>
      <c r="N269">
        <v>0</v>
      </c>
      <c r="O269">
        <v>8.4600000000000009</v>
      </c>
      <c r="P269">
        <v>0</v>
      </c>
      <c r="Q269">
        <v>21.54</v>
      </c>
      <c r="R269">
        <v>20.66</v>
      </c>
      <c r="S269">
        <v>0</v>
      </c>
      <c r="T269">
        <v>3.46</v>
      </c>
      <c r="U269">
        <v>4.45</v>
      </c>
      <c r="V269">
        <v>10.71</v>
      </c>
      <c r="W269">
        <v>0</v>
      </c>
      <c r="X269">
        <v>0</v>
      </c>
      <c r="Y269">
        <v>9.6</v>
      </c>
      <c r="Z269">
        <v>6.72</v>
      </c>
      <c r="AA269">
        <v>22.88</v>
      </c>
      <c r="AB269">
        <v>3</v>
      </c>
      <c r="AC269">
        <v>4.07</v>
      </c>
      <c r="AD269">
        <v>4.32</v>
      </c>
      <c r="AE269">
        <v>13.86</v>
      </c>
      <c r="AF269">
        <v>9.3800000000000008</v>
      </c>
      <c r="AG269">
        <v>3.5</v>
      </c>
      <c r="AH269">
        <v>0</v>
      </c>
      <c r="AI269">
        <v>4.68</v>
      </c>
      <c r="AJ269">
        <v>6.32</v>
      </c>
      <c r="AK269">
        <v>13.01</v>
      </c>
      <c r="AL269">
        <v>0</v>
      </c>
      <c r="AM269">
        <v>2.63</v>
      </c>
      <c r="AN269">
        <v>1.07</v>
      </c>
      <c r="AO269">
        <v>1.1499999999999999</v>
      </c>
      <c r="AP269">
        <v>0</v>
      </c>
      <c r="AQ269">
        <v>0</v>
      </c>
      <c r="AR269">
        <v>16.79</v>
      </c>
      <c r="AS269">
        <v>0</v>
      </c>
      <c r="AT269">
        <v>1.99</v>
      </c>
      <c r="AU269">
        <v>0</v>
      </c>
      <c r="AV269">
        <v>22.72</v>
      </c>
      <c r="AW269">
        <v>0</v>
      </c>
      <c r="AX269">
        <v>7.08</v>
      </c>
      <c r="AY269">
        <v>44.88</v>
      </c>
      <c r="AZ269">
        <v>21.44</v>
      </c>
      <c r="BA269">
        <v>3.39</v>
      </c>
      <c r="BB269">
        <v>0</v>
      </c>
      <c r="BC269">
        <v>9.01</v>
      </c>
      <c r="BD269">
        <v>3.35</v>
      </c>
      <c r="BE269">
        <v>0</v>
      </c>
      <c r="BF269">
        <v>1.1399999999999999</v>
      </c>
      <c r="BG269">
        <v>22.05</v>
      </c>
      <c r="BH269">
        <v>0</v>
      </c>
      <c r="BI269">
        <v>31.97</v>
      </c>
      <c r="BJ269">
        <v>0</v>
      </c>
      <c r="BK269">
        <v>4.8899999999999997</v>
      </c>
      <c r="BL269">
        <v>8</v>
      </c>
      <c r="BM269">
        <v>2.27</v>
      </c>
      <c r="BN269">
        <v>10.5</v>
      </c>
      <c r="BO269">
        <v>4.8099999999999996</v>
      </c>
      <c r="BP269">
        <v>10.96</v>
      </c>
      <c r="BQ269">
        <v>0</v>
      </c>
      <c r="BR269">
        <v>4.84</v>
      </c>
      <c r="BS269">
        <v>0</v>
      </c>
      <c r="BT269">
        <v>7.41</v>
      </c>
      <c r="BU269">
        <v>8.92</v>
      </c>
      <c r="BV269">
        <v>0</v>
      </c>
      <c r="BW269">
        <v>1.77</v>
      </c>
      <c r="BX269">
        <v>86.47</v>
      </c>
      <c r="BY269">
        <v>0.68</v>
      </c>
      <c r="BZ269">
        <v>0.56999999999999995</v>
      </c>
      <c r="CA269">
        <v>3.56</v>
      </c>
      <c r="CB269">
        <v>17.86</v>
      </c>
      <c r="CC269">
        <v>0</v>
      </c>
      <c r="CD269">
        <v>0</v>
      </c>
    </row>
    <row r="270" spans="1:82" x14ac:dyDescent="0.3">
      <c r="A270">
        <v>9014</v>
      </c>
      <c r="B270" t="s">
        <v>972</v>
      </c>
      <c r="C270" t="s">
        <v>973</v>
      </c>
      <c r="D270">
        <v>0</v>
      </c>
      <c r="E270">
        <v>0</v>
      </c>
      <c r="F270">
        <v>0</v>
      </c>
      <c r="G270">
        <v>0</v>
      </c>
      <c r="H270">
        <v>0</v>
      </c>
      <c r="I270">
        <v>0</v>
      </c>
      <c r="J270">
        <v>0</v>
      </c>
      <c r="K270">
        <v>0</v>
      </c>
      <c r="L270">
        <v>0</v>
      </c>
      <c r="M270">
        <v>0</v>
      </c>
      <c r="N270">
        <v>0</v>
      </c>
      <c r="O270">
        <v>0</v>
      </c>
      <c r="P270">
        <v>0</v>
      </c>
      <c r="Q270">
        <v>13.14</v>
      </c>
      <c r="R270">
        <v>0</v>
      </c>
      <c r="S270">
        <v>0</v>
      </c>
      <c r="T270">
        <v>0</v>
      </c>
      <c r="U270">
        <v>0</v>
      </c>
      <c r="V270">
        <v>8.36</v>
      </c>
      <c r="W270">
        <v>0</v>
      </c>
      <c r="X270">
        <v>0</v>
      </c>
      <c r="Y270">
        <v>0</v>
      </c>
      <c r="Z270">
        <v>0</v>
      </c>
      <c r="AA270">
        <v>0</v>
      </c>
      <c r="AB270">
        <v>0</v>
      </c>
      <c r="AC270">
        <v>0</v>
      </c>
      <c r="AD270">
        <v>0</v>
      </c>
      <c r="AE270">
        <v>0</v>
      </c>
      <c r="AF270">
        <v>0</v>
      </c>
      <c r="AG270">
        <v>0</v>
      </c>
      <c r="AH270">
        <v>0</v>
      </c>
      <c r="AI270">
        <v>2.9</v>
      </c>
      <c r="AJ270">
        <v>0</v>
      </c>
      <c r="AK270">
        <v>0</v>
      </c>
      <c r="AL270">
        <v>0</v>
      </c>
      <c r="AM270">
        <v>6.93</v>
      </c>
      <c r="AN270">
        <v>0</v>
      </c>
      <c r="AO270">
        <v>0</v>
      </c>
      <c r="AP270">
        <v>0</v>
      </c>
      <c r="AQ270">
        <v>0</v>
      </c>
      <c r="AR270">
        <v>0</v>
      </c>
      <c r="AS270">
        <v>0</v>
      </c>
      <c r="AT270">
        <v>0</v>
      </c>
      <c r="AU270">
        <v>11.98</v>
      </c>
      <c r="AV270">
        <v>0</v>
      </c>
      <c r="AW270">
        <v>0</v>
      </c>
      <c r="AX270">
        <v>0</v>
      </c>
      <c r="AY270">
        <v>0</v>
      </c>
      <c r="AZ270">
        <v>0</v>
      </c>
      <c r="BA270">
        <v>0</v>
      </c>
      <c r="BB270">
        <v>0</v>
      </c>
      <c r="BC270">
        <v>0</v>
      </c>
      <c r="BD270">
        <v>0</v>
      </c>
      <c r="BE270">
        <v>0</v>
      </c>
      <c r="BF270">
        <v>0</v>
      </c>
      <c r="BG270">
        <v>0</v>
      </c>
      <c r="BH270">
        <v>0</v>
      </c>
      <c r="BI270">
        <v>0</v>
      </c>
      <c r="BJ270">
        <v>0</v>
      </c>
      <c r="BK270">
        <v>0</v>
      </c>
      <c r="BL270">
        <v>14.93</v>
      </c>
      <c r="BM270">
        <v>0</v>
      </c>
      <c r="BN270">
        <v>0</v>
      </c>
      <c r="BO270">
        <v>0</v>
      </c>
      <c r="BP270">
        <v>0</v>
      </c>
      <c r="BQ270">
        <v>0</v>
      </c>
      <c r="BR270">
        <v>6.63</v>
      </c>
      <c r="BS270">
        <v>5.42</v>
      </c>
      <c r="BT270">
        <v>0</v>
      </c>
      <c r="BU270">
        <v>0</v>
      </c>
      <c r="BV270">
        <v>0</v>
      </c>
      <c r="BW270">
        <v>0</v>
      </c>
      <c r="BX270">
        <v>0</v>
      </c>
      <c r="BY270">
        <v>0</v>
      </c>
      <c r="BZ270">
        <v>0</v>
      </c>
      <c r="CA270">
        <v>0</v>
      </c>
      <c r="CB270">
        <v>0</v>
      </c>
      <c r="CC270">
        <v>0</v>
      </c>
      <c r="CD270">
        <v>0</v>
      </c>
    </row>
    <row r="271" spans="1:82" x14ac:dyDescent="0.3">
      <c r="A271">
        <v>9015</v>
      </c>
      <c r="B271" t="s">
        <v>1675</v>
      </c>
      <c r="C271" t="s">
        <v>349</v>
      </c>
      <c r="D271">
        <v>0</v>
      </c>
      <c r="E271">
        <v>0</v>
      </c>
      <c r="F271">
        <v>0</v>
      </c>
      <c r="G271">
        <v>0</v>
      </c>
      <c r="H271">
        <v>0</v>
      </c>
      <c r="I271">
        <v>0</v>
      </c>
      <c r="J271">
        <v>0</v>
      </c>
      <c r="K271">
        <v>0</v>
      </c>
      <c r="L271">
        <v>0</v>
      </c>
      <c r="M271">
        <v>0</v>
      </c>
      <c r="N271">
        <v>0</v>
      </c>
      <c r="O271">
        <v>0</v>
      </c>
      <c r="P271">
        <v>0</v>
      </c>
      <c r="Q271">
        <v>6126257</v>
      </c>
      <c r="R271">
        <v>0</v>
      </c>
      <c r="S271">
        <v>0</v>
      </c>
      <c r="T271">
        <v>0</v>
      </c>
      <c r="U271">
        <v>0</v>
      </c>
      <c r="V271">
        <v>2489285</v>
      </c>
      <c r="W271">
        <v>0</v>
      </c>
      <c r="X271">
        <v>0</v>
      </c>
      <c r="Y271">
        <v>0</v>
      </c>
      <c r="Z271">
        <v>0</v>
      </c>
      <c r="AA271">
        <v>0</v>
      </c>
      <c r="AB271">
        <v>0</v>
      </c>
      <c r="AC271">
        <v>0</v>
      </c>
      <c r="AD271">
        <v>0</v>
      </c>
      <c r="AE271">
        <v>0</v>
      </c>
      <c r="AF271">
        <v>0</v>
      </c>
      <c r="AG271">
        <v>0</v>
      </c>
      <c r="AH271">
        <v>0</v>
      </c>
      <c r="AI271">
        <v>3021703</v>
      </c>
      <c r="AJ271">
        <v>0</v>
      </c>
      <c r="AK271">
        <v>0</v>
      </c>
      <c r="AL271">
        <v>0</v>
      </c>
      <c r="AM271">
        <v>412260</v>
      </c>
      <c r="AN271">
        <v>0</v>
      </c>
      <c r="AO271">
        <v>0</v>
      </c>
      <c r="AP271">
        <v>0</v>
      </c>
      <c r="AQ271">
        <v>0</v>
      </c>
      <c r="AR271">
        <v>0</v>
      </c>
      <c r="AS271">
        <v>0</v>
      </c>
      <c r="AT271">
        <v>0</v>
      </c>
      <c r="AU271">
        <v>32469</v>
      </c>
      <c r="AV271">
        <v>0</v>
      </c>
      <c r="AW271">
        <v>0</v>
      </c>
      <c r="AX271">
        <v>0</v>
      </c>
      <c r="AY271">
        <v>0</v>
      </c>
      <c r="AZ271">
        <v>0</v>
      </c>
      <c r="BA271">
        <v>0</v>
      </c>
      <c r="BB271">
        <v>0</v>
      </c>
      <c r="BC271">
        <v>0</v>
      </c>
      <c r="BD271">
        <v>0</v>
      </c>
      <c r="BE271">
        <v>0</v>
      </c>
      <c r="BF271">
        <v>0</v>
      </c>
      <c r="BG271">
        <v>0</v>
      </c>
      <c r="BH271">
        <v>0</v>
      </c>
      <c r="BI271">
        <v>0</v>
      </c>
      <c r="BJ271">
        <v>0</v>
      </c>
      <c r="BK271">
        <v>0</v>
      </c>
      <c r="BL271">
        <v>-6275</v>
      </c>
      <c r="BM271">
        <v>0</v>
      </c>
      <c r="BN271">
        <v>0</v>
      </c>
      <c r="BO271">
        <v>0</v>
      </c>
      <c r="BP271">
        <v>0</v>
      </c>
      <c r="BQ271">
        <v>0</v>
      </c>
      <c r="BR271">
        <v>739977</v>
      </c>
      <c r="BS271">
        <v>1486773</v>
      </c>
      <c r="BT271">
        <v>0</v>
      </c>
      <c r="BU271">
        <v>0</v>
      </c>
      <c r="BV271">
        <v>0</v>
      </c>
      <c r="BW271">
        <v>0</v>
      </c>
      <c r="BX271">
        <v>0</v>
      </c>
      <c r="BY271">
        <v>0</v>
      </c>
      <c r="BZ271">
        <v>0</v>
      </c>
      <c r="CA271">
        <v>0</v>
      </c>
      <c r="CB271">
        <v>0</v>
      </c>
      <c r="CC271">
        <v>0</v>
      </c>
      <c r="CD271">
        <v>0</v>
      </c>
    </row>
    <row r="272" spans="1:82" x14ac:dyDescent="0.3">
      <c r="A272">
        <v>9016</v>
      </c>
      <c r="B272" t="s">
        <v>1676</v>
      </c>
      <c r="C272" t="s">
        <v>349</v>
      </c>
      <c r="D272">
        <v>0</v>
      </c>
      <c r="E272">
        <v>0</v>
      </c>
      <c r="F272">
        <v>0</v>
      </c>
      <c r="G272">
        <v>0</v>
      </c>
      <c r="H272">
        <v>0</v>
      </c>
      <c r="I272">
        <v>0</v>
      </c>
      <c r="J272">
        <v>0</v>
      </c>
      <c r="K272">
        <v>0</v>
      </c>
      <c r="L272">
        <v>0</v>
      </c>
      <c r="M272">
        <v>0</v>
      </c>
      <c r="N272">
        <v>0</v>
      </c>
      <c r="O272">
        <v>0</v>
      </c>
      <c r="P272">
        <v>0</v>
      </c>
      <c r="Q272">
        <v>1.5152000000000001</v>
      </c>
      <c r="R272">
        <v>0</v>
      </c>
      <c r="S272">
        <v>0</v>
      </c>
      <c r="T272">
        <v>0</v>
      </c>
      <c r="U272">
        <v>0</v>
      </c>
      <c r="V272">
        <v>0.71289999999999998</v>
      </c>
      <c r="W272">
        <v>0</v>
      </c>
      <c r="X272">
        <v>0</v>
      </c>
      <c r="Y272">
        <v>0</v>
      </c>
      <c r="Z272">
        <v>0</v>
      </c>
      <c r="AA272">
        <v>0</v>
      </c>
      <c r="AB272">
        <v>0</v>
      </c>
      <c r="AC272">
        <v>0</v>
      </c>
      <c r="AD272">
        <v>0</v>
      </c>
      <c r="AE272">
        <v>0</v>
      </c>
      <c r="AF272">
        <v>0</v>
      </c>
      <c r="AG272">
        <v>0</v>
      </c>
      <c r="AH272">
        <v>0</v>
      </c>
      <c r="AI272">
        <v>0.31990000000000002</v>
      </c>
      <c r="AJ272">
        <v>0</v>
      </c>
      <c r="AK272">
        <v>0</v>
      </c>
      <c r="AL272">
        <v>0</v>
      </c>
      <c r="AM272">
        <v>0.65639999999999998</v>
      </c>
      <c r="AN272">
        <v>0</v>
      </c>
      <c r="AO272">
        <v>0</v>
      </c>
      <c r="AP272">
        <v>0</v>
      </c>
      <c r="AQ272">
        <v>0</v>
      </c>
      <c r="AR272">
        <v>0</v>
      </c>
      <c r="AS272">
        <v>0</v>
      </c>
      <c r="AT272">
        <v>0</v>
      </c>
      <c r="AU272">
        <v>1.7685999999999999</v>
      </c>
      <c r="AV272">
        <v>0</v>
      </c>
      <c r="AW272">
        <v>0</v>
      </c>
      <c r="AX272">
        <v>0</v>
      </c>
      <c r="AY272">
        <v>0</v>
      </c>
      <c r="AZ272">
        <v>0</v>
      </c>
      <c r="BA272">
        <v>0</v>
      </c>
      <c r="BB272">
        <v>0</v>
      </c>
      <c r="BC272">
        <v>0</v>
      </c>
      <c r="BD272">
        <v>0</v>
      </c>
      <c r="BE272">
        <v>0</v>
      </c>
      <c r="BF272">
        <v>0</v>
      </c>
      <c r="BG272">
        <v>0</v>
      </c>
      <c r="BH272">
        <v>0</v>
      </c>
      <c r="BI272">
        <v>0</v>
      </c>
      <c r="BJ272">
        <v>0</v>
      </c>
      <c r="BK272">
        <v>0</v>
      </c>
      <c r="BL272">
        <v>1.2805</v>
      </c>
      <c r="BM272">
        <v>0</v>
      </c>
      <c r="BN272">
        <v>0</v>
      </c>
      <c r="BO272">
        <v>0</v>
      </c>
      <c r="BP272">
        <v>0</v>
      </c>
      <c r="BQ272">
        <v>0</v>
      </c>
      <c r="BR272">
        <v>0.84589999999999999</v>
      </c>
      <c r="BS272">
        <v>0.38450000000000001</v>
      </c>
      <c r="BT272">
        <v>0</v>
      </c>
      <c r="BU272">
        <v>0</v>
      </c>
      <c r="BV272">
        <v>0</v>
      </c>
      <c r="BW272">
        <v>0</v>
      </c>
      <c r="BX272">
        <v>0</v>
      </c>
      <c r="BY272">
        <v>0</v>
      </c>
      <c r="BZ272">
        <v>0</v>
      </c>
      <c r="CA272">
        <v>0</v>
      </c>
      <c r="CB272">
        <v>0</v>
      </c>
      <c r="CC272">
        <v>0</v>
      </c>
      <c r="CD272">
        <v>0</v>
      </c>
    </row>
    <row r="273" spans="1:82" x14ac:dyDescent="0.3">
      <c r="A273">
        <v>9017</v>
      </c>
      <c r="B273" t="s">
        <v>974</v>
      </c>
      <c r="C273" t="s">
        <v>975</v>
      </c>
      <c r="D273">
        <v>0</v>
      </c>
      <c r="E273">
        <v>0</v>
      </c>
      <c r="F273">
        <v>0</v>
      </c>
      <c r="G273">
        <v>0</v>
      </c>
      <c r="H273">
        <v>0</v>
      </c>
      <c r="I273">
        <v>0</v>
      </c>
      <c r="J273">
        <v>0</v>
      </c>
      <c r="K273">
        <v>0</v>
      </c>
      <c r="L273">
        <v>0</v>
      </c>
      <c r="M273">
        <v>0</v>
      </c>
      <c r="N273">
        <v>0</v>
      </c>
      <c r="O273">
        <v>0</v>
      </c>
      <c r="P273">
        <v>0</v>
      </c>
      <c r="Q273">
        <v>13.14</v>
      </c>
      <c r="R273">
        <v>0</v>
      </c>
      <c r="S273">
        <v>0</v>
      </c>
      <c r="T273">
        <v>0</v>
      </c>
      <c r="U273">
        <v>0</v>
      </c>
      <c r="V273">
        <v>8.36</v>
      </c>
      <c r="W273">
        <v>0</v>
      </c>
      <c r="X273">
        <v>0</v>
      </c>
      <c r="Y273">
        <v>0</v>
      </c>
      <c r="Z273">
        <v>0</v>
      </c>
      <c r="AA273">
        <v>0</v>
      </c>
      <c r="AB273">
        <v>0</v>
      </c>
      <c r="AC273">
        <v>0</v>
      </c>
      <c r="AD273">
        <v>0</v>
      </c>
      <c r="AE273">
        <v>0</v>
      </c>
      <c r="AF273">
        <v>0</v>
      </c>
      <c r="AG273">
        <v>0</v>
      </c>
      <c r="AH273">
        <v>0</v>
      </c>
      <c r="AI273">
        <v>2.9</v>
      </c>
      <c r="AJ273">
        <v>0</v>
      </c>
      <c r="AK273">
        <v>0</v>
      </c>
      <c r="AL273">
        <v>0</v>
      </c>
      <c r="AM273">
        <v>6.93</v>
      </c>
      <c r="AN273">
        <v>0</v>
      </c>
      <c r="AO273">
        <v>0</v>
      </c>
      <c r="AP273">
        <v>0</v>
      </c>
      <c r="AQ273">
        <v>0</v>
      </c>
      <c r="AR273">
        <v>0</v>
      </c>
      <c r="AS273">
        <v>0</v>
      </c>
      <c r="AT273">
        <v>0</v>
      </c>
      <c r="AU273">
        <v>11.98</v>
      </c>
      <c r="AV273">
        <v>0</v>
      </c>
      <c r="AW273">
        <v>0</v>
      </c>
      <c r="AX273">
        <v>0</v>
      </c>
      <c r="AY273">
        <v>0</v>
      </c>
      <c r="AZ273">
        <v>0</v>
      </c>
      <c r="BA273">
        <v>0</v>
      </c>
      <c r="BB273">
        <v>0</v>
      </c>
      <c r="BC273">
        <v>0</v>
      </c>
      <c r="BD273">
        <v>0</v>
      </c>
      <c r="BE273">
        <v>0</v>
      </c>
      <c r="BF273">
        <v>0</v>
      </c>
      <c r="BG273">
        <v>0</v>
      </c>
      <c r="BH273">
        <v>0</v>
      </c>
      <c r="BI273">
        <v>0</v>
      </c>
      <c r="BJ273">
        <v>0</v>
      </c>
      <c r="BK273">
        <v>0</v>
      </c>
      <c r="BL273">
        <v>14.93</v>
      </c>
      <c r="BM273">
        <v>0</v>
      </c>
      <c r="BN273">
        <v>0</v>
      </c>
      <c r="BO273">
        <v>0</v>
      </c>
      <c r="BP273">
        <v>0</v>
      </c>
      <c r="BQ273">
        <v>0</v>
      </c>
      <c r="BR273">
        <v>6.63</v>
      </c>
      <c r="BS273">
        <v>5.42</v>
      </c>
      <c r="BT273">
        <v>0</v>
      </c>
      <c r="BU273">
        <v>0</v>
      </c>
      <c r="BV273">
        <v>0</v>
      </c>
      <c r="BW273">
        <v>0</v>
      </c>
      <c r="BX273">
        <v>0</v>
      </c>
      <c r="BY273">
        <v>0</v>
      </c>
      <c r="BZ273">
        <v>0</v>
      </c>
      <c r="CA273">
        <v>0</v>
      </c>
      <c r="CB273">
        <v>0</v>
      </c>
      <c r="CC273">
        <v>0</v>
      </c>
      <c r="CD273">
        <v>0</v>
      </c>
    </row>
    <row r="274" spans="1:82" x14ac:dyDescent="0.3">
      <c r="A274">
        <v>9018</v>
      </c>
      <c r="B274" t="s">
        <v>976</v>
      </c>
      <c r="C274" t="s">
        <v>977</v>
      </c>
      <c r="D274">
        <v>45923</v>
      </c>
      <c r="E274">
        <v>22201</v>
      </c>
      <c r="F274">
        <v>119273</v>
      </c>
      <c r="G274">
        <v>308210</v>
      </c>
      <c r="H274">
        <v>42059</v>
      </c>
      <c r="I274">
        <v>60898</v>
      </c>
      <c r="J274">
        <v>377</v>
      </c>
      <c r="K274">
        <v>146585</v>
      </c>
      <c r="L274">
        <v>38980</v>
      </c>
      <c r="M274">
        <v>5392249</v>
      </c>
      <c r="N274">
        <v>38031</v>
      </c>
      <c r="O274">
        <v>270026</v>
      </c>
      <c r="P274">
        <v>780</v>
      </c>
      <c r="Q274">
        <v>8691620</v>
      </c>
      <c r="R274">
        <v>102761</v>
      </c>
      <c r="S274">
        <v>2483</v>
      </c>
      <c r="T274">
        <v>15063266</v>
      </c>
      <c r="U274">
        <v>3401733</v>
      </c>
      <c r="V274">
        <v>5399143</v>
      </c>
      <c r="W274">
        <v>12597200</v>
      </c>
      <c r="X274">
        <v>0</v>
      </c>
      <c r="Y274">
        <v>3631884</v>
      </c>
      <c r="Z274">
        <v>79130</v>
      </c>
      <c r="AA274">
        <v>3994880</v>
      </c>
      <c r="AB274">
        <v>319527</v>
      </c>
      <c r="AC274">
        <v>135801</v>
      </c>
      <c r="AD274">
        <v>62904</v>
      </c>
      <c r="AE274">
        <v>250988</v>
      </c>
      <c r="AF274">
        <v>6172121</v>
      </c>
      <c r="AG274">
        <v>525008</v>
      </c>
      <c r="AH274">
        <v>32041</v>
      </c>
      <c r="AI274">
        <v>13393945</v>
      </c>
      <c r="AJ274">
        <v>10579</v>
      </c>
      <c r="AK274">
        <v>11072</v>
      </c>
      <c r="AL274">
        <v>0</v>
      </c>
      <c r="AM274">
        <v>4395098</v>
      </c>
      <c r="AN274">
        <v>72456</v>
      </c>
      <c r="AO274">
        <v>30964</v>
      </c>
      <c r="AP274">
        <v>0</v>
      </c>
      <c r="AQ274">
        <v>2376576</v>
      </c>
      <c r="AR274">
        <v>160379</v>
      </c>
      <c r="AS274">
        <v>29757</v>
      </c>
      <c r="AT274">
        <v>451223</v>
      </c>
      <c r="AU274">
        <v>7545</v>
      </c>
      <c r="AV274">
        <v>460713</v>
      </c>
      <c r="AW274">
        <v>1136880</v>
      </c>
      <c r="AX274">
        <v>34734</v>
      </c>
      <c r="AY274">
        <v>1520593</v>
      </c>
      <c r="AZ274">
        <v>25965</v>
      </c>
      <c r="BA274">
        <v>41656</v>
      </c>
      <c r="BB274">
        <v>0</v>
      </c>
      <c r="BC274">
        <v>10959</v>
      </c>
      <c r="BD274">
        <v>678173</v>
      </c>
      <c r="BE274">
        <v>30798</v>
      </c>
      <c r="BF274">
        <v>13125</v>
      </c>
      <c r="BG274">
        <v>13182</v>
      </c>
      <c r="BH274">
        <v>780</v>
      </c>
      <c r="BI274">
        <v>2698</v>
      </c>
      <c r="BJ274">
        <v>51967</v>
      </c>
      <c r="BK274">
        <v>1175221</v>
      </c>
      <c r="BL274">
        <v>139858</v>
      </c>
      <c r="BM274">
        <v>123243</v>
      </c>
      <c r="BN274">
        <v>373206</v>
      </c>
      <c r="BO274">
        <v>70887</v>
      </c>
      <c r="BP274">
        <v>31187</v>
      </c>
      <c r="BQ274">
        <v>2034902</v>
      </c>
      <c r="BR274">
        <v>94181</v>
      </c>
      <c r="BS274">
        <v>4667328</v>
      </c>
      <c r="BT274">
        <v>96724</v>
      </c>
      <c r="BU274">
        <v>555102</v>
      </c>
      <c r="BV274">
        <v>42493</v>
      </c>
      <c r="BW274">
        <v>200662</v>
      </c>
      <c r="BX274">
        <v>45071</v>
      </c>
      <c r="BY274">
        <v>1783</v>
      </c>
      <c r="BZ274">
        <v>1250334</v>
      </c>
      <c r="CA274">
        <v>11009</v>
      </c>
      <c r="CB274">
        <v>486306</v>
      </c>
      <c r="CC274">
        <v>0</v>
      </c>
      <c r="CD274">
        <v>24574</v>
      </c>
    </row>
    <row r="275" spans="1:82" x14ac:dyDescent="0.3">
      <c r="A275">
        <v>9019</v>
      </c>
      <c r="B275" t="s">
        <v>978</v>
      </c>
      <c r="C275" t="s">
        <v>979</v>
      </c>
      <c r="D275">
        <v>45923</v>
      </c>
      <c r="E275">
        <v>22201</v>
      </c>
      <c r="F275">
        <v>119273</v>
      </c>
      <c r="G275">
        <v>308210</v>
      </c>
      <c r="H275">
        <v>42059</v>
      </c>
      <c r="I275">
        <v>60898</v>
      </c>
      <c r="J275">
        <v>377</v>
      </c>
      <c r="K275">
        <v>146585</v>
      </c>
      <c r="L275">
        <v>38980</v>
      </c>
      <c r="M275">
        <v>5392249</v>
      </c>
      <c r="N275">
        <v>38031</v>
      </c>
      <c r="O275">
        <v>270026</v>
      </c>
      <c r="P275">
        <v>780</v>
      </c>
      <c r="Q275">
        <v>8691620</v>
      </c>
      <c r="R275">
        <v>102761</v>
      </c>
      <c r="S275">
        <v>2483</v>
      </c>
      <c r="T275">
        <v>15063266</v>
      </c>
      <c r="U275">
        <v>3401733</v>
      </c>
      <c r="V275">
        <v>5399143</v>
      </c>
      <c r="W275">
        <v>12597200</v>
      </c>
      <c r="X275">
        <v>0</v>
      </c>
      <c r="Y275">
        <v>3631884</v>
      </c>
      <c r="Z275">
        <v>79130</v>
      </c>
      <c r="AA275">
        <v>3994880</v>
      </c>
      <c r="AB275">
        <v>319527</v>
      </c>
      <c r="AC275">
        <v>135801</v>
      </c>
      <c r="AD275">
        <v>62904</v>
      </c>
      <c r="AE275">
        <v>250988</v>
      </c>
      <c r="AF275">
        <v>6172121</v>
      </c>
      <c r="AG275">
        <v>525008</v>
      </c>
      <c r="AH275">
        <v>32041</v>
      </c>
      <c r="AI275">
        <v>13393945</v>
      </c>
      <c r="AJ275">
        <v>10579</v>
      </c>
      <c r="AK275">
        <v>11072</v>
      </c>
      <c r="AL275">
        <v>0</v>
      </c>
      <c r="AM275">
        <v>4395098</v>
      </c>
      <c r="AN275">
        <v>72456</v>
      </c>
      <c r="AO275">
        <v>30964</v>
      </c>
      <c r="AP275">
        <v>0</v>
      </c>
      <c r="AQ275">
        <v>2376576</v>
      </c>
      <c r="AR275">
        <v>160379</v>
      </c>
      <c r="AS275">
        <v>29757</v>
      </c>
      <c r="AT275">
        <v>451223</v>
      </c>
      <c r="AU275">
        <v>7545</v>
      </c>
      <c r="AV275">
        <v>460713</v>
      </c>
      <c r="AW275">
        <v>1136880</v>
      </c>
      <c r="AX275">
        <v>34734</v>
      </c>
      <c r="AY275">
        <v>1520593</v>
      </c>
      <c r="AZ275">
        <v>25965</v>
      </c>
      <c r="BA275">
        <v>41656</v>
      </c>
      <c r="BB275">
        <v>0</v>
      </c>
      <c r="BC275">
        <v>10959</v>
      </c>
      <c r="BD275">
        <v>678173</v>
      </c>
      <c r="BE275">
        <v>30798</v>
      </c>
      <c r="BF275">
        <v>13125</v>
      </c>
      <c r="BG275">
        <v>13182</v>
      </c>
      <c r="BH275">
        <v>780</v>
      </c>
      <c r="BI275">
        <v>2698</v>
      </c>
      <c r="BJ275">
        <v>51967</v>
      </c>
      <c r="BK275">
        <v>1175221</v>
      </c>
      <c r="BL275">
        <v>139858</v>
      </c>
      <c r="BM275">
        <v>123243</v>
      </c>
      <c r="BN275">
        <v>373206</v>
      </c>
      <c r="BO275">
        <v>70887</v>
      </c>
      <c r="BP275">
        <v>31187</v>
      </c>
      <c r="BQ275">
        <v>2034902</v>
      </c>
      <c r="BR275">
        <v>94181</v>
      </c>
      <c r="BS275">
        <v>4667328</v>
      </c>
      <c r="BT275">
        <v>96724</v>
      </c>
      <c r="BU275">
        <v>555102</v>
      </c>
      <c r="BV275">
        <v>42493</v>
      </c>
      <c r="BW275">
        <v>200662</v>
      </c>
      <c r="BX275">
        <v>45071</v>
      </c>
      <c r="BY275">
        <v>1783</v>
      </c>
      <c r="BZ275">
        <v>1250334</v>
      </c>
      <c r="CA275">
        <v>11009</v>
      </c>
      <c r="CB275">
        <v>486306</v>
      </c>
      <c r="CC275">
        <v>0</v>
      </c>
      <c r="CD275">
        <v>24574</v>
      </c>
    </row>
    <row r="276" spans="1:82" s="564" customFormat="1" ht="43.2" x14ac:dyDescent="0.3">
      <c r="A276" s="783"/>
      <c r="B276" s="782" t="s">
        <v>1881</v>
      </c>
      <c r="C276" s="922" t="s">
        <v>1679</v>
      </c>
      <c r="D276" s="782">
        <f>(D106+D135-D3-D4-D5-D8+D191)/(D132+D109+D11-D133-D108-D240)</f>
        <v>0.23493253799176253</v>
      </c>
      <c r="E276" s="782">
        <f t="shared" ref="E276:J276" si="0">(E106+E135-E3-E4-E5-E8+E191)/(E132+E109+E11-E133-E108-E240)</f>
        <v>2.6770345712403341</v>
      </c>
      <c r="F276" s="782">
        <f t="shared" si="0"/>
        <v>0.96612789550870148</v>
      </c>
      <c r="G276" s="782">
        <f t="shared" si="0"/>
        <v>2.4502634282977369</v>
      </c>
      <c r="H276" s="782">
        <f t="shared" si="0"/>
        <v>3.7885133942324667</v>
      </c>
      <c r="I276" s="782">
        <f t="shared" si="0"/>
        <v>1.2135246796871653</v>
      </c>
      <c r="J276" s="782">
        <f t="shared" si="0"/>
        <v>1.3357027024402559</v>
      </c>
      <c r="K276" s="782">
        <f>(L106+L135-L3-L4-L5-L8+L191)/(L132+L109+L11-L133-L108-L240)</f>
        <v>2.6308153939327203</v>
      </c>
      <c r="L276" s="782">
        <f t="shared" ref="L276:T276" si="1">(L106+L135-L3-L4-L5-L8+L191)/(L132+L109+L11-L133-L108-L240)</f>
        <v>2.6308153939327203</v>
      </c>
      <c r="M276" s="782">
        <f t="shared" si="1"/>
        <v>0.56878701601636961</v>
      </c>
      <c r="N276" s="782">
        <f t="shared" si="1"/>
        <v>1.3118246924690842</v>
      </c>
      <c r="O276" s="782">
        <f t="shared" si="1"/>
        <v>1.145229899018698</v>
      </c>
      <c r="P276" s="782">
        <f t="shared" si="1"/>
        <v>3.8336088600131792</v>
      </c>
      <c r="Q276" s="782">
        <f t="shared" si="1"/>
        <v>0.44739934625369293</v>
      </c>
      <c r="R276" s="782">
        <f t="shared" si="1"/>
        <v>0.57360746310330091</v>
      </c>
      <c r="S276" s="782">
        <f t="shared" si="1"/>
        <v>3.8079416531604537</v>
      </c>
      <c r="T276" s="782">
        <f t="shared" si="1"/>
        <v>0.80280870336671151</v>
      </c>
      <c r="U276" s="782"/>
      <c r="V276" s="782">
        <f t="shared" ref="V276:AU276" si="2">(V106+V135-V3-V4-V5-V8+V191)/(V132+V109+V11-V133-V108-V240)</f>
        <v>1.2525458153957796</v>
      </c>
      <c r="W276" s="782">
        <f t="shared" si="2"/>
        <v>0.59161561271762586</v>
      </c>
      <c r="X276" s="782" t="e">
        <f t="shared" si="2"/>
        <v>#DIV/0!</v>
      </c>
      <c r="Y276" s="782">
        <f t="shared" si="2"/>
        <v>0.91622704267313992</v>
      </c>
      <c r="Z276" s="782">
        <f t="shared" si="2"/>
        <v>0.622715550477695</v>
      </c>
      <c r="AA276" s="782">
        <f t="shared" si="2"/>
        <v>1.0527765431449261</v>
      </c>
      <c r="AB276" s="782">
        <f t="shared" si="2"/>
        <v>0.17880929652306382</v>
      </c>
      <c r="AC276" s="782">
        <f t="shared" si="2"/>
        <v>0.74358538320888468</v>
      </c>
      <c r="AD276" s="782">
        <f t="shared" si="2"/>
        <v>0.83575548928502996</v>
      </c>
      <c r="AE276" s="782">
        <f t="shared" si="2"/>
        <v>1.3162609698939185</v>
      </c>
      <c r="AF276" s="782">
        <f t="shared" si="2"/>
        <v>0.64049296327752714</v>
      </c>
      <c r="AG276" s="782">
        <f t="shared" si="2"/>
        <v>0.65733445566468851</v>
      </c>
      <c r="AH276" s="782">
        <f t="shared" si="2"/>
        <v>2.012667011603904</v>
      </c>
      <c r="AI276" s="782">
        <f t="shared" si="2"/>
        <v>0.40393289008070887</v>
      </c>
      <c r="AJ276" s="782">
        <f t="shared" si="2"/>
        <v>6.1151600276150084</v>
      </c>
      <c r="AK276" s="782">
        <f t="shared" si="2"/>
        <v>0.83123662287049005</v>
      </c>
      <c r="AL276" s="782" t="e">
        <f t="shared" si="2"/>
        <v>#DIV/0!</v>
      </c>
      <c r="AM276" s="782">
        <f t="shared" si="2"/>
        <v>0.71560283517930023</v>
      </c>
      <c r="AN276" s="782">
        <f t="shared" si="2"/>
        <v>1.056932479994239</v>
      </c>
      <c r="AO276" s="782">
        <f t="shared" si="2"/>
        <v>1.0600875447672105</v>
      </c>
      <c r="AP276" s="782">
        <f t="shared" si="2"/>
        <v>1.9807790258156182</v>
      </c>
      <c r="AQ276" s="782">
        <f t="shared" si="2"/>
        <v>0.77140121128925387</v>
      </c>
      <c r="AR276" s="782">
        <f t="shared" si="2"/>
        <v>0.71812997742215012</v>
      </c>
      <c r="AS276" s="782">
        <f t="shared" si="2"/>
        <v>0.7147385479055498</v>
      </c>
      <c r="AT276" s="782">
        <f t="shared" si="2"/>
        <v>0.50578548232619247</v>
      </c>
      <c r="AU276" s="782">
        <f t="shared" si="2"/>
        <v>1.1717318679596873</v>
      </c>
      <c r="AV276" s="782">
        <f>(AW106+AW135-AW3-AW4-AW5-AW8+AW191)/(AW132+AW109+AW11-AW133-AW108-AW240)</f>
        <v>1.6759391903803154</v>
      </c>
      <c r="AW276" s="782">
        <f t="shared" ref="AW276:BR276" si="3">(AW106+AW135-AW3-AW4-AW5-AW8+AW191)/(AW132+AW109+AW11-AW133-AW108-AW240)</f>
        <v>1.6759391903803154</v>
      </c>
      <c r="AX276" s="782">
        <f t="shared" si="3"/>
        <v>0.46731302933768348</v>
      </c>
      <c r="AY276" s="782">
        <f t="shared" si="3"/>
        <v>0.39853156639086634</v>
      </c>
      <c r="AZ276" s="782">
        <f t="shared" si="3"/>
        <v>2.3926818513374846</v>
      </c>
      <c r="BA276" s="782">
        <f t="shared" si="3"/>
        <v>0.8647305405342034</v>
      </c>
      <c r="BB276" s="782">
        <f t="shared" si="3"/>
        <v>4.1191778604952258</v>
      </c>
      <c r="BC276" s="782">
        <f t="shared" si="3"/>
        <v>2.0092742442664879</v>
      </c>
      <c r="BD276" s="782">
        <f t="shared" si="3"/>
        <v>0.89195955386304537</v>
      </c>
      <c r="BE276" s="782">
        <f t="shared" si="3"/>
        <v>6.6292877584747467</v>
      </c>
      <c r="BF276" s="782">
        <f t="shared" si="3"/>
        <v>1.9848505900333697</v>
      </c>
      <c r="BG276" s="782">
        <f t="shared" si="3"/>
        <v>1.5922571320417083</v>
      </c>
      <c r="BH276" s="782">
        <f t="shared" si="3"/>
        <v>2.4687453403800594</v>
      </c>
      <c r="BI276" s="782">
        <f t="shared" si="3"/>
        <v>1.703962035433086</v>
      </c>
      <c r="BJ276" s="782">
        <f t="shared" si="3"/>
        <v>2.2568436086646035</v>
      </c>
      <c r="BK276" s="782">
        <f t="shared" si="3"/>
        <v>0.55419192497165537</v>
      </c>
      <c r="BL276" s="782">
        <f t="shared" si="3"/>
        <v>0.78757891029288252</v>
      </c>
      <c r="BM276" s="782">
        <f t="shared" si="3"/>
        <v>0.12103344271445102</v>
      </c>
      <c r="BN276" s="782">
        <f t="shared" si="3"/>
        <v>0.58167226778806391</v>
      </c>
      <c r="BO276" s="782">
        <f t="shared" si="3"/>
        <v>1.1384120579748489</v>
      </c>
      <c r="BP276" s="782">
        <f t="shared" si="3"/>
        <v>1.0795564610923909</v>
      </c>
      <c r="BQ276" s="782">
        <f t="shared" si="3"/>
        <v>0.60781009796925145</v>
      </c>
      <c r="BR276" s="782">
        <f t="shared" si="3"/>
        <v>0.33552402528107628</v>
      </c>
      <c r="BS276" s="782">
        <f t="shared" ref="BS276:CD276" si="4">(BS106+BS135-BS3-BS4-BS5-BS8+BS191)/(BS132+BS109+BS11-BS133-BS108-BS240)</f>
        <v>1.5477723361174671</v>
      </c>
      <c r="BT276" s="782">
        <f t="shared" si="4"/>
        <v>0.70946921013539221</v>
      </c>
      <c r="BU276" s="782">
        <f t="shared" si="4"/>
        <v>1.0316537530601377</v>
      </c>
      <c r="BV276" s="782">
        <f t="shared" si="4"/>
        <v>3.8988226194430671</v>
      </c>
      <c r="BW276" s="782">
        <f t="shared" si="4"/>
        <v>0.62576326728582277</v>
      </c>
      <c r="BX276" s="782">
        <f t="shared" si="4"/>
        <v>2.7033481500343202</v>
      </c>
      <c r="BY276" s="782">
        <f t="shared" si="4"/>
        <v>3.4778205128205126</v>
      </c>
      <c r="BZ276" s="782">
        <f t="shared" si="4"/>
        <v>1.4711212860471889</v>
      </c>
      <c r="CA276" s="782">
        <f t="shared" si="4"/>
        <v>1.238437038053003</v>
      </c>
      <c r="CB276" s="782">
        <f t="shared" si="4"/>
        <v>0.10349957838351269</v>
      </c>
      <c r="CC276" s="782" t="e">
        <f t="shared" si="4"/>
        <v>#DIV/0!</v>
      </c>
      <c r="CD276" s="782">
        <f t="shared" si="4"/>
        <v>5.8726689452539427</v>
      </c>
    </row>
    <row r="277" spans="1:82" x14ac:dyDescent="0.3">
      <c r="A277" s="563" t="s">
        <v>1891</v>
      </c>
      <c r="B277" s="564" t="s">
        <v>1890</v>
      </c>
      <c r="C277" s="564"/>
      <c r="D277" s="968">
        <f t="shared" ref="D277:AI277" si="5">1-((D123+D124+D125+D126)/(D115+D116+D117+D118))</f>
        <v>0.59968033399299236</v>
      </c>
      <c r="E277" s="968" t="e">
        <f t="shared" si="5"/>
        <v>#DIV/0!</v>
      </c>
      <c r="F277" s="968">
        <f t="shared" si="5"/>
        <v>0.55382575522145161</v>
      </c>
      <c r="G277" s="968" t="e">
        <f t="shared" si="5"/>
        <v>#DIV/0!</v>
      </c>
      <c r="H277" s="968" t="e">
        <f t="shared" si="5"/>
        <v>#DIV/0!</v>
      </c>
      <c r="I277" s="968" t="e">
        <f t="shared" si="5"/>
        <v>#DIV/0!</v>
      </c>
      <c r="J277" s="968">
        <f t="shared" si="5"/>
        <v>0.67538412628533884</v>
      </c>
      <c r="K277" s="968" t="e">
        <f t="shared" si="5"/>
        <v>#DIV/0!</v>
      </c>
      <c r="L277" s="968" t="e">
        <f t="shared" si="5"/>
        <v>#DIV/0!</v>
      </c>
      <c r="M277" s="968" t="e">
        <f t="shared" si="5"/>
        <v>#DIV/0!</v>
      </c>
      <c r="N277" s="968" t="e">
        <f t="shared" si="5"/>
        <v>#DIV/0!</v>
      </c>
      <c r="O277" s="968">
        <f t="shared" si="5"/>
        <v>0.43876745442268283</v>
      </c>
      <c r="P277" s="968" t="e">
        <f t="shared" si="5"/>
        <v>#DIV/0!</v>
      </c>
      <c r="Q277" s="968">
        <f t="shared" si="5"/>
        <v>0.64553247607523856</v>
      </c>
      <c r="R277" s="968">
        <f t="shared" si="5"/>
        <v>0.33292109520687618</v>
      </c>
      <c r="S277" s="968" t="e">
        <f t="shared" si="5"/>
        <v>#DIV/0!</v>
      </c>
      <c r="T277" s="968">
        <f t="shared" si="5"/>
        <v>0.54390341707971457</v>
      </c>
      <c r="U277" s="968">
        <f t="shared" si="5"/>
        <v>0.61693104266137566</v>
      </c>
      <c r="V277" s="968">
        <f t="shared" si="5"/>
        <v>0.45819371841765788</v>
      </c>
      <c r="W277" s="968" t="e">
        <f t="shared" si="5"/>
        <v>#DIV/0!</v>
      </c>
      <c r="X277" s="968" t="e">
        <f t="shared" si="5"/>
        <v>#DIV/0!</v>
      </c>
      <c r="Y277" s="968">
        <f t="shared" si="5"/>
        <v>0.45022668378945752</v>
      </c>
      <c r="Z277" s="968">
        <f t="shared" si="5"/>
        <v>0.42020178836940048</v>
      </c>
      <c r="AA277" s="968">
        <f t="shared" si="5"/>
        <v>0.43461250553484265</v>
      </c>
      <c r="AB277" s="968">
        <f t="shared" si="5"/>
        <v>0.65622497357389831</v>
      </c>
      <c r="AC277" s="968">
        <f t="shared" si="5"/>
        <v>0.56438668788429747</v>
      </c>
      <c r="AD277" s="968">
        <f t="shared" si="5"/>
        <v>0.52117482737709353</v>
      </c>
      <c r="AE277" s="968">
        <f t="shared" si="5"/>
        <v>0.49417574832503741</v>
      </c>
      <c r="AF277" s="968">
        <f t="shared" si="5"/>
        <v>0.34447645192241338</v>
      </c>
      <c r="AG277" s="968">
        <f t="shared" si="5"/>
        <v>0.52810443895740677</v>
      </c>
      <c r="AH277" s="968" t="e">
        <f t="shared" si="5"/>
        <v>#DIV/0!</v>
      </c>
      <c r="AI277" s="968">
        <f t="shared" si="5"/>
        <v>0.58404590393693268</v>
      </c>
      <c r="AJ277" s="968">
        <f t="shared" ref="AJ277:BR277" si="6">1-((AJ123+AJ124+AJ125+AJ126)/(AJ115+AJ116+AJ117+AJ118))</f>
        <v>0.52480795320531204</v>
      </c>
      <c r="AK277" s="968">
        <f t="shared" si="6"/>
        <v>0.43967880611766141</v>
      </c>
      <c r="AL277" s="968" t="e">
        <f t="shared" si="6"/>
        <v>#DIV/0!</v>
      </c>
      <c r="AM277" s="968">
        <f t="shared" si="6"/>
        <v>0.35809167202269188</v>
      </c>
      <c r="AN277" s="968">
        <f t="shared" si="6"/>
        <v>0.24575005573212283</v>
      </c>
      <c r="AO277" s="968">
        <f t="shared" si="6"/>
        <v>0.5727140191640836</v>
      </c>
      <c r="AP277" s="968" t="e">
        <f t="shared" si="6"/>
        <v>#DIV/0!</v>
      </c>
      <c r="AQ277" s="968" t="e">
        <f t="shared" si="6"/>
        <v>#DIV/0!</v>
      </c>
      <c r="AR277" s="968">
        <f t="shared" si="6"/>
        <v>0.42336825847635351</v>
      </c>
      <c r="AS277" s="968" t="e">
        <f t="shared" si="6"/>
        <v>#DIV/0!</v>
      </c>
      <c r="AT277" s="968">
        <f t="shared" si="6"/>
        <v>0.53611859324821243</v>
      </c>
      <c r="AU277" s="968" t="e">
        <f t="shared" si="6"/>
        <v>#DIV/0!</v>
      </c>
      <c r="AV277" s="968">
        <f t="shared" si="6"/>
        <v>0.64141049200946909</v>
      </c>
      <c r="AW277" s="968" t="e">
        <f t="shared" si="6"/>
        <v>#DIV/0!</v>
      </c>
      <c r="AX277" s="968">
        <f t="shared" si="6"/>
        <v>0.11562225017863148</v>
      </c>
      <c r="AY277" s="968">
        <f t="shared" si="6"/>
        <v>0.57109088273300035</v>
      </c>
      <c r="AZ277" s="968">
        <f t="shared" si="6"/>
        <v>0.50648508442545381</v>
      </c>
      <c r="BA277" s="968">
        <f t="shared" si="6"/>
        <v>0.39898139488202311</v>
      </c>
      <c r="BB277" s="968" t="e">
        <f t="shared" si="6"/>
        <v>#DIV/0!</v>
      </c>
      <c r="BC277" s="968">
        <f t="shared" si="6"/>
        <v>0.51246742343413842</v>
      </c>
      <c r="BD277" s="968">
        <f t="shared" si="6"/>
        <v>0.51668095335459441</v>
      </c>
      <c r="BE277" s="968" t="e">
        <f t="shared" si="6"/>
        <v>#DIV/0!</v>
      </c>
      <c r="BF277" s="968">
        <f t="shared" si="6"/>
        <v>0.6125596812764984</v>
      </c>
      <c r="BG277" s="968">
        <f t="shared" si="6"/>
        <v>0.58613427540659369</v>
      </c>
      <c r="BH277" s="968" t="e">
        <f t="shared" si="6"/>
        <v>#DIV/0!</v>
      </c>
      <c r="BI277" s="968">
        <f t="shared" si="6"/>
        <v>0.59729474500991531</v>
      </c>
      <c r="BJ277" s="968" t="e">
        <f t="shared" si="6"/>
        <v>#DIV/0!</v>
      </c>
      <c r="BK277" s="968">
        <f t="shared" si="6"/>
        <v>0.61412599755697928</v>
      </c>
      <c r="BL277" s="968">
        <f t="shared" si="6"/>
        <v>0.71218914679469214</v>
      </c>
      <c r="BM277" s="968">
        <f t="shared" si="6"/>
        <v>0.33729948550225708</v>
      </c>
      <c r="BN277" s="968">
        <f t="shared" si="6"/>
        <v>0.59210065681514101</v>
      </c>
      <c r="BO277" s="968">
        <f t="shared" si="6"/>
        <v>0.38380101332190464</v>
      </c>
      <c r="BP277" s="968">
        <f t="shared" si="6"/>
        <v>0.28205646748895774</v>
      </c>
      <c r="BQ277" s="968" t="e">
        <f t="shared" si="6"/>
        <v>#DIV/0!</v>
      </c>
      <c r="BR277" s="968">
        <f t="shared" si="6"/>
        <v>0.40055397862355946</v>
      </c>
      <c r="BS277" s="968" t="e">
        <f t="shared" ref="BS277:CD277" si="7">1-((BS123+BS124+BS125+BS126)/(BS115+BS116+BS117+BS118))</f>
        <v>#DIV/0!</v>
      </c>
      <c r="BT277" s="968">
        <f t="shared" si="7"/>
        <v>0.5265564999863388</v>
      </c>
      <c r="BU277" s="968">
        <f t="shared" si="7"/>
        <v>0.44903036975291988</v>
      </c>
      <c r="BV277" s="968" t="e">
        <f t="shared" si="7"/>
        <v>#DIV/0!</v>
      </c>
      <c r="BW277" s="968">
        <f t="shared" si="7"/>
        <v>0.59406165800473887</v>
      </c>
      <c r="BX277" s="968">
        <f t="shared" si="7"/>
        <v>0.56428586656481561</v>
      </c>
      <c r="BY277" s="968">
        <f t="shared" si="7"/>
        <v>0.71413325330132049</v>
      </c>
      <c r="BZ277" s="968">
        <f t="shared" si="7"/>
        <v>0.58520996594665897</v>
      </c>
      <c r="CA277" s="968">
        <f t="shared" si="7"/>
        <v>0.6878807979969801</v>
      </c>
      <c r="CB277" s="968">
        <f t="shared" si="7"/>
        <v>0.45604514428411325</v>
      </c>
      <c r="CC277" s="968" t="e">
        <f t="shared" si="7"/>
        <v>#DIV/0!</v>
      </c>
      <c r="CD277" s="968">
        <f t="shared" si="7"/>
        <v>0.60984404654536495</v>
      </c>
    </row>
    <row r="280" spans="1:82" s="1046" customFormat="1" x14ac:dyDescent="0.3">
      <c r="A280" s="1045"/>
      <c r="D280" s="1047">
        <v>18168187.550000001</v>
      </c>
      <c r="E280" s="1047">
        <v>2809002.62</v>
      </c>
      <c r="F280" s="1047">
        <v>55853251.759999998</v>
      </c>
      <c r="G280" s="1047">
        <v>85504431.549999997</v>
      </c>
      <c r="H280" s="1047">
        <v>74864723.090000004</v>
      </c>
      <c r="I280" s="1047">
        <v>103912442.63</v>
      </c>
      <c r="J280" s="1047">
        <v>12455811.58</v>
      </c>
      <c r="K280" s="1047">
        <v>15380188.539999999</v>
      </c>
      <c r="L280" s="1047">
        <v>11153484.26</v>
      </c>
      <c r="M280" s="1047">
        <v>529955771.00999999</v>
      </c>
      <c r="N280" s="1047">
        <v>12250883.73</v>
      </c>
      <c r="O280" s="1047">
        <v>274275045.80000001</v>
      </c>
      <c r="P280" s="1047">
        <v>3451141.58</v>
      </c>
      <c r="Q280" s="1047">
        <v>3734039608.3099999</v>
      </c>
      <c r="R280" s="1047">
        <v>60679020.689999998</v>
      </c>
      <c r="S280" s="1047">
        <v>2218109</v>
      </c>
      <c r="T280" s="1047">
        <v>3456109189.2399998</v>
      </c>
      <c r="U280" s="1047">
        <v>831618471.94000006</v>
      </c>
      <c r="V280" s="1047">
        <v>1634617002.03</v>
      </c>
      <c r="W280" s="1047">
        <v>1324607048.8399999</v>
      </c>
      <c r="X280" s="1047">
        <v>0.01</v>
      </c>
      <c r="Y280" s="1047">
        <v>709686610.63</v>
      </c>
      <c r="Z280" s="1047">
        <v>108316635.27</v>
      </c>
      <c r="AA280" s="1047">
        <v>774068974.54999995</v>
      </c>
      <c r="AB280" s="1047">
        <v>262644304.75999999</v>
      </c>
      <c r="AC280" s="1047">
        <v>89463860.239999995</v>
      </c>
      <c r="AD280" s="1047">
        <v>90777756.579999998</v>
      </c>
      <c r="AE280" s="1047">
        <v>159722361.63999999</v>
      </c>
      <c r="AF280" s="1047">
        <v>716188094.29999995</v>
      </c>
      <c r="AG280" s="1047">
        <v>196148988.84</v>
      </c>
      <c r="AH280" s="1047">
        <v>30503553.690000001</v>
      </c>
      <c r="AI280" s="1047">
        <v>2342784005.7800002</v>
      </c>
      <c r="AJ280" s="1047">
        <v>59859580.509999998</v>
      </c>
      <c r="AK280" s="1047">
        <v>53508420.799999997</v>
      </c>
      <c r="AL280" s="1047">
        <v>0.01</v>
      </c>
      <c r="AM280" s="1047">
        <v>889317976.67999995</v>
      </c>
      <c r="AN280" s="1047">
        <v>22561337.59</v>
      </c>
      <c r="AO280" s="1047">
        <v>30481210.300000001</v>
      </c>
      <c r="AP280" s="1047">
        <v>1440984</v>
      </c>
      <c r="AQ280" s="1047">
        <v>271242521.61000001</v>
      </c>
      <c r="AR280" s="1047">
        <v>623118034.38</v>
      </c>
      <c r="AS280" s="1047">
        <v>11053771.689999999</v>
      </c>
      <c r="AT280" s="1047">
        <v>164170541.37</v>
      </c>
      <c r="AU280" s="1047">
        <v>12811052.24</v>
      </c>
      <c r="AV280" s="1047">
        <v>1282261031.26</v>
      </c>
      <c r="AW280" s="1047">
        <v>76308332.319999993</v>
      </c>
      <c r="AX280" s="1047">
        <v>133413891.31999999</v>
      </c>
      <c r="AY280" s="1047">
        <v>438138112.94999999</v>
      </c>
      <c r="AZ280" s="1047">
        <v>73101510.629999995</v>
      </c>
      <c r="BA280" s="1047">
        <v>36863891.090000004</v>
      </c>
      <c r="BB280" s="1047">
        <v>1231523</v>
      </c>
      <c r="BC280" s="1047">
        <v>11134262.07</v>
      </c>
      <c r="BD280" s="1047">
        <v>549326513.24000001</v>
      </c>
      <c r="BE280" s="1047">
        <v>6243845</v>
      </c>
      <c r="BF280" s="1047">
        <v>26677612.239999998</v>
      </c>
      <c r="BG280" s="1047">
        <v>29162321.809999999</v>
      </c>
      <c r="BH280" s="1047">
        <v>3474629.19</v>
      </c>
      <c r="BI280" s="1047">
        <v>22663436.449999999</v>
      </c>
      <c r="BJ280" s="1047">
        <v>5266257.66</v>
      </c>
      <c r="BK280" s="1047">
        <v>187515030.99000001</v>
      </c>
      <c r="BL280" s="1047">
        <v>84693507.790000007</v>
      </c>
      <c r="BM280" s="1047">
        <v>123007159.90000001</v>
      </c>
      <c r="BN280" s="1047">
        <v>133018046.84</v>
      </c>
      <c r="BO280" s="1047">
        <v>67067510.909999996</v>
      </c>
      <c r="BP280" s="1047">
        <v>60632308.130000003</v>
      </c>
      <c r="BQ280" s="1047">
        <v>414505509.19</v>
      </c>
      <c r="BR280" s="1047">
        <v>98031432.640000001</v>
      </c>
      <c r="BS280" s="1048">
        <v>693166914.85000002</v>
      </c>
      <c r="BT280" s="1048">
        <v>56120650.990000002</v>
      </c>
      <c r="BU280" s="1048">
        <v>267127497.19999999</v>
      </c>
      <c r="BV280" s="1048">
        <v>40535618.579999998</v>
      </c>
      <c r="BW280" s="1048">
        <v>128461649.14</v>
      </c>
      <c r="BX280" s="1048">
        <v>48835893.109999999</v>
      </c>
      <c r="BY280" s="1048">
        <v>6952322.5099999998</v>
      </c>
      <c r="BZ280" s="1048">
        <v>50952031.630000003</v>
      </c>
      <c r="CA280" s="1048">
        <v>21861023.030000001</v>
      </c>
      <c r="CB280" s="1048">
        <v>67933522.189999998</v>
      </c>
      <c r="CC280" s="1046" t="s">
        <v>2557</v>
      </c>
      <c r="CD280" s="1048">
        <v>7603038.9699999997</v>
      </c>
    </row>
    <row r="281" spans="1:82" x14ac:dyDescent="0.3">
      <c r="V281" s="572"/>
      <c r="Z281" s="572"/>
      <c r="AU281" s="572"/>
      <c r="BS281" s="566"/>
    </row>
    <row r="282" spans="1:82" x14ac:dyDescent="0.3">
      <c r="D282" s="1039">
        <f>D257-D280</f>
        <v>0</v>
      </c>
      <c r="E282" s="1039">
        <f t="shared" ref="E282:BP282" si="8">E257-E280</f>
        <v>0</v>
      </c>
      <c r="F282" s="1039">
        <f t="shared" si="8"/>
        <v>-4.2999982833862305E-3</v>
      </c>
      <c r="G282" s="1039">
        <f t="shared" si="8"/>
        <v>0</v>
      </c>
      <c r="H282" s="1039">
        <f t="shared" si="8"/>
        <v>0</v>
      </c>
      <c r="I282" s="1039">
        <f t="shared" si="8"/>
        <v>0</v>
      </c>
      <c r="J282" s="1039">
        <f t="shared" si="8"/>
        <v>0</v>
      </c>
      <c r="K282" s="1039">
        <f t="shared" si="8"/>
        <v>1.0000001639127731E-3</v>
      </c>
      <c r="L282" s="1039">
        <f t="shared" si="8"/>
        <v>0</v>
      </c>
      <c r="M282" s="1039">
        <f t="shared" si="8"/>
        <v>-4.999995231628418E-3</v>
      </c>
      <c r="N282" s="1039">
        <f t="shared" si="8"/>
        <v>0</v>
      </c>
      <c r="O282" s="1039">
        <f t="shared" si="8"/>
        <v>0</v>
      </c>
      <c r="P282" s="1039">
        <f t="shared" si="8"/>
        <v>0</v>
      </c>
      <c r="Q282" s="1039">
        <f t="shared" si="8"/>
        <v>2.5000572204589844E-3</v>
      </c>
      <c r="R282" s="1039">
        <f t="shared" si="8"/>
        <v>0</v>
      </c>
      <c r="S282" s="1039">
        <f t="shared" si="8"/>
        <v>0</v>
      </c>
      <c r="T282" s="1039">
        <f t="shared" si="8"/>
        <v>0</v>
      </c>
      <c r="U282" s="1039">
        <f t="shared" si="8"/>
        <v>0</v>
      </c>
      <c r="V282" s="1039">
        <f t="shared" si="8"/>
        <v>0</v>
      </c>
      <c r="W282" s="1039">
        <f t="shared" si="8"/>
        <v>0</v>
      </c>
      <c r="X282" s="1049">
        <f t="shared" si="8"/>
        <v>50315</v>
      </c>
      <c r="Y282" s="1039">
        <f t="shared" si="8"/>
        <v>0</v>
      </c>
      <c r="Z282" s="1039">
        <f t="shared" si="8"/>
        <v>0</v>
      </c>
      <c r="AA282" s="1039">
        <f t="shared" si="8"/>
        <v>-4.999995231628418E-3</v>
      </c>
      <c r="AB282" s="1039">
        <f t="shared" si="8"/>
        <v>0</v>
      </c>
      <c r="AC282" s="1039">
        <f t="shared" si="8"/>
        <v>-4.999995231628418E-3</v>
      </c>
      <c r="AD282" s="1039">
        <f t="shared" si="8"/>
        <v>0</v>
      </c>
      <c r="AE282" s="1039">
        <f t="shared" si="8"/>
        <v>0</v>
      </c>
      <c r="AF282" s="1039">
        <f t="shared" si="8"/>
        <v>0</v>
      </c>
      <c r="AG282" s="1039">
        <f t="shared" si="8"/>
        <v>0</v>
      </c>
      <c r="AH282" s="1039">
        <f t="shared" si="8"/>
        <v>0</v>
      </c>
      <c r="AI282" s="1039">
        <f t="shared" si="8"/>
        <v>2.1996498107910156E-3</v>
      </c>
      <c r="AJ282" s="1039">
        <f t="shared" si="8"/>
        <v>0</v>
      </c>
      <c r="AK282" s="1039">
        <f t="shared" si="8"/>
        <v>0</v>
      </c>
      <c r="AL282" s="1049">
        <f t="shared" si="8"/>
        <v>50328</v>
      </c>
      <c r="AM282" s="1039">
        <f t="shared" si="8"/>
        <v>0</v>
      </c>
      <c r="AN282" s="1039">
        <f t="shared" si="8"/>
        <v>0</v>
      </c>
      <c r="AO282" s="1039">
        <f t="shared" si="8"/>
        <v>0</v>
      </c>
      <c r="AP282" s="1039">
        <f t="shared" si="8"/>
        <v>0</v>
      </c>
      <c r="AQ282" s="1039">
        <f t="shared" si="8"/>
        <v>0</v>
      </c>
      <c r="AR282" s="1039">
        <f t="shared" si="8"/>
        <v>0</v>
      </c>
      <c r="AS282" s="1039">
        <f t="shared" si="8"/>
        <v>0</v>
      </c>
      <c r="AT282" s="1039">
        <f t="shared" si="8"/>
        <v>0</v>
      </c>
      <c r="AU282" s="1039">
        <f t="shared" si="8"/>
        <v>0</v>
      </c>
      <c r="AV282" s="1039">
        <f t="shared" si="8"/>
        <v>0</v>
      </c>
      <c r="AW282" s="1039">
        <f t="shared" si="8"/>
        <v>0</v>
      </c>
      <c r="AX282" s="1039">
        <f t="shared" si="8"/>
        <v>0</v>
      </c>
      <c r="AY282" s="1039">
        <f t="shared" si="8"/>
        <v>-3.600001335144043E-3</v>
      </c>
      <c r="AZ282" s="1039">
        <f t="shared" si="8"/>
        <v>0</v>
      </c>
      <c r="BA282" s="1039">
        <f t="shared" si="8"/>
        <v>0</v>
      </c>
      <c r="BB282" s="1039">
        <f t="shared" si="8"/>
        <v>0</v>
      </c>
      <c r="BC282" s="1039">
        <f t="shared" si="8"/>
        <v>2.4999994784593582E-3</v>
      </c>
      <c r="BD282" s="1039">
        <f t="shared" si="8"/>
        <v>0</v>
      </c>
      <c r="BE282" s="1039">
        <f t="shared" si="8"/>
        <v>0</v>
      </c>
      <c r="BF282" s="1039">
        <f t="shared" si="8"/>
        <v>0</v>
      </c>
      <c r="BG282" s="1039">
        <f t="shared" si="8"/>
        <v>0</v>
      </c>
      <c r="BH282" s="1039">
        <f t="shared" si="8"/>
        <v>0</v>
      </c>
      <c r="BI282" s="1039">
        <f t="shared" si="8"/>
        <v>0</v>
      </c>
      <c r="BJ282" s="1039">
        <f t="shared" si="8"/>
        <v>-4.999999888241291E-3</v>
      </c>
      <c r="BK282" s="1039">
        <f t="shared" si="8"/>
        <v>0</v>
      </c>
      <c r="BL282" s="1039">
        <f t="shared" si="8"/>
        <v>0</v>
      </c>
      <c r="BM282" s="1039">
        <f t="shared" si="8"/>
        <v>0</v>
      </c>
      <c r="BN282" s="1039">
        <f t="shared" si="8"/>
        <v>-3.0000060796737671E-3</v>
      </c>
      <c r="BO282" s="1039">
        <f t="shared" si="8"/>
        <v>-1.9999966025352478E-3</v>
      </c>
      <c r="BP282" s="1039">
        <f t="shared" si="8"/>
        <v>0</v>
      </c>
      <c r="BQ282" s="1049">
        <f t="shared" ref="BQ282:CD282" si="9">BQ257-BQ280</f>
        <v>-9.9999904632568359E-3</v>
      </c>
      <c r="BR282" s="1039">
        <f t="shared" si="9"/>
        <v>0</v>
      </c>
      <c r="BS282" s="1039">
        <f t="shared" si="9"/>
        <v>0</v>
      </c>
      <c r="BT282" s="1039">
        <f t="shared" si="9"/>
        <v>0</v>
      </c>
      <c r="BU282" s="1039">
        <f t="shared" si="9"/>
        <v>3.300011157989502E-3</v>
      </c>
      <c r="BV282" s="1039">
        <f t="shared" si="9"/>
        <v>0</v>
      </c>
      <c r="BW282" s="1039">
        <f t="shared" si="9"/>
        <v>0</v>
      </c>
      <c r="BX282" s="1039">
        <f t="shared" si="9"/>
        <v>0</v>
      </c>
      <c r="BY282" s="1039">
        <f t="shared" si="9"/>
        <v>0</v>
      </c>
      <c r="BZ282" s="1039">
        <f t="shared" si="9"/>
        <v>0</v>
      </c>
      <c r="CA282" s="1039">
        <f t="shared" si="9"/>
        <v>0</v>
      </c>
      <c r="CB282" s="1039">
        <f t="shared" si="9"/>
        <v>0</v>
      </c>
      <c r="CC282" s="1039" t="e">
        <f t="shared" si="9"/>
        <v>#VALUE!</v>
      </c>
      <c r="CD282" s="1039">
        <f t="shared" si="9"/>
        <v>0</v>
      </c>
    </row>
    <row r="284" spans="1:82" x14ac:dyDescent="0.3">
      <c r="BQ284" t="s">
        <v>2558</v>
      </c>
    </row>
  </sheetData>
  <sheetProtection algorithmName="SHA-512" hashValue="XUi0oR1LP952xMba8T389n4F4NxyFcbuUYwnHRLtC9ASN9Dvy1R/WH3JURJga/o3i6xlE83gnkyjszfK788JsQ==" saltValue="1yla7OwZXTSVbW2AuZWxi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A14" sqref="A14"/>
    </sheetView>
  </sheetViews>
  <sheetFormatPr defaultColWidth="9.109375" defaultRowHeight="14.4" x14ac:dyDescent="0.3"/>
  <cols>
    <col min="1" max="1" width="28.5546875" style="381" customWidth="1"/>
    <col min="2" max="12" width="9.109375" style="381"/>
    <col min="13" max="13" width="21.6640625" style="381" customWidth="1"/>
    <col min="14" max="14" width="16.88671875" style="381" customWidth="1"/>
    <col min="15" max="16" width="9.109375" style="381"/>
    <col min="17" max="17" width="18.109375" style="381" customWidth="1"/>
    <col min="18" max="18" width="11" style="381" customWidth="1"/>
    <col min="19" max="16384" width="9.109375" style="381"/>
  </cols>
  <sheetData>
    <row r="1" spans="1:20" x14ac:dyDescent="0.3">
      <c r="A1" s="381" t="s">
        <v>798</v>
      </c>
    </row>
    <row r="2" spans="1:20" ht="15" thickBot="1" x14ac:dyDescent="0.35">
      <c r="A2" s="379" t="s">
        <v>820</v>
      </c>
      <c r="B2" s="156">
        <v>50254</v>
      </c>
      <c r="C2" s="377">
        <v>50</v>
      </c>
      <c r="D2" s="50"/>
      <c r="E2" s="50"/>
      <c r="G2" s="381">
        <v>100</v>
      </c>
      <c r="I2" s="381" t="s">
        <v>330</v>
      </c>
    </row>
    <row r="3" spans="1:20" ht="15" customHeight="1" thickBot="1" x14ac:dyDescent="0.35">
      <c r="A3" s="380" t="s">
        <v>821</v>
      </c>
      <c r="B3" s="156">
        <v>50255</v>
      </c>
      <c r="C3" s="377">
        <v>50</v>
      </c>
      <c r="D3" s="49"/>
      <c r="E3" s="50"/>
      <c r="G3" s="381">
        <v>200</v>
      </c>
      <c r="I3" s="381" t="s">
        <v>331</v>
      </c>
      <c r="O3" s="383"/>
      <c r="P3" s="383"/>
      <c r="S3" s="383"/>
      <c r="T3" s="383"/>
    </row>
    <row r="4" spans="1:20" ht="15" customHeight="1" thickBot="1" x14ac:dyDescent="0.35">
      <c r="A4" s="380" t="s">
        <v>1310</v>
      </c>
      <c r="B4" s="156">
        <v>50256</v>
      </c>
      <c r="C4" s="377">
        <v>50</v>
      </c>
      <c r="D4" s="49"/>
      <c r="E4" s="50"/>
      <c r="G4" s="381">
        <v>300</v>
      </c>
      <c r="I4" s="381" t="s">
        <v>332</v>
      </c>
      <c r="O4" s="383"/>
      <c r="P4" s="383"/>
      <c r="S4" s="383"/>
      <c r="T4" s="383"/>
    </row>
    <row r="5" spans="1:20" ht="15" thickBot="1" x14ac:dyDescent="0.35">
      <c r="A5" s="380" t="s">
        <v>1311</v>
      </c>
      <c r="B5" s="156">
        <v>50558</v>
      </c>
      <c r="C5" s="377">
        <v>50</v>
      </c>
      <c r="D5" s="49"/>
      <c r="E5" s="50"/>
      <c r="G5" s="381">
        <v>400</v>
      </c>
      <c r="O5" s="383"/>
      <c r="P5" s="383"/>
      <c r="S5" s="383"/>
      <c r="T5" s="383"/>
    </row>
    <row r="6" spans="1:20" ht="15" thickBot="1" x14ac:dyDescent="0.35">
      <c r="A6" s="380" t="s">
        <v>1312</v>
      </c>
      <c r="B6" s="156">
        <v>50566</v>
      </c>
      <c r="C6" s="377">
        <v>50</v>
      </c>
      <c r="D6" s="49"/>
      <c r="E6" s="50"/>
      <c r="G6" s="381">
        <v>500</v>
      </c>
      <c r="O6" s="383"/>
      <c r="P6" s="383"/>
      <c r="S6" s="383"/>
      <c r="T6" s="383"/>
    </row>
    <row r="7" spans="1:20" ht="15" thickBot="1" x14ac:dyDescent="0.35">
      <c r="A7" s="380" t="s">
        <v>1313</v>
      </c>
      <c r="B7" s="156">
        <v>50562</v>
      </c>
      <c r="C7" s="377">
        <v>50</v>
      </c>
      <c r="D7" s="49"/>
      <c r="E7" s="50"/>
      <c r="O7" s="383"/>
      <c r="P7" s="383"/>
      <c r="S7" s="383"/>
      <c r="T7" s="383"/>
    </row>
    <row r="8" spans="1:20" ht="15" thickBot="1" x14ac:dyDescent="0.35">
      <c r="A8" s="380" t="s">
        <v>516</v>
      </c>
      <c r="B8" s="156">
        <v>50257</v>
      </c>
      <c r="C8" s="377">
        <v>50</v>
      </c>
      <c r="D8" s="49"/>
      <c r="E8" s="50"/>
      <c r="O8" s="383"/>
      <c r="P8" s="383"/>
      <c r="S8" s="383"/>
      <c r="T8" s="383"/>
    </row>
    <row r="9" spans="1:20" ht="15" thickBot="1" x14ac:dyDescent="0.35">
      <c r="A9" s="380" t="s">
        <v>1314</v>
      </c>
      <c r="B9" s="156">
        <v>50555</v>
      </c>
      <c r="C9" s="377">
        <v>50</v>
      </c>
      <c r="D9" s="49"/>
      <c r="E9" s="50"/>
      <c r="O9" s="383"/>
      <c r="P9" s="383"/>
      <c r="S9" s="383"/>
      <c r="T9" s="383"/>
    </row>
    <row r="10" spans="1:20" ht="15" thickBot="1" x14ac:dyDescent="0.35">
      <c r="A10" s="380" t="s">
        <v>1315</v>
      </c>
      <c r="B10" s="156">
        <v>50445</v>
      </c>
      <c r="C10" s="377">
        <v>50</v>
      </c>
      <c r="D10" s="49"/>
      <c r="E10" s="50"/>
      <c r="O10" s="383"/>
      <c r="P10" s="383"/>
      <c r="S10" s="383"/>
      <c r="T10" s="383"/>
    </row>
    <row r="11" spans="1:20" ht="15" thickBot="1" x14ac:dyDescent="0.35">
      <c r="A11" s="380" t="s">
        <v>822</v>
      </c>
      <c r="B11" s="156">
        <v>50452</v>
      </c>
      <c r="C11" s="377">
        <v>50</v>
      </c>
      <c r="D11" s="49"/>
      <c r="E11" s="50"/>
      <c r="O11" s="383"/>
      <c r="P11" s="383"/>
      <c r="S11" s="383"/>
      <c r="T11" s="383"/>
    </row>
    <row r="12" spans="1:20" ht="15" thickBot="1" x14ac:dyDescent="0.35">
      <c r="A12" s="380" t="s">
        <v>1316</v>
      </c>
      <c r="B12" s="156">
        <v>50563</v>
      </c>
      <c r="C12" s="377">
        <v>50</v>
      </c>
      <c r="D12" s="49"/>
      <c r="E12" s="50"/>
      <c r="O12" s="383"/>
      <c r="P12" s="383"/>
      <c r="S12" s="383"/>
      <c r="T12" s="383"/>
    </row>
    <row r="13" spans="1:20" ht="15" thickBot="1" x14ac:dyDescent="0.35">
      <c r="A13" s="380" t="s">
        <v>1317</v>
      </c>
      <c r="B13" s="156">
        <v>50258</v>
      </c>
      <c r="C13" s="377">
        <v>50</v>
      </c>
      <c r="D13" s="49"/>
      <c r="E13" s="50"/>
      <c r="O13" s="383"/>
      <c r="P13" s="383"/>
      <c r="S13" s="383"/>
      <c r="T13" s="383"/>
    </row>
    <row r="14" spans="1:20" ht="15" thickBot="1" x14ac:dyDescent="0.35">
      <c r="A14" s="380" t="s">
        <v>1318</v>
      </c>
      <c r="B14" s="156">
        <v>50523</v>
      </c>
      <c r="C14" s="377">
        <v>50</v>
      </c>
      <c r="D14" s="49"/>
      <c r="E14" s="50"/>
      <c r="O14" s="383"/>
      <c r="P14" s="383"/>
      <c r="S14" s="383"/>
      <c r="T14" s="383"/>
    </row>
    <row r="15" spans="1:20" ht="15" thickBot="1" x14ac:dyDescent="0.35">
      <c r="A15" s="380" t="s">
        <v>1319</v>
      </c>
      <c r="B15" s="156">
        <v>50259</v>
      </c>
      <c r="C15" s="377">
        <v>50</v>
      </c>
      <c r="D15" s="49"/>
      <c r="E15" s="50"/>
      <c r="O15" s="383"/>
      <c r="P15" s="383"/>
      <c r="S15" s="383"/>
      <c r="T15" s="383"/>
    </row>
    <row r="16" spans="1:20" ht="15" thickBot="1" x14ac:dyDescent="0.35">
      <c r="A16" s="380" t="s">
        <v>517</v>
      </c>
      <c r="B16" s="156">
        <v>50260</v>
      </c>
      <c r="C16" s="377">
        <v>50</v>
      </c>
      <c r="D16" s="49"/>
      <c r="E16" s="50"/>
      <c r="O16" s="383"/>
      <c r="P16" s="383"/>
      <c r="S16" s="383"/>
      <c r="T16" s="383"/>
    </row>
    <row r="17" spans="1:20" ht="15" thickBot="1" x14ac:dyDescent="0.35">
      <c r="A17" s="380" t="s">
        <v>1320</v>
      </c>
      <c r="B17" s="156">
        <v>50487</v>
      </c>
      <c r="C17" s="377">
        <v>50</v>
      </c>
      <c r="D17" s="49"/>
      <c r="E17" s="50"/>
      <c r="O17" s="383"/>
      <c r="P17" s="383"/>
      <c r="S17" s="383"/>
      <c r="T17" s="383"/>
    </row>
    <row r="18" spans="1:20" ht="15" thickBot="1" x14ac:dyDescent="0.35">
      <c r="A18" s="380" t="s">
        <v>1321</v>
      </c>
      <c r="B18" s="156">
        <v>50261</v>
      </c>
      <c r="C18" s="377">
        <v>50</v>
      </c>
      <c r="D18" s="49"/>
      <c r="E18" s="50"/>
      <c r="O18" s="383"/>
      <c r="P18" s="383"/>
      <c r="S18" s="383"/>
      <c r="T18" s="383"/>
    </row>
    <row r="19" spans="1:20" ht="15" thickBot="1" x14ac:dyDescent="0.35">
      <c r="A19" s="380" t="s">
        <v>1322</v>
      </c>
      <c r="B19" s="156">
        <v>50262</v>
      </c>
      <c r="C19" s="377">
        <v>50</v>
      </c>
      <c r="D19" s="49"/>
      <c r="E19" s="50"/>
      <c r="O19" s="383"/>
      <c r="P19" s="383"/>
      <c r="S19" s="383"/>
      <c r="T19" s="383"/>
    </row>
    <row r="20" spans="1:20" ht="15" thickBot="1" x14ac:dyDescent="0.35">
      <c r="A20" s="380" t="s">
        <v>1323</v>
      </c>
      <c r="B20" s="156">
        <v>50263</v>
      </c>
      <c r="C20" s="377">
        <v>50</v>
      </c>
      <c r="D20" s="49"/>
      <c r="E20" s="50"/>
      <c r="O20" s="383"/>
      <c r="P20" s="383"/>
      <c r="S20" s="383"/>
      <c r="T20" s="383"/>
    </row>
    <row r="21" spans="1:20" ht="15" thickBot="1" x14ac:dyDescent="0.35">
      <c r="A21" s="380" t="s">
        <v>1324</v>
      </c>
      <c r="B21" s="156">
        <v>50264</v>
      </c>
      <c r="C21" s="377">
        <v>50</v>
      </c>
      <c r="D21" s="49"/>
      <c r="E21" s="50"/>
      <c r="O21" s="383"/>
      <c r="P21" s="383"/>
      <c r="S21" s="383"/>
      <c r="T21" s="383"/>
    </row>
    <row r="22" spans="1:20" ht="15" thickBot="1" x14ac:dyDescent="0.35">
      <c r="A22" s="380" t="s">
        <v>1325</v>
      </c>
      <c r="B22" s="156">
        <v>50265</v>
      </c>
      <c r="C22" s="377">
        <v>50</v>
      </c>
      <c r="D22" s="49"/>
      <c r="E22" s="50"/>
      <c r="O22" s="383"/>
      <c r="P22" s="383"/>
      <c r="S22" s="383"/>
      <c r="T22" s="383"/>
    </row>
    <row r="23" spans="1:20" ht="15" thickBot="1" x14ac:dyDescent="0.35">
      <c r="A23" s="380" t="s">
        <v>1326</v>
      </c>
      <c r="B23" s="156">
        <v>50266</v>
      </c>
      <c r="C23" s="377">
        <v>50</v>
      </c>
      <c r="D23" s="49"/>
      <c r="E23" s="50"/>
      <c r="O23" s="383"/>
      <c r="P23" s="383"/>
      <c r="S23" s="383"/>
      <c r="T23" s="383"/>
    </row>
    <row r="24" spans="1:20" ht="15" thickBot="1" x14ac:dyDescent="0.35">
      <c r="A24" s="380" t="s">
        <v>1327</v>
      </c>
      <c r="B24" s="156">
        <v>50267</v>
      </c>
      <c r="C24" s="377">
        <v>50</v>
      </c>
      <c r="D24" s="49"/>
      <c r="E24" s="50"/>
      <c r="O24" s="383"/>
      <c r="P24" s="383"/>
      <c r="S24" s="383"/>
      <c r="T24" s="383"/>
    </row>
    <row r="25" spans="1:20" ht="15" thickBot="1" x14ac:dyDescent="0.35">
      <c r="A25" s="380" t="s">
        <v>823</v>
      </c>
      <c r="B25" s="156">
        <v>50268</v>
      </c>
      <c r="C25" s="377">
        <v>50</v>
      </c>
      <c r="D25" s="49"/>
      <c r="E25" s="50"/>
      <c r="O25" s="383"/>
      <c r="P25" s="383"/>
      <c r="S25" s="383"/>
      <c r="T25" s="383"/>
    </row>
    <row r="26" spans="1:20" ht="15" thickBot="1" x14ac:dyDescent="0.35">
      <c r="A26" s="380" t="s">
        <v>518</v>
      </c>
      <c r="B26" s="156">
        <v>50269</v>
      </c>
      <c r="C26" s="377">
        <v>50</v>
      </c>
      <c r="D26" s="49"/>
      <c r="E26" s="50"/>
      <c r="O26" s="383"/>
      <c r="P26" s="383"/>
      <c r="S26" s="383"/>
      <c r="T26" s="383"/>
    </row>
    <row r="27" spans="1:20" ht="15" thickBot="1" x14ac:dyDescent="0.35">
      <c r="A27" s="380" t="s">
        <v>1328</v>
      </c>
      <c r="B27" s="156">
        <v>50270</v>
      </c>
      <c r="C27" s="377">
        <v>50</v>
      </c>
      <c r="D27" s="49"/>
      <c r="E27" s="50"/>
      <c r="O27" s="383"/>
      <c r="P27" s="383"/>
      <c r="S27" s="383"/>
      <c r="T27" s="383"/>
    </row>
    <row r="28" spans="1:20" ht="15" thickBot="1" x14ac:dyDescent="0.35">
      <c r="A28" s="380" t="s">
        <v>1329</v>
      </c>
      <c r="B28" s="156">
        <v>50271</v>
      </c>
      <c r="C28" s="377">
        <v>50</v>
      </c>
      <c r="D28" s="49"/>
      <c r="E28" s="50"/>
      <c r="O28" s="383"/>
      <c r="P28" s="383"/>
      <c r="S28" s="383"/>
      <c r="T28" s="383"/>
    </row>
    <row r="29" spans="1:20" ht="15" thickBot="1" x14ac:dyDescent="0.35">
      <c r="A29" s="380" t="s">
        <v>1330</v>
      </c>
      <c r="B29" s="156">
        <v>50272</v>
      </c>
      <c r="C29" s="377">
        <v>50</v>
      </c>
      <c r="D29" s="49"/>
      <c r="E29" s="50"/>
      <c r="O29" s="383"/>
      <c r="P29" s="383"/>
      <c r="S29" s="383"/>
      <c r="T29" s="383"/>
    </row>
    <row r="30" spans="1:20" ht="15" thickBot="1" x14ac:dyDescent="0.35">
      <c r="A30" s="380" t="s">
        <v>1331</v>
      </c>
      <c r="B30" s="156">
        <v>50273</v>
      </c>
      <c r="C30" s="377">
        <v>50</v>
      </c>
      <c r="D30" s="49"/>
      <c r="E30" s="50"/>
      <c r="O30" s="383"/>
      <c r="P30" s="383"/>
      <c r="S30" s="383"/>
      <c r="T30" s="383"/>
    </row>
    <row r="31" spans="1:20" ht="15" thickBot="1" x14ac:dyDescent="0.35">
      <c r="A31" s="380" t="s">
        <v>1332</v>
      </c>
      <c r="B31" s="156">
        <v>50274</v>
      </c>
      <c r="C31" s="377">
        <v>50</v>
      </c>
      <c r="D31" s="49"/>
      <c r="E31" s="50"/>
      <c r="O31" s="383"/>
      <c r="P31" s="383"/>
      <c r="S31" s="383"/>
      <c r="T31" s="383"/>
    </row>
    <row r="32" spans="1:20" ht="15" thickBot="1" x14ac:dyDescent="0.35">
      <c r="A32" s="380" t="s">
        <v>519</v>
      </c>
      <c r="B32" s="156">
        <v>50480</v>
      </c>
      <c r="C32" s="377">
        <v>50</v>
      </c>
      <c r="D32" s="49"/>
      <c r="E32" s="50"/>
      <c r="O32" s="383"/>
      <c r="P32" s="383"/>
      <c r="S32" s="383"/>
      <c r="T32" s="383"/>
    </row>
    <row r="33" spans="1:20" ht="15" thickBot="1" x14ac:dyDescent="0.35">
      <c r="A33" s="380" t="s">
        <v>1333</v>
      </c>
      <c r="B33" s="156">
        <v>50275</v>
      </c>
      <c r="C33" s="377">
        <v>50</v>
      </c>
      <c r="D33" s="49"/>
      <c r="E33" s="50"/>
      <c r="O33" s="383"/>
      <c r="P33" s="383"/>
      <c r="S33" s="383"/>
      <c r="T33" s="383"/>
    </row>
    <row r="34" spans="1:20" ht="15" thickBot="1" x14ac:dyDescent="0.35">
      <c r="A34" s="380" t="s">
        <v>1334</v>
      </c>
      <c r="B34" s="156">
        <v>50277</v>
      </c>
      <c r="C34" s="377">
        <v>50</v>
      </c>
      <c r="D34" s="49"/>
      <c r="E34" s="50"/>
      <c r="O34" s="383"/>
      <c r="P34" s="383"/>
      <c r="S34" s="383"/>
      <c r="T34" s="383"/>
    </row>
    <row r="35" spans="1:20" ht="15" thickBot="1" x14ac:dyDescent="0.35">
      <c r="A35" s="380" t="s">
        <v>1335</v>
      </c>
      <c r="B35" s="156">
        <v>50276</v>
      </c>
      <c r="C35" s="377">
        <v>50</v>
      </c>
      <c r="D35" s="49"/>
      <c r="E35" s="50"/>
      <c r="O35" s="383"/>
      <c r="P35" s="383"/>
      <c r="S35" s="383"/>
      <c r="T35" s="383"/>
    </row>
    <row r="36" spans="1:20" ht="15" thickBot="1" x14ac:dyDescent="0.35">
      <c r="A36" s="380" t="s">
        <v>520</v>
      </c>
      <c r="B36" s="156">
        <v>50278</v>
      </c>
      <c r="C36" s="377">
        <v>50</v>
      </c>
      <c r="D36" s="49"/>
      <c r="E36" s="50"/>
      <c r="O36" s="383"/>
      <c r="P36" s="383"/>
      <c r="S36" s="383"/>
      <c r="T36" s="383"/>
    </row>
    <row r="37" spans="1:20" ht="15" thickBot="1" x14ac:dyDescent="0.35">
      <c r="A37" s="380" t="s">
        <v>1336</v>
      </c>
      <c r="B37" s="156">
        <v>50279</v>
      </c>
      <c r="C37" s="377">
        <v>50</v>
      </c>
      <c r="D37" s="49"/>
      <c r="E37" s="50"/>
      <c r="O37" s="383"/>
      <c r="P37" s="383"/>
      <c r="S37" s="383"/>
      <c r="T37" s="383"/>
    </row>
    <row r="38" spans="1:20" ht="15" thickBot="1" x14ac:dyDescent="0.35">
      <c r="A38" s="380" t="s">
        <v>521</v>
      </c>
      <c r="B38" s="156">
        <v>50280</v>
      </c>
      <c r="C38" s="377">
        <v>50</v>
      </c>
      <c r="D38" s="49"/>
      <c r="E38" s="50"/>
      <c r="O38" s="383"/>
      <c r="P38" s="383"/>
      <c r="S38" s="383"/>
      <c r="T38" s="383"/>
    </row>
    <row r="39" spans="1:20" ht="15" thickBot="1" x14ac:dyDescent="0.35">
      <c r="A39" s="380" t="s">
        <v>522</v>
      </c>
      <c r="B39" s="156">
        <v>50281</v>
      </c>
      <c r="C39" s="377">
        <v>50</v>
      </c>
      <c r="D39" s="49"/>
      <c r="E39" s="50"/>
      <c r="O39" s="383"/>
      <c r="P39" s="383"/>
      <c r="S39" s="383"/>
      <c r="T39" s="383"/>
    </row>
    <row r="40" spans="1:20" ht="15" thickBot="1" x14ac:dyDescent="0.35">
      <c r="A40" s="380" t="s">
        <v>523</v>
      </c>
      <c r="B40" s="156">
        <v>50478</v>
      </c>
      <c r="C40" s="377">
        <v>50</v>
      </c>
      <c r="D40" s="49"/>
      <c r="E40" s="50"/>
      <c r="O40" s="383"/>
      <c r="P40" s="383"/>
      <c r="S40" s="383"/>
      <c r="T40" s="383"/>
    </row>
    <row r="41" spans="1:20" ht="15" thickBot="1" x14ac:dyDescent="0.35">
      <c r="A41" s="380" t="s">
        <v>1337</v>
      </c>
      <c r="B41" s="156">
        <v>50524</v>
      </c>
      <c r="C41" s="377">
        <v>50</v>
      </c>
      <c r="D41" s="49"/>
      <c r="E41" s="50"/>
      <c r="O41" s="383"/>
      <c r="P41" s="383"/>
      <c r="S41" s="383"/>
      <c r="T41" s="383"/>
    </row>
    <row r="42" spans="1:20" ht="15" thickBot="1" x14ac:dyDescent="0.35">
      <c r="A42" s="380" t="s">
        <v>1338</v>
      </c>
      <c r="B42" s="156">
        <v>50282</v>
      </c>
      <c r="C42" s="377">
        <v>50</v>
      </c>
      <c r="D42" s="49"/>
      <c r="E42" s="50"/>
      <c r="O42" s="383"/>
      <c r="P42" s="383"/>
      <c r="S42" s="383"/>
      <c r="T42" s="383"/>
    </row>
    <row r="43" spans="1:20" ht="15" thickBot="1" x14ac:dyDescent="0.35">
      <c r="A43" s="380" t="s">
        <v>1339</v>
      </c>
      <c r="B43" s="156">
        <v>50525</v>
      </c>
      <c r="C43" s="377">
        <v>50</v>
      </c>
      <c r="D43" s="49"/>
      <c r="E43" s="50"/>
      <c r="O43" s="383"/>
      <c r="P43" s="383"/>
      <c r="S43" s="383"/>
      <c r="T43" s="383"/>
    </row>
    <row r="44" spans="1:20" ht="15" thickBot="1" x14ac:dyDescent="0.35">
      <c r="A44" s="380" t="s">
        <v>525</v>
      </c>
      <c r="B44" s="156">
        <v>50283</v>
      </c>
      <c r="C44" s="377">
        <v>50</v>
      </c>
      <c r="D44" s="49"/>
      <c r="E44" s="50"/>
      <c r="O44" s="383"/>
      <c r="P44" s="383"/>
      <c r="S44" s="383"/>
      <c r="T44" s="383"/>
    </row>
    <row r="45" spans="1:20" ht="15" thickBot="1" x14ac:dyDescent="0.35">
      <c r="A45" s="380" t="s">
        <v>526</v>
      </c>
      <c r="B45" s="156">
        <v>50285</v>
      </c>
      <c r="C45" s="377">
        <v>50</v>
      </c>
      <c r="D45" s="49"/>
      <c r="E45" s="50"/>
      <c r="O45" s="383"/>
      <c r="P45" s="383"/>
      <c r="S45" s="383"/>
      <c r="T45" s="383"/>
    </row>
    <row r="46" spans="1:20" ht="15" thickBot="1" x14ac:dyDescent="0.35">
      <c r="A46" s="380" t="s">
        <v>1340</v>
      </c>
      <c r="B46" s="156">
        <v>50553</v>
      </c>
      <c r="C46" s="377">
        <v>50</v>
      </c>
      <c r="D46" s="49"/>
      <c r="E46" s="50"/>
      <c r="O46" s="383"/>
      <c r="P46" s="383"/>
      <c r="S46" s="383"/>
      <c r="T46" s="383"/>
    </row>
    <row r="47" spans="1:20" ht="15" thickBot="1" x14ac:dyDescent="0.35">
      <c r="A47" s="380" t="s">
        <v>1341</v>
      </c>
      <c r="B47" s="156">
        <v>50548</v>
      </c>
      <c r="C47" s="377">
        <v>50</v>
      </c>
      <c r="D47" s="49"/>
      <c r="E47" s="50"/>
      <c r="O47" s="383"/>
      <c r="P47" s="383"/>
      <c r="S47" s="383"/>
      <c r="T47" s="383"/>
    </row>
    <row r="48" spans="1:20" ht="15" thickBot="1" x14ac:dyDescent="0.35">
      <c r="A48" s="380" t="s">
        <v>1342</v>
      </c>
      <c r="B48" s="156">
        <v>50284</v>
      </c>
      <c r="C48" s="377">
        <v>50</v>
      </c>
      <c r="D48" s="49"/>
      <c r="E48" s="50"/>
      <c r="O48" s="383"/>
      <c r="P48" s="383"/>
      <c r="S48" s="383"/>
      <c r="T48" s="383"/>
    </row>
    <row r="49" spans="1:20" ht="15" thickBot="1" x14ac:dyDescent="0.35">
      <c r="A49" s="380" t="s">
        <v>1343</v>
      </c>
      <c r="B49" s="156">
        <v>50286</v>
      </c>
      <c r="C49" s="377">
        <v>50</v>
      </c>
      <c r="D49" s="49"/>
      <c r="E49" s="50"/>
      <c r="O49" s="383"/>
      <c r="P49" s="383"/>
      <c r="S49" s="383"/>
      <c r="T49" s="383"/>
    </row>
    <row r="50" spans="1:20" ht="15" thickBot="1" x14ac:dyDescent="0.35">
      <c r="A50" s="380" t="s">
        <v>1344</v>
      </c>
      <c r="B50" s="156">
        <v>50287</v>
      </c>
      <c r="C50" s="377">
        <v>50</v>
      </c>
      <c r="D50" s="49"/>
      <c r="E50" s="50"/>
      <c r="O50" s="383"/>
      <c r="P50" s="383"/>
      <c r="S50" s="383"/>
      <c r="T50" s="383"/>
    </row>
    <row r="51" spans="1:20" ht="15" thickBot="1" x14ac:dyDescent="0.35">
      <c r="A51" s="380" t="s">
        <v>1345</v>
      </c>
      <c r="B51" s="156">
        <v>50288</v>
      </c>
      <c r="C51" s="377">
        <v>50</v>
      </c>
      <c r="D51" s="49"/>
      <c r="E51" s="50"/>
      <c r="O51" s="383"/>
      <c r="P51" s="383"/>
      <c r="S51" s="383"/>
      <c r="T51" s="383"/>
    </row>
    <row r="52" spans="1:20" ht="15" thickBot="1" x14ac:dyDescent="0.35">
      <c r="A52" s="380" t="s">
        <v>1346</v>
      </c>
      <c r="B52" s="156">
        <v>50290</v>
      </c>
      <c r="C52" s="377">
        <v>50</v>
      </c>
      <c r="D52" s="49"/>
      <c r="E52" s="50"/>
      <c r="O52" s="383"/>
      <c r="P52" s="383"/>
      <c r="S52" s="383"/>
      <c r="T52" s="383"/>
    </row>
    <row r="53" spans="1:20" ht="15" thickBot="1" x14ac:dyDescent="0.35">
      <c r="A53" s="380" t="s">
        <v>1347</v>
      </c>
      <c r="B53" s="156">
        <v>50564</v>
      </c>
      <c r="C53" s="377">
        <v>50</v>
      </c>
      <c r="D53" s="49"/>
      <c r="E53" s="50"/>
      <c r="O53" s="383"/>
      <c r="P53" s="383"/>
      <c r="S53" s="383"/>
      <c r="T53" s="383"/>
    </row>
    <row r="54" spans="1:20" ht="15" thickBot="1" x14ac:dyDescent="0.35">
      <c r="A54" s="380" t="s">
        <v>1348</v>
      </c>
      <c r="B54" s="156">
        <v>50289</v>
      </c>
      <c r="C54" s="377">
        <v>50</v>
      </c>
      <c r="D54" s="49"/>
      <c r="E54" s="50"/>
      <c r="O54" s="383"/>
      <c r="P54" s="383"/>
      <c r="S54" s="383"/>
      <c r="T54" s="383"/>
    </row>
    <row r="55" spans="1:20" ht="15" thickBot="1" x14ac:dyDescent="0.35">
      <c r="A55" s="380" t="s">
        <v>1349</v>
      </c>
      <c r="B55" s="156">
        <v>50291</v>
      </c>
      <c r="C55" s="377">
        <v>50</v>
      </c>
      <c r="D55" s="49"/>
      <c r="E55" s="50"/>
      <c r="O55" s="383"/>
      <c r="P55" s="383"/>
      <c r="S55" s="383"/>
      <c r="T55" s="383"/>
    </row>
    <row r="56" spans="1:20" ht="15" thickBot="1" x14ac:dyDescent="0.35">
      <c r="A56" s="380" t="s">
        <v>1350</v>
      </c>
      <c r="B56" s="156">
        <v>50292</v>
      </c>
      <c r="C56" s="377">
        <v>50</v>
      </c>
      <c r="D56" s="49"/>
      <c r="E56" s="50"/>
      <c r="O56" s="383"/>
      <c r="P56" s="383"/>
      <c r="S56" s="383"/>
      <c r="T56" s="383"/>
    </row>
    <row r="57" spans="1:20" ht="15" thickBot="1" x14ac:dyDescent="0.35">
      <c r="A57" s="380" t="s">
        <v>1351</v>
      </c>
      <c r="B57" s="156">
        <v>50293</v>
      </c>
      <c r="C57" s="377">
        <v>50</v>
      </c>
      <c r="D57" s="49"/>
      <c r="E57" s="50"/>
      <c r="O57" s="383"/>
      <c r="P57" s="383"/>
      <c r="S57" s="383"/>
      <c r="T57" s="383"/>
    </row>
    <row r="58" spans="1:20" ht="15" thickBot="1" x14ac:dyDescent="0.35">
      <c r="A58" s="380" t="s">
        <v>1352</v>
      </c>
      <c r="B58" s="156">
        <v>50463</v>
      </c>
      <c r="C58" s="377">
        <v>50</v>
      </c>
      <c r="D58" s="49"/>
      <c r="E58" s="50"/>
      <c r="O58" s="383"/>
      <c r="P58" s="383"/>
      <c r="S58" s="383"/>
      <c r="T58" s="383"/>
    </row>
    <row r="59" spans="1:20" ht="15" thickBot="1" x14ac:dyDescent="0.35">
      <c r="A59" s="380" t="s">
        <v>1353</v>
      </c>
      <c r="B59" s="156">
        <v>50294</v>
      </c>
      <c r="C59" s="377">
        <v>50</v>
      </c>
      <c r="D59" s="49"/>
      <c r="E59" s="50"/>
      <c r="O59" s="383"/>
      <c r="P59" s="383"/>
      <c r="S59" s="383"/>
      <c r="T59" s="383"/>
    </row>
    <row r="60" spans="1:20" ht="15" thickBot="1" x14ac:dyDescent="0.35">
      <c r="A60" s="380" t="s">
        <v>1354</v>
      </c>
      <c r="B60" s="156">
        <v>50538</v>
      </c>
      <c r="C60" s="377">
        <v>50</v>
      </c>
      <c r="D60" s="49"/>
      <c r="E60" s="50"/>
      <c r="O60" s="383"/>
      <c r="P60" s="383"/>
      <c r="S60" s="383"/>
      <c r="T60" s="383"/>
    </row>
    <row r="61" spans="1:20" ht="15" thickBot="1" x14ac:dyDescent="0.35">
      <c r="A61" s="380" t="s">
        <v>1355</v>
      </c>
      <c r="B61" s="156">
        <v>50295</v>
      </c>
      <c r="C61" s="377">
        <v>50</v>
      </c>
      <c r="D61" s="49"/>
      <c r="E61" s="50"/>
      <c r="O61" s="383"/>
      <c r="P61" s="383"/>
      <c r="S61" s="383"/>
      <c r="T61" s="383"/>
    </row>
    <row r="62" spans="1:20" ht="15" thickBot="1" x14ac:dyDescent="0.35">
      <c r="A62" s="380" t="s">
        <v>528</v>
      </c>
      <c r="B62" s="156">
        <v>50296</v>
      </c>
      <c r="C62" s="377">
        <v>50</v>
      </c>
      <c r="D62" s="49"/>
      <c r="E62" s="50"/>
      <c r="O62" s="383"/>
      <c r="P62" s="383"/>
      <c r="S62" s="383"/>
      <c r="T62" s="383"/>
    </row>
    <row r="63" spans="1:20" ht="15" thickBot="1" x14ac:dyDescent="0.35">
      <c r="A63" s="380" t="s">
        <v>529</v>
      </c>
      <c r="B63" s="156">
        <v>50297</v>
      </c>
      <c r="C63" s="377">
        <v>50</v>
      </c>
      <c r="D63" s="49"/>
      <c r="E63" s="50"/>
      <c r="O63" s="383"/>
      <c r="P63" s="383"/>
      <c r="S63" s="383"/>
      <c r="T63" s="383"/>
    </row>
    <row r="64" spans="1:20" ht="15" thickBot="1" x14ac:dyDescent="0.35">
      <c r="A64" s="380" t="s">
        <v>1356</v>
      </c>
      <c r="B64" s="156">
        <v>50449</v>
      </c>
      <c r="C64" s="377">
        <v>50</v>
      </c>
      <c r="D64" s="49"/>
      <c r="E64" s="50"/>
      <c r="O64" s="383"/>
      <c r="P64" s="383"/>
      <c r="S64" s="383"/>
      <c r="T64" s="383"/>
    </row>
    <row r="65" spans="1:20" ht="15" thickBot="1" x14ac:dyDescent="0.35">
      <c r="A65" s="380" t="s">
        <v>1357</v>
      </c>
      <c r="B65" s="156">
        <v>50300</v>
      </c>
      <c r="C65" s="377">
        <v>50</v>
      </c>
      <c r="D65" s="49"/>
      <c r="E65" s="50"/>
      <c r="O65" s="383"/>
      <c r="P65" s="383"/>
      <c r="S65" s="383"/>
      <c r="T65" s="383"/>
    </row>
    <row r="66" spans="1:20" ht="15" thickBot="1" x14ac:dyDescent="0.35">
      <c r="A66" s="380" t="s">
        <v>1358</v>
      </c>
      <c r="B66" s="156">
        <v>50298</v>
      </c>
      <c r="C66" s="377">
        <v>50</v>
      </c>
      <c r="D66" s="49"/>
      <c r="E66" s="50"/>
      <c r="O66" s="383"/>
      <c r="P66" s="383"/>
      <c r="S66" s="383"/>
      <c r="T66" s="383"/>
    </row>
    <row r="67" spans="1:20" ht="15" thickBot="1" x14ac:dyDescent="0.35">
      <c r="A67" s="380" t="s">
        <v>1359</v>
      </c>
      <c r="B67" s="156">
        <v>50299</v>
      </c>
      <c r="C67" s="377">
        <v>50</v>
      </c>
      <c r="D67" s="49"/>
      <c r="E67" s="50"/>
      <c r="O67" s="383"/>
      <c r="P67" s="383"/>
      <c r="S67" s="383"/>
      <c r="T67" s="383"/>
    </row>
    <row r="68" spans="1:20" ht="15" thickBot="1" x14ac:dyDescent="0.35">
      <c r="A68" s="380" t="s">
        <v>1360</v>
      </c>
      <c r="B68" s="156">
        <v>50301</v>
      </c>
      <c r="C68" s="377">
        <v>50</v>
      </c>
      <c r="D68" s="49"/>
      <c r="E68" s="50"/>
      <c r="O68" s="383"/>
      <c r="P68" s="383"/>
      <c r="S68" s="383"/>
      <c r="T68" s="383"/>
    </row>
    <row r="69" spans="1:20" x14ac:dyDescent="0.3">
      <c r="A69" s="381" t="s">
        <v>1361</v>
      </c>
      <c r="B69" s="381">
        <v>50302</v>
      </c>
      <c r="C69" s="377">
        <v>50</v>
      </c>
    </row>
    <row r="70" spans="1:20" x14ac:dyDescent="0.3">
      <c r="A70" s="381" t="s">
        <v>1362</v>
      </c>
      <c r="B70" s="381">
        <v>50303</v>
      </c>
      <c r="C70" s="377">
        <v>50</v>
      </c>
    </row>
    <row r="71" spans="1:20" x14ac:dyDescent="0.3">
      <c r="A71" s="381" t="s">
        <v>1363</v>
      </c>
      <c r="B71" s="381">
        <v>50304</v>
      </c>
      <c r="C71" s="377">
        <v>50</v>
      </c>
    </row>
    <row r="72" spans="1:20" x14ac:dyDescent="0.3">
      <c r="A72" s="381" t="s">
        <v>1364</v>
      </c>
      <c r="B72" s="381">
        <v>50540</v>
      </c>
      <c r="C72" s="377">
        <v>50</v>
      </c>
    </row>
    <row r="73" spans="1:20" x14ac:dyDescent="0.3">
      <c r="A73" s="381" t="s">
        <v>824</v>
      </c>
      <c r="B73" s="381">
        <v>50305</v>
      </c>
      <c r="C73" s="377">
        <v>50</v>
      </c>
    </row>
    <row r="74" spans="1:20" x14ac:dyDescent="0.3">
      <c r="A74" s="381" t="s">
        <v>1365</v>
      </c>
      <c r="B74" s="381">
        <v>50306</v>
      </c>
      <c r="C74" s="377">
        <v>50</v>
      </c>
    </row>
    <row r="75" spans="1:20" x14ac:dyDescent="0.3">
      <c r="A75" s="381" t="s">
        <v>530</v>
      </c>
      <c r="B75" s="381">
        <v>50479</v>
      </c>
      <c r="C75" s="377">
        <v>50</v>
      </c>
    </row>
    <row r="76" spans="1:20" x14ac:dyDescent="0.3">
      <c r="A76" s="381" t="s">
        <v>531</v>
      </c>
      <c r="B76" s="381">
        <v>50307</v>
      </c>
      <c r="C76" s="377">
        <v>50</v>
      </c>
    </row>
    <row r="77" spans="1:20" x14ac:dyDescent="0.3">
      <c r="A77" s="381" t="s">
        <v>1366</v>
      </c>
      <c r="B77" s="381">
        <v>50308</v>
      </c>
      <c r="C77" s="377">
        <v>50</v>
      </c>
    </row>
    <row r="78" spans="1:20" x14ac:dyDescent="0.3">
      <c r="A78" s="381" t="s">
        <v>1367</v>
      </c>
      <c r="B78" s="381">
        <v>50309</v>
      </c>
      <c r="C78" s="377">
        <v>50</v>
      </c>
    </row>
    <row r="79" spans="1:20" x14ac:dyDescent="0.3">
      <c r="A79" s="381" t="s">
        <v>532</v>
      </c>
      <c r="B79" s="381">
        <v>50310</v>
      </c>
      <c r="C79" s="377">
        <v>50</v>
      </c>
    </row>
    <row r="80" spans="1:20" x14ac:dyDescent="0.3">
      <c r="A80" s="381" t="s">
        <v>533</v>
      </c>
      <c r="B80" s="381">
        <v>50311</v>
      </c>
      <c r="C80" s="377">
        <v>50</v>
      </c>
    </row>
    <row r="81" spans="3:3" x14ac:dyDescent="0.3">
      <c r="C81" s="377"/>
    </row>
    <row r="82" spans="3:3" x14ac:dyDescent="0.3">
      <c r="C82" s="377"/>
    </row>
    <row r="83" spans="3:3" x14ac:dyDescent="0.3">
      <c r="C83" s="377"/>
    </row>
    <row r="84" spans="3:3" x14ac:dyDescent="0.3">
      <c r="C84" s="377"/>
    </row>
    <row r="85" spans="3:3" x14ac:dyDescent="0.3">
      <c r="C85" s="377"/>
    </row>
    <row r="86" spans="3:3" x14ac:dyDescent="0.3">
      <c r="C86" s="377"/>
    </row>
    <row r="87" spans="3:3" x14ac:dyDescent="0.3">
      <c r="C87" s="377"/>
    </row>
    <row r="88" spans="3:3" x14ac:dyDescent="0.3">
      <c r="C88" s="377"/>
    </row>
    <row r="89" spans="3:3" x14ac:dyDescent="0.3">
      <c r="C89" s="377"/>
    </row>
    <row r="90" spans="3:3" x14ac:dyDescent="0.3">
      <c r="C90" s="377"/>
    </row>
    <row r="91" spans="3:3" x14ac:dyDescent="0.3">
      <c r="C91" s="377"/>
    </row>
    <row r="92" spans="3:3" x14ac:dyDescent="0.3">
      <c r="C92" s="377"/>
    </row>
    <row r="93" spans="3:3" x14ac:dyDescent="0.3">
      <c r="C93" s="377"/>
    </row>
    <row r="94" spans="3:3" x14ac:dyDescent="0.3">
      <c r="C94" s="377"/>
    </row>
    <row r="95" spans="3:3" x14ac:dyDescent="0.3">
      <c r="C95" s="377"/>
    </row>
  </sheetData>
  <sheetProtection algorithmName="SHA-512" hashValue="LasiRw7re+oOi5xCg3G60dBIo9fGvdWT9Ba6+1UUM/o1bWaHIugYiPno0iwHSe727Fmml7ZsnsgQXGoNG5yohw==" saltValue="7gVI2dAogvenoNLkNhZoi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Performance  Indicators Print</vt:lpstr>
      <vt:lpstr>Import</vt:lpstr>
      <vt:lpstr>Performance Indicator FBA%</vt:lpstr>
      <vt:lpstr>RSS</vt:lpstr>
      <vt:lpstr>Electric trans</vt:lpstr>
      <vt:lpstr>Electric Policy Info</vt:lpstr>
      <vt:lpstr>Tax Reval Rate</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2023-12-01T18:32:04Z</cp:lastPrinted>
  <dcterms:created xsi:type="dcterms:W3CDTF">2011-03-11T21:05:05Z</dcterms:created>
  <dcterms:modified xsi:type="dcterms:W3CDTF">2024-10-16T22:32:17Z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